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Hospitais_BD" sheetId="2" r:id="rId5"/>
    <sheet state="visible" name="Entregas_BD" sheetId="3" r:id="rId6"/>
    <sheet state="visible" name="Resumo_InfraestruturaEntrega_Ho" sheetId="4" r:id="rId7"/>
    <sheet state="visible" name="Resumo_DemandaEntrega_Hospitais" sheetId="5" r:id="rId8"/>
    <sheet state="visible" name="Lista_Unidades_Atendidas" sheetId="6" r:id="rId9"/>
    <sheet state="visible" name="Makers_BD" sheetId="7" r:id="rId10"/>
    <sheet state="visible" name="Coletas_BD" sheetId="8" r:id="rId11"/>
  </sheets>
  <definedNames>
    <definedName hidden="1" localSheetId="1" name="_xlnm._FilterDatabase">Hospitais_BD!$A$1:$AI$433</definedName>
    <definedName hidden="1" localSheetId="2" name="_xlnm._FilterDatabase">Entregas_BD!$A$1:$AM$330</definedName>
    <definedName hidden="1" localSheetId="5" name="_xlnm._FilterDatabase">Lista_Unidades_Atendidas!$A$1:$AJ$237</definedName>
    <definedName hidden="1" localSheetId="7" name="_xlnm._FilterDatabase">Coletas_BD!$A$1:$V$137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80">
      <text>
        <t xml:space="preserve">Responder updated this value.</t>
      </text>
    </comment>
    <comment authorId="0" ref="O8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<sst xmlns="http://schemas.openxmlformats.org/spreadsheetml/2006/main" count="4322" uniqueCount="1398">
  <si>
    <t xml:space="preserve">AS INFORMAÇÕES INDISPONÍVEIS FORAM RETIRADAS POR MOTIVO DE PRIVACIDADE. ESTE PLANLOG É SOMENTE UM EXPOSITOR, COM O INTUITO DE MOSTRAR </t>
  </si>
  <si>
    <t>AS QUERYS REALIZADAS, BEM COMO OS CÓDIGOS RODANDO POR TRÁS. ESSES CÓDIGOS ERAM ACIONADOS POR TRIGGERS.</t>
  </si>
  <si>
    <t>Data</t>
  </si>
  <si>
    <t>Hora</t>
  </si>
  <si>
    <t>Hospital nº</t>
  </si>
  <si>
    <t>Hospital</t>
  </si>
  <si>
    <t>Regiao</t>
  </si>
  <si>
    <t>Municipio</t>
  </si>
  <si>
    <t>Bairro</t>
  </si>
  <si>
    <t>Nivel</t>
  </si>
  <si>
    <t>Tipo</t>
  </si>
  <si>
    <t>Observacoes</t>
  </si>
  <si>
    <t>Nome contato</t>
  </si>
  <si>
    <t>Telefone contato</t>
  </si>
  <si>
    <t>E-mail</t>
  </si>
  <si>
    <t>Demanda 
Face Shields</t>
  </si>
  <si>
    <t>Demanda
N-95</t>
  </si>
  <si>
    <t>Demanda
Suporte</t>
  </si>
  <si>
    <t xml:space="preserve">Demanda
Oculos </t>
  </si>
  <si>
    <t>Demanda 
Alcool Gel(L)</t>
  </si>
  <si>
    <t>Demanda
Alcool Líq(L)</t>
  </si>
  <si>
    <t>Entregues
Face Shields</t>
  </si>
  <si>
    <t>Entregues
N-95</t>
  </si>
  <si>
    <t>Entregues
Suporte</t>
  </si>
  <si>
    <t>Entregues
Oculos</t>
  </si>
  <si>
    <t>Entrega 
Alcool Líq</t>
  </si>
  <si>
    <t>Entrega 
Alcool Líq.</t>
  </si>
  <si>
    <t>Falta
Face Shields</t>
  </si>
  <si>
    <t>Falta
N-95</t>
  </si>
  <si>
    <t>Falta
Suporte</t>
  </si>
  <si>
    <t>Falta
Oculos</t>
  </si>
  <si>
    <t>Falta Alcool
Gel(L)</t>
  </si>
  <si>
    <t>Falta Alcool
Líq.(L)</t>
  </si>
  <si>
    <t>LAT/LON</t>
  </si>
  <si>
    <t>Numero 
de Casos</t>
  </si>
  <si>
    <t>Leitos 
de Uti</t>
  </si>
  <si>
    <t>Leitos de 
Campanha</t>
  </si>
  <si>
    <t>ALINE MAINO</t>
  </si>
  <si>
    <t>REGIAO DOS LAGOS</t>
  </si>
  <si>
    <t>Sao Pedro da Aldeia</t>
  </si>
  <si>
    <t>Referência - ALTA COMPLEXIDADE</t>
  </si>
  <si>
    <t>Público</t>
  </si>
  <si>
    <t>-22.8433599,-42.1030012</t>
  </si>
  <si>
    <t>Ama Assistencia Medica</t>
  </si>
  <si>
    <t>ZONA OESTE</t>
  </si>
  <si>
    <t>Rio de Janeiro</t>
  </si>
  <si>
    <t>Bangu</t>
  </si>
  <si>
    <t>Privado</t>
  </si>
  <si>
    <t>-22.8816973,-43.4674602</t>
  </si>
  <si>
    <t>Americas Oftalmocenter</t>
  </si>
  <si>
    <t>Barra da tijuca e Tijuca</t>
  </si>
  <si>
    <t>Unidade básica - BAIXA COMPLEXIDADE</t>
  </si>
  <si>
    <t>-23.0036081,-43.3208106</t>
  </si>
  <si>
    <t>Casa de Saúde São José</t>
  </si>
  <si>
    <t>ZONA SUL</t>
  </si>
  <si>
    <t>Humaita</t>
  </si>
  <si>
    <t>-22.957929,-43.1983377</t>
  </si>
  <si>
    <t>CEMO (centro medico oftalmologico)</t>
  </si>
  <si>
    <t>ZONA NORTE</t>
  </si>
  <si>
    <t>Tijuca</t>
  </si>
  <si>
    <t>-22.926458,-43.2342962</t>
  </si>
  <si>
    <t>Centro Medico Oftalmologico</t>
  </si>
  <si>
    <t>Centro Ortopedico Sao Lucas Ltda</t>
  </si>
  <si>
    <t>REGIAO METROPOLITANA</t>
  </si>
  <si>
    <t>Niteroi</t>
  </si>
  <si>
    <t>Icarai</t>
  </si>
  <si>
    <t>-22.9008821,-43.1088571</t>
  </si>
  <si>
    <t>CER Leblon</t>
  </si>
  <si>
    <t>Leblon</t>
  </si>
  <si>
    <t>Grande emergência - MÉDIA COMPLEXIDADE</t>
  </si>
  <si>
    <t>-22.9771638,-43.2235966</t>
  </si>
  <si>
    <t>CF Fernando Antonio Braga Lopes</t>
  </si>
  <si>
    <t>CENTRO</t>
  </si>
  <si>
    <t>CAJU</t>
  </si>
  <si>
    <t>-22.8761299,-43.2220883</t>
  </si>
  <si>
    <t>CLIMES - Clinica Medica Especializada Ltda</t>
  </si>
  <si>
    <t>Lapa</t>
  </si>
  <si>
    <t>-22.9140025,-43.1815194</t>
  </si>
  <si>
    <t>Clinica da Familia</t>
  </si>
  <si>
    <t>Caju</t>
  </si>
  <si>
    <t>-22.8656766,-43.23928069999999</t>
  </si>
  <si>
    <t>Clinica da Familia Cypriano das Chagas Medeiros</t>
  </si>
  <si>
    <t>Coelho Neto</t>
  </si>
  <si>
    <t>-22.8364402,-43.348602</t>
  </si>
  <si>
    <t>Clinica da Familia Estacio de Sa</t>
  </si>
  <si>
    <t>RIO COMPRIDO</t>
  </si>
  <si>
    <t>-22.9255891,-43.2148496</t>
  </si>
  <si>
    <t>Clinica da Familia Felippe Cardoso</t>
  </si>
  <si>
    <t>Penha</t>
  </si>
  <si>
    <t>-22.8427552,-43.2789656</t>
  </si>
  <si>
    <t>Clínica Da família João Batista Chagas</t>
  </si>
  <si>
    <t>Paciência proximo a Santa Cruz</t>
  </si>
  <si>
    <t>-22.9328133,-43.6368045</t>
  </si>
  <si>
    <t>Clínica da Família Mário Dias de Alencar</t>
  </si>
  <si>
    <t>Senador Camara</t>
  </si>
  <si>
    <t>-22.8942385,-43.4884003</t>
  </si>
  <si>
    <t>Clínica da Família Nélio de Oliveira</t>
  </si>
  <si>
    <t>Gamboa</t>
  </si>
  <si>
    <t>-22.8974365,-43.1961145</t>
  </si>
  <si>
    <t>Clinica da Gavea</t>
  </si>
  <si>
    <t>Gavea</t>
  </si>
  <si>
    <t>-22.9847262,-43.2447409</t>
  </si>
  <si>
    <t>Clinica Especializada Endoview</t>
  </si>
  <si>
    <t>Tijuca / barra /leblon /caxias</t>
  </si>
  <si>
    <t>-22.9256442,-43.2343027</t>
  </si>
  <si>
    <t>Clinica Taccola Niedermeier EPP</t>
  </si>
  <si>
    <t>IPANEMA</t>
  </si>
  <si>
    <t>-22.984138,-43.211567</t>
  </si>
  <si>
    <t>CMS Albert Sabin</t>
  </si>
  <si>
    <t>Rocinha</t>
  </si>
  <si>
    <t>-22.9858747,-43.2452175</t>
  </si>
  <si>
    <t>CMS Alice Toledo Tibiriçá</t>
  </si>
  <si>
    <t>Iraja</t>
  </si>
  <si>
    <t>-22.8304095,-43.32879</t>
  </si>
  <si>
    <t>CMS Alvaro Ramos</t>
  </si>
  <si>
    <t>Taquara Colônia Jacarepagua</t>
  </si>
  <si>
    <t>-22.9408463,-43.3934528</t>
  </si>
  <si>
    <t>CMS Cecília Donnangelo</t>
  </si>
  <si>
    <t>Vargem grande</t>
  </si>
  <si>
    <t>-22.986818,-43.477035</t>
  </si>
  <si>
    <t>CMS Harvey Ribeiro de Souza Filho</t>
  </si>
  <si>
    <t>Recreio dos Bandeirantes</t>
  </si>
  <si>
    <t>-23.0201619,-43.4826765</t>
  </si>
  <si>
    <t>CMS Jose Breves dos Santos</t>
  </si>
  <si>
    <t>Cordovil</t>
  </si>
  <si>
    <t>-22.8170123,-43.2895397</t>
  </si>
  <si>
    <t>CMS Manoel José Ferreira</t>
  </si>
  <si>
    <t>Catete</t>
  </si>
  <si>
    <t>-22.9260359,-43.1786045</t>
  </si>
  <si>
    <t xml:space="preserve">CMS Padre Miguel </t>
  </si>
  <si>
    <t>Padre Miguel</t>
  </si>
  <si>
    <t>-22.8729377,-43.4486948</t>
  </si>
  <si>
    <t>CMS PINDARO DE CARVALHO RODRIGUES</t>
  </si>
  <si>
    <t>GAVEA</t>
  </si>
  <si>
    <t>-22.9796829,-43.2295469</t>
  </si>
  <si>
    <t>CMS Salles Netto</t>
  </si>
  <si>
    <t>Rio Comprido</t>
  </si>
  <si>
    <t>-22.9249739,-43.2089467</t>
  </si>
  <si>
    <t>Consultorio dentario</t>
  </si>
  <si>
    <t>Niterói</t>
  </si>
  <si>
    <t>-22.9083473,-43.1095185</t>
  </si>
  <si>
    <t>Consultoriobde Acupuntura + Consultorio Odontologico</t>
  </si>
  <si>
    <t>Oeste</t>
  </si>
  <si>
    <t>-22.9068637,-43.1773108</t>
  </si>
  <si>
    <t>Coordenaçao de Emergencia Regional do Leblon</t>
  </si>
  <si>
    <t>-22.9777327,-43.2246005</t>
  </si>
  <si>
    <t>Corpo de Bombeiros - DSE</t>
  </si>
  <si>
    <t>-22.9337418,-43.1798339</t>
  </si>
  <si>
    <t>Cruz Vermelha Brasileira</t>
  </si>
  <si>
    <t>Centro</t>
  </si>
  <si>
    <t>-22.9114807,-43.1879897</t>
  </si>
  <si>
    <t>Cruz Vermelha Brasileira Filial Rio de Janeiro</t>
  </si>
  <si>
    <t>CS Mangueiras</t>
  </si>
  <si>
    <t>OUTROS ESTADOS</t>
  </si>
  <si>
    <t>Belo Horizonte-MG</t>
  </si>
  <si>
    <t>Barreiro</t>
  </si>
  <si>
    <t>-20.0136505,-44.0307989</t>
  </si>
  <si>
    <t>Fundaçao Hemocentro de Ribeirao Preto</t>
  </si>
  <si>
    <t>Monte Alegre</t>
  </si>
  <si>
    <t>Apoio - MÉDIA COMPLEXIDADE</t>
  </si>
  <si>
    <t>-21.1617734,-47.84897309999999</t>
  </si>
  <si>
    <t>Grupo Safety Serviços Medicos Especializados</t>
  </si>
  <si>
    <t>Todo estado do Riod de Janeiro</t>
  </si>
  <si>
    <t>-22.9102528,-43.4181344</t>
  </si>
  <si>
    <t>Guarda Municipal</t>
  </si>
  <si>
    <t>Engenho novo</t>
  </si>
  <si>
    <t>-22.902951,-43.213048</t>
  </si>
  <si>
    <t>H.do Rocio</t>
  </si>
  <si>
    <t>Campo Largo PR</t>
  </si>
  <si>
    <t>Campo Largo</t>
  </si>
  <si>
    <t>-25.4448065,-49.5359596</t>
  </si>
  <si>
    <t>Hemorio</t>
  </si>
  <si>
    <t>-22.90891,-43.189642</t>
  </si>
  <si>
    <t>Hospital Federal de Bonsucesso</t>
  </si>
  <si>
    <t>Bonsucesso</t>
  </si>
  <si>
    <t>-22.8671366,-43.2483857</t>
  </si>
  <si>
    <t>Hospital Barra Dor</t>
  </si>
  <si>
    <t>Barra da Tijuca</t>
  </si>
  <si>
    <t>-22.9833714,-43.3664302</t>
  </si>
  <si>
    <t>Hospital Central Aristarcho Pessoa</t>
  </si>
  <si>
    <t>-22.931474,-43.2097388</t>
  </si>
  <si>
    <t>Hospital Central da Polícia Militar do Estado do Rio de Janeiro</t>
  </si>
  <si>
    <t>Estacio</t>
  </si>
  <si>
    <t>-22.9130065,-43.2038426</t>
  </si>
  <si>
    <t>Hospital Centro De Sao Goncalo</t>
  </si>
  <si>
    <t>São Gonçalo</t>
  </si>
  <si>
    <t>-22.8347869,-43.034675</t>
  </si>
  <si>
    <t>Hospital Clinerp</t>
  </si>
  <si>
    <t>Cabo Frio</t>
  </si>
  <si>
    <t>Centro de Cabo Frio</t>
  </si>
  <si>
    <t>-22.8776344,-42.0142561</t>
  </si>
  <si>
    <t>Hospital da Força Aerea do Galeao</t>
  </si>
  <si>
    <t>Ilha do governador</t>
  </si>
  <si>
    <t>-22.8124121,-43.2169223</t>
  </si>
  <si>
    <t>Hospital da Gamboa</t>
  </si>
  <si>
    <t>-22.8959723,-43.20011340000001</t>
  </si>
  <si>
    <t>Hospital da Mulher Heloneida Studart</t>
  </si>
  <si>
    <t>BAIXADA FLUMINENSE</t>
  </si>
  <si>
    <t>Sao Joao de Meriti</t>
  </si>
  <si>
    <t>Villar dos Telles</t>
  </si>
  <si>
    <t>-22.7894166,-43.36487169999999</t>
  </si>
  <si>
    <t>Hospital da Mulher Mariska Ribeiro</t>
  </si>
  <si>
    <t>-22.876212,-43.472908</t>
  </si>
  <si>
    <t>Hospital da Policia Militar de Niteroi</t>
  </si>
  <si>
    <t>Santa Rosa</t>
  </si>
  <si>
    <t>-22.89845,-43.092113</t>
  </si>
  <si>
    <t>Hospital de Clinica da Universidade Federal do Parana</t>
  </si>
  <si>
    <t>Em Curitiva-PR</t>
  </si>
  <si>
    <t>-25.4241606,-49.26194779999999</t>
  </si>
  <si>
    <t>Hospital do Amparo Feminino</t>
  </si>
  <si>
    <t>-22.9253873,-43.2062024</t>
  </si>
  <si>
    <t>Hospital do Câncer 1 - INCA</t>
  </si>
  <si>
    <t>centro</t>
  </si>
  <si>
    <t>-22.9123649,-43.1885825</t>
  </si>
  <si>
    <t>Hospital do Câncer 2 - INCA</t>
  </si>
  <si>
    <t>Santo Cristo</t>
  </si>
  <si>
    <t>-22.899855,-43.2079464</t>
  </si>
  <si>
    <t>Hospital do Câncer 3 - INCA</t>
  </si>
  <si>
    <t>Vila Isabel</t>
  </si>
  <si>
    <t>-22.9162572,-43.2581724</t>
  </si>
  <si>
    <t>Hospital do Câncer 4 - INCA</t>
  </si>
  <si>
    <t>-22.9166827,-43.2584564</t>
  </si>
  <si>
    <t>Hospital do Câncer de Muriae</t>
  </si>
  <si>
    <t>Muriae - MG</t>
  </si>
  <si>
    <t>Bairro Universitario</t>
  </si>
  <si>
    <t>-21.1114574,-42.3833046</t>
  </si>
  <si>
    <t>Hospital Dr Adib Jaetene - HRS</t>
  </si>
  <si>
    <t>Sorocaba SP</t>
  </si>
  <si>
    <t>sorocaba</t>
  </si>
  <si>
    <t>-23.5268433,-47.5181614</t>
  </si>
  <si>
    <t>HOSPITAL E MATERNIDADE TEREZINHA DE JESUS</t>
  </si>
  <si>
    <t>JUIZ DE FORA</t>
  </si>
  <si>
    <t>SAO MATEUS</t>
  </si>
  <si>
    <t>-21.7778305,-43.3592873</t>
  </si>
  <si>
    <t>Hospital Escola de Valença</t>
  </si>
  <si>
    <t>REGIAO MEDIO PARAIBA</t>
  </si>
  <si>
    <t>Valença</t>
  </si>
  <si>
    <t xml:space="preserve">Centro </t>
  </si>
  <si>
    <t>-22.2441538,-43.7091485</t>
  </si>
  <si>
    <t>Hospital Escola São Francisco de Assis</t>
  </si>
  <si>
    <t>Cidade Nova</t>
  </si>
  <si>
    <t>-22.9090453,-43.2013757</t>
  </si>
  <si>
    <t>Hospital Estadual Adão Pereira Nunes</t>
  </si>
  <si>
    <t>Duque de Caxias</t>
  </si>
  <si>
    <t>Jardim Primavera</t>
  </si>
  <si>
    <t>-22.6732322,-43.2833074</t>
  </si>
  <si>
    <t>Hospital Estadual Alberto Torres</t>
  </si>
  <si>
    <t>Colunbandê</t>
  </si>
  <si>
    <t>-22.8384025,-43.0183652</t>
  </si>
  <si>
    <t>Hospital Estadual Azevedo Lima</t>
  </si>
  <si>
    <t>Fonseca</t>
  </si>
  <si>
    <t>-22.8810446,-43.0789078</t>
  </si>
  <si>
    <t>Hospital Estadual Carlos Chagas</t>
  </si>
  <si>
    <t>Marechal Hermes</t>
  </si>
  <si>
    <t>-22.8652078,-43.3746504</t>
  </si>
  <si>
    <t>Hospital Estadual da Criança</t>
  </si>
  <si>
    <t>Vila valqueire</t>
  </si>
  <si>
    <t>-22.8851109,-43.3660894</t>
  </si>
  <si>
    <t>Hospital Estadual Getúlio Vargas</t>
  </si>
  <si>
    <t>PENHA</t>
  </si>
  <si>
    <t>-22.8389844,-43.284978</t>
  </si>
  <si>
    <t>Hospital Estadual Santa Maria</t>
  </si>
  <si>
    <t>Jacarepagua</t>
  </si>
  <si>
    <t>-22.9135377,-43.419114</t>
  </si>
  <si>
    <t>Hospital Federal Cardoso Fontes</t>
  </si>
  <si>
    <t>Freguesia - RJ</t>
  </si>
  <si>
    <t>-22.9258421,-43.3163108</t>
  </si>
  <si>
    <t>Hospital Federal da Lagoa</t>
  </si>
  <si>
    <t>Jardim Botanico</t>
  </si>
  <si>
    <t>-22.9636854,-43.2155559</t>
  </si>
  <si>
    <t>Hospital Federal de Ipanema</t>
  </si>
  <si>
    <t>Ipanema</t>
  </si>
  <si>
    <t>-22.9839749,-43.1958259</t>
  </si>
  <si>
    <t>Hospital Federal dos Servidores do Estado</t>
  </si>
  <si>
    <t>-22.8965466,-43.1882366</t>
  </si>
  <si>
    <t>Hospital Geral de Arraial do Cabo</t>
  </si>
  <si>
    <t>Arraial do Cabo</t>
  </si>
  <si>
    <t>-22.9758547,-42.0281234</t>
  </si>
  <si>
    <t>Hospital Geral de Goiânia</t>
  </si>
  <si>
    <t>Goiânia</t>
  </si>
  <si>
    <t>Setor Oeste Goiania</t>
  </si>
  <si>
    <t>-16.6791391,-49.271032</t>
  </si>
  <si>
    <t>Hospital Geral de Itaguai</t>
  </si>
  <si>
    <t>Itaguaí</t>
  </si>
  <si>
    <t>-22.8717701,-43.7811295</t>
  </si>
  <si>
    <t>Hospital Getulio Vargas</t>
  </si>
  <si>
    <t>Hospital Icarai</t>
  </si>
  <si>
    <t>-22.8942861,-43.1127841</t>
  </si>
  <si>
    <t>Hospital Ilha do Governador</t>
  </si>
  <si>
    <t>ILHA DO GOVERNADOR</t>
  </si>
  <si>
    <t>-22.7973675,-43.1898968</t>
  </si>
  <si>
    <t>Hospital Israelita Albert Sabin</t>
  </si>
  <si>
    <t>Maracana</t>
  </si>
  <si>
    <t>-22.9151254,-43.2238948</t>
  </si>
  <si>
    <t>Hospital Mário Kroeff</t>
  </si>
  <si>
    <t>-22.83382,-43.2869254</t>
  </si>
  <si>
    <t>Hospital Maternidade Fernando Magalhaes</t>
  </si>
  <si>
    <t>São Cristovão</t>
  </si>
  <si>
    <t>-22.8951508,-43.22576919999999</t>
  </si>
  <si>
    <t>Hospital Municipal Albert Schweitzer</t>
  </si>
  <si>
    <t>Realengo</t>
  </si>
  <si>
    <t>-22.8667425,-43.4419453</t>
  </si>
  <si>
    <t>Hospital Municipal Angela Maria Simões Menezes</t>
  </si>
  <si>
    <t>Casimiro de Abreu</t>
  </si>
  <si>
    <t>Santa Ely</t>
  </si>
  <si>
    <t>-22.4919821,-42.2009137</t>
  </si>
  <si>
    <t>Hospital Municipal Barata Ribeiro</t>
  </si>
  <si>
    <t>Mangueira</t>
  </si>
  <si>
    <t>-22.9000936,-43.240323</t>
  </si>
  <si>
    <t>HOSPITAL RAIMUNDO CELIO RODRIGUES</t>
  </si>
  <si>
    <t>Pacatuba - CE</t>
  </si>
  <si>
    <t>-3.9824484,-38.619293</t>
  </si>
  <si>
    <t>Hospital Municipal da Piedade</t>
  </si>
  <si>
    <t>Piedade</t>
  </si>
  <si>
    <t>-22.8918083,-43.3097393</t>
  </si>
  <si>
    <t>Hospital Municipal de Mage</t>
  </si>
  <si>
    <t>Magé</t>
  </si>
  <si>
    <t>-22.6541093,-43.0372882</t>
  </si>
  <si>
    <t>Hospital Municipal Desembargador Leal Jr</t>
  </si>
  <si>
    <t>Itaborai</t>
  </si>
  <si>
    <t>Nancilandia</t>
  </si>
  <si>
    <t>-22.7378139,-42.8489946</t>
  </si>
  <si>
    <t>Hospital Municipal Desembargador Leal Junior</t>
  </si>
  <si>
    <t>Hospital Municipal Doutor Nelson de Sá</t>
  </si>
  <si>
    <t>REGIAO SERRANA</t>
  </si>
  <si>
    <t>Petropólis</t>
  </si>
  <si>
    <t>-22.5076607,-43.1922903</t>
  </si>
  <si>
    <t>Hospital Municipal Dr Fernando Pereira da Silva</t>
  </si>
  <si>
    <t>Macaé</t>
  </si>
  <si>
    <t>Virgem Santa</t>
  </si>
  <si>
    <t>-22.3563134,-41.8076348</t>
  </si>
  <si>
    <t>Hospital Municipal e Maternidade prof Mario degni</t>
  </si>
  <si>
    <t>SP</t>
  </si>
  <si>
    <t>Rio pequeno</t>
  </si>
  <si>
    <t>-23.5782744,-46.7646913</t>
  </si>
  <si>
    <t>Hospital Municipal Francisco da Silva Telles</t>
  </si>
  <si>
    <t>-22.8308433,-43.3280767</t>
  </si>
  <si>
    <t>Hospital Municipal Jesus</t>
  </si>
  <si>
    <t>-22.9116044,-43.243544</t>
  </si>
  <si>
    <t>Hospital Municipal José Rabello de Mello</t>
  </si>
  <si>
    <t>Guapimirim serrana</t>
  </si>
  <si>
    <t>Bananal</t>
  </si>
  <si>
    <t>-22.5364661,-42.9823512</t>
  </si>
  <si>
    <t>Hospital Municipal Lourenco Jorge</t>
  </si>
  <si>
    <t>-22.9949934,-43.3637553</t>
  </si>
  <si>
    <t>Hospital Municipal Lourenço Jorge</t>
  </si>
  <si>
    <t>Hospital Municipal Miguel Couto</t>
  </si>
  <si>
    <t>Leblon/Gavea</t>
  </si>
  <si>
    <t>-22.9775844,-43.2240119</t>
  </si>
  <si>
    <t>Hospital Municipal Moacyr do Carmo</t>
  </si>
  <si>
    <t>Vila sao luiz</t>
  </si>
  <si>
    <t>-22.7837575,-43.284084</t>
  </si>
  <si>
    <t>Hospital Municipal Nossa Senhora do Loreto</t>
  </si>
  <si>
    <t>Ilha do Governador</t>
  </si>
  <si>
    <t>-22.8147195,-43.2254599</t>
  </si>
  <si>
    <t>Hospital Municipal Pedro II</t>
  </si>
  <si>
    <t>Santa Cruz</t>
  </si>
  <si>
    <t>-22.912833,-43.6878325</t>
  </si>
  <si>
    <t>Hospital Municipal Raphael de Paula Souza</t>
  </si>
  <si>
    <t>Curicica</t>
  </si>
  <si>
    <t>-22.9542357,-43.3919094</t>
  </si>
  <si>
    <t>Hospital Municipal Rocha Faria</t>
  </si>
  <si>
    <t>Campo Grande</t>
  </si>
  <si>
    <t>-22.9082574,-43.5623842</t>
  </si>
  <si>
    <t>Hospital Municipal Ronaldo Gazola</t>
  </si>
  <si>
    <t>Acari</t>
  </si>
  <si>
    <t>-22.825339,-43.347584</t>
  </si>
  <si>
    <t>Hospital Municipal Ronaldo Gazolla</t>
  </si>
  <si>
    <t>Hospital Municipal Salgado Filho</t>
  </si>
  <si>
    <t>MEIER</t>
  </si>
  <si>
    <t>-22.9008949,-43.2782108</t>
  </si>
  <si>
    <t>Meier</t>
  </si>
  <si>
    <t>Hospital Municipal São Francisco Xavier</t>
  </si>
  <si>
    <t>Itaguai</t>
  </si>
  <si>
    <t>-22.8694531,-43.7773475</t>
  </si>
  <si>
    <t>Hospital Municipal Souza Aguiar</t>
  </si>
  <si>
    <t>-22.908552,-43.1901875</t>
  </si>
  <si>
    <t>Hospital Naval Marcílio Dias</t>
  </si>
  <si>
    <t>Lins de Vasconcelos</t>
  </si>
  <si>
    <t>-22.9139074,-43.2833747</t>
  </si>
  <si>
    <t>Hospital Nossa Senhora da Conceiçao</t>
  </si>
  <si>
    <t>Fortaleza</t>
  </si>
  <si>
    <t>Conjunto Ceara ii</t>
  </si>
  <si>
    <t>-3.7704822,-38.6161906</t>
  </si>
  <si>
    <t>Hospital Psiquiatrico de Jurujuba</t>
  </si>
  <si>
    <t>Charitas</t>
  </si>
  <si>
    <t>-22.9324847,-43.09773089999999</t>
  </si>
  <si>
    <t>Hospital Santa Izabel</t>
  </si>
  <si>
    <t>-22.8774433,-42.0129776</t>
  </si>
  <si>
    <t>Hospital santa martha</t>
  </si>
  <si>
    <t>-22.903304,-43.089135</t>
  </si>
  <si>
    <t>Hospital Santa Martha - Niteroi</t>
  </si>
  <si>
    <t>Santa rosa</t>
  </si>
  <si>
    <t>-22.903349,-43.0891179</t>
  </si>
  <si>
    <t>Hospital Sao Francisco</t>
  </si>
  <si>
    <t>-22.9399,-43.248224</t>
  </si>
  <si>
    <t>Hospital Sao Francisco de Assis na Providencia de Deus (Antiga Ordem Terceira)</t>
  </si>
  <si>
    <t>Hospital Sao Joao Batista de Macae</t>
  </si>
  <si>
    <t>-22.3780511,-41.7755733</t>
  </si>
  <si>
    <t>Hospital Sao Matheus</t>
  </si>
  <si>
    <t>-22.8818535,-43.4632601</t>
  </si>
  <si>
    <t>Hospital Sao Paulo / UNIFESP</t>
  </si>
  <si>
    <t>Vila Clementino</t>
  </si>
  <si>
    <t>-23.5975138,-46.643593</t>
  </si>
  <si>
    <t>Hospital Sao Vicente de Paulo</t>
  </si>
  <si>
    <t>-22.9159138,-43.2150202</t>
  </si>
  <si>
    <t>Hospital Semiu</t>
  </si>
  <si>
    <t>Vila da Penha</t>
  </si>
  <si>
    <t>-22.8470021,-43.3054424</t>
  </si>
  <si>
    <t>Hospital Tijutrauma</t>
  </si>
  <si>
    <t>-22.9285876,-43.2394033</t>
  </si>
  <si>
    <t>Hospital Unimed</t>
  </si>
  <si>
    <t>-22.9890195,-43.36400740000001</t>
  </si>
  <si>
    <t>Hospital Unimed Petropolis/ Hospital de Ensino Alcides Carneiro</t>
  </si>
  <si>
    <t>Petrópolis</t>
  </si>
  <si>
    <t>Corrêas e Bingen</t>
  </si>
  <si>
    <t>-22.4502407,-43.1402099</t>
  </si>
  <si>
    <t>Hospital Unimed Rio</t>
  </si>
  <si>
    <t>barra da tijuca</t>
  </si>
  <si>
    <t>Hospital Universitário Clementino Fraga Filho</t>
  </si>
  <si>
    <t>Ilha do Fundão</t>
  </si>
  <si>
    <t>-22.8425002,-43.2376557</t>
  </si>
  <si>
    <t>Hospital Universitário Gaffrée e Guinle</t>
  </si>
  <si>
    <t>-22.9161967,-43.2208276</t>
  </si>
  <si>
    <t>Hospital Universitário Pedro Ernesto</t>
  </si>
  <si>
    <t>-22.9146836,-43.2371026</t>
  </si>
  <si>
    <t>Hospitalde Saude Mental Professor Frota Pinto</t>
  </si>
  <si>
    <t>Messejana</t>
  </si>
  <si>
    <t>-3.8254491,-38.4843979</t>
  </si>
  <si>
    <t>IFF/FIOCRUZ</t>
  </si>
  <si>
    <t>Flamengo</t>
  </si>
  <si>
    <t>-22.9422869,-43.1742243</t>
  </si>
  <si>
    <t>Infantil de Vitoria ES</t>
  </si>
  <si>
    <t>Vitoria ES</t>
  </si>
  <si>
    <t>Vitirab-ES</t>
  </si>
  <si>
    <t>-20.2976178,-40.2957768</t>
  </si>
  <si>
    <t>Innova care</t>
  </si>
  <si>
    <t>Sao cristovao</t>
  </si>
  <si>
    <t>-22.9044065,-43.2130366</t>
  </si>
  <si>
    <t>Instituto de Neurologia Deolindo Couto</t>
  </si>
  <si>
    <t>Botafogo</t>
  </si>
  <si>
    <t>-22.9542543,-43.1766203</t>
  </si>
  <si>
    <t>Instituto de Psiquiatria da UFRJ</t>
  </si>
  <si>
    <t>-22.9538742,-43.1752637</t>
  </si>
  <si>
    <t>Instituto de Puericultura e Pediatria Martagao Gesteira</t>
  </si>
  <si>
    <t>-22.8411499,-43.2390769</t>
  </si>
  <si>
    <t>Instituto Estadual de Cardiologia Aloysio de Castro</t>
  </si>
  <si>
    <t>-22.9543288,-43.1982065</t>
  </si>
  <si>
    <t>INSTITUTO ESTADUAL DE DERMATOLOGIA SANITÁRIA</t>
  </si>
  <si>
    <t>TANQUE</t>
  </si>
  <si>
    <t>-22.9138466,-43.3643215</t>
  </si>
  <si>
    <t>Instituto Estadual de Diabetes e Endocrinologia Luiz Capriglione</t>
  </si>
  <si>
    <t>Central do Brasil</t>
  </si>
  <si>
    <t>-22.9092569,-43.1924888</t>
  </si>
  <si>
    <t>Instituto Estadual de Doenças do Tórax Ary Parreiras</t>
  </si>
  <si>
    <t>Barreto</t>
  </si>
  <si>
    <t>-22.8648411,-43.0993415</t>
  </si>
  <si>
    <t>Instituto Estadual do Cérebro Paulo Niemeyer</t>
  </si>
  <si>
    <t>-22.913457,-43.1876578</t>
  </si>
  <si>
    <t>Instituto Evandro Chagas</t>
  </si>
  <si>
    <t>Ananindeua PA</t>
  </si>
  <si>
    <t>Ananindeua</t>
  </si>
  <si>
    <t>-1.3747232,-48.3854668</t>
  </si>
  <si>
    <t>Instituto Federal do Rio de Janeiro (OBS.: nao e um hospital, mas uma instituiçao de educaçao ciencia e tecnologia)</t>
  </si>
  <si>
    <t>REGIAO CENTRO-SUL</t>
  </si>
  <si>
    <t>VOLTA REDONDA</t>
  </si>
  <si>
    <t>Volta Redonda e Realengo</t>
  </si>
  <si>
    <t>-22.8929869,-43.0538601</t>
  </si>
  <si>
    <t>Instituto Fernandes Figueira</t>
  </si>
  <si>
    <t>Instituto Nacional de Cardiologia</t>
  </si>
  <si>
    <t>Laranjeiras</t>
  </si>
  <si>
    <t>-22.936735,-43.1904732</t>
  </si>
  <si>
    <t>Instituto Nacional de Saude da Mulher, da Criança e do Adolescente Fernandes Figueira (IFF/Fiocruz)</t>
  </si>
  <si>
    <t>Faculdade Estacio de Sa</t>
  </si>
  <si>
    <t>Irmandade da Santa casa de misericordia de sao Paulo</t>
  </si>
  <si>
    <t>Sao Paulo</t>
  </si>
  <si>
    <t>Santa Cecilia</t>
  </si>
  <si>
    <t>LACEN - LABORAToRIO CENTRAL NOEL NUTTELS</t>
  </si>
  <si>
    <t>LAMOGLIA A ARTE DO CUIDAR</t>
  </si>
  <si>
    <t>REGIAO NORTE</t>
  </si>
  <si>
    <t>Porto da Aldeia</t>
  </si>
  <si>
    <t>LEONARDO COUTINHO CERQUEIRA</t>
  </si>
  <si>
    <t>Leve saude clinica medica</t>
  </si>
  <si>
    <t>LMSZ CLINICA ODONTOLOGICA LTDA</t>
  </si>
  <si>
    <t>MARCELLE CAMPOS ARAUJO</t>
  </si>
  <si>
    <t>Marcos FERNANDES DA ROSA</t>
  </si>
  <si>
    <t>MT</t>
  </si>
  <si>
    <t>MARIANA de Ascençao Peixoto</t>
  </si>
  <si>
    <t>Marilia resende de</t>
  </si>
  <si>
    <t>Clinica</t>
  </si>
  <si>
    <t>Maternidade Municipal Drº Mario Niajar</t>
  </si>
  <si>
    <t>Alcântara</t>
  </si>
  <si>
    <t>Alcantara</t>
  </si>
  <si>
    <t>Neovida Centro Infantil</t>
  </si>
  <si>
    <t>Nova Iguaçu</t>
  </si>
  <si>
    <t>Centro - Nova Iguaçu</t>
  </si>
  <si>
    <t>Notre care</t>
  </si>
  <si>
    <t>Andarai</t>
  </si>
  <si>
    <t>Otomed Otorrinolaringologia</t>
  </si>
  <si>
    <t>Copacabana</t>
  </si>
  <si>
    <t>POLICLÍNICA NEWTON ALVES CARDOSO</t>
  </si>
  <si>
    <t>Cocotá</t>
  </si>
  <si>
    <t>Policlinica Piquet Carneiro</t>
  </si>
  <si>
    <t>Posto Regional de Policia Técnico Científica de São Gonçalo</t>
  </si>
  <si>
    <t>Tribobó</t>
  </si>
  <si>
    <t>Prefeitura municipal de Araucaria</t>
  </si>
  <si>
    <t>Araucareia /PR</t>
  </si>
  <si>
    <t>Araucaria PR</t>
  </si>
  <si>
    <t>Projeto Brasil sem Alergia</t>
  </si>
  <si>
    <t>Jardim Vinte e Cinco de Agosto</t>
  </si>
  <si>
    <t>Rede Municipaldo Rio de Janeiro</t>
  </si>
  <si>
    <t>diversos bairros</t>
  </si>
  <si>
    <t>Renalvida</t>
  </si>
  <si>
    <t>Rio Homecare</t>
  </si>
  <si>
    <t>SAMU de Duque de Caxias</t>
  </si>
  <si>
    <t>Parque Beira Mar</t>
  </si>
  <si>
    <t>SAMU do Município de São João de Meriti</t>
  </si>
  <si>
    <t>Jardim Meriti</t>
  </si>
  <si>
    <t>Santa Casa de Misericordia de Guaçui</t>
  </si>
  <si>
    <t>Guaçui ES</t>
  </si>
  <si>
    <t>Quincas Machado- Guaçui</t>
  </si>
  <si>
    <t>Santa casa de misericordia de Sāo Bento do Sapucai</t>
  </si>
  <si>
    <t>Estafo de Sao paulo</t>
  </si>
  <si>
    <t>Sao Gonçalo Clinica de Olhos</t>
  </si>
  <si>
    <t>Sao Gonçalo</t>
  </si>
  <si>
    <t>Sao Jose dos Pinhais</t>
  </si>
  <si>
    <t>Curitiba PR</t>
  </si>
  <si>
    <t>Savior Medical Service</t>
  </si>
  <si>
    <t>Sede em Sao Cristovao mas atuamos no Rio e em SP</t>
  </si>
  <si>
    <t>Secretaria Municipal de Saude do Rio de Janeiro</t>
  </si>
  <si>
    <t>meier</t>
  </si>
  <si>
    <t>Trabalhamos com higienizaçao hospitar, estamos em todos os hospitais publicos de Niteroi e no Into Rio de Janeiro</t>
  </si>
  <si>
    <t>UBS Otacilio da Silva</t>
  </si>
  <si>
    <t>Olavo Bilac</t>
  </si>
  <si>
    <t>UBS VITalino Fonseca Matozinhos /MG</t>
  </si>
  <si>
    <t>Minas, MG</t>
  </si>
  <si>
    <t>Floresta</t>
  </si>
  <si>
    <t>Unidade de pronto atendimento upa bangu 24 horas</t>
  </si>
  <si>
    <t>Hospital UNIMED BARRA</t>
  </si>
  <si>
    <t>UPA 24h Dr. Mário Monteiro</t>
  </si>
  <si>
    <t>Regiao oceanica</t>
  </si>
  <si>
    <t>UPA 24h Manguinhos</t>
  </si>
  <si>
    <t>Benfica</t>
  </si>
  <si>
    <t>UPA Ângela Maria Brito</t>
  </si>
  <si>
    <t>Centro / Silva Jardim</t>
  </si>
  <si>
    <t>Upa Campo Grande 2</t>
  </si>
  <si>
    <t>UPA Copacabana</t>
  </si>
  <si>
    <t>Upa do Engenho de Dentro</t>
  </si>
  <si>
    <t>Engenho de Dentro</t>
  </si>
  <si>
    <t>Upa do engenhode dentro</t>
  </si>
  <si>
    <t>Engenho de dentro</t>
  </si>
  <si>
    <t>Upa engenho de dentro</t>
  </si>
  <si>
    <t>UPA Irajá</t>
  </si>
  <si>
    <t>UPA Jardim Iris- Sao Joao de Meriti</t>
  </si>
  <si>
    <t>Jardim Iris</t>
  </si>
  <si>
    <t>Upa penha</t>
  </si>
  <si>
    <t>Upa Rocinha</t>
  </si>
  <si>
    <t>UPA Tijuca</t>
  </si>
  <si>
    <t>Upa tijuca rj</t>
  </si>
  <si>
    <t>Upa Tijuca- Rio de janeiro</t>
  </si>
  <si>
    <t>TIJUCA</t>
  </si>
  <si>
    <t>Viellas Odontologia LTDA</t>
  </si>
  <si>
    <t>Vitoria Apart hospital</t>
  </si>
  <si>
    <t>Serra, ES</t>
  </si>
  <si>
    <t>Boa vista 2</t>
  </si>
  <si>
    <t>HOSPITAL UNIVERSITÁRIO DE VASSOURAS - HUV</t>
  </si>
  <si>
    <t>VASSOURAS</t>
  </si>
  <si>
    <t>MADRUGA</t>
  </si>
  <si>
    <t>UPA Cabuçu</t>
  </si>
  <si>
    <t>Cabuçu</t>
  </si>
  <si>
    <t>CENTRO DE SAuDE ESCOLA GERMANO SINVAL FARIA</t>
  </si>
  <si>
    <t>RIO DE JANEIRO</t>
  </si>
  <si>
    <t>MANGUINHOS</t>
  </si>
  <si>
    <t>Upa Copacabana</t>
  </si>
  <si>
    <t>Organizacao comunitaria de frente das favelas de Babilonia e Chapeu Mangueira</t>
  </si>
  <si>
    <t>LEME</t>
  </si>
  <si>
    <t>Upa tamoios</t>
  </si>
  <si>
    <t>Cabo frio</t>
  </si>
  <si>
    <t>Tamoios</t>
  </si>
  <si>
    <t>Hospital Geral de Guarus</t>
  </si>
  <si>
    <t>Campos dos Goytacazes</t>
  </si>
  <si>
    <t>Guarus</t>
  </si>
  <si>
    <t>Esf Maria Cristina</t>
  </si>
  <si>
    <t>Mesquita</t>
  </si>
  <si>
    <t>Rocha Sobrinho</t>
  </si>
  <si>
    <t>UPA 24hs Barra de Macae RJ</t>
  </si>
  <si>
    <t>Macae</t>
  </si>
  <si>
    <t>Barra de Macae</t>
  </si>
  <si>
    <t xml:space="preserve">Santa casa de São João da Barra </t>
  </si>
  <si>
    <t>Sao Joao da Barra</t>
  </si>
  <si>
    <t>Hospital Municipal Angela Maria Simoes Menezes</t>
  </si>
  <si>
    <t>Hospital de Tratamento em Dependência Química Roberto Medeiros</t>
  </si>
  <si>
    <t>Gericino</t>
  </si>
  <si>
    <t xml:space="preserve">Hospital de Apoio - MÉDIA COMPLEXIDADE
</t>
  </si>
  <si>
    <t>Hospital Estadual Eduardo Rabello</t>
  </si>
  <si>
    <t>Senador Vasconcelos</t>
  </si>
  <si>
    <t>Testagem Covid-19 e Vacinacao</t>
  </si>
  <si>
    <t>rio de janeiro</t>
  </si>
  <si>
    <t>Cidade Universitaria</t>
  </si>
  <si>
    <t>Instituto Oswaldo Cruz-IOC/FIOCRUZ</t>
  </si>
  <si>
    <t>Manguinhos</t>
  </si>
  <si>
    <t>Intituição de pesquisa avançasda</t>
  </si>
  <si>
    <t>Escola de Enfermagem Anna Nery</t>
  </si>
  <si>
    <t>Maternidade Escola da UFRJ</t>
  </si>
  <si>
    <t>UPA 24H Copacabana</t>
  </si>
  <si>
    <t>Coordenacao de atencao primaria a saude - cap 52</t>
  </si>
  <si>
    <t>Inhoaiba</t>
  </si>
  <si>
    <t>Hospital Ferreira Machado</t>
  </si>
  <si>
    <t>IML</t>
  </si>
  <si>
    <t>SaO GONÇALO</t>
  </si>
  <si>
    <t>TRIBBOBo</t>
  </si>
  <si>
    <t>MEDICINA LEGAL E PERÍCIA CRIMINAL</t>
  </si>
  <si>
    <t>Centro Municipal de saude Harvey Ribeiro de Souza Filho</t>
  </si>
  <si>
    <t>Hospital municipal Jesus</t>
  </si>
  <si>
    <t>Vila isabel</t>
  </si>
  <si>
    <t>Hospital Municipal Fernando Magalhaes</t>
  </si>
  <si>
    <t>Sao Cristovao</t>
  </si>
  <si>
    <t xml:space="preserve">Hospital de Referência - ALTA COMPLEXIDADE
</t>
  </si>
  <si>
    <t>Hospital Federal Cardoso Fontes, IEDS</t>
  </si>
  <si>
    <t>Freguesia</t>
  </si>
  <si>
    <t>UPA Jacarepagua</t>
  </si>
  <si>
    <t>Taquara -Jacarepagua</t>
  </si>
  <si>
    <t xml:space="preserve">Grande emergência - MÉDIA COMPLEXIDADE
</t>
  </si>
  <si>
    <t>HOSPITAL MUNICIPAL DR MUNR RAFFUL</t>
  </si>
  <si>
    <t>Volta Redonda</t>
  </si>
  <si>
    <t>Retiro</t>
  </si>
  <si>
    <t>Clinica Otoalergica</t>
  </si>
  <si>
    <t>Jardim 25 de agosto</t>
  </si>
  <si>
    <t xml:space="preserve">Pronto atendimento de otorrinolaringologia
</t>
  </si>
  <si>
    <t>Hospital Municipal Rocha Maia</t>
  </si>
  <si>
    <t>Estrategia Saude da familia Parque Esperança</t>
  </si>
  <si>
    <t>Sao Bento</t>
  </si>
  <si>
    <t xml:space="preserve">Unidade básica de saúde - BAIXA COMPLEXIDADE
</t>
  </si>
  <si>
    <t>USF TAQUARA</t>
  </si>
  <si>
    <t>Taquara</t>
  </si>
  <si>
    <t>Hospital Central de Emergência de Cabo Frio</t>
  </si>
  <si>
    <t>Psf vila maria helena</t>
  </si>
  <si>
    <t>Vila maria Helena</t>
  </si>
  <si>
    <t>centro municipal de saude cesar pernetta</t>
  </si>
  <si>
    <t>Faculdade de Odontologia da UFRJ</t>
  </si>
  <si>
    <t>Ilha do Fundao - Cidade Universitaria</t>
  </si>
  <si>
    <t xml:space="preserve">Unidade de atendimento publico odontológico
</t>
  </si>
  <si>
    <t>UPH PILAR</t>
  </si>
  <si>
    <t>Pilar</t>
  </si>
  <si>
    <t>Clinica da Família Dr Moacyr A de Carvalho</t>
  </si>
  <si>
    <t>Austim</t>
  </si>
  <si>
    <t>Hospital Municipal Dr Adalberto da Graça</t>
  </si>
  <si>
    <t>Paracambi</t>
  </si>
  <si>
    <t>Lages</t>
  </si>
  <si>
    <t>HFSE</t>
  </si>
  <si>
    <t>Saude</t>
  </si>
  <si>
    <t>UBS Santa Lucia</t>
  </si>
  <si>
    <t>Santa Lucia</t>
  </si>
  <si>
    <t>USF MANGUEIRINHA</t>
  </si>
  <si>
    <t>Centenario</t>
  </si>
  <si>
    <t>UBS Alayde Cunha</t>
  </si>
  <si>
    <t>USF JARDIM GRAMACHO I, II, III, V</t>
  </si>
  <si>
    <t>DUQUE DE CAXIAS</t>
  </si>
  <si>
    <t>JARDIM GRAMACHO</t>
  </si>
  <si>
    <t>Jardim Gramacho IV</t>
  </si>
  <si>
    <t>Jardim Gramacho</t>
  </si>
  <si>
    <t>USF Trevo das Missões</t>
  </si>
  <si>
    <t>Trevo das Missoes</t>
  </si>
  <si>
    <t>USF Beira Mar</t>
  </si>
  <si>
    <t>USF Parque Felicidade</t>
  </si>
  <si>
    <t>Parque Felicidade</t>
  </si>
  <si>
    <t>USF Gramacho</t>
  </si>
  <si>
    <t>Gramacho</t>
  </si>
  <si>
    <t>SERVICO DE ATENCAO DOMICILIAR - SAD</t>
  </si>
  <si>
    <t xml:space="preserve">SERVIÇO DE ATENÇÃO DOMICILIAR - ATENÇÃO ESPECIALIZADA
</t>
  </si>
  <si>
    <t>USF Dois Irmaos</t>
  </si>
  <si>
    <t>Parque Dois Irmaos</t>
  </si>
  <si>
    <t>Posto Odontologico Professor Jose Herdy</t>
  </si>
  <si>
    <t>Parque Felicidade/ Vila Operaria</t>
  </si>
  <si>
    <t>CMS PROF. MARIO VITOR DE ASSIS PACHECO</t>
  </si>
  <si>
    <t>CAMPO GRANDE</t>
  </si>
  <si>
    <t>Ceo centro de especialidades odontologica II imbarie</t>
  </si>
  <si>
    <t>Duque de caxias</t>
  </si>
  <si>
    <t>Imbarie</t>
  </si>
  <si>
    <t xml:space="preserve">Centro especialidade  odontológica media complexidade 
</t>
  </si>
  <si>
    <t>UMPA - UNIDADE MUNICIPAL DE PRONTO ATENDIMENTO</t>
  </si>
  <si>
    <t>PACHECO</t>
  </si>
  <si>
    <t xml:space="preserve">UNIDADE MNICIPAL DE PRONTO ATENDIMENTO 24H
</t>
  </si>
  <si>
    <t>Centro de especialidades Odontologica</t>
  </si>
  <si>
    <t>Imbariê</t>
  </si>
  <si>
    <t>CMS Joao Candido</t>
  </si>
  <si>
    <t>Penha Circular</t>
  </si>
  <si>
    <t>Centro de especialidades odontologicas</t>
  </si>
  <si>
    <t>Posto de Policia Tecnica Cientifica de Duque de Caxias</t>
  </si>
  <si>
    <t>Vinte e Cinco de Agosto</t>
  </si>
  <si>
    <t xml:space="preserve">Atendimento ao Público para Exames de Corpo de Delito e Necropsias . 
</t>
  </si>
  <si>
    <t>Iml Araruama.Prptc Araruama</t>
  </si>
  <si>
    <t>Araruama</t>
  </si>
  <si>
    <t xml:space="preserve">IML
</t>
  </si>
  <si>
    <t>Posto Regional de Policia Tecnica e Cientifica de Campos</t>
  </si>
  <si>
    <t xml:space="preserve">Policia Civil
</t>
  </si>
  <si>
    <t>Instituto de Criminalistica Carlos eboli</t>
  </si>
  <si>
    <t xml:space="preserve">Instituto de Criminalistica 
</t>
  </si>
  <si>
    <t>USF Sarapui</t>
  </si>
  <si>
    <t>Sarapui</t>
  </si>
  <si>
    <t>USF Vila Sao Luiz</t>
  </si>
  <si>
    <t>Vila Sao Luiz</t>
  </si>
  <si>
    <t>USF Cidade dos Meninos</t>
  </si>
  <si>
    <t>USF Nelson Chaves</t>
  </si>
  <si>
    <t>USF Parque Chuno</t>
  </si>
  <si>
    <t>USF Parque Comercial</t>
  </si>
  <si>
    <t>USF Parque Esperança</t>
  </si>
  <si>
    <t>Jardim Vila Nova</t>
  </si>
  <si>
    <t>UPA CIDADE DE DEUS</t>
  </si>
  <si>
    <t>CIDADE DE DEUS</t>
  </si>
  <si>
    <t xml:space="preserve">UPA - UNIDADE DE PRONTO ATENDIMENTO - MEDIA COMPLEXIDADE
</t>
  </si>
  <si>
    <t>USF Nova Campinas</t>
  </si>
  <si>
    <t>Nova Campinas</t>
  </si>
  <si>
    <t>USF Parada Angelica</t>
  </si>
  <si>
    <t>Parada Angelica</t>
  </si>
  <si>
    <t>Posto de saude 24 Queimados</t>
  </si>
  <si>
    <t>Queimados</t>
  </si>
  <si>
    <t>Fachem</t>
  </si>
  <si>
    <t>USF Parque Eldorado</t>
  </si>
  <si>
    <t>Parque Eldorado</t>
  </si>
  <si>
    <t>USF Centenario</t>
  </si>
  <si>
    <t>USF Parada Morabi</t>
  </si>
  <si>
    <t>Parada Morabi</t>
  </si>
  <si>
    <t>PRPTC MACAE - IML</t>
  </si>
  <si>
    <t>MACAE</t>
  </si>
  <si>
    <t>NOVO CAVALEIROS</t>
  </si>
  <si>
    <t xml:space="preserve">INSTITUTO MEDICO LEGAL
</t>
  </si>
  <si>
    <t>clinica da familia alice de jesus rego</t>
  </si>
  <si>
    <t>Rio de JANEIRO</t>
  </si>
  <si>
    <t>santa cruz</t>
  </si>
  <si>
    <t>CF MARIA DE AZEVEDO RODRIGUES PEREIRA</t>
  </si>
  <si>
    <t>Anchieta</t>
  </si>
  <si>
    <t>UBS Sao Pedro da Serra</t>
  </si>
  <si>
    <t>Nova Friburgo</t>
  </si>
  <si>
    <t>Sao Pedro da Serra</t>
  </si>
  <si>
    <t>Clinica da Familia Zilda Arns</t>
  </si>
  <si>
    <t>Complexo do Alemao</t>
  </si>
  <si>
    <t>Clinica da Familia Medalhista Olimpico Ricardo Lucarelli</t>
  </si>
  <si>
    <t>CMS Edgard Magalhaes Gomes</t>
  </si>
  <si>
    <t>Instituto Fernandes Figueira (IFF/Fiocruz)</t>
  </si>
  <si>
    <t>CMS PROF. SAVIO ANTUNES</t>
  </si>
  <si>
    <t>SANTA CRUZ (ANTARES)</t>
  </si>
  <si>
    <t>Clinica da Família Pastor Rosalvo Dantas</t>
  </si>
  <si>
    <t>Valdariosa</t>
  </si>
  <si>
    <t>DEGASE</t>
  </si>
  <si>
    <t>Galeao</t>
  </si>
  <si>
    <t xml:space="preserve">Departamento Geral de Ações Socioeducativas
</t>
  </si>
  <si>
    <t>Clinica da Familia Armando Palhares Aguinaga</t>
  </si>
  <si>
    <t>Consultorio na rua</t>
  </si>
  <si>
    <t>Maricá</t>
  </si>
  <si>
    <t xml:space="preserve">Estamos em atendimento na rua e hospital 
</t>
  </si>
  <si>
    <t>Secretaria Municipal de Saude</t>
  </si>
  <si>
    <t>COORDENADORIA DE ATENCaO PROGRAMaTICA</t>
  </si>
  <si>
    <t>Hospital do olho julio candido de brito</t>
  </si>
  <si>
    <t>Dr laureano</t>
  </si>
  <si>
    <t xml:space="preserve">Oftalmologico
</t>
  </si>
  <si>
    <t>USF rodilandia</t>
  </si>
  <si>
    <t>Rodilandia</t>
  </si>
  <si>
    <t>CMS Iraci Lopes</t>
  </si>
  <si>
    <t>Vigario Geral</t>
  </si>
  <si>
    <t>HOSPITAL Municipal maternidade Carmela Dutra</t>
  </si>
  <si>
    <t>INTO</t>
  </si>
  <si>
    <t>HOSPITAL ESTADUAL DE TRAUMATOLOGIA VEREADOR MELCHIADES CALAZANS</t>
  </si>
  <si>
    <t>Nilópolis</t>
  </si>
  <si>
    <t>CABUIS</t>
  </si>
  <si>
    <t>Superintendencia de Vigilancia em Saude</t>
  </si>
  <si>
    <t>UPA MARÉ</t>
  </si>
  <si>
    <t>BONSUCESSO</t>
  </si>
  <si>
    <t>HOSPITAL MUNICIPAL DR. ADALBERTO DA GRAÇA</t>
  </si>
  <si>
    <t>Abraço Campeão</t>
  </si>
  <si>
    <t>Outra Instituição</t>
  </si>
  <si>
    <t>Ação Social do Grajaú</t>
  </si>
  <si>
    <t>Grajau</t>
  </si>
  <si>
    <t>Hospital Samaritano</t>
  </si>
  <si>
    <t>Hospital Samaritano - Botafogo</t>
  </si>
  <si>
    <t>REferência - ALTA COMPLEXIDADE</t>
  </si>
  <si>
    <t>IPPMG - UFRJ</t>
  </si>
  <si>
    <t>Jacarezinho contra o Coronavírus</t>
  </si>
  <si>
    <t>Jacarezinho</t>
  </si>
  <si>
    <t>LAR DE IDOSOS - FROIEN FARAIN</t>
  </si>
  <si>
    <t>Maternidade Leila Diniz</t>
  </si>
  <si>
    <t>OAF - FUNERÁRIA</t>
  </si>
  <si>
    <t>Projeto Primeira Chance</t>
  </si>
  <si>
    <t>Pita</t>
  </si>
  <si>
    <t>UFRJ CCS - TESTAGEM</t>
  </si>
  <si>
    <t>UPA Bangu 24H</t>
  </si>
  <si>
    <t>UPA Complexo do Alemão</t>
  </si>
  <si>
    <t>UPA Rocinha</t>
  </si>
  <si>
    <t>EDUCAP - Complexo do Alemão</t>
  </si>
  <si>
    <t>CMS Família do Jacarezinho</t>
  </si>
  <si>
    <t>Dra. Renata (Minas Gerais)</t>
  </si>
  <si>
    <t>Minas Gerais</t>
  </si>
  <si>
    <t>Hospital Central da PMERJ</t>
  </si>
  <si>
    <t>Divisão de Engenharia - HUCCF</t>
  </si>
  <si>
    <t>Hospital Federal Bonsucesso</t>
  </si>
  <si>
    <t>Clinica da Familia Victor Valla</t>
  </si>
  <si>
    <t>Maternidade Municipal Drº Mario Niajar (Alcântara)</t>
  </si>
  <si>
    <t>UBSF Herbet de Souza</t>
  </si>
  <si>
    <t>Clínica da Família Fernando Antônio Braga Lopes</t>
  </si>
  <si>
    <t>Hospital Municipal da Serra e Posto de Saúde Sana</t>
  </si>
  <si>
    <t>Arrial do Sana</t>
  </si>
  <si>
    <t>Hospital Federal do Andaraí</t>
  </si>
  <si>
    <t>Andaraí</t>
  </si>
  <si>
    <t>USF Mangueirinha</t>
  </si>
  <si>
    <t>USF Barro Branco</t>
  </si>
  <si>
    <t>Barro Branco</t>
  </si>
  <si>
    <t>USF Cristovao Colombo</t>
  </si>
  <si>
    <t>USF Jardim Anhanga</t>
  </si>
  <si>
    <t>Jardim Anhanga</t>
  </si>
  <si>
    <t>USF Taquara</t>
  </si>
  <si>
    <t>USF Jardim Olimpo</t>
  </si>
  <si>
    <t>Jardim Olimpo</t>
  </si>
  <si>
    <t>USF Santo Antonio da Serra</t>
  </si>
  <si>
    <t>Santo Antonio da Serra</t>
  </si>
  <si>
    <t>USF Santa Rosa</t>
  </si>
  <si>
    <t>UBS Jose de Freitas</t>
  </si>
  <si>
    <t>Vila Operaria</t>
  </si>
  <si>
    <t>CENTRO DE APOIO A SAUDE DA FAMILIA VEREADOR MANOEL BARCELOS</t>
  </si>
  <si>
    <t>Fundação Oswaldo Cruz</t>
  </si>
  <si>
    <t>Hospital Geral de Nova Iguaçu</t>
  </si>
  <si>
    <t>Posse</t>
  </si>
  <si>
    <t>CMS OSWALDO CRUZ</t>
  </si>
  <si>
    <t>Delegacia de Policia</t>
  </si>
  <si>
    <t>Campinho</t>
  </si>
  <si>
    <t xml:space="preserve">Delegacia de Polícia 
</t>
  </si>
  <si>
    <t>Clínica Veterinaria Fliper</t>
  </si>
  <si>
    <t xml:space="preserve">Clínica Veterinária
</t>
  </si>
  <si>
    <t>Clinica de Nefrologia e Dialise Bragança Paulista - Santa Barbara D´Oeste- SP</t>
  </si>
  <si>
    <t>Santa Barbara D´ Oeste</t>
  </si>
  <si>
    <t>Vila Pires</t>
  </si>
  <si>
    <t xml:space="preserve">Hemodiálise 
</t>
  </si>
  <si>
    <t>Upa Austin</t>
  </si>
  <si>
    <t>Austin</t>
  </si>
  <si>
    <t>USB Jose Camilo</t>
  </si>
  <si>
    <t>Hospital Municipal Evandro Freire</t>
  </si>
  <si>
    <t>Portuguesa</t>
  </si>
  <si>
    <t>UPA 24h Botafogo</t>
  </si>
  <si>
    <t>Hemonucleo Costa Verde</t>
  </si>
  <si>
    <t>REGIAO CENTRO SUL</t>
  </si>
  <si>
    <t>Angra Dos Reis</t>
  </si>
  <si>
    <t>Japuiba</t>
  </si>
  <si>
    <t>Serviço de hemoterapia</t>
  </si>
  <si>
    <t>Upa Mesquita</t>
  </si>
  <si>
    <t>Edson Passos</t>
  </si>
  <si>
    <t>Hospital Universitario Gaffree e Guinle e</t>
  </si>
  <si>
    <t>Hospital de Referência - ALTA COMPLEXIDADE</t>
  </si>
  <si>
    <t>UBS America do Sul</t>
  </si>
  <si>
    <t>Sapucaia do Sul - RS</t>
  </si>
  <si>
    <t>Pacheco</t>
  </si>
  <si>
    <t>Unidade básica de saúde - BAIXA COMPLEXIDADE</t>
  </si>
  <si>
    <t>Rio de janeiro</t>
  </si>
  <si>
    <t>Clinica da Familia Maria Cristina</t>
  </si>
  <si>
    <t>Ramos</t>
  </si>
  <si>
    <t>Clinica da Familia Kelly Cristina de Sá Lacerda e Silva</t>
  </si>
  <si>
    <t>Senador Camará</t>
  </si>
  <si>
    <t>Autonoma</t>
  </si>
  <si>
    <t>Sao Carlos, SP</t>
  </si>
  <si>
    <t>Jardim Paraiso</t>
  </si>
  <si>
    <t>UBS Meudom</t>
  </si>
  <si>
    <t>Teresopolis</t>
  </si>
  <si>
    <t>Meudom</t>
  </si>
  <si>
    <t>Clínica da Família Km 32</t>
  </si>
  <si>
    <t>NOVA IGUAÇU RJ</t>
  </si>
  <si>
    <t>SÃO FRANCISCO DE PAULA</t>
  </si>
  <si>
    <t>MTA SERVIÇOS MÉDICOS LTDA</t>
  </si>
  <si>
    <t>IPANEMA,LEBLON,BARRA E TIJUCA.</t>
  </si>
  <si>
    <t>Maternidade Mario Niajar</t>
  </si>
  <si>
    <t>Sao Goncalo</t>
  </si>
  <si>
    <t>Hospital de Referencia - ALTA COMPLEXIDADE</t>
  </si>
  <si>
    <t>USF Jardim Leal DC</t>
  </si>
  <si>
    <t>Jardim Leal</t>
  </si>
  <si>
    <t>Hospital municipal Darcy sarmanha Vargas filho</t>
  </si>
  <si>
    <t>Sao goncalo</t>
  </si>
  <si>
    <t>Ze garoto</t>
  </si>
  <si>
    <t>HOSPITAL MUNICIPAL ALVARO RAMOS</t>
  </si>
  <si>
    <t>JACAREPAGUA</t>
  </si>
  <si>
    <t>SECRETARIA SE ESTADO DE ADMINISTRACAO PENITENCIARIA</t>
  </si>
  <si>
    <t>CEO Centro de Especialidades Odontologicas</t>
  </si>
  <si>
    <t>Pq Lafayete</t>
  </si>
  <si>
    <t>Coletivo Nós</t>
  </si>
  <si>
    <t>Hospital Universitario Pedro Ernesto- Gastro</t>
  </si>
  <si>
    <t>Enseg</t>
  </si>
  <si>
    <t>Guadalupe</t>
  </si>
  <si>
    <t>Rodovia</t>
  </si>
  <si>
    <t>Clínicas da Família - Superintendência</t>
  </si>
  <si>
    <t>Fiocruz - Laboratório</t>
  </si>
  <si>
    <t>Unidade de Pesquisa</t>
  </si>
  <si>
    <t>Hospital Estadual Prefeito Jõao Batista Caffaro</t>
  </si>
  <si>
    <t>Itaboraí</t>
  </si>
  <si>
    <t>Manilha</t>
  </si>
  <si>
    <t xml:space="preserve">Hospital Municipal Álvaro Ramos </t>
  </si>
  <si>
    <t xml:space="preserve">Hospital Municipal Barata Ribeiro </t>
  </si>
  <si>
    <t xml:space="preserve">Hospital Municipal Desembargador Leal Jr. </t>
  </si>
  <si>
    <t>Nancilândia</t>
  </si>
  <si>
    <t>INCA/CPQ</t>
  </si>
  <si>
    <t xml:space="preserve">Clinica da Família Victor Valla </t>
  </si>
  <si>
    <t>Clinica da Familia - Centro de Testagem COVID-19</t>
  </si>
  <si>
    <t>Santa Terezinha</t>
  </si>
  <si>
    <t>DASA - SÃO PAULO</t>
  </si>
  <si>
    <t>Central da Polícia Civil</t>
  </si>
  <si>
    <t>(DIRECIONAMENO DA PUC )</t>
  </si>
  <si>
    <t>Gávea</t>
  </si>
  <si>
    <t>Frente CDD</t>
  </si>
  <si>
    <t>Cidade de Deus</t>
  </si>
  <si>
    <t>CMS Maria Cristina Roma</t>
  </si>
  <si>
    <t>UPA da João XXII</t>
  </si>
  <si>
    <t>Hospital da Força Aérea do Galeão</t>
  </si>
  <si>
    <t>Médico Sem Fronteira - Rio de Janeiro</t>
  </si>
  <si>
    <t>Redes Maré</t>
  </si>
  <si>
    <t>Maré</t>
  </si>
  <si>
    <t>DCE UFRJ</t>
  </si>
  <si>
    <t>Hospital Municipal Alcides Carneiro</t>
  </si>
  <si>
    <t>Côrreas</t>
  </si>
  <si>
    <t>Dr. Alexandre</t>
  </si>
  <si>
    <t>Movimento “Profissionais da Saúde eu me importo”</t>
  </si>
  <si>
    <t xml:space="preserve">CONSELHO TUTELAR </t>
  </si>
  <si>
    <t>Secretaria Municipal de Saúde de Teresópolis</t>
  </si>
  <si>
    <t>Teresópolis</t>
  </si>
  <si>
    <t>UPA Parque Lafaiete</t>
  </si>
  <si>
    <t>Parque Lafaiete</t>
  </si>
  <si>
    <t>Unidade de emergência de figueira</t>
  </si>
  <si>
    <t>Figueira</t>
  </si>
  <si>
    <t>CMS CATIRI</t>
  </si>
  <si>
    <t>CMS Waldir Franco</t>
  </si>
  <si>
    <t>CMS Dr Eithel Pinheiro de Oliveira Lima</t>
  </si>
  <si>
    <t xml:space="preserve">Clinica Brasil sem Alergia </t>
  </si>
  <si>
    <t>Clínica da Família Maestro Celestino</t>
  </si>
  <si>
    <t>Clinica da Familia Rosino Baccarini</t>
  </si>
  <si>
    <t>Clínica da Família Olimia Esteves</t>
  </si>
  <si>
    <t>Clinica da Familia Wilson Mello Santos</t>
  </si>
  <si>
    <t>Vila Kennedy</t>
  </si>
  <si>
    <t>Clinica da Família Kelly Cristina de Sá Lacerda</t>
  </si>
  <si>
    <t>Clínica da Família Cypriano das Chagas Medeiros</t>
  </si>
  <si>
    <t>Hospital Sanatório Penal</t>
  </si>
  <si>
    <t>Complexo de Gericinó</t>
  </si>
  <si>
    <t>Hospital de Campanha do Rio Centro</t>
  </si>
  <si>
    <t>Rio Centro</t>
  </si>
  <si>
    <t>UPA Penha</t>
  </si>
  <si>
    <t xml:space="preserve">UPA Campo Grande I </t>
  </si>
  <si>
    <t>UPA São Gonçalo II</t>
  </si>
  <si>
    <t>Jardim Catarina</t>
  </si>
  <si>
    <t>UPA Itaboraí</t>
  </si>
  <si>
    <t>Clínica da Família Estácio de Sá</t>
  </si>
  <si>
    <t>Estácio</t>
  </si>
  <si>
    <t>UPA Engenho Novo</t>
  </si>
  <si>
    <t>Engenho Novo</t>
  </si>
  <si>
    <t>Distribuidores da Alegria CDD</t>
  </si>
  <si>
    <t>Abrigo Dr Sérgio Fernandes</t>
  </si>
  <si>
    <t>Movimento Favela Vertical</t>
  </si>
  <si>
    <t>Gardênia Azul</t>
  </si>
  <si>
    <t>Comunidade Pentecostal Renascer (Movimento Voluntário)</t>
  </si>
  <si>
    <t>Complexo do Alemão</t>
  </si>
  <si>
    <t>Associação Médicos da Floresta</t>
  </si>
  <si>
    <t xml:space="preserve">OUTRO ESTADO </t>
  </si>
  <si>
    <t>Roraima</t>
  </si>
  <si>
    <t>Instituto de Macromoléculas Professora Eloisa Mano</t>
  </si>
  <si>
    <t>Hospital Municipal Antenor Abreu</t>
  </si>
  <si>
    <t>Maranhão</t>
  </si>
  <si>
    <t>Pinheiro</t>
  </si>
  <si>
    <t>Hospital Materno Infantil</t>
  </si>
  <si>
    <t xml:space="preserve">Maranhão </t>
  </si>
  <si>
    <t>Hospital Estadual Dr. Jackson Lago</t>
  </si>
  <si>
    <t>Associação de Caridade São João Nepomuceno - Hospital São João</t>
  </si>
  <si>
    <t>OUTRO ESTADO</t>
  </si>
  <si>
    <t>São João Nepomuceno</t>
  </si>
  <si>
    <t xml:space="preserve">Secretaria de Saúde do Ceará </t>
  </si>
  <si>
    <t>Ceará</t>
  </si>
  <si>
    <t>Entrega nº</t>
  </si>
  <si>
    <t>Unidade de Saúde</t>
  </si>
  <si>
    <t>CNPJ</t>
  </si>
  <si>
    <t>Telefone
da Unidade</t>
  </si>
  <si>
    <t># protetores</t>
  </si>
  <si>
    <t># máscaras</t>
  </si>
  <si>
    <t># suportes</t>
  </si>
  <si>
    <t># óculos</t>
  </si>
  <si>
    <t>Álcool 
Gel(L)</t>
  </si>
  <si>
    <t>Álcool 
Líquido(L)</t>
  </si>
  <si>
    <t>Região</t>
  </si>
  <si>
    <t>Município</t>
  </si>
  <si>
    <t>Endereço</t>
  </si>
  <si>
    <t>Nível</t>
  </si>
  <si>
    <t>Outras Necessidades</t>
  </si>
  <si>
    <t>Observações</t>
  </si>
  <si>
    <t>Nº Leitos UTI</t>
  </si>
  <si>
    <t>Nº Leitos de
ISOLAMENTO</t>
  </si>
  <si>
    <t>Nº casos COVID-19</t>
  </si>
  <si>
    <t>Nome
 Responsável</t>
  </si>
  <si>
    <t>Telefone 
Responsável</t>
  </si>
  <si>
    <t>Telefone
Chefe</t>
  </si>
  <si>
    <t>Email
 Responsável</t>
  </si>
  <si>
    <t>Cargo 
Ocupado</t>
  </si>
  <si>
    <t>CPF</t>
  </si>
  <si>
    <t>Registro
Profissional</t>
  </si>
  <si>
    <t>Telefone do 
operador</t>
  </si>
  <si>
    <t>Operador</t>
  </si>
  <si>
    <t># protetores 
entregues</t>
  </si>
  <si>
    <t># máscaras
entregues</t>
  </si>
  <si>
    <t># suportes
entregues</t>
  </si>
  <si>
    <t># óculos 
entregues</t>
  </si>
  <si>
    <t>Álcool Gel
 Entregue(L)</t>
  </si>
  <si>
    <t>Álcool Líq.
Entregue(L)</t>
  </si>
  <si>
    <t>Estágio</t>
  </si>
  <si>
    <t>PUC</t>
  </si>
  <si>
    <t>Entregue</t>
  </si>
  <si>
    <t>Hospital Municipal de Magé</t>
  </si>
  <si>
    <t>Publico</t>
  </si>
  <si>
    <t>14/04/2020</t>
  </si>
  <si>
    <t>FACESHIELD , MÁSCARAS.</t>
  </si>
  <si>
    <t>Capote impermeável</t>
  </si>
  <si>
    <t>15/04/2020</t>
  </si>
  <si>
    <t>CENTRO DE SAÚDE ESCOLA GERMANO SINVAL FARIA</t>
  </si>
  <si>
    <t>MÁSCARA E AVENTAL</t>
  </si>
  <si>
    <t>Máscaras, Óculos e capotes.</t>
  </si>
  <si>
    <t>Temos mascaras. Faltam luvas.</t>
  </si>
  <si>
    <t>Pendente</t>
  </si>
  <si>
    <t>16/04/2020</t>
  </si>
  <si>
    <t>Máscaras</t>
  </si>
  <si>
    <t>Óculos</t>
  </si>
  <si>
    <t>Máscaras N95, jaleco de proteção óculos de proteção</t>
  </si>
  <si>
    <t>Cancelado</t>
  </si>
  <si>
    <t>avental descartável, máscaras N95</t>
  </si>
  <si>
    <t>17/04/2020</t>
  </si>
  <si>
    <t>No momento estamos necessitando que equipamento de proteção individual</t>
  </si>
  <si>
    <t>Máscara cirúrgica</t>
  </si>
  <si>
    <t>Máscara, álcool gel, protetor facial e Macacão impermeável</t>
  </si>
  <si>
    <t>ho TRAT EM DEPEND QUIMICA ROBERTO MEDEIROS</t>
  </si>
  <si>
    <t>Álcool gel, termômetro comum, Máscara N95, Álcool à 70%. Capote de manga longa descartável, touca descartável, aparelho de pressão arterial e aparelho de HGT(haemogluco)</t>
  </si>
  <si>
    <t>Máscara e Capote Cirúrgico</t>
  </si>
  <si>
    <t>mascaras pff pff2 capotes toucas proterores de sapatos</t>
  </si>
  <si>
    <t>Touca; jalecos, luvas, máscara N98 ou PFF2, máscara cirúrgica, óculos de proteção</t>
  </si>
  <si>
    <t>Touca, mascara cirurgica, touca e capote</t>
  </si>
  <si>
    <t>Máscaras cirúrgicas</t>
  </si>
  <si>
    <t>Óculos de proteção, Máscara N 95, Macacão de proteção, Oximetro, Fluxômetro</t>
  </si>
  <si>
    <t>Mascaras cirúrgica, máscaras n95, oxímetros, óculos</t>
  </si>
  <si>
    <t>18/04/2020</t>
  </si>
  <si>
    <t>Máscara cirúrgica, capote impermeável, luvas, máscaras n95, toucas.</t>
  </si>
  <si>
    <t>Rua Professor Rodolpho Paulo Rocco, 325
Cidade Universitária
Rio de Janeiro - RJ
CEP 21.941-617 Brasil</t>
  </si>
  <si>
    <t xml:space="preserve">Não temos EPIs para bloquear os aerossóis, principalmente os Protetores Faciais que são importantes no atendimento clínico do dentistas e alunos da Faculdade sempre muito próximo dos pacientes </t>
  </si>
  <si>
    <t>Avenida Automóvel Club km 56</t>
  </si>
  <si>
    <t>02186249723</t>
  </si>
  <si>
    <t xml:space="preserve">Rua da Mina S/N - Duque de Caxias - Centenário/ Mangueirinha - CEP: 25070-360, 25030-365 ou 25030-370 </t>
  </si>
  <si>
    <t>Estamos atendendo aos pacientes que pertencem a alguns programas, tais pacientes precisam realizar exames e ter suas consultas mantidas independentemente da Pandemia. Programas como Pré Natal e Hiperdia, que em dua maioria são gestantes imunodeprimidas, Hipertensos e diabéticos. 
Como não estamos recebendo material adequado e muitos trabalham de frente em outras Unidades de Saúde de atenção Terciária ( Contato direto com Com Pacientes com COVID-19), podemos passar a ser vetores ao invés de cuidadores.</t>
  </si>
  <si>
    <t>09468414701</t>
  </si>
  <si>
    <t>Rua Castro Alves S/N</t>
  </si>
  <si>
    <t>Avenida Pistóia s/n</t>
  </si>
  <si>
    <t>08770873771</t>
  </si>
  <si>
    <t>Rua Jundiaí S/N</t>
  </si>
  <si>
    <t>01284379795</t>
  </si>
  <si>
    <t>Rua 04 s/n</t>
  </si>
  <si>
    <t>Rua Francisco Alves s/n</t>
  </si>
  <si>
    <t>Rua Albino Imparato, 675</t>
  </si>
  <si>
    <t>08159712731</t>
  </si>
  <si>
    <t>Rua Entre Rios s/n</t>
  </si>
  <si>
    <t>Rua da Assembléia s/n</t>
  </si>
  <si>
    <t>rua Sacadura Cabral 178</t>
  </si>
  <si>
    <t>nenhuma</t>
  </si>
  <si>
    <t>03124865707</t>
  </si>
  <si>
    <t>Rua moncorvo filho 90 - centro -rj</t>
  </si>
  <si>
    <t>Não</t>
  </si>
  <si>
    <t>AVENIDA CESÁRIO DE MELO, 5580 CAMPO GRANDE, RJ</t>
  </si>
  <si>
    <t>Somos Unidade Básica de Saúde, porém possuímos uma equipe de resposta rápida que recebe todos os usuários para atendimento, orientações, observação e, se necessário, remoção.</t>
  </si>
  <si>
    <t>01447933770</t>
  </si>
  <si>
    <t>Rua venceslau braz s/ n°  bairro.imbarie -duque de caxias</t>
  </si>
  <si>
    <t>08280597727</t>
  </si>
  <si>
    <t>Rua Alcino Guanabara s/n - Parque Felicidade  - Vila Operária  - Quadra do Cruzeiro - Duque de Caxias  - RJ</t>
  </si>
  <si>
    <t>O Posto Herdy é uma das únicas unidades de saúde exclusivamente ODONTOLÓGICA com 4 cadeiras odontológicas, onde se faz todos os procedimentos clínicos de atenção básica na odontologia. Uma demanda de 80 pacientes por dia, de segunda a sexta feira, no turno manhã e tarde. O entorno temos muitos casos de COVID19, alto índice de óbitos, com contaminação em número alto na comunidade.</t>
  </si>
  <si>
    <t>Avenida venancia- terminal rodoviário xerem duque de caxias</t>
  </si>
  <si>
    <t>Estamos atendendo apenas emergência e urgencias odontologicas</t>
  </si>
  <si>
    <t>-</t>
  </si>
  <si>
    <t>ESTRADA DO PACHECO S/N - PACHECO/SG</t>
  </si>
  <si>
    <t>NÃO</t>
  </si>
  <si>
    <t>09110698795</t>
  </si>
  <si>
    <t>Avenida Lobo Junior, 83 Penha Circular</t>
  </si>
  <si>
    <t>Unidade localizada em área vulnerável  dentro da Comunidade Kelson/Marcilio Dias</t>
  </si>
  <si>
    <t>04352624675</t>
  </si>
  <si>
    <t>Avenida Pelotas s/n</t>
  </si>
  <si>
    <t>Avenida Brasil s/n</t>
  </si>
  <si>
    <t>Avenida Darcy Vargas s/n</t>
  </si>
  <si>
    <t>Rua Nossa Senhora Aparecida s/n</t>
  </si>
  <si>
    <t>02629563731</t>
  </si>
  <si>
    <t>Rua Agostinho de Oliveira, 615</t>
  </si>
  <si>
    <t>09741084722</t>
  </si>
  <si>
    <t>Rua Magé, 326 - Penha Circular</t>
  </si>
  <si>
    <t>O Hospital Mário Kroeff é o segundo hospital referência no tratamento de câncer do RJ, não estamos tratando diretamente o COVID-19 pois podemos colocar todos os nossos pacientes internados e em tratamento quimioterápico em risco, porém precisamos muito de equipamentos de segurança para não deixar o vírus adentrar em nossas enfermarias e UTI. Contamos muito com a ajuda de vocês que tanto tem feito bem para a população do Rio de Janeiro. Me coloco a disposição para qualquer esclarecimento que se fizer necessário sobre nosso Hospital.</t>
  </si>
  <si>
    <t>Rua João Raimundo Lote 72 Quadra 2</t>
  </si>
  <si>
    <t>Rua Edgard Werneck, s/n - Cidade de Deus, Rio de Janeiro - RJ, 22763-011</t>
  </si>
  <si>
    <t>08383665709</t>
  </si>
  <si>
    <t>Rua Maria Andrade, 1</t>
  </si>
  <si>
    <t>03747834701</t>
  </si>
  <si>
    <t>Rua Seis, s/n</t>
  </si>
  <si>
    <t>Rua Evaristo de Moraes, 187</t>
  </si>
  <si>
    <t>Rua Vanisia, 01</t>
  </si>
  <si>
    <t>Rua João Ribeiro, s/n</t>
  </si>
  <si>
    <t>Avenida Anhangá s/n</t>
  </si>
  <si>
    <t>Av lobo Júnior 2293 Penha circular</t>
  </si>
  <si>
    <t>Rua Rodrigues Alves, 73 São Pedro da Serra, Nova Friburgo- RJ CEP 28616-155</t>
  </si>
  <si>
    <t>Nenhum</t>
  </si>
  <si>
    <t>AVENIDA HERMINIO AURELIO SAMPAIO N. 105 CEP 23590050 - SANTA CRUZ (ANTARES) RJ</t>
  </si>
  <si>
    <t>Rua Moncorvo Filho 90</t>
  </si>
  <si>
    <t xml:space="preserve">Capote descartável </t>
  </si>
  <si>
    <t>Rua Juno s/n lote 1, Valdariosa, Queimados, CEP 26315609</t>
  </si>
  <si>
    <t>Capote</t>
  </si>
  <si>
    <t>Rua da Mina S/N</t>
  </si>
  <si>
    <t xml:space="preserve">Capotes descartáveis, toucas descartáveis </t>
  </si>
  <si>
    <t>Rua Rodolpho Paulo Rocco, 255 Cidade Universitária</t>
  </si>
  <si>
    <t>Avenida Herminio Sampaio n.105 santa cruz</t>
  </si>
  <si>
    <t xml:space="preserve">Existe a possibilidade da doação de ao menos um bougie para Entubação? </t>
  </si>
  <si>
    <t>Av. nossa senhora da Penha, 42</t>
  </si>
  <si>
    <t>rua ana barbosa 21</t>
  </si>
  <si>
    <t>av santa cruz sem numero- realengo ( prox do guanabara de realengo)</t>
  </si>
  <si>
    <t>alcool a 70% seria bom ( temos, mas poderemos precisar de mais)</t>
  </si>
  <si>
    <t xml:space="preserve">Rua André Rocha n 20 Taquara, Jacarepaguá </t>
  </si>
  <si>
    <t>Circuito de ventilador Oxylog 3000</t>
  </si>
  <si>
    <t>Rua  Antônio Parreiras  67</t>
  </si>
  <si>
    <t xml:space="preserve">Avental  impermeável </t>
  </si>
  <si>
    <t>Rua Afonso Cavalcante 455 - sala 809 - Cidade nova</t>
  </si>
  <si>
    <t>capote</t>
  </si>
  <si>
    <t>Av. Jonas Leal, 17 - Lajes, Paracambi - RJ, 26600-000</t>
  </si>
  <si>
    <t>Avental impermeável gramatura 40</t>
  </si>
  <si>
    <t>5/18/2020</t>
  </si>
  <si>
    <t>136.148.207-93</t>
  </si>
  <si>
    <t>AV DOM HELDER CAMARA 1390 FUNDOS, MANGUINHOS</t>
  </si>
  <si>
    <t>avental desacertava e impermeável</t>
  </si>
  <si>
    <t>Rua da Mina, s/n</t>
  </si>
  <si>
    <t>Avenida Pedro Alvares Cabral Quadra 1 Lote 15</t>
  </si>
  <si>
    <t>Rua Zumbi dos Palmares, s/n</t>
  </si>
  <si>
    <t>Rua Pacoty, 20</t>
  </si>
  <si>
    <t>Estrada Cachoeira das Dores s/n</t>
  </si>
  <si>
    <t>Rua Polineia, 317</t>
  </si>
  <si>
    <t>Rua Panthio, 9</t>
  </si>
  <si>
    <t>Rodovia Washington Luiz, Km 96,5</t>
  </si>
  <si>
    <t>Praça José de Jesus s/ número</t>
  </si>
  <si>
    <t xml:space="preserve">Albino Imparato, 675 - Parque Felicidade </t>
  </si>
  <si>
    <t>Máscaras/capotes</t>
  </si>
  <si>
    <t>Rua Joaquim Gomes s/n</t>
  </si>
  <si>
    <t>Óculos, n95, máscara cirurgica,face shield e álcool</t>
  </si>
  <si>
    <t>Rua Sacadura Cabral,  bairro saude , RJ</t>
  </si>
  <si>
    <t>Avenida Cipriano Barata s/nº Anchieta- RJ</t>
  </si>
  <si>
    <t>todos os produtos descritos</t>
  </si>
  <si>
    <t>Rua Prof. Rodolpho Paulo Rocco 325 (ao lado do HUCFF)</t>
  </si>
  <si>
    <t xml:space="preserve">Usamos avental descartável para o atendimento e nos falta mesmo o Face Shield e os óculos. </t>
  </si>
  <si>
    <t xml:space="preserve">Rua governador Valadares 22, Sao Cristóvão .Cabo frio. </t>
  </si>
  <si>
    <t>Capotes</t>
  </si>
  <si>
    <t>Rua General Severiano, 91</t>
  </si>
  <si>
    <t xml:space="preserve">Capote impermeável e prope </t>
  </si>
  <si>
    <t>078.928.307-74</t>
  </si>
  <si>
    <t>Fundacao Oswaldo Cruz</t>
  </si>
  <si>
    <t>Rua Leopoldo Bulhões, 1480</t>
  </si>
  <si>
    <t>No momento somente estes.</t>
  </si>
  <si>
    <t>014.216.237-06</t>
  </si>
  <si>
    <t>praça da cruz vermelha, 23 - centro</t>
  </si>
  <si>
    <t>021.404.267-70</t>
  </si>
  <si>
    <t>Rua Japoranga 1700, Japuíba, Angra dos Reis, RJ</t>
  </si>
  <si>
    <t>071.644.707-07</t>
  </si>
  <si>
    <t>rua arquias cordeiro 842</t>
  </si>
  <si>
    <t>835.324.397-00</t>
  </si>
  <si>
    <t>ESTRADA DO GALEÃO Nº2920 - ILHA DO GOVERNADOR</t>
  </si>
  <si>
    <t>CAPOTE IPERMEÁVEL / MASCARA CIRÚRGICA/ ÓCULOS DE SOBREPOR ÓCULOS DE GRAU</t>
  </si>
  <si>
    <t>120.656.287-07</t>
  </si>
  <si>
    <t>Rua Antônio Parreiras 67/69</t>
  </si>
  <si>
    <t>Avental impermeável</t>
  </si>
  <si>
    <t>012.200.667-45</t>
  </si>
  <si>
    <t>Rua coronel monteiro de Barros, 783, Austin, Nova Iguaçu</t>
  </si>
  <si>
    <t>Avental cirurgico impermeavel</t>
  </si>
  <si>
    <t>081.592.407-08</t>
  </si>
  <si>
    <t>Rua Bernardo Vasconcelos 755</t>
  </si>
  <si>
    <t>Alcool 70</t>
  </si>
  <si>
    <t>388.077.777-20iretora</t>
  </si>
  <si>
    <t>Av Henrique Duque Estrada Mayer, 953 - Posse, Nova Iguaçu - RJ, 26041-061</t>
  </si>
  <si>
    <t>Macacão e Alcool 70</t>
  </si>
  <si>
    <t>097.104.027-30</t>
  </si>
  <si>
    <t>rua jose custodio soares, 55, centro, cep 24900735, maricá, rj</t>
  </si>
  <si>
    <t>avental descartavel com manga, termomentro digital</t>
  </si>
  <si>
    <t>100.147.517-80</t>
  </si>
  <si>
    <t>Rua Sacadura Cabral, 178</t>
  </si>
  <si>
    <t>108.072.167-39</t>
  </si>
  <si>
    <t>Avenida Presidente Costa E Silva S/N</t>
  </si>
  <si>
    <t>077.152.951-16</t>
  </si>
  <si>
    <t>RUA BERNARDO, S/N - ENGENHO DE DENTRO</t>
  </si>
  <si>
    <t>MÁSCARA DESCARTÁVEL, TOUCA DESCARTÁVEL E CATETER TIPO ÓCULOS ADULTO</t>
  </si>
  <si>
    <t>056.288.867-50</t>
  </si>
  <si>
    <t>Rua Presidente Kennedy, 207</t>
  </si>
  <si>
    <t>Hipoclorito de Sódio a 2%</t>
  </si>
  <si>
    <t>116.658.927-73</t>
  </si>
  <si>
    <t>Rua São Clemente s/n Botafogo</t>
  </si>
  <si>
    <t>Epis</t>
  </si>
  <si>
    <t>111.109.227-36</t>
  </si>
  <si>
    <t>Estrada do Campinho, nº2899 - Campo Grande - Rio de Janeiro - RJ | CEP: 23070-220</t>
  </si>
  <si>
    <t>Apenas protetor facial para doar aos profissionais de saúde bucal.</t>
  </si>
  <si>
    <t>021.593.757-05</t>
  </si>
  <si>
    <t>Av Brasil, 4.880 - Bonsucesso - Rio de Janeiro</t>
  </si>
  <si>
    <t>AVENTAL IMPERMEÁVEL</t>
  </si>
  <si>
    <t>074.165.797-08</t>
  </si>
  <si>
    <t>Rua César Zama 185</t>
  </si>
  <si>
    <t>Capote impermeável, macacão impermeável</t>
  </si>
  <si>
    <t>337.608.958-24</t>
  </si>
  <si>
    <t>Avenida Henrique Valadares 151 Centro</t>
  </si>
  <si>
    <t>610.946.337-04</t>
  </si>
  <si>
    <t>Dom Jaime Camara 170  Bairro Santa Terezinha- Mesquita Rio de Janeiro</t>
  </si>
  <si>
    <t>Capote reforçado</t>
  </si>
  <si>
    <t>070.283.086-00</t>
  </si>
  <si>
    <t>Rua Antonio Mendes 02</t>
  </si>
  <si>
    <t>Álcool gel, avental</t>
  </si>
  <si>
    <t>915.395.527-72</t>
  </si>
  <si>
    <t>Rua João de Castro, 1250</t>
  </si>
  <si>
    <t>Termômetro digital de infravermelho para temperatura corporal.</t>
  </si>
  <si>
    <t>100.034.487-89</t>
  </si>
  <si>
    <t>5/20/2020</t>
  </si>
  <si>
    <t>080.870.417-63</t>
  </si>
  <si>
    <t>5/13/2020</t>
  </si>
  <si>
    <t>GRUPO</t>
  </si>
  <si>
    <t>QUANTOS HOSPITAIS</t>
  </si>
  <si>
    <t>CASOS</t>
  </si>
  <si>
    <t>LEITOS 
DE UTI</t>
  </si>
  <si>
    <t>LEITOS DE 
CAMPANHA</t>
  </si>
  <si>
    <t>ENTREGA</t>
  </si>
  <si>
    <t>TOTAL</t>
  </si>
  <si>
    <t>FACE SHIELDS</t>
  </si>
  <si>
    <t>MÁSCARAS N-95</t>
  </si>
  <si>
    <t>SUPORTE DE MÁSCAS N-95</t>
  </si>
  <si>
    <t>ÓCULOS DE PROTEÇÃO</t>
  </si>
  <si>
    <t>ÁLCOOL GEL</t>
  </si>
  <si>
    <t>ÁLCOOL LÍQUIDO</t>
  </si>
  <si>
    <t>DEMANDA ATUAL</t>
  </si>
  <si>
    <t>FALTAM</t>
  </si>
  <si>
    <t>TOTAL ESTADO</t>
  </si>
  <si>
    <t>MUNICÍPIO DO RIO DE JANEIRO</t>
  </si>
  <si>
    <t>ESTADO DO RIO DE JANEIRO</t>
  </si>
  <si>
    <t>REGIAO NOROESTE</t>
  </si>
  <si>
    <t># Entregas</t>
  </si>
  <si>
    <t xml:space="preserve">Maker nº </t>
  </si>
  <si>
    <t>Maker</t>
  </si>
  <si>
    <t>Telefone</t>
  </si>
  <si>
    <t>Nº de máquinas</t>
  </si>
  <si>
    <t>Modelo das máquinas</t>
  </si>
  <si>
    <t>Materiais - Impressão</t>
  </si>
  <si>
    <t>País</t>
  </si>
  <si>
    <t>Estado</t>
  </si>
  <si>
    <t>Cidade</t>
  </si>
  <si>
    <t>CEP</t>
  </si>
  <si>
    <t># Protetores</t>
  </si>
  <si>
    <t># Máscaras</t>
  </si>
  <si>
    <t># Suportes</t>
  </si>
  <si>
    <t># Óculos</t>
  </si>
  <si>
    <t>#  PLA</t>
  </si>
  <si>
    <t># ABS</t>
  </si>
  <si>
    <t># PETG</t>
  </si>
  <si>
    <t># ACETATO</t>
  </si>
  <si>
    <t>PLA</t>
  </si>
  <si>
    <t>Produção 12 máscaras por dia (1 impressora Prusa MK3S funcionando 24 horas)! Produção começou segunda 23 às 21:00</t>
  </si>
  <si>
    <t>Estou desenvolvendo outro modelo mais rápido enquanto espero a impressora imprimir</t>
  </si>
  <si>
    <t>ABS</t>
  </si>
  <si>
    <t>PLA, ABS, PETG</t>
  </si>
  <si>
    <t>Meu projeto não é o prusa. Fiz a partir de um stl que recebi de médicos aqui do rio. E preciso dos visores 30x30cm com 4 furos 0,5cm distantes 6,2cm entre eixos.</t>
  </si>
  <si>
    <t>PLA, ABS</t>
  </si>
  <si>
    <t>Estou iniciando a produção, mas pretendo fazer o quanto puder e meus filamentos permitirem.</t>
  </si>
  <si>
    <t>Ok</t>
  </si>
  <si>
    <t>abs</t>
  </si>
  <si>
    <t>Vamos iniciar a produção hoje, dia 26/03/2020, apartir do modelo desenvolvido pela UFRJ e parceiros.</t>
  </si>
  <si>
    <t>Estou imprimindo ainda, provavelmente na segunda terao mais de 10</t>
  </si>
  <si>
    <t>Não produzi nenhuma ainda. Gostaria de saber se ainda há necessidade de produção.</t>
  </si>
  <si>
    <t>Ender 3</t>
  </si>
  <si>
    <t>Creality</t>
  </si>
  <si>
    <t>PLA, PETG</t>
  </si>
  <si>
    <t>Prusa MK3S</t>
  </si>
  <si>
    <t>Sovol SV01</t>
  </si>
  <si>
    <t>Ender 3 Pro</t>
  </si>
  <si>
    <t>Cliever CL2 Pro, Flexprinter 2025, Prusa i3</t>
  </si>
  <si>
    <t>Somente podemos disponibilizar no momento os suportes, o visor em acetato ainda não conseguimos produzir.</t>
  </si>
  <si>
    <t>PRUSA MK3 E ENDER 3 PRO</t>
  </si>
  <si>
    <t>CR10s</t>
  </si>
  <si>
    <t>Obrigado pela oportunidade de ajudar:)</t>
  </si>
  <si>
    <t>Grabber i3</t>
  </si>
  <si>
    <t>PETG</t>
  </si>
  <si>
    <t>Tevo, ZoneStar, TronXY e Fabricação própria</t>
  </si>
  <si>
    <t>observFilamento 3 mm</t>
  </si>
  <si>
    <t>Reprap</t>
  </si>
  <si>
    <t xml:space="preserve">Filamento 3 mm
</t>
  </si>
  <si>
    <t xml:space="preserve">Ñ possuo impressora. Estou produzindo a partir de folhas de acetato e corte com estilete.mascaradeacetato@gmail.com
</t>
  </si>
  <si>
    <t>Cora A3 - GTMax</t>
  </si>
  <si>
    <t xml:space="preserve">atelierecul@gmail.com
</t>
  </si>
  <si>
    <t>Creality CR10 e Arrillery Evnovo Sidewinder X1</t>
  </si>
  <si>
    <t xml:space="preserve">Já era cadastradolucassaldanha@gmail.com
</t>
  </si>
  <si>
    <t xml:space="preserve">ABS, PLA, PET, Flexível </t>
  </si>
  <si>
    <t>Ultimaker 3</t>
  </si>
  <si>
    <t>PLA; ABS...</t>
  </si>
  <si>
    <t>Dlp - anycubic photon s / ezy3d</t>
  </si>
  <si>
    <t>Não tenho de filamento, mas se precisar imprimir peças para respirador, me disponibilizo</t>
  </si>
  <si>
    <t>Impressora 3D Gtmax Core A3v2 300mm X300mm X 300mm, Laser CO2, 1000mm X 800mm</t>
  </si>
  <si>
    <t>GTMax Core A3</t>
  </si>
  <si>
    <t>Graber i3</t>
  </si>
  <si>
    <t>Anet A8</t>
  </si>
  <si>
    <t>Pla</t>
  </si>
  <si>
    <t>Router CNC - Brawel - RME100.200</t>
  </si>
  <si>
    <t>01</t>
  </si>
  <si>
    <t xml:space="preserve">ZMorph VX </t>
  </si>
  <si>
    <t>Principalmente PLA</t>
  </si>
  <si>
    <t>Uma ender 5 e duas CRX (creality)</t>
  </si>
  <si>
    <t>Qualquer um, o que tenho de momento é PLA</t>
  </si>
  <si>
    <t>Creality CR 10</t>
  </si>
  <si>
    <t>Gtmax h5 300x300 mm</t>
  </si>
  <si>
    <t xml:space="preserve">ABS </t>
  </si>
  <si>
    <t>Prusa Mk3</t>
  </si>
  <si>
    <t>PLA/ABS/PETG</t>
  </si>
  <si>
    <t>Ender 3 Pró</t>
  </si>
  <si>
    <t>Sethi S3</t>
  </si>
  <si>
    <t>É uma makerbot replicator</t>
  </si>
  <si>
    <t>Eu não entendo muito, a máquina foi presente e nunca foi usada</t>
  </si>
  <si>
    <t>Creality Ender 3 Pro</t>
  </si>
  <si>
    <t>Gtmax A2</t>
  </si>
  <si>
    <t>PLA e ABS</t>
  </si>
  <si>
    <t xml:space="preserve">Tevo Tornado </t>
  </si>
  <si>
    <t>ABS, PLA</t>
  </si>
  <si>
    <t>Moonray</t>
  </si>
  <si>
    <t>Não é de filamento</t>
  </si>
  <si>
    <t>Snapmaker 3-in-1 1.0</t>
  </si>
  <si>
    <t>ABS e PLA (a impressora pode, a priori, usar a maioria dos tipos de filamentos disponíveis)</t>
  </si>
  <si>
    <t xml:space="preserve">2 Cetus 3D e 1Anet A8 </t>
  </si>
  <si>
    <t>Prusa i3</t>
  </si>
  <si>
    <t>ender 3</t>
  </si>
  <si>
    <t>Criality e GTMax</t>
  </si>
  <si>
    <t>3. ABS, PLA e PETG</t>
  </si>
  <si>
    <t>FlashForge Finder</t>
  </si>
  <si>
    <t>GTMax A2</t>
  </si>
  <si>
    <t>Reprap graber</t>
  </si>
  <si>
    <t>Petg preferencialmente, mas pla e abs também</t>
  </si>
  <si>
    <t>CR-10</t>
  </si>
  <si>
    <t>PLA ou ABS</t>
  </si>
  <si>
    <t>GT Max 3D H5</t>
  </si>
  <si>
    <t>ABS, Triton</t>
  </si>
  <si>
    <t>Anet a8</t>
  </si>
  <si>
    <t>PLA/ ABS</t>
  </si>
  <si>
    <t>Longer LK4 e TEVO Tarântula Pro</t>
  </si>
  <si>
    <t>PETG, ABS e PLA</t>
  </si>
  <si>
    <t>02</t>
  </si>
  <si>
    <t>01 Laser 40x60 50W e uma 3D Hobby mesa de 18x18cm</t>
  </si>
  <si>
    <t>02 Dimension 1200es e 1 Fortus 450</t>
  </si>
  <si>
    <t>ABS, ASA, Ultem 1010, Ultem 9085 e Nylon com fibra de carbono</t>
  </si>
  <si>
    <t>GTmax core A1 dual, Anycubic Chiron.</t>
  </si>
  <si>
    <t>ABS, PLA, PETG.</t>
  </si>
  <si>
    <t>creality ender 3</t>
  </si>
  <si>
    <t>PLA principalmente, ABS é mais difícil</t>
  </si>
  <si>
    <t>Corte Laser 500w Impressora 3D Prusa Anet A8</t>
  </si>
  <si>
    <t>ABS - PETG</t>
  </si>
  <si>
    <t>Creality Ender-3</t>
  </si>
  <si>
    <t>Voolt 3D</t>
  </si>
  <si>
    <t xml:space="preserve">Ultimaker 2, Ultimaker 2+ extended </t>
  </si>
  <si>
    <t xml:space="preserve">PLA e ABS </t>
  </si>
  <si>
    <t xml:space="preserve">gtmax </t>
  </si>
  <si>
    <t>pla / abs</t>
  </si>
  <si>
    <t>Flashforge Creator Pro</t>
  </si>
  <si>
    <t>PLA / ABS / PET-G</t>
  </si>
  <si>
    <t>GTMAX CORE A3</t>
  </si>
  <si>
    <t>Fortus 450 e Dimension 1200</t>
  </si>
  <si>
    <t>ABS, ASA, Ultem 1010, Ultem 9085, Nylon com fibra de carbono</t>
  </si>
  <si>
    <t>Sethi AiP A3</t>
  </si>
  <si>
    <t>ABS, PLA (já fiz) Flexível, PETG (não usei, mas a printer suporta)</t>
  </si>
  <si>
    <t>Stella 2 e Ender 3</t>
  </si>
  <si>
    <t>ABS e PLA</t>
  </si>
  <si>
    <t>Core x y com área de 200 x 200 x 200</t>
  </si>
  <si>
    <t>PLA  / ABS / PETG</t>
  </si>
  <si>
    <t>gaber e hipercube</t>
  </si>
  <si>
    <t>IMPRESSORA 3D GI3 VOOLT 3D  estrutura: MDF branco com extruso</t>
  </si>
  <si>
    <t>pla</t>
  </si>
  <si>
    <t>Prussa i3 mk3s</t>
  </si>
  <si>
    <t>petg</t>
  </si>
  <si>
    <t>Sethi aip a3</t>
  </si>
  <si>
    <t xml:space="preserve">isabellamurakami@gmail.com
</t>
  </si>
  <si>
    <t xml:space="preserve">Flash forge </t>
  </si>
  <si>
    <t xml:space="preserve">marcus.ffilipe@gmail.com
</t>
  </si>
  <si>
    <t>Felix Printer 3.0</t>
  </si>
  <si>
    <t xml:space="preserve">Estou em nome do Centro Nacional de Biologia Estrutural e Bioimagem - CENABIO/UFRJ
Já fiz entrega mas estou refazendo o cadastro.hcveiga1@gmail.com
</t>
  </si>
  <si>
    <t xml:space="preserve">ranggeel@gmail.com
</t>
  </si>
  <si>
    <t>Anycubic Mega S</t>
  </si>
  <si>
    <t xml:space="preserve">mafa@globo.com
</t>
  </si>
  <si>
    <t>Prusa I3 Mk3</t>
  </si>
  <si>
    <t xml:space="preserve">liousantos@gmail.com
</t>
  </si>
  <si>
    <t>Ultimaker 2, Artillery X1, Ender 3 Pro e Bean /Kudo 3D</t>
  </si>
  <si>
    <t>Gostaria de usar o PP, petg ou PLA. ABS me enviaram errado e pretendo devolver pra quem puder usar, tenho 4 rolos extras</t>
  </si>
  <si>
    <t>Coleta nº</t>
  </si>
  <si>
    <t>#Face Shields</t>
  </si>
  <si>
    <t>Material de reposição</t>
  </si>
  <si>
    <t># PLA</t>
  </si>
  <si>
    <t>Operador logístico</t>
  </si>
  <si>
    <t>Telefone do operador</t>
  </si>
  <si>
    <t>Feito</t>
  </si>
  <si>
    <t>PLA,PETG</t>
  </si>
  <si>
    <t>PLA,ABS</t>
  </si>
  <si>
    <t>ACETATO</t>
  </si>
  <si>
    <t>PLA,</t>
  </si>
  <si>
    <t>Outros</t>
  </si>
  <si>
    <t>Não preciso</t>
  </si>
  <si>
    <t xml:space="preserve">PLA, 2 máscaras de PETG </t>
  </si>
  <si>
    <t>ABS, PETG</t>
  </si>
  <si>
    <t>PETG, favor trazer 3 rolos de PETG</t>
  </si>
  <si>
    <t>PLA, Acetato</t>
  </si>
  <si>
    <t>PLA, Acetato, 2 acetatos que não vieram na ultima busca</t>
  </si>
  <si>
    <t>PLA, PETG, 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</si>
</sst>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&quot;/&quot;dd&quot;/&quot;yyyy"/>
    <numFmt numFmtId="165" formatCode="m/d/yyyy h:mm:ss"/>
    <numFmt numFmtId="166" formatCode="m/d/yyyy"/>
    <numFmt numFmtId="167" formatCode="hh:mm:ss"/>
    <numFmt numFmtId="168" formatCode="d/m/yyyy"/>
    <numFmt numFmtId="169" formatCode="h&quot;:&quot;mm&quot;:&quot;ss"/>
    <numFmt numFmtId="170" formatCode="dd&quot;/&quot;mm&quot;/&quot;yyyy"/>
    <numFmt numFmtId="171" formatCode="dd/mm/yyyy"/>
    <numFmt numFmtId="172" formatCode="M/d/yyyy"/>
  </numFmts>
  <fonts count="41">
    <font>
      <sz val="10.0"/>
      <color rgb="FF000000"/>
      <name val="Arial"/>
    </font>
    <font>
      <sz val="14.0"/>
    </font>
    <font>
      <sz val="14.0"/>
      <color rgb="FF000000"/>
      <name val="Arial"/>
    </font>
    <font>
      <b/>
      <sz val="10.0"/>
      <color rgb="FFFFFFFF"/>
      <name val="Arial"/>
    </font>
    <font>
      <sz val="11.0"/>
      <color rgb="FFFFFFFF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name val="Arial"/>
    </font>
    <font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sz val="12.0"/>
      <color theme="1"/>
      <name val="Arial"/>
    </font>
    <font>
      <sz val="10.0"/>
      <color rgb="FFFFFFFF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sz val="10.0"/>
      <color rgb="FF000000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/>
    <font>
      <sz val="10.0"/>
    </font>
    <font>
      <sz val="11.0"/>
      <name val="Arial"/>
    </font>
    <font>
      <sz val="12.0"/>
      <name val="Arial"/>
    </font>
    <font>
      <name val="Arial"/>
    </font>
    <font>
      <b/>
      <sz val="10.0"/>
      <color theme="1"/>
      <name val="Arial"/>
    </font>
    <font>
      <b/>
      <sz val="11.0"/>
      <color rgb="FFFFFFFF"/>
      <name val="Arial"/>
    </font>
    <font>
      <b/>
      <color rgb="FFFFFFFF"/>
      <name val="Arial"/>
    </font>
    <font>
      <b/>
      <sz val="11.0"/>
      <color rgb="FFFFFFFF"/>
      <name val="Calibri"/>
    </font>
    <font>
      <u/>
      <sz val="11.0"/>
      <color rgb="FF0563C1"/>
      <name val="Calibri"/>
    </font>
    <font>
      <sz val="11.0"/>
      <color theme="1"/>
      <name val="Calibri"/>
    </font>
    <font>
      <sz val="11.0"/>
      <color rgb="FF000000"/>
      <name val="Docs-Calibri"/>
    </font>
    <font>
      <color rgb="FF000000"/>
      <name val="Calibri"/>
    </font>
    <font>
      <sz val="11.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37164E"/>
        <bgColor rgb="FF37164E"/>
      </patternFill>
    </fill>
    <fill>
      <patternFill patternType="solid">
        <fgColor rgb="FFF3F3F3"/>
        <bgColor rgb="FFF3F3F3"/>
      </patternFill>
    </fill>
    <fill>
      <patternFill patternType="solid">
        <fgColor rgb="FFEBEFF1"/>
        <bgColor rgb="FFEBEFF1"/>
      </patternFill>
    </fill>
    <fill>
      <patternFill patternType="solid">
        <fgColor rgb="FFFDDCE8"/>
        <bgColor rgb="FFFDDCE8"/>
      </patternFill>
    </fill>
    <fill>
      <patternFill patternType="solid">
        <fgColor rgb="FFE91D63"/>
        <bgColor rgb="FFE91D63"/>
      </patternFill>
    </fill>
    <fill>
      <patternFill patternType="solid">
        <fgColor rgb="FFA64D79"/>
        <bgColor rgb="FFA64D79"/>
      </patternFill>
    </fill>
  </fills>
  <borders count="6">
    <border/>
    <border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164" xfId="0" applyAlignment="1" applyFill="1" applyFont="1" applyNumberFormat="1">
      <alignment horizontal="right" readingOrder="0" shrinkToFit="0" wrapText="0"/>
    </xf>
    <xf borderId="0" fillId="3" fontId="3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4" numFmtId="0" xfId="0" applyAlignment="1" applyFont="1">
      <alignment readingOrder="0"/>
    </xf>
    <xf borderId="0" fillId="2" fontId="0" numFmtId="164" xfId="0" applyAlignment="1" applyFont="1" applyNumberFormat="1">
      <alignment horizontal="right" vertical="bottom"/>
    </xf>
    <xf borderId="0" fillId="2" fontId="0" numFmtId="21" xfId="0" applyAlignment="1" applyFont="1" applyNumberFormat="1">
      <alignment horizontal="right" vertical="bottom"/>
    </xf>
    <xf borderId="0" fillId="2" fontId="0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165" xfId="0" applyAlignment="1" applyFont="1" applyNumberFormat="1">
      <alignment vertical="bottom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4" fontId="7" numFmtId="164" xfId="0" applyAlignment="1" applyFill="1" applyFont="1" applyNumberFormat="1">
      <alignment horizontal="right" vertical="bottom"/>
    </xf>
    <xf borderId="0" fillId="4" fontId="7" numFmtId="21" xfId="0" applyAlignment="1" applyFont="1" applyNumberFormat="1">
      <alignment horizontal="right"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7" numFmtId="0" xfId="0" applyAlignment="1" applyFont="1">
      <alignment horizontal="right" vertical="bottom"/>
    </xf>
    <xf borderId="0" fillId="4" fontId="6" numFmtId="0" xfId="0" applyAlignment="1" applyFont="1">
      <alignment shrinkToFit="0" vertical="bottom" wrapText="1"/>
    </xf>
    <xf borderId="0" fillId="4" fontId="7" numFmtId="0" xfId="0" applyAlignment="1" applyFont="1">
      <alignment readingOrder="0" vertical="bottom"/>
    </xf>
    <xf borderId="0" fillId="2" fontId="7" numFmtId="164" xfId="0" applyAlignment="1" applyFont="1" applyNumberFormat="1">
      <alignment horizontal="right" vertical="bottom"/>
    </xf>
    <xf borderId="0" fillId="2" fontId="7" numFmtId="21" xfId="0" applyAlignment="1" applyFont="1" applyNumberForma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readingOrder="0" shrinkToFit="0" vertical="bottom" wrapText="1"/>
    </xf>
    <xf borderId="0" fillId="4" fontId="0" numFmtId="164" xfId="0" applyAlignment="1" applyFont="1" applyNumberFormat="1">
      <alignment horizontal="right" vertical="bottom"/>
    </xf>
    <xf borderId="0" fillId="4" fontId="0" numFmtId="21" xfId="0" applyAlignment="1" applyFont="1" applyNumberFormat="1">
      <alignment horizontal="right" vertical="bottom"/>
    </xf>
    <xf borderId="0" fillId="4" fontId="0" numFmtId="0" xfId="0" applyFont="1"/>
    <xf borderId="0" fillId="4" fontId="6" numFmtId="0" xfId="0" applyAlignment="1" applyFont="1">
      <alignment vertical="bottom"/>
    </xf>
    <xf borderId="0" fillId="4" fontId="7" numFmtId="0" xfId="0" applyAlignment="1" applyFont="1">
      <alignment readingOrder="0" shrinkToFit="0" vertical="bottom" wrapText="1"/>
    </xf>
    <xf borderId="0" fillId="2" fontId="7" numFmtId="165" xfId="0" applyAlignment="1" applyFont="1" applyNumberFormat="1">
      <alignment vertical="bottom"/>
    </xf>
    <xf borderId="0" fillId="2" fontId="7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2" fontId="0" numFmtId="0" xfId="0" applyFont="1"/>
    <xf borderId="0" fillId="4" fontId="7" numFmtId="165" xfId="0" applyAlignment="1" applyFont="1" applyNumberFormat="1">
      <alignment vertical="bottom"/>
    </xf>
    <xf borderId="0" fillId="4" fontId="6" numFmtId="0" xfId="0" applyAlignment="1" applyFont="1">
      <alignment horizontal="right" vertical="bottom"/>
    </xf>
    <xf borderId="0" fillId="2" fontId="0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4" fontId="7" numFmtId="3" xfId="0" applyAlignment="1" applyFont="1" applyNumberFormat="1">
      <alignment horizontal="right" vertical="bottom"/>
    </xf>
    <xf borderId="0" fillId="4" fontId="6" numFmtId="11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4" fontId="0" numFmtId="0" xfId="0" applyFont="1"/>
    <xf borderId="0" fillId="4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0" numFmtId="0" xfId="0" applyAlignment="1" applyFont="1">
      <alignment horizontal="left" readingOrder="0"/>
    </xf>
    <xf borderId="0" fillId="2" fontId="6" numFmtId="0" xfId="0" applyAlignment="1" applyFont="1">
      <alignment shrinkToFit="0" vertical="bottom" wrapText="0"/>
    </xf>
    <xf borderId="0" fillId="2" fontId="9" numFmtId="0" xfId="0" applyAlignment="1" applyFont="1">
      <alignment readingOrder="0"/>
    </xf>
    <xf borderId="0" fillId="4" fontId="6" numFmtId="0" xfId="0" applyAlignment="1" applyFont="1">
      <alignment vertical="bottom"/>
    </xf>
    <xf borderId="0" fillId="2" fontId="0" numFmtId="0" xfId="0" applyAlignment="1" applyFont="1">
      <alignment horizontal="right" vertical="bottom"/>
    </xf>
    <xf borderId="0" fillId="4" fontId="0" numFmtId="0" xfId="0" applyAlignment="1" applyFont="1">
      <alignment horizontal="right" vertical="bottom"/>
    </xf>
    <xf borderId="0" fillId="4" fontId="0" numFmtId="0" xfId="0" applyAlignment="1" applyFont="1">
      <alignment horizontal="left" readingOrder="0" shrinkToFit="0" wrapText="0"/>
    </xf>
    <xf borderId="0" fillId="2" fontId="7" numFmtId="0" xfId="0" applyAlignment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2" fontId="10" numFmtId="0" xfId="0" applyAlignment="1" applyFont="1">
      <alignment vertical="bottom"/>
    </xf>
    <xf borderId="0" fillId="2" fontId="0" numFmtId="166" xfId="0" applyAlignment="1" applyFont="1" applyNumberFormat="1">
      <alignment horizontal="right" vertical="bottom"/>
    </xf>
    <xf borderId="0" fillId="4" fontId="0" numFmtId="166" xfId="0" applyAlignment="1" applyFont="1" applyNumberFormat="1">
      <alignment horizontal="right" vertical="bottom"/>
    </xf>
    <xf borderId="0" fillId="4" fontId="6" numFmtId="0" xfId="0" applyAlignment="1" applyFont="1">
      <alignment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11" numFmtId="0" xfId="0" applyAlignment="1" applyFont="1">
      <alignment horizontal="left" readingOrder="0" shrinkToFit="0" vertical="bottom" wrapText="0"/>
    </xf>
    <xf borderId="0" fillId="4" fontId="11" numFmtId="0" xfId="0" applyAlignment="1" applyFont="1">
      <alignment readingOrder="0" shrinkToFit="0" vertical="bottom" wrapText="0"/>
    </xf>
    <xf borderId="0" fillId="2" fontId="0" numFmtId="0" xfId="0" applyFont="1"/>
    <xf borderId="0" fillId="4" fontId="0" numFmtId="0" xfId="0" applyAlignment="1" applyFont="1">
      <alignment horizontal="left" readingOrder="0"/>
    </xf>
    <xf borderId="0" fillId="4" fontId="0" numFmtId="0" xfId="0" applyAlignment="1" applyFont="1">
      <alignment readingOrder="0" vertical="bottom"/>
    </xf>
    <xf borderId="0" fillId="2" fontId="11" numFmtId="0" xfId="0" applyAlignment="1" applyFont="1">
      <alignment horizontal="left" readingOrder="0" shrinkToFit="0" wrapText="0"/>
    </xf>
    <xf borderId="0" fillId="2" fontId="7" numFmtId="166" xfId="0" applyAlignment="1" applyFont="1" applyNumberFormat="1">
      <alignment horizontal="right" vertical="bottom"/>
    </xf>
    <xf borderId="0" fillId="4" fontId="7" numFmtId="166" xfId="0" applyAlignment="1" applyFont="1" applyNumberFormat="1">
      <alignment horizontal="right" vertical="bottom"/>
    </xf>
    <xf borderId="0" fillId="2" fontId="7" numFmtId="0" xfId="0" applyAlignment="1" applyFont="1">
      <alignment horizontal="right" readingOrder="0" vertical="bottom"/>
    </xf>
    <xf borderId="0" fillId="2" fontId="7" numFmtId="21" xfId="0" applyAlignment="1" applyFont="1" applyNumberFormat="1">
      <alignment horizontal="right" readingOrder="0" vertical="bottom"/>
    </xf>
    <xf borderId="0" fillId="2" fontId="6" numFmtId="0" xfId="0" applyAlignment="1" applyFont="1">
      <alignment shrinkToFit="0" vertical="bottom" wrapText="0"/>
    </xf>
    <xf borderId="0" fillId="4" fontId="6" numFmtId="166" xfId="0" applyAlignment="1" applyFont="1" applyNumberFormat="1">
      <alignment horizontal="right" vertical="bottom"/>
    </xf>
    <xf borderId="0" fillId="4" fontId="6" numFmtId="21" xfId="0" applyAlignment="1" applyFont="1" applyNumberFormat="1">
      <alignment horizontal="right" vertical="bottom"/>
    </xf>
    <xf borderId="0" fillId="4" fontId="0" numFmtId="0" xfId="0" applyAlignment="1" applyFont="1">
      <alignment readingOrder="0" shrinkToFit="0" vertical="bottom" wrapText="0"/>
    </xf>
    <xf borderId="0" fillId="2" fontId="6" numFmtId="166" xfId="0" applyAlignment="1" applyFont="1" applyNumberFormat="1">
      <alignment horizontal="right" vertical="bottom"/>
    </xf>
    <xf borderId="0" fillId="2" fontId="6" numFmtId="21" xfId="0" applyAlignment="1" applyFont="1" applyNumberForma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4" fontId="7" numFmtId="167" xfId="0" applyAlignment="1" applyFont="1" applyNumberFormat="1">
      <alignment horizontal="right" readingOrder="0" vertical="bottom"/>
    </xf>
    <xf borderId="0" fillId="2" fontId="7" numFmtId="167" xfId="0" applyAlignment="1" applyFont="1" applyNumberFormat="1">
      <alignment horizontal="right" readingOrder="0" vertical="bottom"/>
    </xf>
    <xf borderId="0" fillId="2" fontId="7" numFmtId="168" xfId="0" applyAlignment="1" applyFont="1" applyNumberFormat="1">
      <alignment horizontal="right" readingOrder="0" vertical="bottom"/>
    </xf>
    <xf borderId="0" fillId="4" fontId="7" numFmtId="168" xfId="0" applyAlignment="1" applyFont="1" applyNumberFormat="1">
      <alignment horizontal="right" readingOrder="0" vertical="bottom"/>
    </xf>
    <xf borderId="0" fillId="2" fontId="6" numFmtId="168" xfId="0" applyAlignment="1" applyFont="1" applyNumberFormat="1">
      <alignment horizontal="right" readingOrder="0" vertical="bottom"/>
    </xf>
    <xf borderId="0" fillId="2" fontId="6" numFmtId="167" xfId="0" applyAlignment="1" applyFont="1" applyNumberFormat="1">
      <alignment horizontal="right" readingOrder="0" vertical="bottom"/>
    </xf>
    <xf borderId="0" fillId="4" fontId="6" numFmtId="168" xfId="0" applyAlignment="1" applyFont="1" applyNumberFormat="1">
      <alignment horizontal="right" readingOrder="0" vertical="bottom"/>
    </xf>
    <xf borderId="0" fillId="4" fontId="6" numFmtId="167" xfId="0" applyAlignment="1" applyFont="1" applyNumberFormat="1">
      <alignment horizontal="right" readingOrder="0" vertical="bottom"/>
    </xf>
    <xf borderId="0" fillId="4" fontId="0" numFmtId="0" xfId="0" applyAlignment="1" applyFont="1">
      <alignment shrinkToFit="0" vertical="bottom" wrapText="1"/>
    </xf>
    <xf borderId="0" fillId="4" fontId="6" numFmtId="0" xfId="0" applyAlignment="1" applyFont="1">
      <alignment readingOrder="0"/>
    </xf>
    <xf borderId="0" fillId="4" fontId="6" numFmtId="0" xfId="0" applyFont="1"/>
    <xf borderId="0" fillId="4" fontId="11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vertical="bottom"/>
    </xf>
    <xf borderId="0" fillId="4" fontId="12" numFmtId="0" xfId="0" applyAlignment="1" applyFont="1">
      <alignment readingOrder="0" vertical="bottom"/>
    </xf>
    <xf borderId="0" fillId="4" fontId="9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center" wrapText="0"/>
    </xf>
    <xf borderId="0" fillId="4" fontId="5" numFmtId="0" xfId="0" applyAlignment="1" applyFont="1">
      <alignment readingOrder="0" shrinkToFit="0" vertical="center" wrapText="0"/>
    </xf>
    <xf borderId="0" fillId="4" fontId="10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4" fontId="5" numFmtId="0" xfId="0" applyAlignment="1" applyFont="1">
      <alignment readingOrder="0" vertical="center"/>
    </xf>
    <xf borderId="0" fillId="2" fontId="10" numFmtId="0" xfId="0" applyAlignment="1" applyFont="1">
      <alignment readingOrder="0" vertical="bottom"/>
    </xf>
    <xf borderId="0" fillId="4" fontId="10" numFmtId="0" xfId="0" applyAlignment="1" applyFont="1">
      <alignment vertical="bottom"/>
    </xf>
    <xf borderId="0" fillId="2" fontId="0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  <xf borderId="1" fillId="4" fontId="8" numFmtId="0" xfId="0" applyAlignment="1" applyBorder="1" applyFont="1">
      <alignment shrinkToFit="0" vertical="bottom" wrapText="0"/>
    </xf>
    <xf borderId="0" fillId="3" fontId="3" numFmtId="0" xfId="0" applyAlignment="1" applyFont="1">
      <alignment horizontal="center" readingOrder="0" shrinkToFit="0" wrapText="0"/>
    </xf>
    <xf borderId="0" fillId="3" fontId="3" numFmtId="169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center" readingOrder="0"/>
    </xf>
    <xf borderId="0" fillId="3" fontId="13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2" fontId="0" numFmtId="170" xfId="0" applyAlignment="1" applyFont="1" applyNumberFormat="1">
      <alignment horizontal="center" readingOrder="0" shrinkToFit="0" wrapText="0"/>
    </xf>
    <xf borderId="0" fillId="2" fontId="7" numFmtId="169" xfId="0" applyAlignment="1" applyFont="1" applyNumberFormat="1">
      <alignment horizontal="right" readingOrder="0"/>
    </xf>
    <xf borderId="0" fillId="2" fontId="7" numFmtId="0" xfId="0" applyFont="1"/>
    <xf borderId="0" fillId="2" fontId="0" numFmtId="0" xfId="0" applyAlignment="1" applyFont="1">
      <alignment horizontal="right" readingOrder="0" shrinkToFit="0" wrapText="0"/>
    </xf>
    <xf borderId="0" fillId="2" fontId="0" numFmtId="0" xfId="0" applyAlignment="1" applyFont="1">
      <alignment horizontal="left"/>
    </xf>
    <xf borderId="0" fillId="2" fontId="6" numFmtId="0" xfId="0" applyFont="1"/>
    <xf borderId="0" fillId="2" fontId="0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center"/>
    </xf>
    <xf borderId="0" fillId="2" fontId="14" numFmtId="0" xfId="0" applyAlignment="1" applyFont="1">
      <alignment shrinkToFit="0" wrapText="0"/>
    </xf>
    <xf borderId="0" fillId="2" fontId="7" numFmtId="0" xfId="0" applyAlignment="1" applyFont="1">
      <alignment horizontal="right" readingOrder="0"/>
    </xf>
    <xf borderId="0" fillId="2" fontId="0" numFmtId="0" xfId="0" applyAlignment="1" applyFont="1">
      <alignment horizontal="right"/>
    </xf>
    <xf borderId="0" fillId="2" fontId="7" numFmtId="0" xfId="0" applyAlignment="1" applyFont="1">
      <alignment horizontal="center" readingOrder="0"/>
    </xf>
    <xf borderId="0" fillId="4" fontId="0" numFmtId="170" xfId="0" applyAlignment="1" applyFont="1" applyNumberFormat="1">
      <alignment horizontal="center" readingOrder="0" shrinkToFit="0" wrapText="0"/>
    </xf>
    <xf borderId="0" fillId="4" fontId="7" numFmtId="169" xfId="0" applyAlignment="1" applyFont="1" applyNumberFormat="1">
      <alignment horizontal="right" readingOrder="0"/>
    </xf>
    <xf borderId="0" fillId="4" fontId="7" numFmtId="0" xfId="0" applyFont="1"/>
    <xf borderId="0" fillId="4" fontId="0" numFmtId="0" xfId="0" applyAlignment="1" applyFont="1">
      <alignment horizontal="right" readingOrder="0" shrinkToFit="0" wrapText="0"/>
    </xf>
    <xf borderId="0" fillId="4" fontId="0" numFmtId="0" xfId="0" applyAlignment="1" applyFont="1">
      <alignment horizontal="left"/>
    </xf>
    <xf borderId="0" fillId="4" fontId="0" numFmtId="0" xfId="0" applyAlignment="1" applyFont="1">
      <alignment horizontal="left"/>
    </xf>
    <xf borderId="0" fillId="4" fontId="7" numFmtId="0" xfId="0" applyAlignment="1" applyFont="1">
      <alignment horizontal="left"/>
    </xf>
    <xf borderId="0" fillId="4" fontId="7" numFmtId="0" xfId="0" applyAlignment="1" applyFont="1">
      <alignment horizontal="center"/>
    </xf>
    <xf borderId="0" fillId="4" fontId="0" numFmtId="0" xfId="0" applyAlignment="1" applyFont="1">
      <alignment shrinkToFit="0" wrapText="1"/>
    </xf>
    <xf borderId="0" fillId="4" fontId="15" numFmtId="0" xfId="0" applyAlignment="1" applyFont="1">
      <alignment shrinkToFit="0" vertical="bottom" wrapText="0"/>
    </xf>
    <xf borderId="0" fillId="4" fontId="0" numFmtId="0" xfId="0" applyAlignment="1" applyFont="1">
      <alignment horizontal="right"/>
    </xf>
    <xf borderId="0" fillId="4" fontId="0" numFmtId="1" xfId="0" applyAlignment="1" applyFont="1" applyNumberFormat="1">
      <alignment horizontal="right"/>
    </xf>
    <xf borderId="0" fillId="4" fontId="7" numFmtId="0" xfId="0" applyAlignment="1" applyFont="1">
      <alignment horizontal="right" readingOrder="0"/>
    </xf>
    <xf borderId="0" fillId="4" fontId="7" numFmtId="0" xfId="0" applyAlignment="1" applyFont="1">
      <alignment horizontal="center" readingOrder="0"/>
    </xf>
    <xf borderId="0" fillId="2" fontId="0" numFmtId="0" xfId="0" applyAlignment="1" applyFont="1">
      <alignment shrinkToFit="0" wrapText="1"/>
    </xf>
    <xf borderId="0" fillId="2" fontId="16" numFmtId="0" xfId="0" applyAlignment="1" applyFont="1">
      <alignment vertical="bottom"/>
    </xf>
    <xf borderId="0" fillId="2" fontId="0" numFmtId="1" xfId="0" applyAlignment="1" applyFont="1" applyNumberFormat="1">
      <alignment horizontal="right"/>
    </xf>
    <xf borderId="0" fillId="4" fontId="7" numFmtId="0" xfId="0" applyAlignment="1" applyFont="1">
      <alignment shrinkToFit="0" wrapText="0"/>
    </xf>
    <xf borderId="0" fillId="2" fontId="7" numFmtId="0" xfId="0" applyAlignment="1" applyFont="1">
      <alignment shrinkToFit="0" wrapText="0"/>
    </xf>
    <xf borderId="0" fillId="4" fontId="0" numFmtId="0" xfId="0" applyAlignment="1" applyFont="1">
      <alignment shrinkToFit="0" vertical="bottom" wrapText="0"/>
    </xf>
    <xf borderId="0" fillId="2" fontId="17" numFmtId="0" xfId="0" applyAlignment="1" applyFont="1">
      <alignment readingOrder="0"/>
    </xf>
    <xf borderId="0" fillId="4" fontId="18" numFmtId="0" xfId="0" applyAlignment="1" applyFont="1">
      <alignment shrinkToFit="0" wrapText="0"/>
    </xf>
    <xf borderId="0" fillId="4" fontId="7" numFmtId="0" xfId="0" applyAlignment="1" applyFont="1">
      <alignment horizontal="right"/>
    </xf>
    <xf borderId="0" fillId="2" fontId="0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4" fontId="17" numFmtId="0" xfId="0" applyAlignment="1" applyFont="1">
      <alignment readingOrder="0"/>
    </xf>
    <xf borderId="0" fillId="4" fontId="0" numFmtId="1" xfId="0" applyAlignment="1" applyFont="1" applyNumberFormat="1">
      <alignment horizontal="right" readingOrder="0"/>
    </xf>
    <xf borderId="0" fillId="2" fontId="7" numFmtId="0" xfId="0" applyAlignment="1" applyFont="1">
      <alignment horizontal="right"/>
    </xf>
    <xf borderId="0" fillId="2" fontId="19" numFmtId="0" xfId="0" applyAlignment="1" applyFont="1">
      <alignment shrinkToFit="0" vertical="bottom" wrapText="0"/>
    </xf>
    <xf borderId="0" fillId="4" fontId="20" numFmtId="0" xfId="0" applyFont="1"/>
    <xf borderId="0" fillId="2" fontId="21" numFmtId="0" xfId="0" applyAlignment="1" applyFont="1">
      <alignment shrinkToFit="0" vertical="top" wrapText="0"/>
    </xf>
    <xf borderId="0" fillId="2" fontId="0" numFmtId="1" xfId="0" applyAlignment="1" applyFont="1" applyNumberFormat="1">
      <alignment horizontal="right" readingOrder="0"/>
    </xf>
    <xf borderId="0" fillId="4" fontId="22" numFmtId="0" xfId="0" applyAlignment="1" applyFont="1">
      <alignment vertical="bottom"/>
    </xf>
    <xf borderId="0" fillId="2" fontId="23" numFmtId="0" xfId="0" applyFont="1"/>
    <xf borderId="0" fillId="2" fontId="7" numFmtId="0" xfId="0" applyAlignment="1" applyFont="1">
      <alignment vertical="bottom"/>
    </xf>
    <xf borderId="0" fillId="2" fontId="0" numFmtId="169" xfId="0" applyAlignment="1" applyFont="1" applyNumberFormat="1">
      <alignment horizontal="right" readingOrder="0"/>
    </xf>
    <xf borderId="0" fillId="2" fontId="0" numFmtId="0" xfId="0" applyAlignment="1" applyFont="1">
      <alignment horizontal="center"/>
    </xf>
    <xf borderId="0" fillId="2" fontId="24" numFmtId="0" xfId="0" applyAlignment="1" applyFont="1">
      <alignment shrinkToFit="0" vertical="bottom" wrapText="0"/>
    </xf>
    <xf borderId="0" fillId="2" fontId="0" numFmtId="0" xfId="0" applyAlignment="1" applyFont="1">
      <alignment horizontal="right" readingOrder="0"/>
    </xf>
    <xf borderId="0" fillId="2" fontId="0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0" numFmtId="0" xfId="0" applyAlignment="1" applyFont="1">
      <alignment readingOrder="0" shrinkToFit="0" wrapText="1"/>
    </xf>
    <xf borderId="0" fillId="2" fontId="7" numFmtId="0" xfId="0" applyAlignment="1" applyFont="1">
      <alignment horizontal="right" vertical="bottom"/>
    </xf>
    <xf borderId="0" fillId="2" fontId="0" numFmtId="170" xfId="0" applyAlignment="1" applyFont="1" applyNumberFormat="1">
      <alignment horizontal="center" readingOrder="0" shrinkToFit="0" vertical="bottom" wrapText="0"/>
    </xf>
    <xf borderId="0" fillId="2" fontId="0" numFmtId="169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horizontal="center" readingOrder="0" shrinkToFit="0" vertical="bottom" wrapText="0"/>
    </xf>
    <xf borderId="0" fillId="4" fontId="0" numFmtId="170" xfId="0" applyAlignment="1" applyFont="1" applyNumberFormat="1">
      <alignment horizontal="center" readingOrder="0" shrinkToFit="0" vertical="bottom" wrapText="0"/>
    </xf>
    <xf borderId="0" fillId="4" fontId="0" numFmtId="169" xfId="0" applyAlignment="1" applyFont="1" applyNumberFormat="1">
      <alignment horizontal="right" readingOrder="0" shrinkToFit="0" vertical="bottom" wrapText="0"/>
    </xf>
    <xf borderId="0" fillId="4" fontId="0" numFmtId="0" xfId="0" applyAlignment="1" applyFont="1">
      <alignment horizontal="right" readingOrder="0" shrinkToFit="0" vertical="bottom" wrapText="0"/>
    </xf>
    <xf borderId="0" fillId="4" fontId="0" numFmtId="0" xfId="0" applyAlignment="1" applyFont="1">
      <alignment horizontal="left" readingOrder="0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readingOrder="0"/>
    </xf>
    <xf borderId="0" fillId="2" fontId="0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bottom" wrapText="0"/>
    </xf>
    <xf borderId="0" fillId="2" fontId="17" numFmtId="0" xfId="0" applyAlignment="1" applyFont="1">
      <alignment horizontal="left" readingOrder="0" shrinkToFit="0" wrapText="0"/>
    </xf>
    <xf borderId="0" fillId="4" fontId="7" numFmtId="166" xfId="0" applyAlignment="1" applyFont="1" applyNumberFormat="1">
      <alignment horizontal="center" readingOrder="0" vertical="bottom"/>
    </xf>
    <xf borderId="0" fillId="4" fontId="7" numFmtId="21" xfId="0" applyAlignment="1" applyFont="1" applyNumberFormat="1">
      <alignment horizontal="right" readingOrder="0" vertical="bottom"/>
    </xf>
    <xf borderId="0" fillId="4" fontId="7" numFmtId="0" xfId="0" applyAlignment="1" applyFont="1">
      <alignment horizontal="left" readingOrder="0"/>
    </xf>
    <xf borderId="0" fillId="2" fontId="7" numFmtId="166" xfId="0" applyAlignment="1" applyFont="1" applyNumberFormat="1">
      <alignment horizontal="center" readingOrder="0" vertical="bottom"/>
    </xf>
    <xf borderId="0" fillId="2" fontId="7" numFmtId="0" xfId="0" applyAlignment="1" applyFont="1">
      <alignment horizontal="left" readingOrder="0"/>
    </xf>
    <xf quotePrefix="1" borderId="0" fillId="2" fontId="7" numFmtId="0" xfId="0" applyAlignment="1" applyFont="1">
      <alignment horizontal="right" vertical="bottom"/>
    </xf>
    <xf quotePrefix="1" borderId="0" fillId="4" fontId="7" numFmtId="0" xfId="0" applyAlignment="1" applyFont="1">
      <alignment horizontal="right" vertical="bottom"/>
    </xf>
    <xf borderId="0" fillId="4" fontId="0" numFmtId="1" xfId="0" applyAlignment="1" applyFont="1" applyNumberFormat="1">
      <alignment horizontal="right" vertical="bottom"/>
    </xf>
    <xf borderId="0" fillId="2" fontId="0" numFmtId="1" xfId="0" applyAlignment="1" applyFont="1" applyNumberFormat="1">
      <alignment horizontal="right" vertical="bottom"/>
    </xf>
    <xf quotePrefix="1" borderId="0" fillId="2" fontId="7" numFmtId="0" xfId="0" applyAlignment="1" applyFont="1">
      <alignment horizontal="right" readingOrder="0"/>
    </xf>
    <xf borderId="0" fillId="2" fontId="25" numFmtId="0" xfId="0" applyFont="1"/>
    <xf borderId="0" fillId="4" fontId="7" numFmtId="0" xfId="0" applyAlignment="1" applyFont="1">
      <alignment shrinkToFit="0" vertical="bottom" wrapText="0"/>
    </xf>
    <xf borderId="0" fillId="4" fontId="26" numFmtId="0" xfId="0" applyAlignment="1" applyFont="1">
      <alignment readingOrder="0"/>
    </xf>
    <xf borderId="0" fillId="2" fontId="26" numFmtId="0" xfId="0" applyFont="1"/>
    <xf borderId="0" fillId="4" fontId="26" numFmtId="0" xfId="0" applyFont="1"/>
    <xf borderId="0" fillId="2" fontId="6" numFmtId="0" xfId="0" applyAlignment="1" applyFont="1">
      <alignment horizontal="right" readingOrder="0" vertical="bottom"/>
    </xf>
    <xf borderId="0" fillId="2" fontId="26" numFmtId="0" xfId="0" applyAlignment="1" applyFont="1">
      <alignment readingOrder="0"/>
    </xf>
    <xf borderId="0" fillId="4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readingOrder="0" vertical="bottom"/>
    </xf>
    <xf borderId="0" fillId="4" fontId="7" numFmtId="0" xfId="0" applyFont="1"/>
    <xf borderId="0" fillId="2" fontId="7" numFmtId="166" xfId="0" applyAlignment="1" applyFont="1" applyNumberFormat="1">
      <alignment horizontal="center" vertical="bottom"/>
    </xf>
    <xf borderId="0" fillId="2" fontId="7" numFmtId="0" xfId="0" applyAlignment="1" applyFont="1">
      <alignment horizontal="left" vertical="bottom"/>
    </xf>
    <xf borderId="0" fillId="2" fontId="7" numFmtId="0" xfId="0" applyAlignment="1" applyFont="1">
      <alignment horizontal="center" vertical="bottom"/>
    </xf>
    <xf borderId="0" fillId="4" fontId="7" numFmtId="166" xfId="0" applyAlignment="1" applyFont="1" applyNumberFormat="1">
      <alignment horizontal="center" vertical="bottom"/>
    </xf>
    <xf borderId="0" fillId="4" fontId="7" numFmtId="0" xfId="0" applyAlignment="1" applyFont="1">
      <alignment horizontal="left" vertical="bottom"/>
    </xf>
    <xf borderId="0" fillId="4" fontId="7" numFmtId="0" xfId="0" applyAlignment="1" applyFont="1">
      <alignment horizontal="center" vertical="bottom"/>
    </xf>
    <xf borderId="0" fillId="4" fontId="7" numFmtId="0" xfId="0" applyAlignment="1" applyFont="1">
      <alignment horizontal="right" vertical="bottom"/>
    </xf>
    <xf borderId="0" fillId="4" fontId="7" numFmtId="0" xfId="0" applyAlignment="1" applyFont="1">
      <alignment horizontal="left" readingOrder="0" vertical="bottom"/>
    </xf>
    <xf borderId="0" fillId="2" fontId="7" numFmtId="0" xfId="0" applyAlignment="1" applyFont="1">
      <alignment horizontal="left" readingOrder="0" vertical="bottom"/>
    </xf>
    <xf borderId="0" fillId="2" fontId="0" numFmtId="166" xfId="0" applyAlignment="1" applyFont="1" applyNumberFormat="1">
      <alignment horizontal="center" readingOrder="0" vertical="bottom"/>
    </xf>
    <xf borderId="0" fillId="2" fontId="0" numFmtId="21" xfId="0" applyAlignment="1" applyFont="1" applyNumberFormat="1">
      <alignment horizontal="right" readingOrder="0" vertical="bottom"/>
    </xf>
    <xf borderId="0" fillId="2" fontId="0" numFmtId="0" xfId="0" applyAlignment="1" applyFont="1">
      <alignment horizontal="right" readingOrder="0" vertical="bottom"/>
    </xf>
    <xf borderId="0" fillId="2" fontId="0" numFmtId="0" xfId="0" applyAlignment="1" applyFont="1">
      <alignment horizontal="left" readingOrder="0" vertical="bottom"/>
    </xf>
    <xf borderId="0" fillId="2" fontId="0" numFmtId="0" xfId="0" applyAlignment="1" applyFont="1">
      <alignment horizontal="center" readingOrder="0" vertical="bottom"/>
    </xf>
    <xf borderId="2" fillId="4" fontId="11" numFmtId="0" xfId="0" applyAlignment="1" applyBorder="1" applyFont="1">
      <alignment readingOrder="0" shrinkToFit="0" vertical="bottom" wrapText="0"/>
    </xf>
    <xf borderId="2" fillId="4" fontId="8" numFmtId="0" xfId="0" applyAlignment="1" applyBorder="1" applyFont="1">
      <alignment horizontal="center" readingOrder="0" shrinkToFit="0" vertical="bottom" wrapText="0"/>
    </xf>
    <xf borderId="0" fillId="2" fontId="7" numFmtId="171" xfId="0" applyAlignment="1" applyFont="1" applyNumberFormat="1">
      <alignment horizontal="center" readingOrder="0" vertical="bottom"/>
    </xf>
    <xf borderId="0" fillId="4" fontId="7" numFmtId="171" xfId="0" applyAlignment="1" applyFont="1" applyNumberFormat="1">
      <alignment horizontal="center" readingOrder="0" vertical="bottom"/>
    </xf>
    <xf borderId="0" fillId="2" fontId="11" numFmtId="0" xfId="0" applyAlignment="1" applyFont="1">
      <alignment readingOrder="0" shrinkToFit="0" vertical="bottom" wrapText="0"/>
    </xf>
    <xf borderId="0" fillId="2" fontId="7" numFmtId="3" xfId="0" applyAlignment="1" applyFont="1" applyNumberFormat="1">
      <alignment horizontal="right" readingOrder="0" vertical="bottom"/>
    </xf>
    <xf borderId="0" fillId="4" fontId="27" numFmtId="0" xfId="0" applyAlignment="1" applyFont="1">
      <alignment vertical="bottom"/>
    </xf>
    <xf borderId="0" fillId="4" fontId="28" numFmtId="0" xfId="0" applyAlignment="1" applyFont="1">
      <alignment vertical="bottom"/>
    </xf>
    <xf borderId="0" fillId="2" fontId="28" numFmtId="0" xfId="0" applyAlignment="1" applyFont="1">
      <alignment readingOrder="0" vertical="bottom"/>
    </xf>
    <xf borderId="0" fillId="4" fontId="25" numFmtId="0" xfId="0" applyAlignment="1" applyFont="1">
      <alignment readingOrder="0"/>
    </xf>
    <xf borderId="0" fillId="2" fontId="25" numFmtId="0" xfId="0" applyAlignment="1" applyFont="1">
      <alignment readingOrder="0"/>
    </xf>
    <xf borderId="0" fillId="4" fontId="7" numFmtId="171" xfId="0" applyAlignment="1" applyFont="1" applyNumberFormat="1">
      <alignment horizontal="center" readingOrder="0"/>
    </xf>
    <xf borderId="0" fillId="2" fontId="7" numFmtId="171" xfId="0" applyAlignment="1" applyFont="1" applyNumberFormat="1">
      <alignment horizontal="center" readingOrder="0"/>
    </xf>
    <xf borderId="0" fillId="4" fontId="8" numFmtId="0" xfId="0" applyAlignment="1" applyFont="1">
      <alignment vertical="bottom"/>
    </xf>
    <xf borderId="0" fillId="4" fontId="7" numFmtId="171" xfId="0" applyAlignment="1" applyFont="1" applyNumberFormat="1">
      <alignment horizontal="center" readingOrder="0" vertical="center"/>
    </xf>
    <xf borderId="0" fillId="4" fontId="27" numFmtId="0" xfId="0" applyAlignment="1" applyFont="1">
      <alignment vertical="center"/>
    </xf>
    <xf borderId="0" fillId="2" fontId="7" numFmtId="171" xfId="0" applyAlignment="1" applyFont="1" applyNumberFormat="1">
      <alignment horizontal="center" readingOrder="0" vertical="center"/>
    </xf>
    <xf borderId="0" fillId="2" fontId="0" numFmtId="171" xfId="0" applyAlignment="1" applyFont="1" applyNumberFormat="1">
      <alignment horizontal="center" readingOrder="0" shrinkToFit="0" wrapText="0"/>
    </xf>
    <xf borderId="0" fillId="4" fontId="0" numFmtId="171" xfId="0" applyAlignment="1" applyFont="1" applyNumberFormat="1">
      <alignment horizontal="center" readingOrder="0" shrinkToFit="0" wrapText="0"/>
    </xf>
    <xf borderId="0" fillId="4" fontId="29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5" fontId="6" numFmtId="1" xfId="0" applyAlignment="1" applyFill="1" applyFont="1" applyNumberFormat="1">
      <alignment horizontal="left" shrinkToFit="0" vertical="bottom" wrapText="1"/>
    </xf>
    <xf borderId="0" fillId="5" fontId="6" numFmtId="1" xfId="0" applyAlignment="1" applyFont="1" applyNumberFormat="1">
      <alignment horizontal="left" vertical="bottom"/>
    </xf>
    <xf borderId="0" fillId="6" fontId="6" numFmtId="1" xfId="0" applyAlignment="1" applyFill="1" applyFont="1" applyNumberFormat="1">
      <alignment horizontal="center" readingOrder="0" shrinkToFit="0" vertical="bottom" wrapText="1"/>
    </xf>
    <xf borderId="0" fillId="6" fontId="6" numFmtId="1" xfId="0" applyAlignment="1" applyFont="1" applyNumberFormat="1">
      <alignment horizontal="center" vertical="bottom"/>
    </xf>
    <xf borderId="0" fillId="7" fontId="6" numFmtId="1" xfId="0" applyAlignment="1" applyFill="1" applyFont="1" applyNumberFormat="1">
      <alignment horizontal="center" readingOrder="0" vertical="bottom"/>
    </xf>
    <xf borderId="0" fillId="7" fontId="6" numFmtId="1" xfId="0" applyAlignment="1" applyFont="1" applyNumberFormat="1">
      <alignment horizontal="center" vertical="bottom"/>
    </xf>
    <xf borderId="0" fillId="8" fontId="6" numFmtId="1" xfId="0" applyAlignment="1" applyFill="1" applyFont="1" applyNumberFormat="1">
      <alignment horizontal="center" readingOrder="0" vertical="bottom"/>
    </xf>
    <xf borderId="0" fillId="0" fontId="30" numFmtId="0" xfId="0" applyAlignment="1" applyFont="1">
      <alignment horizontal="left" readingOrder="0" vertical="bottom"/>
    </xf>
    <xf borderId="0" fillId="9" fontId="3" numFmtId="1" xfId="0" applyAlignment="1" applyFill="1" applyFont="1" applyNumberFormat="1">
      <alignment horizontal="left" vertical="bottom"/>
    </xf>
    <xf borderId="0" fillId="10" fontId="3" numFmtId="1" xfId="0" applyAlignment="1" applyFill="1" applyFont="1" applyNumberFormat="1">
      <alignment horizontal="left" vertical="bottom"/>
    </xf>
    <xf borderId="0" fillId="11" fontId="3" numFmtId="1" xfId="0" applyAlignment="1" applyFill="1" applyFont="1" applyNumberFormat="1">
      <alignment horizontal="left" vertical="bottom"/>
    </xf>
    <xf borderId="0" fillId="12" fontId="3" numFmtId="1" xfId="0" applyAlignment="1" applyFill="1" applyFont="1" applyNumberFormat="1">
      <alignment horizontal="left" vertical="bottom"/>
    </xf>
    <xf borderId="0" fillId="0" fontId="10" numFmtId="0" xfId="0" applyFont="1"/>
    <xf borderId="0" fillId="13" fontId="10" numFmtId="1" xfId="0" applyAlignment="1" applyFill="1" applyFont="1" applyNumberFormat="1">
      <alignment horizontal="left"/>
    </xf>
    <xf borderId="0" fillId="14" fontId="10" numFmtId="1" xfId="0" applyAlignment="1" applyFill="1" applyFont="1" applyNumberFormat="1">
      <alignment horizontal="right"/>
    </xf>
    <xf borderId="0" fillId="15" fontId="10" numFmtId="1" xfId="0" applyAlignment="1" applyFill="1" applyFont="1" applyNumberFormat="1">
      <alignment horizontal="right"/>
    </xf>
    <xf borderId="0" fillId="14" fontId="31" numFmtId="1" xfId="0" applyAlignment="1" applyFont="1" applyNumberFormat="1">
      <alignment horizontal="right" vertical="bottom"/>
    </xf>
    <xf borderId="0" fillId="16" fontId="31" numFmtId="1" xfId="0" applyAlignment="1" applyFill="1" applyFont="1" applyNumberForma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13" fontId="10" numFmtId="1" xfId="0" applyAlignment="1" applyFont="1" applyNumberFormat="1">
      <alignment horizontal="left" vertical="bottom"/>
    </xf>
    <xf borderId="0" fillId="13" fontId="5" numFmtId="1" xfId="0" applyAlignment="1" applyFont="1" applyNumberFormat="1">
      <alignment horizontal="left"/>
    </xf>
    <xf borderId="0" fillId="14" fontId="10" numFmtId="1" xfId="0" applyAlignment="1" applyFont="1" applyNumberFormat="1">
      <alignment horizontal="right" vertical="bottom"/>
    </xf>
    <xf borderId="0" fillId="15" fontId="10" numFmtId="1" xfId="0" applyAlignment="1" applyFont="1" applyNumberFormat="1">
      <alignment horizontal="right" vertical="bottom"/>
    </xf>
    <xf borderId="0" fillId="14" fontId="5" numFmtId="1" xfId="0" applyAlignment="1" applyFont="1" applyNumberFormat="1">
      <alignment horizontal="right" vertical="bottom"/>
    </xf>
    <xf borderId="0" fillId="16" fontId="5" numFmtId="1" xfId="0" applyAlignment="1" applyFont="1" applyNumberFormat="1">
      <alignment horizontal="right" vertical="bottom"/>
    </xf>
    <xf borderId="0" fillId="2" fontId="5" numFmtId="0" xfId="0" applyAlignment="1" applyFont="1">
      <alignment horizontal="left" readingOrder="0" shrinkToFit="0" wrapText="0"/>
    </xf>
    <xf borderId="0" fillId="2" fontId="30" numFmtId="1" xfId="0" applyAlignment="1" applyFont="1" applyNumberFormat="1">
      <alignment horizontal="center" readingOrder="0" shrinkToFit="0" vertical="bottom" wrapText="1"/>
    </xf>
    <xf borderId="3" fillId="2" fontId="30" numFmtId="1" xfId="0" applyAlignment="1" applyBorder="1" applyFont="1" applyNumberFormat="1">
      <alignment horizontal="center" readingOrder="0" shrinkToFit="0" vertical="bottom" wrapText="1"/>
    </xf>
    <xf borderId="4" fillId="0" fontId="25" numFmtId="0" xfId="0" applyBorder="1" applyFont="1"/>
    <xf borderId="5" fillId="0" fontId="25" numFmtId="0" xfId="0" applyBorder="1" applyFont="1"/>
    <xf borderId="0" fillId="0" fontId="6" numFmtId="0" xfId="0" applyFont="1"/>
    <xf borderId="0" fillId="11" fontId="6" numFmtId="1" xfId="0" applyAlignment="1" applyFont="1" applyNumberFormat="1">
      <alignment horizontal="center" vertical="bottom"/>
    </xf>
    <xf borderId="0" fillId="2" fontId="6" numFmtId="1" xfId="0" applyAlignment="1" applyFont="1" applyNumberFormat="1">
      <alignment horizontal="center" vertical="bottom"/>
    </xf>
    <xf borderId="0" fillId="10" fontId="3" numFmtId="1" xfId="0" applyAlignment="1" applyFont="1" applyNumberFormat="1">
      <alignment horizontal="right" vertical="bottom"/>
    </xf>
    <xf borderId="0" fillId="11" fontId="3" numFmtId="1" xfId="0" applyAlignment="1" applyFont="1" applyNumberFormat="1">
      <alignment horizontal="right" vertical="bottom"/>
    </xf>
    <xf borderId="0" fillId="2" fontId="3" numFmtId="1" xfId="0" applyAlignment="1" applyFont="1" applyNumberFormat="1">
      <alignment horizontal="right" vertical="bottom"/>
    </xf>
    <xf borderId="0" fillId="0" fontId="6" numFmtId="0" xfId="0" applyAlignment="1" applyFont="1">
      <alignment horizontal="left"/>
    </xf>
    <xf borderId="0" fillId="13" fontId="6" numFmtId="1" xfId="0" applyAlignment="1" applyFont="1" applyNumberFormat="1">
      <alignment horizontal="left"/>
    </xf>
    <xf borderId="0" fillId="14" fontId="6" numFmtId="1" xfId="0" applyAlignment="1" applyFont="1" applyNumberFormat="1">
      <alignment horizontal="left"/>
    </xf>
    <xf borderId="0" fillId="15" fontId="6" numFmtId="1" xfId="0" applyAlignment="1" applyFont="1" applyNumberFormat="1">
      <alignment horizontal="left"/>
    </xf>
    <xf borderId="0" fillId="14" fontId="3" numFmtId="1" xfId="0" applyAlignment="1" applyFont="1" applyNumberFormat="1">
      <alignment horizontal="left" vertical="bottom"/>
    </xf>
    <xf borderId="0" fillId="2" fontId="3" numFmtId="1" xfId="0" applyAlignment="1" applyFont="1" applyNumberFormat="1">
      <alignment horizontal="left" vertical="bottom"/>
    </xf>
    <xf borderId="0" fillId="9" fontId="6" numFmtId="1" xfId="0" applyAlignment="1" applyFont="1" applyNumberFormat="1">
      <alignment horizontal="left" vertical="bottom"/>
    </xf>
    <xf borderId="0" fillId="10" fontId="6" numFmtId="1" xfId="0" applyAlignment="1" applyFont="1" applyNumberFormat="1">
      <alignment horizontal="left" vertical="bottom"/>
    </xf>
    <xf borderId="0" fillId="11" fontId="6" numFmtId="1" xfId="0" applyAlignment="1" applyFont="1" applyNumberFormat="1">
      <alignment horizontal="left" vertical="bottom"/>
    </xf>
    <xf borderId="0" fillId="10" fontId="0" numFmtId="1" xfId="0" applyAlignment="1" applyFont="1" applyNumberFormat="1">
      <alignment horizontal="left" vertical="bottom"/>
    </xf>
    <xf borderId="0" fillId="2" fontId="0" numFmtId="1" xfId="0" applyAlignment="1" applyFont="1" applyNumberFormat="1">
      <alignment horizontal="left" vertical="bottom"/>
    </xf>
    <xf borderId="0" fillId="13" fontId="30" numFmtId="1" xfId="0" applyAlignment="1" applyFont="1" applyNumberFormat="1">
      <alignment horizontal="left" vertical="bottom"/>
    </xf>
    <xf borderId="0" fillId="14" fontId="30" numFmtId="1" xfId="0" applyAlignment="1" applyFont="1" applyNumberFormat="1">
      <alignment horizontal="left" vertical="bottom"/>
    </xf>
    <xf borderId="0" fillId="15" fontId="30" numFmtId="1" xfId="0" applyAlignment="1" applyFont="1" applyNumberFormat="1">
      <alignment horizontal="left" vertical="bottom"/>
    </xf>
    <xf borderId="0" fillId="14" fontId="0" numFmtId="1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13" fontId="0" numFmtId="1" xfId="0" applyAlignment="1" applyFont="1" applyNumberFormat="1">
      <alignment horizontal="left"/>
    </xf>
    <xf borderId="0" fillId="14" fontId="6" numFmtId="1" xfId="0" applyAlignment="1" applyFont="1" applyNumberFormat="1">
      <alignment horizontal="left" vertical="bottom"/>
    </xf>
    <xf borderId="0" fillId="14" fontId="0" numFmtId="1" xfId="0" applyAlignment="1" applyFont="1" applyNumberFormat="1">
      <alignment horizontal="left"/>
    </xf>
    <xf borderId="0" fillId="15" fontId="6" numFmtId="1" xfId="0" applyAlignment="1" applyFont="1" applyNumberFormat="1">
      <alignment horizontal="left" vertical="bottom"/>
    </xf>
    <xf borderId="0" fillId="13" fontId="6" numFmtId="1" xfId="0" applyAlignment="1" applyFont="1" applyNumberFormat="1">
      <alignment horizontal="left" vertical="bottom"/>
    </xf>
    <xf borderId="0" fillId="15" fontId="7" numFmtId="1" xfId="0" applyAlignment="1" applyFont="1" applyNumberFormat="1">
      <alignment horizontal="left" vertical="bottom"/>
    </xf>
    <xf borderId="0" fillId="9" fontId="0" numFmtId="1" xfId="0" applyAlignment="1" applyFont="1" applyNumberFormat="1">
      <alignment horizontal="left"/>
    </xf>
    <xf borderId="0" fillId="0" fontId="6" numFmtId="0" xfId="0" applyAlignment="1" applyFont="1">
      <alignment horizontal="left" vertical="bottom"/>
    </xf>
    <xf borderId="0" fillId="13" fontId="0" numFmtId="1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3" fontId="32" numFmtId="0" xfId="0" applyFont="1"/>
    <xf borderId="0" fillId="3" fontId="32" numFmtId="0" xfId="0" applyAlignment="1" applyFont="1">
      <alignment readingOrder="0"/>
    </xf>
    <xf borderId="0" fillId="2" fontId="9" numFmtId="0" xfId="0" applyFont="1"/>
    <xf borderId="0" fillId="4" fontId="9" numFmtId="0" xfId="0" applyFont="1"/>
    <xf borderId="0" fillId="4" fontId="5" numFmtId="0" xfId="0" applyAlignment="1" applyFont="1">
      <alignment shrinkToFit="0" vertical="bottom" wrapText="0"/>
    </xf>
    <xf borderId="0" fillId="2" fontId="9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17" fontId="31" numFmtId="172" xfId="0" applyAlignment="1" applyFill="1" applyFont="1" applyNumberFormat="1">
      <alignment readingOrder="0" shrinkToFit="0" vertical="bottom" wrapText="0"/>
    </xf>
    <xf borderId="0" fillId="17" fontId="31" numFmtId="0" xfId="0" applyAlignment="1" applyFont="1">
      <alignment readingOrder="0" shrinkToFit="0" vertical="bottom" wrapText="0"/>
    </xf>
    <xf borderId="0" fillId="17" fontId="31" numFmtId="0" xfId="0" applyAlignment="1" applyFont="1">
      <alignment horizontal="left" readingOrder="0"/>
    </xf>
    <xf borderId="0" fillId="17" fontId="31" numFmtId="0" xfId="0" applyAlignment="1" applyFont="1">
      <alignment horizontal="right" readingOrder="0" shrinkToFit="0" vertical="bottom" wrapText="0"/>
    </xf>
    <xf borderId="0" fillId="2" fontId="5" numFmtId="172" xfId="0" applyAlignment="1" applyFont="1" applyNumberFormat="1">
      <alignment horizontal="right" vertical="bottom"/>
    </xf>
    <xf borderId="0" fillId="2" fontId="5" numFmtId="21" xfId="0" applyAlignment="1" applyFont="1" applyNumberFormat="1">
      <alignment horizontal="right" vertical="bottom"/>
    </xf>
    <xf borderId="0" fillId="2" fontId="5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top" wrapText="1"/>
    </xf>
    <xf borderId="0" fillId="0" fontId="29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vertical="top"/>
    </xf>
    <xf borderId="0" fillId="0" fontId="29" numFmtId="0" xfId="0" applyAlignment="1" applyFont="1">
      <alignment horizontal="right" shrinkToFit="0" wrapText="1"/>
    </xf>
    <xf borderId="0" fillId="2" fontId="5" numFmtId="0" xfId="0" applyAlignment="1" applyFont="1">
      <alignment horizontal="left"/>
    </xf>
    <xf borderId="0" fillId="2" fontId="29" numFmtId="0" xfId="0" applyAlignment="1" applyFont="1">
      <alignment horizontal="center" readingOrder="0" shrinkToFit="0" wrapText="1"/>
    </xf>
    <xf borderId="0" fillId="18" fontId="8" numFmtId="0" xfId="0" applyAlignment="1" applyFill="1" applyFont="1">
      <alignment shrinkToFit="0" vertical="top" wrapText="1"/>
    </xf>
    <xf borderId="0" fillId="18" fontId="29" numFmtId="0" xfId="0" applyAlignment="1" applyFont="1">
      <alignment shrinkToFit="0" vertical="top" wrapText="1"/>
    </xf>
    <xf borderId="0" fillId="18" fontId="9" numFmtId="0" xfId="0" applyAlignment="1" applyFont="1">
      <alignment vertical="top"/>
    </xf>
    <xf borderId="0" fillId="18" fontId="9" numFmtId="0" xfId="0" applyAlignment="1" applyFont="1">
      <alignment shrinkToFit="0" vertical="top" wrapText="1"/>
    </xf>
    <xf borderId="0" fillId="18" fontId="9" numFmtId="0" xfId="0" applyAlignment="1" applyFont="1">
      <alignment horizontal="right"/>
    </xf>
    <xf borderId="0" fillId="19" fontId="29" numFmtId="0" xfId="0" applyAlignment="1" applyFill="1" applyFont="1">
      <alignment horizontal="center" readingOrder="0" shrinkToFit="0" wrapText="1"/>
    </xf>
    <xf borderId="0" fillId="18" fontId="29" numFmtId="0" xfId="0" applyAlignment="1" applyFont="1">
      <alignment horizontal="right"/>
    </xf>
    <xf borderId="0" fillId="19" fontId="29" numFmtId="0" xfId="0" applyAlignment="1" applyFont="1">
      <alignment horizontal="center" shrinkToFit="0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horizontal="right" shrinkToFit="0" vertical="top" wrapText="1"/>
    </xf>
    <xf borderId="0" fillId="0" fontId="9" numFmtId="0" xfId="0" applyFont="1"/>
    <xf borderId="0" fillId="2" fontId="29" numFmtId="0" xfId="0" applyAlignment="1" applyFont="1">
      <alignment horizontal="center" shrinkToFit="0" wrapText="1"/>
    </xf>
    <xf borderId="0" fillId="0" fontId="29" numFmtId="0" xfId="0" applyAlignment="1" applyFont="1">
      <alignment horizontal="right" shrinkToFit="0" vertical="top" wrapText="1"/>
    </xf>
    <xf borderId="0" fillId="0" fontId="9" numFmtId="0" xfId="0" applyAlignment="1" applyFont="1">
      <alignment horizontal="right" shrinkToFit="0" vertical="top" wrapText="1"/>
    </xf>
    <xf borderId="0" fillId="0" fontId="9" numFmtId="0" xfId="0" applyAlignment="1" applyFont="1">
      <alignment horizontal="right" shrinkToFit="0" wrapText="1"/>
    </xf>
    <xf borderId="0" fillId="2" fontId="29" numFmtId="0" xfId="0" applyAlignment="1" applyFont="1">
      <alignment readingOrder="0"/>
    </xf>
    <xf borderId="0" fillId="18" fontId="29" numFmtId="0" xfId="0" applyAlignment="1" applyFont="1">
      <alignment horizontal="right" shrinkToFit="0" vertical="top" wrapText="1"/>
    </xf>
    <xf borderId="0" fillId="18" fontId="9" numFmtId="0" xfId="0" applyAlignment="1" applyFont="1">
      <alignment horizontal="right" shrinkToFit="0" vertical="top" wrapText="1"/>
    </xf>
    <xf borderId="0" fillId="2" fontId="5" numFmtId="172" xfId="0" applyAlignment="1" applyFont="1" applyNumberFormat="1">
      <alignment horizontal="center" vertical="bottom"/>
    </xf>
    <xf borderId="0" fillId="2" fontId="29" numFmtId="21" xfId="0" applyAlignment="1" applyFont="1" applyNumberForma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18" fontId="8" numFmtId="0" xfId="0" applyAlignment="1" applyFont="1">
      <alignment shrinkToFit="0" vertical="bottom" wrapText="1"/>
    </xf>
    <xf borderId="0" fillId="18" fontId="9" numFmtId="0" xfId="0" applyAlignment="1" applyFont="1">
      <alignment shrinkToFit="0" vertical="bottom" wrapText="1"/>
    </xf>
    <xf borderId="0" fillId="18" fontId="9" numFmtId="0" xfId="0" applyAlignment="1" applyFont="1">
      <alignment vertical="bottom"/>
    </xf>
    <xf borderId="0" fillId="18" fontId="29" numFmtId="0" xfId="0" applyAlignment="1" applyFont="1">
      <alignment vertical="bottom"/>
    </xf>
    <xf borderId="0" fillId="2" fontId="9" numFmtId="0" xfId="0" applyFont="1"/>
    <xf borderId="0" fillId="18" fontId="29" numFmtId="0" xfId="0" applyAlignment="1" applyFont="1">
      <alignment shrinkToFit="0" vertical="bottom" wrapText="1"/>
    </xf>
    <xf borderId="0" fillId="18" fontId="29" numFmtId="0" xfId="0" applyAlignment="1" applyFont="1">
      <alignment horizontal="right" shrinkToFit="0" vertical="bottom" wrapText="1"/>
    </xf>
    <xf borderId="0" fillId="18" fontId="9" numFmtId="0" xfId="0" applyAlignment="1" applyFont="1">
      <alignment horizontal="right" shrinkToFit="0" vertical="bottom" wrapText="1"/>
    </xf>
    <xf borderId="0" fillId="18" fontId="29" numFmtId="0" xfId="0" applyAlignment="1" applyFont="1">
      <alignment horizontal="center" shrinkToFit="0" wrapText="1"/>
    </xf>
    <xf borderId="0" fillId="0" fontId="29" numFmtId="0" xfId="0" applyAlignment="1" applyFont="1">
      <alignment shrinkToFit="0" vertical="bottom" wrapText="1"/>
    </xf>
    <xf borderId="0" fillId="0" fontId="29" numFmtId="0" xfId="0" applyAlignment="1" applyFont="1">
      <alignment horizontal="right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2" fontId="29" numFmtId="0" xfId="0" applyFont="1"/>
    <xf borderId="0" fillId="0" fontId="29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0"/>
    </xf>
    <xf borderId="0" fillId="0" fontId="29" numFmtId="0" xfId="0" applyAlignment="1" applyFont="1">
      <alignment shrinkToFit="0" vertical="bottom" wrapText="0"/>
    </xf>
    <xf borderId="0" fillId="2" fontId="8" numFmtId="0" xfId="0" applyAlignment="1" applyFont="1">
      <alignment readingOrder="0" vertical="bottom"/>
    </xf>
    <xf borderId="0" fillId="18" fontId="8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9" numFmtId="21" xfId="0" applyAlignment="1" applyFont="1" applyNumberFormat="1">
      <alignment vertical="bottom"/>
    </xf>
    <xf borderId="0" fillId="20" fontId="8" numFmtId="0" xfId="0" applyAlignment="1" applyFill="1" applyFont="1">
      <alignment horizontal="left" readingOrder="0"/>
    </xf>
    <xf borderId="0" fillId="2" fontId="8" numFmtId="172" xfId="0" applyAlignment="1" applyFont="1" applyNumberFormat="1">
      <alignment horizontal="right" readingOrder="0"/>
    </xf>
    <xf borderId="0" fillId="2" fontId="29" numFmtId="21" xfId="0" applyAlignment="1" applyFont="1" applyNumberForma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29" numFmtId="0" xfId="0" applyAlignment="1" applyFont="1">
      <alignment readingOrder="0" vertical="bottom"/>
    </xf>
    <xf borderId="0" fillId="2" fontId="5" numFmtId="172" xfId="0" applyAlignment="1" applyFont="1" applyNumberFormat="1">
      <alignment horizontal="right" readingOrder="0" vertical="bottom"/>
    </xf>
    <xf borderId="0" fillId="2" fontId="5" numFmtId="21" xfId="0" applyAlignment="1" applyFont="1" applyNumberFormat="1">
      <alignment horizontal="right" readingOrder="0" vertical="bottom"/>
    </xf>
    <xf borderId="0" fillId="0" fontId="29" numFmtId="0" xfId="0" applyAlignment="1" applyFont="1">
      <alignment horizontal="right" vertical="bottom"/>
    </xf>
    <xf borderId="0" fillId="2" fontId="5" numFmtId="166" xfId="0" applyAlignment="1" applyFont="1" applyNumberFormat="1">
      <alignment horizontal="right" readingOrder="0" vertical="bottom"/>
    </xf>
    <xf borderId="0" fillId="0" fontId="29" numFmtId="0" xfId="0" applyAlignment="1" applyFont="1">
      <alignment horizontal="right" readingOrder="0" vertical="bottom"/>
    </xf>
    <xf borderId="0" fillId="0" fontId="2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shrinkToFit="0" vertical="bottom" wrapText="0"/>
    </xf>
    <xf quotePrefix="1"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29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167" xfId="0" applyAlignment="1" applyFont="1" applyNumberFormat="1">
      <alignment horizontal="right" readingOrder="0" vertical="bottom"/>
    </xf>
    <xf borderId="0" fillId="21" fontId="33" numFmtId="170" xfId="0" applyAlignment="1" applyFill="1" applyFont="1" applyNumberFormat="1">
      <alignment horizontal="left" readingOrder="0" shrinkToFit="0" vertical="bottom" wrapText="0"/>
    </xf>
    <xf borderId="0" fillId="21" fontId="33" numFmtId="46" xfId="0" applyAlignment="1" applyFont="1" applyNumberFormat="1">
      <alignment horizontal="left" readingOrder="0" shrinkToFit="0" vertical="bottom" wrapText="0"/>
    </xf>
    <xf borderId="0" fillId="21" fontId="33" numFmtId="0" xfId="0" applyAlignment="1" applyFont="1">
      <alignment horizontal="right" readingOrder="0" shrinkToFit="0" vertical="bottom" wrapText="0"/>
    </xf>
    <xf borderId="0" fillId="21" fontId="33" numFmtId="0" xfId="0" applyAlignment="1" applyFont="1">
      <alignment horizontal="left" readingOrder="0" shrinkToFit="0" vertical="bottom" wrapText="0"/>
    </xf>
    <xf borderId="0" fillId="21" fontId="33" numFmtId="0" xfId="0" applyAlignment="1" applyFont="1">
      <alignment horizontal="center" readingOrder="0" shrinkToFit="0" vertical="bottom" wrapText="0"/>
    </xf>
    <xf borderId="0" fillId="22" fontId="33" numFmtId="0" xfId="0" applyAlignment="1" applyFill="1" applyFont="1">
      <alignment horizontal="left" readingOrder="0" shrinkToFit="0" vertical="bottom" wrapText="0"/>
    </xf>
    <xf borderId="0" fillId="2" fontId="11" numFmtId="172" xfId="0" applyAlignment="1" applyFont="1" applyNumberFormat="1">
      <alignment horizontal="left" vertical="bottom"/>
    </xf>
    <xf borderId="0" fillId="2" fontId="11" numFmtId="21" xfId="0" applyAlignment="1" applyFont="1" applyNumberFormat="1">
      <alignment horizontal="left" vertical="bottom"/>
    </xf>
    <xf borderId="0" fillId="2" fontId="11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right" readingOrder="0" shrinkToFit="0" vertical="bottom" wrapText="0"/>
    </xf>
    <xf borderId="0" fillId="2" fontId="8" numFmtId="0" xfId="0" applyAlignment="1" applyFont="1">
      <alignment horizontal="left" shrinkToFit="0" vertical="bottom" wrapText="0"/>
    </xf>
    <xf borderId="0" fillId="20" fontId="11" numFmtId="172" xfId="0" applyAlignment="1" applyFont="1" applyNumberFormat="1">
      <alignment horizontal="left" vertical="bottom"/>
    </xf>
    <xf borderId="0" fillId="20" fontId="11" numFmtId="21" xfId="0" applyAlignment="1" applyFont="1" applyNumberFormat="1">
      <alignment horizontal="left" vertical="bottom"/>
    </xf>
    <xf borderId="0" fillId="20" fontId="11" numFmtId="0" xfId="0" applyAlignment="1" applyFont="1">
      <alignment horizontal="right" readingOrder="0" shrinkToFit="0" vertical="bottom" wrapText="0"/>
    </xf>
    <xf borderId="0" fillId="20" fontId="8" numFmtId="0" xfId="0" applyAlignment="1" applyFont="1">
      <alignment horizontal="left" readingOrder="0" shrinkToFit="0" vertical="bottom" wrapText="0"/>
    </xf>
    <xf borderId="0" fillId="20" fontId="11" numFmtId="0" xfId="0" applyAlignment="1" applyFont="1">
      <alignment horizontal="left" readingOrder="0" shrinkToFit="0" vertical="bottom" wrapText="0"/>
    </xf>
    <xf borderId="0" fillId="20" fontId="8" numFmtId="0" xfId="0" applyAlignment="1" applyFont="1">
      <alignment horizontal="left" readingOrder="0" shrinkToFit="0" vertical="bottom" wrapText="0"/>
    </xf>
    <xf borderId="0" fillId="20" fontId="8" numFmtId="0" xfId="0" applyAlignment="1" applyFont="1">
      <alignment horizontal="right" readingOrder="0" shrinkToFit="0" vertical="bottom" wrapText="0"/>
    </xf>
    <xf borderId="0" fillId="20" fontId="8" numFmtId="0" xfId="0" applyAlignment="1" applyFont="1">
      <alignment horizontal="left" shrinkToFit="0" vertical="bottom" wrapText="0"/>
    </xf>
    <xf borderId="0" fillId="20" fontId="29" numFmtId="21" xfId="0" applyAlignment="1" applyFont="1" applyNumberFormat="1">
      <alignment horizontal="left" vertical="bottom"/>
    </xf>
    <xf borderId="0" fillId="2" fontId="29" numFmtId="21" xfId="0" applyAlignment="1" applyFont="1" applyNumberFormat="1">
      <alignment horizontal="left" vertical="bottom"/>
    </xf>
    <xf borderId="0" fillId="2" fontId="11" numFmtId="0" xfId="0" applyAlignment="1" applyFont="1">
      <alignment horizontal="left" shrinkToFit="0" wrapText="1"/>
    </xf>
    <xf borderId="0" fillId="2" fontId="11" numFmtId="0" xfId="0" applyAlignment="1" applyFont="1">
      <alignment horizontal="left" readingOrder="0" shrinkToFit="0" wrapText="1"/>
    </xf>
    <xf borderId="0" fillId="2" fontId="34" numFmtId="0" xfId="0" applyAlignment="1" applyFont="1">
      <alignment horizontal="left" shrinkToFit="0" wrapText="1"/>
    </xf>
    <xf borderId="0" fillId="2" fontId="11" numFmtId="0" xfId="0" applyAlignment="1" applyFont="1">
      <alignment horizontal="right" shrinkToFit="0" wrapText="1"/>
    </xf>
    <xf borderId="0" fillId="2" fontId="11" numFmtId="1" xfId="0" applyAlignment="1" applyFont="1" applyNumberFormat="1">
      <alignment horizontal="right" shrinkToFit="0" wrapText="1"/>
    </xf>
    <xf borderId="0" fillId="2" fontId="35" numFmtId="0" xfId="0" applyAlignment="1" applyFont="1">
      <alignment horizontal="left" vertical="bottom"/>
    </xf>
    <xf borderId="0" fillId="2" fontId="36" numFmtId="0" xfId="0" applyAlignment="1" applyFont="1">
      <alignment horizontal="left" readingOrder="0"/>
    </xf>
    <xf borderId="0" fillId="20" fontId="11" numFmtId="0" xfId="0" applyAlignment="1" applyFont="1">
      <alignment horizontal="left" shrinkToFit="0" wrapText="1"/>
    </xf>
    <xf borderId="0" fillId="20" fontId="11" numFmtId="0" xfId="0" applyAlignment="1" applyFont="1">
      <alignment horizontal="left" readingOrder="0" shrinkToFit="0" wrapText="1"/>
    </xf>
    <xf borderId="0" fillId="20" fontId="11" numFmtId="0" xfId="0" applyAlignment="1" applyFont="1">
      <alignment horizontal="right" shrinkToFit="0" wrapText="1"/>
    </xf>
    <xf borderId="0" fillId="20" fontId="11" numFmtId="1" xfId="0" applyAlignment="1" applyFont="1" applyNumberFormat="1">
      <alignment horizontal="right" shrinkToFit="0" wrapText="1"/>
    </xf>
    <xf borderId="0" fillId="20" fontId="35" numFmtId="0" xfId="0" applyAlignment="1" applyFont="1">
      <alignment horizontal="left" vertical="bottom"/>
    </xf>
    <xf borderId="0" fillId="20" fontId="36" numFmtId="0" xfId="0" applyAlignment="1" applyFont="1">
      <alignment horizontal="left" readingOrder="0"/>
    </xf>
    <xf borderId="0" fillId="2" fontId="35" numFmtId="0" xfId="0" applyAlignment="1" applyFont="1">
      <alignment horizontal="left"/>
    </xf>
    <xf borderId="0" fillId="20" fontId="35" numFmtId="0" xfId="0" applyAlignment="1" applyFont="1">
      <alignment horizontal="left"/>
    </xf>
    <xf borderId="0" fillId="2" fontId="35" numFmtId="0" xfId="0" applyAlignment="1" applyFont="1">
      <alignment horizontal="left" readingOrder="0"/>
    </xf>
    <xf borderId="0" fillId="20" fontId="35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0" fontId="11" numFmtId="0" xfId="0" applyAlignment="1" applyFont="1">
      <alignment horizontal="left"/>
    </xf>
    <xf borderId="0" fillId="20" fontId="11" numFmtId="1" xfId="0" applyAlignment="1" applyFont="1" applyNumberFormat="1">
      <alignment horizontal="right"/>
    </xf>
    <xf borderId="0" fillId="2" fontId="11" numFmtId="1" xfId="0" applyAlignment="1" applyFont="1" applyNumberFormat="1">
      <alignment horizontal="right"/>
    </xf>
    <xf borderId="0" fillId="20" fontId="37" numFmtId="0" xfId="0" applyAlignment="1" applyFont="1">
      <alignment horizontal="left" shrinkToFit="0" wrapText="1"/>
    </xf>
    <xf borderId="0" fillId="2" fontId="11" numFmtId="0" xfId="0" applyAlignment="1" applyFont="1">
      <alignment horizontal="left"/>
    </xf>
    <xf borderId="0" fillId="2" fontId="37" numFmtId="0" xfId="0" applyAlignment="1" applyFont="1">
      <alignment horizontal="left" shrinkToFit="0" wrapText="1"/>
    </xf>
    <xf borderId="0" fillId="20" fontId="11" numFmtId="0" xfId="0" applyAlignment="1" applyFont="1">
      <alignment horizontal="left" readingOrder="0"/>
    </xf>
    <xf borderId="0" fillId="20" fontId="11" numFmtId="0" xfId="0" applyAlignment="1" applyFont="1">
      <alignment horizontal="right"/>
    </xf>
    <xf borderId="0" fillId="2" fontId="11" numFmtId="0" xfId="0" applyAlignment="1" applyFont="1">
      <alignment horizontal="right"/>
    </xf>
    <xf borderId="0" fillId="2" fontId="38" numFmtId="0" xfId="0" applyAlignment="1" applyFont="1">
      <alignment horizontal="left" vertical="bottom"/>
    </xf>
    <xf borderId="0" fillId="2" fontId="39" numFmtId="0" xfId="0" applyAlignment="1" applyFont="1">
      <alignment horizontal="left" vertical="bottom"/>
    </xf>
    <xf borderId="0" fillId="2" fontId="38" numFmtId="0" xfId="0" applyAlignment="1" applyFont="1">
      <alignment horizontal="right" vertical="bottom"/>
    </xf>
    <xf borderId="0" fillId="2" fontId="35" numFmtId="0" xfId="0" applyAlignment="1" applyFont="1">
      <alignment horizontal="left" readingOrder="0" vertical="bottom"/>
    </xf>
    <xf borderId="0" fillId="20" fontId="9" numFmtId="172" xfId="0" applyAlignment="1" applyFont="1" applyNumberFormat="1">
      <alignment horizontal="right" vertical="bottom"/>
    </xf>
    <xf borderId="0" fillId="20" fontId="9" numFmtId="169" xfId="0" applyAlignment="1" applyFont="1" applyNumberFormat="1">
      <alignment horizontal="right" vertical="bottom"/>
    </xf>
    <xf borderId="0" fillId="20" fontId="38" numFmtId="0" xfId="0" applyAlignment="1" applyFont="1">
      <alignment horizontal="left" vertical="bottom"/>
    </xf>
    <xf borderId="0" fillId="20" fontId="38" numFmtId="0" xfId="0" applyAlignment="1" applyFont="1">
      <alignment horizontal="left" shrinkToFit="0" vertical="bottom" wrapText="1"/>
    </xf>
    <xf borderId="0" fillId="20" fontId="38" numFmtId="0" xfId="0" applyAlignment="1" applyFont="1">
      <alignment horizontal="right" vertical="bottom"/>
    </xf>
    <xf borderId="0" fillId="20" fontId="35" numFmtId="1" xfId="0" applyAlignment="1" applyFont="1" applyNumberFormat="1">
      <alignment horizontal="right" vertical="bottom"/>
    </xf>
    <xf borderId="0" fillId="20" fontId="35" numFmtId="0" xfId="0" applyAlignment="1" applyFont="1">
      <alignment horizontal="left" readingOrder="0" vertical="bottom"/>
    </xf>
    <xf borderId="0" fillId="2" fontId="38" numFmtId="0" xfId="0" applyAlignment="1" applyFont="1">
      <alignment horizontal="left" shrinkToFit="0" vertical="bottom" wrapText="1"/>
    </xf>
    <xf borderId="0" fillId="2" fontId="35" numFmtId="1" xfId="0" applyAlignment="1" applyFont="1" applyNumberFormat="1">
      <alignment horizontal="right" vertical="bottom"/>
    </xf>
    <xf borderId="0" fillId="2" fontId="38" numFmtId="0" xfId="0" applyAlignment="1" applyFont="1">
      <alignment horizontal="left" shrinkToFit="0" vertical="bottom" wrapText="0"/>
    </xf>
    <xf borderId="0" fillId="2" fontId="38" numFmtId="0" xfId="0" applyAlignment="1" applyFont="1">
      <alignment horizontal="left"/>
    </xf>
    <xf borderId="0" fillId="20" fontId="40" numFmtId="0" xfId="0" applyAlignment="1" applyFont="1">
      <alignment horizontal="left" vertical="bottom"/>
    </xf>
    <xf borderId="0" fillId="20" fontId="38" numFmtId="0" xfId="0" applyAlignment="1" applyFont="1">
      <alignment horizontal="left" readingOrder="0" vertical="bottom"/>
    </xf>
    <xf borderId="0" fillId="20" fontId="38" numFmtId="0" xfId="0" applyAlignment="1" applyFont="1">
      <alignment horizontal="left" readingOrder="0" shrinkToFit="0" vertical="bottom" wrapText="1"/>
    </xf>
    <xf borderId="0" fillId="20" fontId="38" numFmtId="0" xfId="0" applyAlignment="1" applyFont="1">
      <alignment horizontal="right" readingOrder="0" vertical="bottom"/>
    </xf>
    <xf borderId="0" fillId="20" fontId="35" numFmtId="0" xfId="0" applyAlignment="1" applyFont="1">
      <alignment horizontal="right" readingOrder="0" vertical="bottom"/>
    </xf>
    <xf borderId="0" fillId="2" fontId="29" numFmtId="172" xfId="0" applyAlignment="1" applyFont="1" applyNumberFormat="1">
      <alignment horizontal="right" vertical="bottom"/>
    </xf>
    <xf borderId="0" fillId="2" fontId="29" numFmtId="169" xfId="0" applyAlignment="1" applyFont="1" applyNumberFormat="1">
      <alignment horizontal="right" vertical="bottom"/>
    </xf>
    <xf borderId="0" fillId="2" fontId="29" numFmtId="0" xfId="0" applyAlignment="1" applyFont="1">
      <alignment vertical="bottom"/>
    </xf>
    <xf borderId="0" fillId="2" fontId="29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0" fontId="29" numFmtId="172" xfId="0" applyAlignment="1" applyFont="1" applyNumberFormat="1">
      <alignment horizontal="right" vertical="bottom"/>
    </xf>
    <xf borderId="0" fillId="20" fontId="29" numFmtId="169" xfId="0" applyAlignment="1" applyFont="1" applyNumberFormat="1">
      <alignment horizontal="right" vertical="bottom"/>
    </xf>
    <xf borderId="0" fillId="20" fontId="29" numFmtId="0" xfId="0" applyAlignment="1" applyFont="1">
      <alignment vertical="bottom"/>
    </xf>
    <xf borderId="0" fillId="20" fontId="29" numFmtId="0" xfId="0" applyAlignment="1" applyFont="1">
      <alignment horizontal="right" vertical="bottom"/>
    </xf>
    <xf borderId="0" fillId="20" fontId="9" numFmtId="0" xfId="0" applyAlignment="1" applyFont="1">
      <alignment horizontal="right" vertical="bottom"/>
    </xf>
    <xf borderId="0" fillId="20" fontId="9" numFmtId="0" xfId="0" applyAlignment="1" applyFont="1">
      <alignment readingOrder="0"/>
    </xf>
    <xf borderId="0" fillId="20" fontId="9" numFmtId="0" xfId="0" applyAlignment="1" applyFont="1">
      <alignment vertical="bottom"/>
    </xf>
    <xf borderId="0" fillId="20" fontId="29" numFmtId="166" xfId="0" applyAlignment="1" applyFont="1" applyNumberFormat="1">
      <alignment horizontal="right" vertical="bottom"/>
    </xf>
    <xf borderId="0" fillId="20" fontId="29" numFmtId="21" xfId="0" applyAlignment="1" applyFont="1" applyNumberFormat="1">
      <alignment horizontal="right" vertical="bottom"/>
    </xf>
    <xf borderId="0" fillId="20" fontId="29" numFmtId="0" xfId="0" applyAlignment="1" applyFont="1">
      <alignment readingOrder="0" vertical="bottom"/>
    </xf>
    <xf borderId="0" fillId="20" fontId="29" numFmtId="0" xfId="0" applyAlignment="1" applyFont="1">
      <alignment horizontal="right" readingOrder="0" vertical="bottom"/>
    </xf>
    <xf borderId="0" fillId="20" fontId="9" numFmtId="0" xfId="0" applyAlignment="1" applyFont="1">
      <alignment horizontal="right" readingOrder="0" vertical="bottom"/>
    </xf>
    <xf borderId="0" fillId="2" fontId="29" numFmtId="166" xfId="0" applyAlignment="1" applyFont="1" applyNumberFormat="1">
      <alignment horizontal="right" vertical="bottom"/>
    </xf>
    <xf borderId="0" fillId="2" fontId="29" numFmtId="21" xfId="0" applyAlignment="1" applyFont="1" applyNumberFormat="1">
      <alignment horizontal="right" vertical="bottom"/>
    </xf>
    <xf borderId="0" fillId="2" fontId="29" numFmtId="0" xfId="0" applyAlignment="1" applyFont="1">
      <alignment readingOrder="0" vertical="bottom"/>
    </xf>
    <xf borderId="0" fillId="2" fontId="29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 vertical="bottom"/>
    </xf>
    <xf borderId="0" fillId="2" fontId="29" numFmtId="166" xfId="0" applyAlignment="1" applyFont="1" applyNumberFormat="1">
      <alignment horizontal="right" readingOrder="0" vertical="bottom"/>
    </xf>
    <xf borderId="0" fillId="2" fontId="29" numFmtId="21" xfId="0" applyAlignment="1" applyFont="1" applyNumberFormat="1">
      <alignment horizontal="right" readingOrder="0" vertical="bottom"/>
    </xf>
    <xf borderId="0" fillId="20" fontId="29" numFmtId="166" xfId="0" applyAlignment="1" applyFont="1" applyNumberFormat="1">
      <alignment horizontal="right" readingOrder="0" vertical="bottom"/>
    </xf>
    <xf borderId="0" fillId="20" fontId="29" numFmtId="21" xfId="0" applyAlignment="1" applyFont="1" applyNumberFormat="1">
      <alignment horizontal="right" readingOrder="0" vertical="bottom"/>
    </xf>
    <xf borderId="0" fillId="20" fontId="9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2" fontId="29" numFmtId="167" xfId="0" applyAlignment="1" applyFont="1" applyNumberFormat="1">
      <alignment horizontal="right" readingOrder="0" vertical="bottom"/>
    </xf>
    <xf borderId="0" fillId="20" fontId="29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7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Makers_BD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60" displayName="Table_1" id="1">
  <tableColumns count="26">
    <tableColumn name="Data" id="1"/>
    <tableColumn name="Hora" id="2"/>
    <tableColumn name="Maker nº " id="3"/>
    <tableColumn name="Maker" id="4"/>
    <tableColumn name="E-mail" id="5"/>
    <tableColumn name="Telefone" id="6"/>
    <tableColumn name="Nº de máquinas" id="7"/>
    <tableColumn name="Modelo das máquinas" id="8"/>
    <tableColumn name="Observações" id="9"/>
    <tableColumn name="Materiais - Impressão" id="10"/>
    <tableColumn name="País" id="11"/>
    <tableColumn name="Estado" id="12"/>
    <tableColumn name="Região" id="13"/>
    <tableColumn name="Cidade" id="14"/>
    <tableColumn name="Bairro" id="15"/>
    <tableColumn name="Endereço" id="16"/>
    <tableColumn name="CEP" id="17"/>
    <tableColumn name="# Protetores" id="18"/>
    <tableColumn name="# Máscaras" id="19"/>
    <tableColumn name="# Suportes" id="20"/>
    <tableColumn name="# Óculos" id="21"/>
    <tableColumn name="#  PLA" id="22"/>
    <tableColumn name="# ABS" id="23"/>
    <tableColumn name="# PETG" id="24"/>
    <tableColumn name="# ACETATO" id="25"/>
    <tableColumn name="LAT/LON" id="26"/>
  </tableColumns>
  <tableStyleInfo name="Makers_B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9.0" customHeight="1">
      <c r="A1" s="1" t="s">
        <v>0</v>
      </c>
    </row>
    <row r="2" ht="39.0" customHeight="1">
      <c r="A2" s="2" t="s">
        <v>1</v>
      </c>
    </row>
    <row r="3" ht="39.0" customHeight="1"/>
    <row r="4" ht="39.0" customHeight="1"/>
    <row r="5" ht="39.0" customHeight="1"/>
    <row r="6" ht="39.0" customHeight="1"/>
    <row r="7" ht="39.0" customHeight="1"/>
    <row r="8" ht="39.0" customHeight="1"/>
    <row r="9" ht="39.0" customHeight="1"/>
    <row r="10" ht="39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3.86"/>
    <col customWidth="1" min="4" max="4" width="49.29"/>
    <col customWidth="1" min="5" max="5" width="23.43"/>
    <col customWidth="1" min="6" max="6" width="16.43"/>
    <col customWidth="1" min="7" max="7" width="22.0"/>
    <col customWidth="1" min="8" max="8" width="31.14"/>
    <col customWidth="1" min="9" max="9" width="11.0"/>
    <col customWidth="1" min="12" max="12" width="21.0"/>
    <col customWidth="1" min="13" max="13" width="31.29"/>
    <col customWidth="1" min="14" max="31" width="9.43"/>
    <col customWidth="1" min="32" max="32" width="29.86"/>
    <col customWidth="1" min="33" max="35" width="11.71"/>
  </cols>
  <sheetData>
    <row r="1" ht="27.0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5" t="s">
        <v>11</v>
      </c>
      <c r="K1" s="5" t="s">
        <v>12</v>
      </c>
      <c r="L1" s="4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</row>
    <row r="2" ht="19.5" customHeight="1">
      <c r="A2" s="7"/>
      <c r="B2" s="8"/>
      <c r="C2" s="9">
        <f t="array" ref="C2:C433">ROW(A2:A433)-1</f>
        <v>1</v>
      </c>
      <c r="D2" s="10" t="s">
        <v>37</v>
      </c>
      <c r="E2" s="10" t="s">
        <v>38</v>
      </c>
      <c r="F2" s="10" t="s">
        <v>39</v>
      </c>
      <c r="G2" s="10" t="s">
        <v>39</v>
      </c>
      <c r="H2" s="9" t="s">
        <v>40</v>
      </c>
      <c r="I2" s="11" t="s">
        <v>41</v>
      </c>
      <c r="J2" s="12"/>
      <c r="K2" s="12"/>
      <c r="L2" s="13"/>
      <c r="M2" s="14"/>
      <c r="N2" s="9">
        <f>IFERROR(__xludf.DUMMYFUNCTION("SUM(QUERY(Entregas_BD!D:L,""select G where D='""&amp;D2&amp;""'"",1))"),0.0)</f>
        <v>0</v>
      </c>
      <c r="O2" s="9">
        <f>IFERROR(__xludf.DUMMYFUNCTION("SUM(QUERY(Entregas_BD!D:L,""select H where D='""&amp;D2&amp;""'"",1))"),0.0)</f>
        <v>0</v>
      </c>
      <c r="P2" s="9">
        <f>IFERROR(__xludf.DUMMYFUNCTION("SUM(QUERY(Entregas_BD!D:L,""select I where D='""&amp;D2&amp;""'"",1))"),0.0)</f>
        <v>0</v>
      </c>
      <c r="Q2" s="9">
        <f>IFERROR(__xludf.DUMMYFUNCTION("SUM(QUERY(Entregas_BD!D:L,""select J where D='""&amp;D2&amp;""'"",1))"),0.0)</f>
        <v>0</v>
      </c>
      <c r="R2" s="15">
        <f>IFERROR(__xludf.DUMMYFUNCTION("SUM(QUERY(Entregas_BD!D:L,""select K where D='""&amp;D2&amp;""'"",1))"),0.0)</f>
        <v>0</v>
      </c>
      <c r="S2" s="15">
        <f>IFERROR(__xludf.DUMMYFUNCTION("SUM(QUERY(Entregas_BD!D:L,""select L where D='""&amp;D2&amp;""'"",1))"),0.0)</f>
        <v>0</v>
      </c>
      <c r="T2" s="9">
        <f>IFERROR(__xludf.DUMMYFUNCTION("SUM(QUERY(Entregas_BD!D:AL,""select AG where D='""&amp;D2&amp;""'"",1))"),0.0)</f>
        <v>0</v>
      </c>
      <c r="U2" s="9">
        <f>IFERROR(__xludf.DUMMYFUNCTION("SUM(QUERY(Entregas_BD!D:AL,""select AH where D='""&amp;D2&amp;""'"",1))"),0.0)</f>
        <v>0</v>
      </c>
      <c r="V2" s="9">
        <f>IFERROR(__xludf.DUMMYFUNCTION("SUM(QUERY(Entregas_BD!D:AL,""select AI where D='""&amp;D2&amp;""'"",1))"),0.0)</f>
        <v>0</v>
      </c>
      <c r="W2" s="9">
        <f>IFERROR(__xludf.DUMMYFUNCTION("SUM(QUERY(Entregas_BD!D:AL,""select AJ where D='""&amp;D2&amp;""'"",1))"),0.0)</f>
        <v>0</v>
      </c>
      <c r="X2" s="9">
        <f>IFERROR(__xludf.DUMMYFUNCTION("SUM(QUERY(Entregas_BD!D:AL,""select AL where D='""&amp;D2&amp;""'"",1))"),0.0)</f>
        <v>0</v>
      </c>
      <c r="Y2" s="9">
        <f>IFERROR(__xludf.DUMMYFUNCTION("SUM(QUERY(Entregas_BD!D:AL,""select AK where D='""&amp;D2&amp;""'"",1))"),0.0)</f>
        <v>0</v>
      </c>
      <c r="Z2" s="9">
        <f t="array" ref="Z2:Z433">N2:N433-T2:T433</f>
        <v>0</v>
      </c>
      <c r="AA2" s="9">
        <f t="array" ref="AA2:AA433">O2:O433-U2:U433</f>
        <v>0</v>
      </c>
      <c r="AB2" s="9">
        <f t="array" ref="AB2:AB433">P2:P433-V2:V433</f>
        <v>0</v>
      </c>
      <c r="AC2" s="9">
        <f t="array" ref="AC2:AC433">Q2:Q433-W2:W433</f>
        <v>0</v>
      </c>
      <c r="AD2" s="9">
        <f t="array" ref="AD2:AD433">R2:R433-Y2:Y433</f>
        <v>0</v>
      </c>
      <c r="AE2" s="9">
        <f t="array" ref="AE2:AE433">S2:S433-X2:X433</f>
        <v>0</v>
      </c>
      <c r="AF2" s="16" t="s">
        <v>42</v>
      </c>
      <c r="AG2" s="15">
        <f>IFERROR(__xludf.DUMMYFUNCTION("SUM(QUERY(Entregas_BD!D:W,""select U where D='""&amp;D2&amp;""'"",1))"),0.0)</f>
        <v>0</v>
      </c>
      <c r="AH2" s="15">
        <f>IFERROR(__xludf.DUMMYFUNCTION("SUM(QUERY(Entregas_BD!D:W,""select S where D='""&amp;D2&amp;""'"",1))"),0.0)</f>
        <v>0</v>
      </c>
      <c r="AI2" s="15">
        <f>IFERROR(__xludf.DUMMYFUNCTION("SUM(QUERY(Entregas_BD!D:W,""select T where D='""&amp;D2&amp;""'"",1))"),0.0)</f>
        <v>0</v>
      </c>
    </row>
    <row r="3" ht="19.5" customHeight="1">
      <c r="A3" s="17"/>
      <c r="B3" s="18"/>
      <c r="C3" s="19">
        <v>2.0</v>
      </c>
      <c r="D3" s="20" t="s">
        <v>43</v>
      </c>
      <c r="E3" s="20" t="s">
        <v>44</v>
      </c>
      <c r="F3" s="20" t="s">
        <v>45</v>
      </c>
      <c r="G3" s="20" t="s">
        <v>46</v>
      </c>
      <c r="H3" s="19" t="s">
        <v>40</v>
      </c>
      <c r="I3" s="21" t="s">
        <v>47</v>
      </c>
      <c r="J3" s="19"/>
      <c r="K3" s="22"/>
      <c r="L3" s="23"/>
      <c r="M3" s="22"/>
      <c r="N3" s="19">
        <f>IFERROR(__xludf.DUMMYFUNCTION("SUM(QUERY(Entregas_BD!D:L,""select G where D='""&amp;D3&amp;""'"",1))"),0.0)</f>
        <v>0</v>
      </c>
      <c r="O3" s="19">
        <f>IFERROR(__xludf.DUMMYFUNCTION("SUM(QUERY(Entregas_BD!D:L,""select H where D='""&amp;D3&amp;""'"",1))"),0.0)</f>
        <v>0</v>
      </c>
      <c r="P3" s="19">
        <f>IFERROR(__xludf.DUMMYFUNCTION("SUM(QUERY(Entregas_BD!D:L,""select I where D='""&amp;D3&amp;""'"",1))"),0.0)</f>
        <v>0</v>
      </c>
      <c r="Q3" s="19">
        <f>IFERROR(__xludf.DUMMYFUNCTION("SUM(QUERY(Entregas_BD!D:L,""select J where D='""&amp;D3&amp;""'"",1))"),0.0)</f>
        <v>0</v>
      </c>
      <c r="R3" s="24">
        <f>IFERROR(__xludf.DUMMYFUNCTION("SUM(QUERY(Entregas_BD!D:L,""select K where D='""&amp;D3&amp;""'"",1))"),0.0)</f>
        <v>0</v>
      </c>
      <c r="S3" s="24">
        <f>IFERROR(__xludf.DUMMYFUNCTION("SUM(QUERY(Entregas_BD!D:L,""select L where D='""&amp;D3&amp;""'"",1))"),0.0)</f>
        <v>0</v>
      </c>
      <c r="T3" s="19">
        <f>IFERROR(__xludf.DUMMYFUNCTION("SUM(QUERY(Entregas_BD!D:AL,""select AG where D='""&amp;D3&amp;""'"",1))"),0.0)</f>
        <v>0</v>
      </c>
      <c r="U3" s="19">
        <f>IFERROR(__xludf.DUMMYFUNCTION("SUM(QUERY(Entregas_BD!D:AL,""select AH where D='""&amp;D3&amp;""'"",1))"),0.0)</f>
        <v>0</v>
      </c>
      <c r="V3" s="19">
        <f>IFERROR(__xludf.DUMMYFUNCTION("SUM(QUERY(Entregas_BD!D:AL,""select AI where D='""&amp;D3&amp;""'"",1))"),0.0)</f>
        <v>0</v>
      </c>
      <c r="W3" s="19">
        <f>IFERROR(__xludf.DUMMYFUNCTION("SUM(QUERY(Entregas_BD!D:AL,""select AJ where D='""&amp;D3&amp;""'"",1))"),0.0)</f>
        <v>0</v>
      </c>
      <c r="X3" s="19">
        <f>IFERROR(__xludf.DUMMYFUNCTION("SUM(QUERY(Entregas_BD!D:AL,""select AL where D='""&amp;D3&amp;""'"",1))"),0.0)</f>
        <v>0</v>
      </c>
      <c r="Y3" s="19">
        <f>IFERROR(__xludf.DUMMYFUNCTION("SUM(QUERY(Entregas_BD!D:AL,""select AK where D='""&amp;D3&amp;""'"",1))"),0.0)</f>
        <v>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25" t="s">
        <v>48</v>
      </c>
      <c r="AG3" s="24">
        <f>IFERROR(__xludf.DUMMYFUNCTION("SUM(QUERY(Entregas_BD!D:W,""select U where D='""&amp;D3&amp;""'"",1))"),0.0)</f>
        <v>0</v>
      </c>
      <c r="AH3" s="24">
        <f>IFERROR(__xludf.DUMMYFUNCTION("SUM(QUERY(Entregas_BD!D:W,""select S where D='""&amp;D3&amp;""'"",1))"),0.0)</f>
        <v>0</v>
      </c>
      <c r="AI3" s="24">
        <f>IFERROR(__xludf.DUMMYFUNCTION("SUM(QUERY(Entregas_BD!D:W,""select T where D='""&amp;D3&amp;""'"",1))"),0.0)</f>
        <v>0</v>
      </c>
    </row>
    <row r="4" ht="19.5" customHeight="1">
      <c r="A4" s="26"/>
      <c r="B4" s="27"/>
      <c r="C4" s="9">
        <v>3.0</v>
      </c>
      <c r="D4" s="10" t="s">
        <v>49</v>
      </c>
      <c r="E4" s="10" t="s">
        <v>44</v>
      </c>
      <c r="F4" s="10" t="s">
        <v>45</v>
      </c>
      <c r="G4" s="10" t="s">
        <v>50</v>
      </c>
      <c r="H4" s="9" t="s">
        <v>51</v>
      </c>
      <c r="I4" s="11" t="s">
        <v>47</v>
      </c>
      <c r="J4" s="9"/>
      <c r="K4" s="28"/>
      <c r="L4" s="29"/>
      <c r="M4" s="28"/>
      <c r="N4" s="9">
        <f>IFERROR(__xludf.DUMMYFUNCTION("SUM(QUERY(Entregas_BD!D:L,""select G where D='""&amp;D4&amp;""'"",1))"),0.0)</f>
        <v>0</v>
      </c>
      <c r="O4" s="9">
        <f>IFERROR(__xludf.DUMMYFUNCTION("SUM(QUERY(Entregas_BD!D:L,""select H where D='""&amp;D4&amp;""'"",1))"),0.0)</f>
        <v>0</v>
      </c>
      <c r="P4" s="9">
        <f>IFERROR(__xludf.DUMMYFUNCTION("SUM(QUERY(Entregas_BD!D:L,""select I where D='""&amp;D4&amp;""'"",1))"),0.0)</f>
        <v>0</v>
      </c>
      <c r="Q4" s="9">
        <f>IFERROR(__xludf.DUMMYFUNCTION("SUM(QUERY(Entregas_BD!D:L,""select J where D='""&amp;D4&amp;""'"",1))"),0.0)</f>
        <v>0</v>
      </c>
      <c r="R4" s="15">
        <f>IFERROR(__xludf.DUMMYFUNCTION("SUM(QUERY(Entregas_BD!D:L,""select K where D='""&amp;D4&amp;""'"",1))"),0.0)</f>
        <v>0</v>
      </c>
      <c r="S4" s="15">
        <f>IFERROR(__xludf.DUMMYFUNCTION("SUM(QUERY(Entregas_BD!D:L,""select L where D='""&amp;D4&amp;""'"",1))"),0.0)</f>
        <v>0</v>
      </c>
      <c r="T4" s="9">
        <f>IFERROR(__xludf.DUMMYFUNCTION("SUM(QUERY(Entregas_BD!D:AL,""select AG where D='""&amp;D4&amp;""'"",1))"),0.0)</f>
        <v>0</v>
      </c>
      <c r="U4" s="9">
        <f>IFERROR(__xludf.DUMMYFUNCTION("SUM(QUERY(Entregas_BD!D:AL,""select AH where D='""&amp;D4&amp;""'"",1))"),0.0)</f>
        <v>0</v>
      </c>
      <c r="V4" s="9">
        <f>IFERROR(__xludf.DUMMYFUNCTION("SUM(QUERY(Entregas_BD!D:AL,""select AI where D='""&amp;D4&amp;""'"",1))"),0.0)</f>
        <v>0</v>
      </c>
      <c r="W4" s="9">
        <f>IFERROR(__xludf.DUMMYFUNCTION("SUM(QUERY(Entregas_BD!D:AL,""select AJ where D='""&amp;D4&amp;""'"",1))"),0.0)</f>
        <v>0</v>
      </c>
      <c r="X4" s="9">
        <f>IFERROR(__xludf.DUMMYFUNCTION("SUM(QUERY(Entregas_BD!D:AL,""select AL where D='""&amp;D4&amp;""'"",1))"),0.0)</f>
        <v>0</v>
      </c>
      <c r="Y4" s="9">
        <f>IFERROR(__xludf.DUMMYFUNCTION("SUM(QUERY(Entregas_BD!D:AL,""select AK where D='""&amp;D4&amp;""'"",1))"),0.0)</f>
        <v>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30" t="s">
        <v>52</v>
      </c>
      <c r="AG4" s="15">
        <f>IFERROR(__xludf.DUMMYFUNCTION("SUM(QUERY(Entregas_BD!D:W,""select U where D='""&amp;D4&amp;""'"",1))"),0.0)</f>
        <v>0</v>
      </c>
      <c r="AH4" s="15">
        <f>IFERROR(__xludf.DUMMYFUNCTION("SUM(QUERY(Entregas_BD!D:W,""select S where D='""&amp;D4&amp;""'"",1))"),0.0)</f>
        <v>0</v>
      </c>
      <c r="AI4" s="15">
        <f>IFERROR(__xludf.DUMMYFUNCTION("SUM(QUERY(Entregas_BD!D:W,""select T where D='""&amp;D4&amp;""'"",1))"),0.0)</f>
        <v>0</v>
      </c>
    </row>
    <row r="5" ht="19.5" customHeight="1">
      <c r="A5" s="31"/>
      <c r="B5" s="32"/>
      <c r="C5" s="19">
        <v>4.0</v>
      </c>
      <c r="D5" s="33" t="s">
        <v>53</v>
      </c>
      <c r="E5" s="20" t="s">
        <v>54</v>
      </c>
      <c r="F5" s="20" t="s">
        <v>45</v>
      </c>
      <c r="G5" s="20" t="s">
        <v>55</v>
      </c>
      <c r="H5" s="19" t="s">
        <v>51</v>
      </c>
      <c r="I5" s="21" t="s">
        <v>47</v>
      </c>
      <c r="J5" s="34"/>
      <c r="K5" s="22"/>
      <c r="L5" s="23"/>
      <c r="M5" s="22"/>
      <c r="N5" s="19">
        <f>IFERROR(__xludf.DUMMYFUNCTION("SUM(QUERY(Entregas_BD!D:L,""select G where D='""&amp;D5&amp;""'"",1))"),0.0)</f>
        <v>0</v>
      </c>
      <c r="O5" s="19">
        <f>IFERROR(__xludf.DUMMYFUNCTION("SUM(QUERY(Entregas_BD!D:L,""select H where D='""&amp;D5&amp;""'"",1))"),0.0)</f>
        <v>0</v>
      </c>
      <c r="P5" s="19">
        <f>IFERROR(__xludf.DUMMYFUNCTION("SUM(QUERY(Entregas_BD!D:L,""select I where D='""&amp;D5&amp;""'"",1))"),0.0)</f>
        <v>0</v>
      </c>
      <c r="Q5" s="19">
        <f>IFERROR(__xludf.DUMMYFUNCTION("SUM(QUERY(Entregas_BD!D:L,""select J where D='""&amp;D5&amp;""'"",1))"),0.0)</f>
        <v>0</v>
      </c>
      <c r="R5" s="24">
        <f>IFERROR(__xludf.DUMMYFUNCTION("SUM(QUERY(Entregas_BD!D:L,""select K where D='""&amp;D5&amp;""'"",1))"),0.0)</f>
        <v>0</v>
      </c>
      <c r="S5" s="24">
        <f>IFERROR(__xludf.DUMMYFUNCTION("SUM(QUERY(Entregas_BD!D:L,""select L where D='""&amp;D5&amp;""'"",1))"),0.0)</f>
        <v>0</v>
      </c>
      <c r="T5" s="19">
        <f>IFERROR(__xludf.DUMMYFUNCTION("SUM(QUERY(Entregas_BD!D:AL,""select AG where D='""&amp;D5&amp;""'"",1))"),20.0)</f>
        <v>20</v>
      </c>
      <c r="U5" s="19">
        <f>IFERROR(__xludf.DUMMYFUNCTION("SUM(QUERY(Entregas_BD!D:AL,""select AH where D='""&amp;D5&amp;""'"",1))"),0.0)</f>
        <v>0</v>
      </c>
      <c r="V5" s="19">
        <f>IFERROR(__xludf.DUMMYFUNCTION("SUM(QUERY(Entregas_BD!D:AL,""select AI where D='""&amp;D5&amp;""'"",1))"),0.0)</f>
        <v>0</v>
      </c>
      <c r="W5" s="19">
        <f>IFERROR(__xludf.DUMMYFUNCTION("SUM(QUERY(Entregas_BD!D:AL,""select AJ where D='""&amp;D5&amp;""'"",1))"),0.0)</f>
        <v>0</v>
      </c>
      <c r="X5" s="19">
        <f>IFERROR(__xludf.DUMMYFUNCTION("SUM(QUERY(Entregas_BD!D:AL,""select AL where D='""&amp;D5&amp;""'"",1))"),0.0)</f>
        <v>0</v>
      </c>
      <c r="Y5" s="19">
        <f>IFERROR(__xludf.DUMMYFUNCTION("SUM(QUERY(Entregas_BD!D:AL,""select AK where D='""&amp;D5&amp;""'"",1))"),0.0)</f>
        <v>0</v>
      </c>
      <c r="Z5" s="19">
        <v>-20.0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35" t="s">
        <v>56</v>
      </c>
      <c r="AG5" s="24">
        <f>IFERROR(__xludf.DUMMYFUNCTION("SUM(QUERY(Entregas_BD!D:W,""select U where D='""&amp;D5&amp;""'"",1))"),0.0)</f>
        <v>0</v>
      </c>
      <c r="AH5" s="24">
        <f>IFERROR(__xludf.DUMMYFUNCTION("SUM(QUERY(Entregas_BD!D:W,""select S where D='""&amp;D5&amp;""'"",1))"),0.0)</f>
        <v>0</v>
      </c>
      <c r="AI5" s="24">
        <f>IFERROR(__xludf.DUMMYFUNCTION("SUM(QUERY(Entregas_BD!D:W,""select T where D='""&amp;D5&amp;""'"",1))"),0.0)</f>
        <v>0</v>
      </c>
    </row>
    <row r="6" ht="19.5" customHeight="1">
      <c r="A6" s="7"/>
      <c r="B6" s="8"/>
      <c r="C6" s="9">
        <v>5.0</v>
      </c>
      <c r="D6" s="10" t="s">
        <v>57</v>
      </c>
      <c r="E6" s="10" t="s">
        <v>58</v>
      </c>
      <c r="F6" s="10" t="s">
        <v>45</v>
      </c>
      <c r="G6" s="10" t="s">
        <v>59</v>
      </c>
      <c r="H6" s="9" t="s">
        <v>51</v>
      </c>
      <c r="I6" s="11" t="s">
        <v>47</v>
      </c>
      <c r="J6" s="9"/>
      <c r="K6" s="28"/>
      <c r="L6" s="29"/>
      <c r="M6" s="28"/>
      <c r="N6" s="9">
        <f>IFERROR(__xludf.DUMMYFUNCTION("SUM(QUERY(Entregas_BD!D:L,""select G where D='""&amp;D6&amp;""'"",1))"),0.0)</f>
        <v>0</v>
      </c>
      <c r="O6" s="9">
        <f>IFERROR(__xludf.DUMMYFUNCTION("SUM(QUERY(Entregas_BD!D:L,""select H where D='""&amp;D6&amp;""'"",1))"),0.0)</f>
        <v>0</v>
      </c>
      <c r="P6" s="9">
        <f>IFERROR(__xludf.DUMMYFUNCTION("SUM(QUERY(Entregas_BD!D:L,""select I where D='""&amp;D6&amp;""'"",1))"),0.0)</f>
        <v>0</v>
      </c>
      <c r="Q6" s="9">
        <f>IFERROR(__xludf.DUMMYFUNCTION("SUM(QUERY(Entregas_BD!D:L,""select J where D='""&amp;D6&amp;""'"",1))"),0.0)</f>
        <v>0</v>
      </c>
      <c r="R6" s="15">
        <f>IFERROR(__xludf.DUMMYFUNCTION("SUM(QUERY(Entregas_BD!D:L,""select K where D='""&amp;D6&amp;""'"",1))"),0.0)</f>
        <v>0</v>
      </c>
      <c r="S6" s="15">
        <f>IFERROR(__xludf.DUMMYFUNCTION("SUM(QUERY(Entregas_BD!D:L,""select L where D='""&amp;D6&amp;""'"",1))"),0.0)</f>
        <v>0</v>
      </c>
      <c r="T6" s="9">
        <f>IFERROR(__xludf.DUMMYFUNCTION("SUM(QUERY(Entregas_BD!D:AL,""select AG where D='""&amp;D6&amp;""'"",1))"),0.0)</f>
        <v>0</v>
      </c>
      <c r="U6" s="9">
        <f>IFERROR(__xludf.DUMMYFUNCTION("SUM(QUERY(Entregas_BD!D:AL,""select AH where D='""&amp;D6&amp;""'"",1))"),0.0)</f>
        <v>0</v>
      </c>
      <c r="V6" s="9">
        <f>IFERROR(__xludf.DUMMYFUNCTION("SUM(QUERY(Entregas_BD!D:AL,""select AI where D='""&amp;D6&amp;""'"",1))"),0.0)</f>
        <v>0</v>
      </c>
      <c r="W6" s="9">
        <f>IFERROR(__xludf.DUMMYFUNCTION("SUM(QUERY(Entregas_BD!D:AL,""select AJ where D='""&amp;D6&amp;""'"",1))"),0.0)</f>
        <v>0</v>
      </c>
      <c r="X6" s="9">
        <f>IFERROR(__xludf.DUMMYFUNCTION("SUM(QUERY(Entregas_BD!D:AL,""select AL where D='""&amp;D6&amp;""'"",1))"),0.0)</f>
        <v>0</v>
      </c>
      <c r="Y6" s="9">
        <f>IFERROR(__xludf.DUMMYFUNCTION("SUM(QUERY(Entregas_BD!D:AL,""select AK where D='""&amp;D6&amp;""'"",1))"),0.0)</f>
        <v>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30" t="s">
        <v>60</v>
      </c>
      <c r="AG6" s="15">
        <f>IFERROR(__xludf.DUMMYFUNCTION("SUM(QUERY(Entregas_BD!D:W,""select U where D='""&amp;D6&amp;""'"",1))"),0.0)</f>
        <v>0</v>
      </c>
      <c r="AH6" s="15">
        <f>IFERROR(__xludf.DUMMYFUNCTION("SUM(QUERY(Entregas_BD!D:W,""select S where D='""&amp;D6&amp;""'"",1))"),0.0)</f>
        <v>0</v>
      </c>
      <c r="AI6" s="15">
        <f>IFERROR(__xludf.DUMMYFUNCTION("SUM(QUERY(Entregas_BD!D:W,""select T where D='""&amp;D6&amp;""'"",1))"),0.0)</f>
        <v>0</v>
      </c>
    </row>
    <row r="7" ht="19.5" customHeight="1">
      <c r="A7" s="31"/>
      <c r="B7" s="32"/>
      <c r="C7" s="19">
        <v>6.0</v>
      </c>
      <c r="D7" s="20" t="s">
        <v>61</v>
      </c>
      <c r="E7" s="20" t="s">
        <v>58</v>
      </c>
      <c r="F7" s="20" t="s">
        <v>45</v>
      </c>
      <c r="G7" s="20" t="s">
        <v>59</v>
      </c>
      <c r="H7" s="19" t="s">
        <v>51</v>
      </c>
      <c r="I7" s="21" t="s">
        <v>47</v>
      </c>
      <c r="J7" s="19"/>
      <c r="K7" s="22"/>
      <c r="L7" s="23"/>
      <c r="M7" s="22"/>
      <c r="N7" s="19">
        <f>IFERROR(__xludf.DUMMYFUNCTION("SUM(QUERY(Entregas_BD!D:L,""select G where D='""&amp;D7&amp;""'"",1))"),0.0)</f>
        <v>0</v>
      </c>
      <c r="O7" s="19">
        <f>IFERROR(__xludf.DUMMYFUNCTION("SUM(QUERY(Entregas_BD!D:L,""select H where D='""&amp;D7&amp;""'"",1))"),0.0)</f>
        <v>0</v>
      </c>
      <c r="P7" s="19">
        <f>IFERROR(__xludf.DUMMYFUNCTION("SUM(QUERY(Entregas_BD!D:L,""select I where D='""&amp;D7&amp;""'"",1))"),0.0)</f>
        <v>0</v>
      </c>
      <c r="Q7" s="19">
        <f>IFERROR(__xludf.DUMMYFUNCTION("SUM(QUERY(Entregas_BD!D:L,""select J where D='""&amp;D7&amp;""'"",1))"),0.0)</f>
        <v>0</v>
      </c>
      <c r="R7" s="24">
        <f>IFERROR(__xludf.DUMMYFUNCTION("SUM(QUERY(Entregas_BD!D:L,""select K where D='""&amp;D7&amp;""'"",1))"),0.0)</f>
        <v>0</v>
      </c>
      <c r="S7" s="24">
        <f>IFERROR(__xludf.DUMMYFUNCTION("SUM(QUERY(Entregas_BD!D:L,""select L where D='""&amp;D7&amp;""'"",1))"),0.0)</f>
        <v>0</v>
      </c>
      <c r="T7" s="19">
        <f>IFERROR(__xludf.DUMMYFUNCTION("SUM(QUERY(Entregas_BD!D:AL,""select AG where D='""&amp;D7&amp;""'"",1))"),0.0)</f>
        <v>0</v>
      </c>
      <c r="U7" s="19">
        <f>IFERROR(__xludf.DUMMYFUNCTION("SUM(QUERY(Entregas_BD!D:AL,""select AH where D='""&amp;D7&amp;""'"",1))"),0.0)</f>
        <v>0</v>
      </c>
      <c r="V7" s="19">
        <f>IFERROR(__xludf.DUMMYFUNCTION("SUM(QUERY(Entregas_BD!D:AL,""select AI where D='""&amp;D7&amp;""'"",1))"),0.0)</f>
        <v>0</v>
      </c>
      <c r="W7" s="19">
        <f>IFERROR(__xludf.DUMMYFUNCTION("SUM(QUERY(Entregas_BD!D:AL,""select AJ where D='""&amp;D7&amp;""'"",1))"),0.0)</f>
        <v>0</v>
      </c>
      <c r="X7" s="19">
        <f>IFERROR(__xludf.DUMMYFUNCTION("SUM(QUERY(Entregas_BD!D:AL,""select AL where D='""&amp;D7&amp;""'"",1))"),0.0)</f>
        <v>0</v>
      </c>
      <c r="Y7" s="19">
        <f>IFERROR(__xludf.DUMMYFUNCTION("SUM(QUERY(Entregas_BD!D:AL,""select AK where D='""&amp;D7&amp;""'"",1))"),0.0)</f>
        <v>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35" t="s">
        <v>60</v>
      </c>
      <c r="AG7" s="24">
        <f>IFERROR(__xludf.DUMMYFUNCTION("SUM(QUERY(Entregas_BD!D:W,""select U where D='""&amp;D7&amp;""'"",1))"),0.0)</f>
        <v>0</v>
      </c>
      <c r="AH7" s="24">
        <f>IFERROR(__xludf.DUMMYFUNCTION("SUM(QUERY(Entregas_BD!D:W,""select S where D='""&amp;D7&amp;""'"",1))"),0.0)</f>
        <v>0</v>
      </c>
      <c r="AI7" s="24">
        <f>IFERROR(__xludf.DUMMYFUNCTION("SUM(QUERY(Entregas_BD!D:W,""select T where D='""&amp;D7&amp;""'"",1))"),0.0)</f>
        <v>0</v>
      </c>
    </row>
    <row r="8" ht="19.5" customHeight="1">
      <c r="A8" s="7"/>
      <c r="B8" s="8"/>
      <c r="C8" s="9">
        <v>7.0</v>
      </c>
      <c r="D8" s="10" t="s">
        <v>62</v>
      </c>
      <c r="E8" s="10" t="s">
        <v>63</v>
      </c>
      <c r="F8" s="10" t="s">
        <v>64</v>
      </c>
      <c r="G8" s="10" t="s">
        <v>65</v>
      </c>
      <c r="H8" s="9" t="s">
        <v>51</v>
      </c>
      <c r="I8" s="11" t="s">
        <v>47</v>
      </c>
      <c r="J8" s="12"/>
      <c r="K8" s="28"/>
      <c r="L8" s="29"/>
      <c r="M8" s="36"/>
      <c r="N8" s="9">
        <f>IFERROR(__xludf.DUMMYFUNCTION("SUM(QUERY(Entregas_BD!D:L,""select G where D='""&amp;D8&amp;""'"",1))"),0.0)</f>
        <v>0</v>
      </c>
      <c r="O8" s="9">
        <f>IFERROR(__xludf.DUMMYFUNCTION("SUM(QUERY(Entregas_BD!D:L,""select H where D='""&amp;D8&amp;""'"",1))"),0.0)</f>
        <v>0</v>
      </c>
      <c r="P8" s="9">
        <f>IFERROR(__xludf.DUMMYFUNCTION("SUM(QUERY(Entregas_BD!D:L,""select I where D='""&amp;D8&amp;""'"",1))"),0.0)</f>
        <v>0</v>
      </c>
      <c r="Q8" s="9">
        <f>IFERROR(__xludf.DUMMYFUNCTION("SUM(QUERY(Entregas_BD!D:L,""select J where D='""&amp;D8&amp;""'"",1))"),0.0)</f>
        <v>0</v>
      </c>
      <c r="R8" s="15">
        <f>IFERROR(__xludf.DUMMYFUNCTION("SUM(QUERY(Entregas_BD!D:L,""select K where D='""&amp;D8&amp;""'"",1))"),0.0)</f>
        <v>0</v>
      </c>
      <c r="S8" s="15">
        <f>IFERROR(__xludf.DUMMYFUNCTION("SUM(QUERY(Entregas_BD!D:L,""select L where D='""&amp;D8&amp;""'"",1))"),0.0)</f>
        <v>0</v>
      </c>
      <c r="T8" s="9">
        <f>IFERROR(__xludf.DUMMYFUNCTION("SUM(QUERY(Entregas_BD!D:AL,""select AG where D='""&amp;D8&amp;""'"",1))"),0.0)</f>
        <v>0</v>
      </c>
      <c r="U8" s="9">
        <f>IFERROR(__xludf.DUMMYFUNCTION("SUM(QUERY(Entregas_BD!D:AL,""select AH where D='""&amp;D8&amp;""'"",1))"),0.0)</f>
        <v>0</v>
      </c>
      <c r="V8" s="9">
        <f>IFERROR(__xludf.DUMMYFUNCTION("SUM(QUERY(Entregas_BD!D:AL,""select AI where D='""&amp;D8&amp;""'"",1))"),0.0)</f>
        <v>0</v>
      </c>
      <c r="W8" s="9">
        <f>IFERROR(__xludf.DUMMYFUNCTION("SUM(QUERY(Entregas_BD!D:AL,""select AJ where D='""&amp;D8&amp;""'"",1))"),0.0)</f>
        <v>0</v>
      </c>
      <c r="X8" s="9">
        <f>IFERROR(__xludf.DUMMYFUNCTION("SUM(QUERY(Entregas_BD!D:AL,""select AL where D='""&amp;D8&amp;""'"",1))"),0.0)</f>
        <v>0</v>
      </c>
      <c r="Y8" s="9">
        <f>IFERROR(__xludf.DUMMYFUNCTION("SUM(QUERY(Entregas_BD!D:AL,""select AK where D='""&amp;D8&amp;""'"",1))"),0.0)</f>
        <v>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37" t="s">
        <v>66</v>
      </c>
      <c r="AG8" s="15">
        <f>IFERROR(__xludf.DUMMYFUNCTION("SUM(QUERY(Entregas_BD!D:W,""select U where D='""&amp;D8&amp;""'"",1))"),0.0)</f>
        <v>0</v>
      </c>
      <c r="AH8" s="15">
        <f>IFERROR(__xludf.DUMMYFUNCTION("SUM(QUERY(Entregas_BD!D:W,""select S where D='""&amp;D8&amp;""'"",1))"),0.0)</f>
        <v>0</v>
      </c>
      <c r="AI8" s="15">
        <f>IFERROR(__xludf.DUMMYFUNCTION("SUM(QUERY(Entregas_BD!D:W,""select T where D='""&amp;D8&amp;""'"",1))"),0.0)</f>
        <v>0</v>
      </c>
    </row>
    <row r="9" ht="19.5" customHeight="1">
      <c r="A9" s="31"/>
      <c r="B9" s="32"/>
      <c r="C9" s="19">
        <v>8.0</v>
      </c>
      <c r="D9" s="20" t="s">
        <v>67</v>
      </c>
      <c r="E9" s="20" t="s">
        <v>54</v>
      </c>
      <c r="F9" s="20" t="s">
        <v>45</v>
      </c>
      <c r="G9" s="20" t="s">
        <v>68</v>
      </c>
      <c r="H9" s="19" t="s">
        <v>69</v>
      </c>
      <c r="I9" s="21" t="s">
        <v>41</v>
      </c>
      <c r="J9" s="34"/>
      <c r="K9" s="22"/>
      <c r="L9" s="23"/>
      <c r="M9" s="22"/>
      <c r="N9" s="19">
        <f>IFERROR(__xludf.DUMMYFUNCTION("SUM(QUERY(Entregas_BD!D:L,""select G where D='""&amp;D9&amp;""'"",1))"),0.0)</f>
        <v>0</v>
      </c>
      <c r="O9" s="19">
        <f>IFERROR(__xludf.DUMMYFUNCTION("SUM(QUERY(Entregas_BD!D:L,""select H where D='""&amp;D9&amp;""'"",1))"),0.0)</f>
        <v>0</v>
      </c>
      <c r="P9" s="19">
        <f>IFERROR(__xludf.DUMMYFUNCTION("SUM(QUERY(Entregas_BD!D:L,""select I where D='""&amp;D9&amp;""'"",1))"),0.0)</f>
        <v>0</v>
      </c>
      <c r="Q9" s="19">
        <f>IFERROR(__xludf.DUMMYFUNCTION("SUM(QUERY(Entregas_BD!D:L,""select J where D='""&amp;D9&amp;""'"",1))"),0.0)</f>
        <v>0</v>
      </c>
      <c r="R9" s="24">
        <f>IFERROR(__xludf.DUMMYFUNCTION("SUM(QUERY(Entregas_BD!D:L,""select K where D='""&amp;D9&amp;""'"",1))"),0.0)</f>
        <v>0</v>
      </c>
      <c r="S9" s="24">
        <f>IFERROR(__xludf.DUMMYFUNCTION("SUM(QUERY(Entregas_BD!D:L,""select L where D='""&amp;D9&amp;""'"",1))"),0.0)</f>
        <v>0</v>
      </c>
      <c r="T9" s="19">
        <f>IFERROR(__xludf.DUMMYFUNCTION("SUM(QUERY(Entregas_BD!D:AL,""select AG where D='""&amp;D9&amp;""'"",1))"),250.0)</f>
        <v>250</v>
      </c>
      <c r="U9" s="19">
        <f>IFERROR(__xludf.DUMMYFUNCTION("SUM(QUERY(Entregas_BD!D:AL,""select AH where D='""&amp;D9&amp;""'"",1))"),0.0)</f>
        <v>0</v>
      </c>
      <c r="V9" s="19">
        <f>IFERROR(__xludf.DUMMYFUNCTION("SUM(QUERY(Entregas_BD!D:AL,""select AI where D='""&amp;D9&amp;""'"",1))"),0.0)</f>
        <v>0</v>
      </c>
      <c r="W9" s="19">
        <f>IFERROR(__xludf.DUMMYFUNCTION("SUM(QUERY(Entregas_BD!D:AL,""select AJ where D='""&amp;D9&amp;""'"",1))"),0.0)</f>
        <v>0</v>
      </c>
      <c r="X9" s="19">
        <f>IFERROR(__xludf.DUMMYFUNCTION("SUM(QUERY(Entregas_BD!D:AL,""select AL where D='""&amp;D9&amp;""'"",1))"),0.0)</f>
        <v>0</v>
      </c>
      <c r="Y9" s="19">
        <f>IFERROR(__xludf.DUMMYFUNCTION("SUM(QUERY(Entregas_BD!D:AL,""select AK where D='""&amp;D9&amp;""'"",1))"),0.0)</f>
        <v>0</v>
      </c>
      <c r="Z9" s="19">
        <v>-250.0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35" t="s">
        <v>70</v>
      </c>
      <c r="AG9" s="24">
        <f>IFERROR(__xludf.DUMMYFUNCTION("SUM(QUERY(Entregas_BD!D:W,""select U where D='""&amp;D9&amp;""'"",1))"),0.0)</f>
        <v>0</v>
      </c>
      <c r="AH9" s="24">
        <f>IFERROR(__xludf.DUMMYFUNCTION("SUM(QUERY(Entregas_BD!D:W,""select S where D='""&amp;D9&amp;""'"",1))"),0.0)</f>
        <v>0</v>
      </c>
      <c r="AI9" s="24">
        <f>IFERROR(__xludf.DUMMYFUNCTION("SUM(QUERY(Entregas_BD!D:W,""select T where D='""&amp;D9&amp;""'"",1))"),0.0)</f>
        <v>0</v>
      </c>
    </row>
    <row r="10" ht="19.5" customHeight="1">
      <c r="A10" s="7"/>
      <c r="B10" s="8"/>
      <c r="C10" s="9">
        <v>9.0</v>
      </c>
      <c r="D10" s="10" t="s">
        <v>71</v>
      </c>
      <c r="E10" s="10" t="s">
        <v>72</v>
      </c>
      <c r="F10" s="10" t="s">
        <v>45</v>
      </c>
      <c r="G10" s="10" t="s">
        <v>73</v>
      </c>
      <c r="H10" s="9" t="s">
        <v>51</v>
      </c>
      <c r="I10" s="11" t="s">
        <v>41</v>
      </c>
      <c r="J10" s="12"/>
      <c r="K10" s="28"/>
      <c r="L10" s="29"/>
      <c r="M10" s="28"/>
      <c r="N10" s="9">
        <f>IFERROR(__xludf.DUMMYFUNCTION("SUM(QUERY(Entregas_BD!D:L,""select G where D='""&amp;D10&amp;""'"",1))"),0.0)</f>
        <v>0</v>
      </c>
      <c r="O10" s="9">
        <f>IFERROR(__xludf.DUMMYFUNCTION("SUM(QUERY(Entregas_BD!D:L,""select H where D='""&amp;D10&amp;""'"",1))"),0.0)</f>
        <v>0</v>
      </c>
      <c r="P10" s="9">
        <f>IFERROR(__xludf.DUMMYFUNCTION("SUM(QUERY(Entregas_BD!D:L,""select I where D='""&amp;D10&amp;""'"",1))"),0.0)</f>
        <v>0</v>
      </c>
      <c r="Q10" s="9">
        <f>IFERROR(__xludf.DUMMYFUNCTION("SUM(QUERY(Entregas_BD!D:L,""select J where D='""&amp;D10&amp;""'"",1))"),0.0)</f>
        <v>0</v>
      </c>
      <c r="R10" s="15">
        <f>IFERROR(__xludf.DUMMYFUNCTION("SUM(QUERY(Entregas_BD!D:L,""select K where D='""&amp;D10&amp;""'"",1))"),0.0)</f>
        <v>0</v>
      </c>
      <c r="S10" s="15">
        <f>IFERROR(__xludf.DUMMYFUNCTION("SUM(QUERY(Entregas_BD!D:L,""select L where D='""&amp;D10&amp;""'"",1))"),0.0)</f>
        <v>0</v>
      </c>
      <c r="T10" s="9">
        <f>IFERROR(__xludf.DUMMYFUNCTION("SUM(QUERY(Entregas_BD!D:AL,""select AG where D='""&amp;D10&amp;""'"",1))"),0.0)</f>
        <v>0</v>
      </c>
      <c r="U10" s="9">
        <f>IFERROR(__xludf.DUMMYFUNCTION("SUM(QUERY(Entregas_BD!D:AL,""select AH where D='""&amp;D10&amp;""'"",1))"),0.0)</f>
        <v>0</v>
      </c>
      <c r="V10" s="9">
        <f>IFERROR(__xludf.DUMMYFUNCTION("SUM(QUERY(Entregas_BD!D:AL,""select AI where D='""&amp;D10&amp;""'"",1))"),0.0)</f>
        <v>0</v>
      </c>
      <c r="W10" s="9">
        <f>IFERROR(__xludf.DUMMYFUNCTION("SUM(QUERY(Entregas_BD!D:AL,""select AJ where D='""&amp;D10&amp;""'"",1))"),0.0)</f>
        <v>0</v>
      </c>
      <c r="X10" s="9">
        <f>IFERROR(__xludf.DUMMYFUNCTION("SUM(QUERY(Entregas_BD!D:AL,""select AL where D='""&amp;D10&amp;""'"",1))"),0.0)</f>
        <v>0</v>
      </c>
      <c r="Y10" s="9">
        <f>IFERROR(__xludf.DUMMYFUNCTION("SUM(QUERY(Entregas_BD!D:AL,""select AK where D='""&amp;D10&amp;""'"",1))"),0.0)</f>
        <v>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30" t="s">
        <v>74</v>
      </c>
      <c r="AG10" s="15">
        <f>IFERROR(__xludf.DUMMYFUNCTION("SUM(QUERY(Entregas_BD!D:W,""select U where D='""&amp;D10&amp;""'"",1))"),0.0)</f>
        <v>0</v>
      </c>
      <c r="AH10" s="15">
        <f>IFERROR(__xludf.DUMMYFUNCTION("SUM(QUERY(Entregas_BD!D:W,""select S where D='""&amp;D10&amp;""'"",1))"),0.0)</f>
        <v>0</v>
      </c>
      <c r="AI10" s="15">
        <f>IFERROR(__xludf.DUMMYFUNCTION("SUM(QUERY(Entregas_BD!D:W,""select T where D='""&amp;D10&amp;""'"",1))"),0.0)</f>
        <v>0</v>
      </c>
    </row>
    <row r="11" ht="19.5" customHeight="1">
      <c r="A11" s="31"/>
      <c r="B11" s="32"/>
      <c r="C11" s="19">
        <v>10.0</v>
      </c>
      <c r="D11" s="20" t="s">
        <v>75</v>
      </c>
      <c r="E11" s="20" t="s">
        <v>72</v>
      </c>
      <c r="F11" s="20" t="s">
        <v>45</v>
      </c>
      <c r="G11" s="20" t="s">
        <v>76</v>
      </c>
      <c r="H11" s="19" t="s">
        <v>51</v>
      </c>
      <c r="I11" s="21" t="s">
        <v>47</v>
      </c>
      <c r="J11" s="34"/>
      <c r="K11" s="22"/>
      <c r="L11" s="23"/>
      <c r="M11" s="22"/>
      <c r="N11" s="19">
        <f>IFERROR(__xludf.DUMMYFUNCTION("SUM(QUERY(Entregas_BD!D:L,""select G where D='""&amp;D11&amp;""'"",1))"),0.0)</f>
        <v>0</v>
      </c>
      <c r="O11" s="19">
        <f>IFERROR(__xludf.DUMMYFUNCTION("SUM(QUERY(Entregas_BD!D:L,""select H where D='""&amp;D11&amp;""'"",1))"),0.0)</f>
        <v>0</v>
      </c>
      <c r="P11" s="19">
        <f>IFERROR(__xludf.DUMMYFUNCTION("SUM(QUERY(Entregas_BD!D:L,""select I where D='""&amp;D11&amp;""'"",1))"),0.0)</f>
        <v>0</v>
      </c>
      <c r="Q11" s="19">
        <f>IFERROR(__xludf.DUMMYFUNCTION("SUM(QUERY(Entregas_BD!D:L,""select J where D='""&amp;D11&amp;""'"",1))"),0.0)</f>
        <v>0</v>
      </c>
      <c r="R11" s="24">
        <f>IFERROR(__xludf.DUMMYFUNCTION("SUM(QUERY(Entregas_BD!D:L,""select K where D='""&amp;D11&amp;""'"",1))"),0.0)</f>
        <v>0</v>
      </c>
      <c r="S11" s="24">
        <f>IFERROR(__xludf.DUMMYFUNCTION("SUM(QUERY(Entregas_BD!D:L,""select L where D='""&amp;D11&amp;""'"",1))"),0.0)</f>
        <v>0</v>
      </c>
      <c r="T11" s="19">
        <f>IFERROR(__xludf.DUMMYFUNCTION("SUM(QUERY(Entregas_BD!D:AL,""select AG where D='""&amp;D11&amp;""'"",1))"),0.0)</f>
        <v>0</v>
      </c>
      <c r="U11" s="19">
        <f>IFERROR(__xludf.DUMMYFUNCTION("SUM(QUERY(Entregas_BD!D:AL,""select AH where D='""&amp;D11&amp;""'"",1))"),0.0)</f>
        <v>0</v>
      </c>
      <c r="V11" s="19">
        <f>IFERROR(__xludf.DUMMYFUNCTION("SUM(QUERY(Entregas_BD!D:AL,""select AI where D='""&amp;D11&amp;""'"",1))"),0.0)</f>
        <v>0</v>
      </c>
      <c r="W11" s="19">
        <f>IFERROR(__xludf.DUMMYFUNCTION("SUM(QUERY(Entregas_BD!D:AL,""select AJ where D='""&amp;D11&amp;""'"",1))"),0.0)</f>
        <v>0</v>
      </c>
      <c r="X11" s="19">
        <f>IFERROR(__xludf.DUMMYFUNCTION("SUM(QUERY(Entregas_BD!D:AL,""select AL where D='""&amp;D11&amp;""'"",1))"),0.0)</f>
        <v>0</v>
      </c>
      <c r="Y11" s="19">
        <f>IFERROR(__xludf.DUMMYFUNCTION("SUM(QUERY(Entregas_BD!D:AL,""select AK where D='""&amp;D11&amp;""'"",1))"),0.0)</f>
        <v>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35" t="s">
        <v>77</v>
      </c>
      <c r="AG11" s="24">
        <f>IFERROR(__xludf.DUMMYFUNCTION("SUM(QUERY(Entregas_BD!D:W,""select U where D='""&amp;D11&amp;""'"",1))"),0.0)</f>
        <v>0</v>
      </c>
      <c r="AH11" s="24">
        <f>IFERROR(__xludf.DUMMYFUNCTION("SUM(QUERY(Entregas_BD!D:W,""select S where D='""&amp;D11&amp;""'"",1))"),0.0)</f>
        <v>0</v>
      </c>
      <c r="AI11" s="24">
        <f>IFERROR(__xludf.DUMMYFUNCTION("SUM(QUERY(Entregas_BD!D:W,""select T where D='""&amp;D11&amp;""'"",1))"),0.0)</f>
        <v>0</v>
      </c>
    </row>
    <row r="12" ht="19.5" customHeight="1">
      <c r="A12" s="7"/>
      <c r="B12" s="8"/>
      <c r="C12" s="9">
        <v>11.0</v>
      </c>
      <c r="D12" s="10" t="s">
        <v>78</v>
      </c>
      <c r="E12" s="10" t="s">
        <v>72</v>
      </c>
      <c r="F12" s="10" t="s">
        <v>45</v>
      </c>
      <c r="G12" s="10" t="s">
        <v>79</v>
      </c>
      <c r="H12" s="9" t="s">
        <v>51</v>
      </c>
      <c r="I12" s="11" t="s">
        <v>41</v>
      </c>
      <c r="J12" s="12"/>
      <c r="K12" s="28"/>
      <c r="L12" s="29"/>
      <c r="M12" s="28"/>
      <c r="N12" s="9">
        <f>IFERROR(__xludf.DUMMYFUNCTION("SUM(QUERY(Entregas_BD!D:L,""select G where D='""&amp;D12&amp;""'"",1))"),0.0)</f>
        <v>0</v>
      </c>
      <c r="O12" s="9">
        <f>IFERROR(__xludf.DUMMYFUNCTION("SUM(QUERY(Entregas_BD!D:L,""select H where D='""&amp;D12&amp;""'"",1))"),0.0)</f>
        <v>0</v>
      </c>
      <c r="P12" s="9">
        <f>IFERROR(__xludf.DUMMYFUNCTION("SUM(QUERY(Entregas_BD!D:L,""select I where D='""&amp;D12&amp;""'"",1))"),0.0)</f>
        <v>0</v>
      </c>
      <c r="Q12" s="9">
        <f>IFERROR(__xludf.DUMMYFUNCTION("SUM(QUERY(Entregas_BD!D:L,""select J where D='""&amp;D12&amp;""'"",1))"),0.0)</f>
        <v>0</v>
      </c>
      <c r="R12" s="15">
        <f>IFERROR(__xludf.DUMMYFUNCTION("SUM(QUERY(Entregas_BD!D:L,""select K where D='""&amp;D12&amp;""'"",1))"),0.0)</f>
        <v>0</v>
      </c>
      <c r="S12" s="15">
        <f>IFERROR(__xludf.DUMMYFUNCTION("SUM(QUERY(Entregas_BD!D:L,""select L where D='""&amp;D12&amp;""'"",1))"),0.0)</f>
        <v>0</v>
      </c>
      <c r="T12" s="9">
        <f>IFERROR(__xludf.DUMMYFUNCTION("SUM(QUERY(Entregas_BD!D:AL,""select AG where D='""&amp;D12&amp;""'"",1))"),0.0)</f>
        <v>0</v>
      </c>
      <c r="U12" s="9">
        <f>IFERROR(__xludf.DUMMYFUNCTION("SUM(QUERY(Entregas_BD!D:AL,""select AH where D='""&amp;D12&amp;""'"",1))"),0.0)</f>
        <v>0</v>
      </c>
      <c r="V12" s="9">
        <f>IFERROR(__xludf.DUMMYFUNCTION("SUM(QUERY(Entregas_BD!D:AL,""select AI where D='""&amp;D12&amp;""'"",1))"),0.0)</f>
        <v>0</v>
      </c>
      <c r="W12" s="9">
        <f>IFERROR(__xludf.DUMMYFUNCTION("SUM(QUERY(Entregas_BD!D:AL,""select AJ where D='""&amp;D12&amp;""'"",1))"),0.0)</f>
        <v>0</v>
      </c>
      <c r="X12" s="9">
        <f>IFERROR(__xludf.DUMMYFUNCTION("SUM(QUERY(Entregas_BD!D:AL,""select AL where D='""&amp;D12&amp;""'"",1))"),0.0)</f>
        <v>0</v>
      </c>
      <c r="Y12" s="9">
        <f>IFERROR(__xludf.DUMMYFUNCTION("SUM(QUERY(Entregas_BD!D:AL,""select AK where D='""&amp;D12&amp;""'"",1))"),0.0)</f>
        <v>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37" t="s">
        <v>80</v>
      </c>
      <c r="AG12" s="15">
        <f>IFERROR(__xludf.DUMMYFUNCTION("SUM(QUERY(Entregas_BD!D:W,""select U where D='""&amp;D12&amp;""'"",1))"),0.0)</f>
        <v>0</v>
      </c>
      <c r="AH12" s="15">
        <f>IFERROR(__xludf.DUMMYFUNCTION("SUM(QUERY(Entregas_BD!D:W,""select S where D='""&amp;D12&amp;""'"",1))"),0.0)</f>
        <v>0</v>
      </c>
      <c r="AI12" s="15">
        <f>IFERROR(__xludf.DUMMYFUNCTION("SUM(QUERY(Entregas_BD!D:W,""select T where D='""&amp;D12&amp;""'"",1))"),0.0)</f>
        <v>0</v>
      </c>
    </row>
    <row r="13" ht="19.5" customHeight="1">
      <c r="A13" s="31"/>
      <c r="B13" s="32"/>
      <c r="C13" s="19">
        <v>12.0</v>
      </c>
      <c r="D13" s="20" t="s">
        <v>81</v>
      </c>
      <c r="E13" s="20" t="s">
        <v>58</v>
      </c>
      <c r="F13" s="20" t="s">
        <v>45</v>
      </c>
      <c r="G13" s="20" t="s">
        <v>82</v>
      </c>
      <c r="H13" s="19" t="s">
        <v>51</v>
      </c>
      <c r="I13" s="21" t="s">
        <v>41</v>
      </c>
      <c r="J13" s="19"/>
      <c r="K13" s="22"/>
      <c r="L13" s="23"/>
      <c r="M13" s="22"/>
      <c r="N13" s="19">
        <f>IFERROR(__xludf.DUMMYFUNCTION("SUM(QUERY(Entregas_BD!D:L,""select G where D='""&amp;D13&amp;""'"",1))"),0.0)</f>
        <v>0</v>
      </c>
      <c r="O13" s="19">
        <f>IFERROR(__xludf.DUMMYFUNCTION("SUM(QUERY(Entregas_BD!D:L,""select H where D='""&amp;D13&amp;""'"",1))"),0.0)</f>
        <v>0</v>
      </c>
      <c r="P13" s="19">
        <f>IFERROR(__xludf.DUMMYFUNCTION("SUM(QUERY(Entregas_BD!D:L,""select I where D='""&amp;D13&amp;""'"",1))"),0.0)</f>
        <v>0</v>
      </c>
      <c r="Q13" s="19">
        <f>IFERROR(__xludf.DUMMYFUNCTION("SUM(QUERY(Entregas_BD!D:L,""select J where D='""&amp;D13&amp;""'"",1))"),0.0)</f>
        <v>0</v>
      </c>
      <c r="R13" s="24">
        <f>IFERROR(__xludf.DUMMYFUNCTION("SUM(QUERY(Entregas_BD!D:L,""select K where D='""&amp;D13&amp;""'"",1))"),0.0)</f>
        <v>0</v>
      </c>
      <c r="S13" s="24">
        <f>IFERROR(__xludf.DUMMYFUNCTION("SUM(QUERY(Entregas_BD!D:L,""select L where D='""&amp;D13&amp;""'"",1))"),0.0)</f>
        <v>0</v>
      </c>
      <c r="T13" s="19">
        <f>IFERROR(__xludf.DUMMYFUNCTION("SUM(QUERY(Entregas_BD!D:AL,""select AG where D='""&amp;D13&amp;""'"",1))"),0.0)</f>
        <v>0</v>
      </c>
      <c r="U13" s="19">
        <f>IFERROR(__xludf.DUMMYFUNCTION("SUM(QUERY(Entregas_BD!D:AL,""select AH where D='""&amp;D13&amp;""'"",1))"),0.0)</f>
        <v>0</v>
      </c>
      <c r="V13" s="19">
        <f>IFERROR(__xludf.DUMMYFUNCTION("SUM(QUERY(Entregas_BD!D:AL,""select AI where D='""&amp;D13&amp;""'"",1))"),0.0)</f>
        <v>0</v>
      </c>
      <c r="W13" s="19">
        <f>IFERROR(__xludf.DUMMYFUNCTION("SUM(QUERY(Entregas_BD!D:AL,""select AJ where D='""&amp;D13&amp;""'"",1))"),0.0)</f>
        <v>0</v>
      </c>
      <c r="X13" s="19">
        <f>IFERROR(__xludf.DUMMYFUNCTION("SUM(QUERY(Entregas_BD!D:AL,""select AL where D='""&amp;D13&amp;""'"",1))"),0.0)</f>
        <v>0</v>
      </c>
      <c r="Y13" s="19">
        <f>IFERROR(__xludf.DUMMYFUNCTION("SUM(QUERY(Entregas_BD!D:AL,""select AK where D='""&amp;D13&amp;""'"",1))"),0.0)</f>
        <v>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25" t="s">
        <v>83</v>
      </c>
      <c r="AG13" s="24">
        <f>IFERROR(__xludf.DUMMYFUNCTION("SUM(QUERY(Entregas_BD!D:W,""select U where D='""&amp;D13&amp;""'"",1))"),0.0)</f>
        <v>0</v>
      </c>
      <c r="AH13" s="24">
        <f>IFERROR(__xludf.DUMMYFUNCTION("SUM(QUERY(Entregas_BD!D:W,""select S where D='""&amp;D13&amp;""'"",1))"),0.0)</f>
        <v>0</v>
      </c>
      <c r="AI13" s="24">
        <f>IFERROR(__xludf.DUMMYFUNCTION("SUM(QUERY(Entregas_BD!D:W,""select T where D='""&amp;D13&amp;""'"",1))"),0.0)</f>
        <v>0</v>
      </c>
    </row>
    <row r="14" ht="19.5" customHeight="1">
      <c r="A14" s="7"/>
      <c r="B14" s="8"/>
      <c r="C14" s="9">
        <v>13.0</v>
      </c>
      <c r="D14" s="10" t="s">
        <v>84</v>
      </c>
      <c r="E14" s="10" t="s">
        <v>58</v>
      </c>
      <c r="F14" s="10" t="s">
        <v>45</v>
      </c>
      <c r="G14" s="10" t="s">
        <v>85</v>
      </c>
      <c r="H14" s="9" t="s">
        <v>51</v>
      </c>
      <c r="I14" s="11" t="s">
        <v>41</v>
      </c>
      <c r="J14" s="9"/>
      <c r="K14" s="28"/>
      <c r="L14" s="29"/>
      <c r="M14" s="28"/>
      <c r="N14" s="9">
        <f>IFERROR(__xludf.DUMMYFUNCTION("SUM(QUERY(Entregas_BD!D:L,""select G where D='""&amp;D14&amp;""'"",1))"),0.0)</f>
        <v>0</v>
      </c>
      <c r="O14" s="9">
        <f>IFERROR(__xludf.DUMMYFUNCTION("SUM(QUERY(Entregas_BD!D:L,""select H where D='""&amp;D14&amp;""'"",1))"),0.0)</f>
        <v>0</v>
      </c>
      <c r="P14" s="9">
        <f>IFERROR(__xludf.DUMMYFUNCTION("SUM(QUERY(Entregas_BD!D:L,""select I where D='""&amp;D14&amp;""'"",1))"),0.0)</f>
        <v>0</v>
      </c>
      <c r="Q14" s="9">
        <f>IFERROR(__xludf.DUMMYFUNCTION("SUM(QUERY(Entregas_BD!D:L,""select J where D='""&amp;D14&amp;""'"",1))"),0.0)</f>
        <v>0</v>
      </c>
      <c r="R14" s="15">
        <f>IFERROR(__xludf.DUMMYFUNCTION("SUM(QUERY(Entregas_BD!D:L,""select K where D='""&amp;D14&amp;""'"",1))"),0.0)</f>
        <v>0</v>
      </c>
      <c r="S14" s="15">
        <f>IFERROR(__xludf.DUMMYFUNCTION("SUM(QUERY(Entregas_BD!D:L,""select L where D='""&amp;D14&amp;""'"",1))"),0.0)</f>
        <v>0</v>
      </c>
      <c r="T14" s="9">
        <f>IFERROR(__xludf.DUMMYFUNCTION("SUM(QUERY(Entregas_BD!D:AL,""select AG where D='""&amp;D14&amp;""'"",1))"),0.0)</f>
        <v>0</v>
      </c>
      <c r="U14" s="9">
        <f>IFERROR(__xludf.DUMMYFUNCTION("SUM(QUERY(Entregas_BD!D:AL,""select AH where D='""&amp;D14&amp;""'"",1))"),0.0)</f>
        <v>0</v>
      </c>
      <c r="V14" s="9">
        <f>IFERROR(__xludf.DUMMYFUNCTION("SUM(QUERY(Entregas_BD!D:AL,""select AI where D='""&amp;D14&amp;""'"",1))"),0.0)</f>
        <v>0</v>
      </c>
      <c r="W14" s="9">
        <f>IFERROR(__xludf.DUMMYFUNCTION("SUM(QUERY(Entregas_BD!D:AL,""select AJ where D='""&amp;D14&amp;""'"",1))"),0.0)</f>
        <v>0</v>
      </c>
      <c r="X14" s="9">
        <f>IFERROR(__xludf.DUMMYFUNCTION("SUM(QUERY(Entregas_BD!D:AL,""select AL where D='""&amp;D14&amp;""'"",1))"),0.0)</f>
        <v>0</v>
      </c>
      <c r="Y14" s="9">
        <f>IFERROR(__xludf.DUMMYFUNCTION("SUM(QUERY(Entregas_BD!D:AL,""select AK where D='""&amp;D14&amp;""'"",1))"),0.0)</f>
        <v>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30" t="s">
        <v>86</v>
      </c>
      <c r="AG14" s="15">
        <f>IFERROR(__xludf.DUMMYFUNCTION("SUM(QUERY(Entregas_BD!D:W,""select U where D='""&amp;D14&amp;""'"",1))"),0.0)</f>
        <v>0</v>
      </c>
      <c r="AH14" s="15">
        <f>IFERROR(__xludf.DUMMYFUNCTION("SUM(QUERY(Entregas_BD!D:W,""select S where D='""&amp;D14&amp;""'"",1))"),0.0)</f>
        <v>0</v>
      </c>
      <c r="AI14" s="15">
        <f>IFERROR(__xludf.DUMMYFUNCTION("SUM(QUERY(Entregas_BD!D:W,""select T where D='""&amp;D14&amp;""'"",1))"),0.0)</f>
        <v>0</v>
      </c>
    </row>
    <row r="15" ht="19.5" customHeight="1">
      <c r="A15" s="31"/>
      <c r="B15" s="32"/>
      <c r="C15" s="19">
        <v>14.0</v>
      </c>
      <c r="D15" s="20" t="s">
        <v>87</v>
      </c>
      <c r="E15" s="20" t="s">
        <v>58</v>
      </c>
      <c r="F15" s="20" t="s">
        <v>45</v>
      </c>
      <c r="G15" s="20" t="s">
        <v>88</v>
      </c>
      <c r="H15" s="19" t="s">
        <v>51</v>
      </c>
      <c r="I15" s="21" t="s">
        <v>41</v>
      </c>
      <c r="J15" s="19"/>
      <c r="K15" s="22"/>
      <c r="L15" s="23"/>
      <c r="M15" s="22"/>
      <c r="N15" s="19">
        <f>IFERROR(__xludf.DUMMYFUNCTION("SUM(QUERY(Entregas_BD!D:L,""select G where D='""&amp;D15&amp;""'"",1))"),0.0)</f>
        <v>0</v>
      </c>
      <c r="O15" s="19">
        <f>IFERROR(__xludf.DUMMYFUNCTION("SUM(QUERY(Entregas_BD!D:L,""select H where D='""&amp;D15&amp;""'"",1))"),0.0)</f>
        <v>0</v>
      </c>
      <c r="P15" s="19">
        <f>IFERROR(__xludf.DUMMYFUNCTION("SUM(QUERY(Entregas_BD!D:L,""select I where D='""&amp;D15&amp;""'"",1))"),0.0)</f>
        <v>0</v>
      </c>
      <c r="Q15" s="19">
        <f>IFERROR(__xludf.DUMMYFUNCTION("SUM(QUERY(Entregas_BD!D:L,""select J where D='""&amp;D15&amp;""'"",1))"),0.0)</f>
        <v>0</v>
      </c>
      <c r="R15" s="24">
        <f>IFERROR(__xludf.DUMMYFUNCTION("SUM(QUERY(Entregas_BD!D:L,""select K where D='""&amp;D15&amp;""'"",1))"),0.0)</f>
        <v>0</v>
      </c>
      <c r="S15" s="24">
        <f>IFERROR(__xludf.DUMMYFUNCTION("SUM(QUERY(Entregas_BD!D:L,""select L where D='""&amp;D15&amp;""'"",1))"),0.0)</f>
        <v>0</v>
      </c>
      <c r="T15" s="19">
        <f>IFERROR(__xludf.DUMMYFUNCTION("SUM(QUERY(Entregas_BD!D:AL,""select AG where D='""&amp;D15&amp;""'"",1))"),50.0)</f>
        <v>50</v>
      </c>
      <c r="U15" s="19">
        <f>IFERROR(__xludf.DUMMYFUNCTION("SUM(QUERY(Entregas_BD!D:AL,""select AH where D='""&amp;D15&amp;""'"",1))"),0.0)</f>
        <v>0</v>
      </c>
      <c r="V15" s="19">
        <f>IFERROR(__xludf.DUMMYFUNCTION("SUM(QUERY(Entregas_BD!D:AL,""select AI where D='""&amp;D15&amp;""'"",1))"),0.0)</f>
        <v>0</v>
      </c>
      <c r="W15" s="19">
        <f>IFERROR(__xludf.DUMMYFUNCTION("SUM(QUERY(Entregas_BD!D:AL,""select AJ where D='""&amp;D15&amp;""'"",1))"),0.0)</f>
        <v>0</v>
      </c>
      <c r="X15" s="19">
        <f>IFERROR(__xludf.DUMMYFUNCTION("SUM(QUERY(Entregas_BD!D:AL,""select AL where D='""&amp;D15&amp;""'"",1))"),30.0)</f>
        <v>30</v>
      </c>
      <c r="Y15" s="19">
        <f>IFERROR(__xludf.DUMMYFUNCTION("SUM(QUERY(Entregas_BD!D:AL,""select AK where D='""&amp;D15&amp;""'"",1))"),0.0)</f>
        <v>0</v>
      </c>
      <c r="Z15" s="19">
        <v>-50.0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-30.0</v>
      </c>
      <c r="AF15" s="35" t="s">
        <v>89</v>
      </c>
      <c r="AG15" s="24">
        <f>IFERROR(__xludf.DUMMYFUNCTION("SUM(QUERY(Entregas_BD!D:W,""select U where D='""&amp;D15&amp;""'"",1))"),0.0)</f>
        <v>0</v>
      </c>
      <c r="AH15" s="24">
        <f>IFERROR(__xludf.DUMMYFUNCTION("SUM(QUERY(Entregas_BD!D:W,""select S where D='""&amp;D15&amp;""'"",1))"),0.0)</f>
        <v>0</v>
      </c>
      <c r="AI15" s="24">
        <f>IFERROR(__xludf.DUMMYFUNCTION("SUM(QUERY(Entregas_BD!D:W,""select T where D='""&amp;D15&amp;""'"",1))"),0.0)</f>
        <v>0</v>
      </c>
    </row>
    <row r="16" ht="19.5" customHeight="1">
      <c r="A16" s="26"/>
      <c r="B16" s="27"/>
      <c r="C16" s="9">
        <v>15.0</v>
      </c>
      <c r="D16" s="38" t="s">
        <v>90</v>
      </c>
      <c r="E16" s="10" t="s">
        <v>44</v>
      </c>
      <c r="F16" s="10" t="s">
        <v>45</v>
      </c>
      <c r="G16" s="10" t="s">
        <v>91</v>
      </c>
      <c r="H16" s="9" t="s">
        <v>51</v>
      </c>
      <c r="I16" s="11" t="s">
        <v>41</v>
      </c>
      <c r="J16" s="9"/>
      <c r="K16" s="28"/>
      <c r="L16" s="29"/>
      <c r="M16" s="28"/>
      <c r="N16" s="9">
        <f>IFERROR(__xludf.DUMMYFUNCTION("SUM(QUERY(Entregas_BD!D:L,""select G where D='""&amp;D16&amp;""'"",1))"),0.0)</f>
        <v>0</v>
      </c>
      <c r="O16" s="9">
        <f>IFERROR(__xludf.DUMMYFUNCTION("SUM(QUERY(Entregas_BD!D:L,""select H where D='""&amp;D16&amp;""'"",1))"),0.0)</f>
        <v>0</v>
      </c>
      <c r="P16" s="9">
        <f>IFERROR(__xludf.DUMMYFUNCTION("SUM(QUERY(Entregas_BD!D:L,""select I where D='""&amp;D16&amp;""'"",1))"),0.0)</f>
        <v>0</v>
      </c>
      <c r="Q16" s="9">
        <f>IFERROR(__xludf.DUMMYFUNCTION("SUM(QUERY(Entregas_BD!D:L,""select J where D='""&amp;D16&amp;""'"",1))"),0.0)</f>
        <v>0</v>
      </c>
      <c r="R16" s="15">
        <f>IFERROR(__xludf.DUMMYFUNCTION("SUM(QUERY(Entregas_BD!D:L,""select K where D='""&amp;D16&amp;""'"",1))"),0.0)</f>
        <v>0</v>
      </c>
      <c r="S16" s="15">
        <f>IFERROR(__xludf.DUMMYFUNCTION("SUM(QUERY(Entregas_BD!D:L,""select L where D='""&amp;D16&amp;""'"",1))"),0.0)</f>
        <v>0</v>
      </c>
      <c r="T16" s="9">
        <f>IFERROR(__xludf.DUMMYFUNCTION("SUM(QUERY(Entregas_BD!D:AL,""select AG where D='""&amp;D16&amp;""'"",1))"),25.0)</f>
        <v>25</v>
      </c>
      <c r="U16" s="9">
        <f>IFERROR(__xludf.DUMMYFUNCTION("SUM(QUERY(Entregas_BD!D:AL,""select AH where D='""&amp;D16&amp;""'"",1))"),0.0)</f>
        <v>0</v>
      </c>
      <c r="V16" s="9">
        <f>IFERROR(__xludf.DUMMYFUNCTION("SUM(QUERY(Entregas_BD!D:AL,""select AI where D='""&amp;D16&amp;""'"",1))"),0.0)</f>
        <v>0</v>
      </c>
      <c r="W16" s="9">
        <f>IFERROR(__xludf.DUMMYFUNCTION("SUM(QUERY(Entregas_BD!D:AL,""select AJ where D='""&amp;D16&amp;""'"",1))"),0.0)</f>
        <v>0</v>
      </c>
      <c r="X16" s="9">
        <f>IFERROR(__xludf.DUMMYFUNCTION("SUM(QUERY(Entregas_BD!D:AL,""select AL where D='""&amp;D16&amp;""'"",1))"),50.0)</f>
        <v>50</v>
      </c>
      <c r="Y16" s="9">
        <f>IFERROR(__xludf.DUMMYFUNCTION("SUM(QUERY(Entregas_BD!D:AL,""select AK where D='""&amp;D16&amp;""'"",1))"),0.0)</f>
        <v>0</v>
      </c>
      <c r="Z16" s="9">
        <v>-25.0</v>
      </c>
      <c r="AA16" s="9">
        <v>0.0</v>
      </c>
      <c r="AB16" s="9">
        <v>0.0</v>
      </c>
      <c r="AC16" s="9">
        <v>0.0</v>
      </c>
      <c r="AD16" s="9">
        <v>0.0</v>
      </c>
      <c r="AE16" s="9">
        <v>-50.0</v>
      </c>
      <c r="AF16" s="30" t="s">
        <v>92</v>
      </c>
      <c r="AG16" s="15">
        <f>IFERROR(__xludf.DUMMYFUNCTION("SUM(QUERY(Entregas_BD!D:W,""select U where D='""&amp;D16&amp;""'"",1))"),0.0)</f>
        <v>0</v>
      </c>
      <c r="AH16" s="15">
        <f>IFERROR(__xludf.DUMMYFUNCTION("SUM(QUERY(Entregas_BD!D:W,""select S where D='""&amp;D16&amp;""'"",1))"),0.0)</f>
        <v>0</v>
      </c>
      <c r="AI16" s="15">
        <f>IFERROR(__xludf.DUMMYFUNCTION("SUM(QUERY(Entregas_BD!D:W,""select T where D='""&amp;D16&amp;""'"",1))"),0.0)</f>
        <v>0</v>
      </c>
    </row>
    <row r="17" ht="19.5" customHeight="1">
      <c r="A17" s="17"/>
      <c r="B17" s="18"/>
      <c r="C17" s="19">
        <v>16.0</v>
      </c>
      <c r="D17" s="39" t="s">
        <v>93</v>
      </c>
      <c r="E17" s="20" t="s">
        <v>44</v>
      </c>
      <c r="F17" s="20" t="s">
        <v>45</v>
      </c>
      <c r="G17" s="20" t="s">
        <v>94</v>
      </c>
      <c r="H17" s="19" t="s">
        <v>51</v>
      </c>
      <c r="I17" s="21" t="s">
        <v>41</v>
      </c>
      <c r="J17" s="19"/>
      <c r="K17" s="22"/>
      <c r="L17" s="23"/>
      <c r="M17" s="22"/>
      <c r="N17" s="19">
        <f>IFERROR(__xludf.DUMMYFUNCTION("SUM(QUERY(Entregas_BD!D:L,""select G where D='""&amp;D17&amp;""'"",1))"),0.0)</f>
        <v>0</v>
      </c>
      <c r="O17" s="19">
        <f>IFERROR(__xludf.DUMMYFUNCTION("SUM(QUERY(Entregas_BD!D:L,""select H where D='""&amp;D17&amp;""'"",1))"),0.0)</f>
        <v>0</v>
      </c>
      <c r="P17" s="19">
        <f>IFERROR(__xludf.DUMMYFUNCTION("SUM(QUERY(Entregas_BD!D:L,""select I where D='""&amp;D17&amp;""'"",1))"),0.0)</f>
        <v>0</v>
      </c>
      <c r="Q17" s="19">
        <f>IFERROR(__xludf.DUMMYFUNCTION("SUM(QUERY(Entregas_BD!D:L,""select J where D='""&amp;D17&amp;""'"",1))"),0.0)</f>
        <v>0</v>
      </c>
      <c r="R17" s="24">
        <f>IFERROR(__xludf.DUMMYFUNCTION("SUM(QUERY(Entregas_BD!D:L,""select K where D='""&amp;D17&amp;""'"",1))"),0.0)</f>
        <v>0</v>
      </c>
      <c r="S17" s="24">
        <f>IFERROR(__xludf.DUMMYFUNCTION("SUM(QUERY(Entregas_BD!D:L,""select L where D='""&amp;D17&amp;""'"",1))"),0.0)</f>
        <v>0</v>
      </c>
      <c r="T17" s="19">
        <f>IFERROR(__xludf.DUMMYFUNCTION("SUM(QUERY(Entregas_BD!D:AL,""select AG where D='""&amp;D17&amp;""'"",1))"),25.0)</f>
        <v>25</v>
      </c>
      <c r="U17" s="19">
        <f>IFERROR(__xludf.DUMMYFUNCTION("SUM(QUERY(Entregas_BD!D:AL,""select AH where D='""&amp;D17&amp;""'"",1))"),0.0)</f>
        <v>0</v>
      </c>
      <c r="V17" s="19">
        <f>IFERROR(__xludf.DUMMYFUNCTION("SUM(QUERY(Entregas_BD!D:AL,""select AI where D='""&amp;D17&amp;""'"",1))"),0.0)</f>
        <v>0</v>
      </c>
      <c r="W17" s="19">
        <f>IFERROR(__xludf.DUMMYFUNCTION("SUM(QUERY(Entregas_BD!D:AL,""select AJ where D='""&amp;D17&amp;""'"",1))"),0.0)</f>
        <v>0</v>
      </c>
      <c r="X17" s="19">
        <f>IFERROR(__xludf.DUMMYFUNCTION("SUM(QUERY(Entregas_BD!D:AL,""select AL where D='""&amp;D17&amp;""'"",1))"),50.0)</f>
        <v>50</v>
      </c>
      <c r="Y17" s="19">
        <f>IFERROR(__xludf.DUMMYFUNCTION("SUM(QUERY(Entregas_BD!D:AL,""select AK where D='""&amp;D17&amp;""'"",1))"),0.0)</f>
        <v>0</v>
      </c>
      <c r="Z17" s="19">
        <v>-25.0</v>
      </c>
      <c r="AA17" s="19">
        <v>0.0</v>
      </c>
      <c r="AB17" s="19">
        <v>0.0</v>
      </c>
      <c r="AC17" s="19">
        <v>0.0</v>
      </c>
      <c r="AD17" s="19">
        <v>0.0</v>
      </c>
      <c r="AE17" s="19">
        <v>-50.0</v>
      </c>
      <c r="AF17" s="25" t="s">
        <v>95</v>
      </c>
      <c r="AG17" s="24">
        <f>IFERROR(__xludf.DUMMYFUNCTION("SUM(QUERY(Entregas_BD!D:W,""select U where D='""&amp;D17&amp;""'"",1))"),0.0)</f>
        <v>0</v>
      </c>
      <c r="AH17" s="24">
        <f>IFERROR(__xludf.DUMMYFUNCTION("SUM(QUERY(Entregas_BD!D:W,""select S where D='""&amp;D17&amp;""'"",1))"),0.0)</f>
        <v>0</v>
      </c>
      <c r="AI17" s="24">
        <f>IFERROR(__xludf.DUMMYFUNCTION("SUM(QUERY(Entregas_BD!D:W,""select T where D='""&amp;D17&amp;""'"",1))"),0.0)</f>
        <v>0</v>
      </c>
    </row>
    <row r="18" ht="19.5" customHeight="1">
      <c r="A18" s="7"/>
      <c r="B18" s="8"/>
      <c r="C18" s="9">
        <v>17.0</v>
      </c>
      <c r="D18" s="38" t="s">
        <v>96</v>
      </c>
      <c r="E18" s="10" t="s">
        <v>72</v>
      </c>
      <c r="F18" s="10" t="s">
        <v>45</v>
      </c>
      <c r="G18" s="10" t="s">
        <v>97</v>
      </c>
      <c r="H18" s="9" t="s">
        <v>51</v>
      </c>
      <c r="I18" s="11" t="s">
        <v>41</v>
      </c>
      <c r="J18" s="12"/>
      <c r="K18" s="28"/>
      <c r="L18" s="29"/>
      <c r="M18" s="28"/>
      <c r="N18" s="9">
        <f>IFERROR(__xludf.DUMMYFUNCTION("SUM(QUERY(Entregas_BD!D:L,""select G where D='""&amp;D18&amp;""'"",1))"),0.0)</f>
        <v>0</v>
      </c>
      <c r="O18" s="9">
        <f>IFERROR(__xludf.DUMMYFUNCTION("SUM(QUERY(Entregas_BD!D:L,""select H where D='""&amp;D18&amp;""'"",1))"),0.0)</f>
        <v>0</v>
      </c>
      <c r="P18" s="9">
        <f>IFERROR(__xludf.DUMMYFUNCTION("SUM(QUERY(Entregas_BD!D:L,""select I where D='""&amp;D18&amp;""'"",1))"),0.0)</f>
        <v>0</v>
      </c>
      <c r="Q18" s="9">
        <f>IFERROR(__xludf.DUMMYFUNCTION("SUM(QUERY(Entregas_BD!D:L,""select J where D='""&amp;D18&amp;""'"",1))"),0.0)</f>
        <v>0</v>
      </c>
      <c r="R18" s="15">
        <f>IFERROR(__xludf.DUMMYFUNCTION("SUM(QUERY(Entregas_BD!D:L,""select K where D='""&amp;D18&amp;""'"",1))"),0.0)</f>
        <v>0</v>
      </c>
      <c r="S18" s="15">
        <f>IFERROR(__xludf.DUMMYFUNCTION("SUM(QUERY(Entregas_BD!D:L,""select L where D='""&amp;D18&amp;""'"",1))"),0.0)</f>
        <v>0</v>
      </c>
      <c r="T18" s="9">
        <f>IFERROR(__xludf.DUMMYFUNCTION("SUM(QUERY(Entregas_BD!D:AL,""select AG where D='""&amp;D18&amp;""'"",1))"),25.0)</f>
        <v>25</v>
      </c>
      <c r="U18" s="9">
        <f>IFERROR(__xludf.DUMMYFUNCTION("SUM(QUERY(Entregas_BD!D:AL,""select AH where D='""&amp;D18&amp;""'"",1))"),0.0)</f>
        <v>0</v>
      </c>
      <c r="V18" s="9">
        <f>IFERROR(__xludf.DUMMYFUNCTION("SUM(QUERY(Entregas_BD!D:AL,""select AI where D='""&amp;D18&amp;""'"",1))"),0.0)</f>
        <v>0</v>
      </c>
      <c r="W18" s="9">
        <f>IFERROR(__xludf.DUMMYFUNCTION("SUM(QUERY(Entregas_BD!D:AL,""select AJ where D='""&amp;D18&amp;""'"",1))"),0.0)</f>
        <v>0</v>
      </c>
      <c r="X18" s="9">
        <f>IFERROR(__xludf.DUMMYFUNCTION("SUM(QUERY(Entregas_BD!D:AL,""select AL where D='""&amp;D18&amp;""'"",1))"),0.0)</f>
        <v>0</v>
      </c>
      <c r="Y18" s="9">
        <f>IFERROR(__xludf.DUMMYFUNCTION("SUM(QUERY(Entregas_BD!D:AL,""select AK where D='""&amp;D18&amp;""'"",1))"),0.0)</f>
        <v>0</v>
      </c>
      <c r="Z18" s="9">
        <v>-25.0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30" t="s">
        <v>98</v>
      </c>
      <c r="AG18" s="15">
        <f>IFERROR(__xludf.DUMMYFUNCTION("SUM(QUERY(Entregas_BD!D:W,""select U where D='""&amp;D18&amp;""'"",1))"),0.0)</f>
        <v>0</v>
      </c>
      <c r="AH18" s="15">
        <f>IFERROR(__xludf.DUMMYFUNCTION("SUM(QUERY(Entregas_BD!D:W,""select S where D='""&amp;D18&amp;""'"",1))"),0.0)</f>
        <v>0</v>
      </c>
      <c r="AI18" s="15">
        <f>IFERROR(__xludf.DUMMYFUNCTION("SUM(QUERY(Entregas_BD!D:W,""select T where D='""&amp;D18&amp;""'"",1))"),0.0)</f>
        <v>0</v>
      </c>
    </row>
    <row r="19" ht="19.5" customHeight="1">
      <c r="A19" s="31"/>
      <c r="B19" s="32"/>
      <c r="C19" s="19">
        <v>18.0</v>
      </c>
      <c r="D19" s="20" t="s">
        <v>99</v>
      </c>
      <c r="E19" s="20" t="s">
        <v>54</v>
      </c>
      <c r="F19" s="20" t="s">
        <v>45</v>
      </c>
      <c r="G19" s="20" t="s">
        <v>100</v>
      </c>
      <c r="H19" s="19" t="s">
        <v>51</v>
      </c>
      <c r="I19" s="21" t="s">
        <v>47</v>
      </c>
      <c r="J19" s="34"/>
      <c r="K19" s="22"/>
      <c r="L19" s="23"/>
      <c r="M19" s="22"/>
      <c r="N19" s="19">
        <f>IFERROR(__xludf.DUMMYFUNCTION("SUM(QUERY(Entregas_BD!D:L,""select G where D='""&amp;D19&amp;""'"",1))"),0.0)</f>
        <v>0</v>
      </c>
      <c r="O19" s="19">
        <f>IFERROR(__xludf.DUMMYFUNCTION("SUM(QUERY(Entregas_BD!D:L,""select H where D='""&amp;D19&amp;""'"",1))"),0.0)</f>
        <v>0</v>
      </c>
      <c r="P19" s="19">
        <f>IFERROR(__xludf.DUMMYFUNCTION("SUM(QUERY(Entregas_BD!D:L,""select I where D='""&amp;D19&amp;""'"",1))"),0.0)</f>
        <v>0</v>
      </c>
      <c r="Q19" s="19">
        <f>IFERROR(__xludf.DUMMYFUNCTION("SUM(QUERY(Entregas_BD!D:L,""select J where D='""&amp;D19&amp;""'"",1))"),0.0)</f>
        <v>0</v>
      </c>
      <c r="R19" s="24">
        <f>IFERROR(__xludf.DUMMYFUNCTION("SUM(QUERY(Entregas_BD!D:L,""select K where D='""&amp;D19&amp;""'"",1))"),0.0)</f>
        <v>0</v>
      </c>
      <c r="S19" s="24">
        <f>IFERROR(__xludf.DUMMYFUNCTION("SUM(QUERY(Entregas_BD!D:L,""select L where D='""&amp;D19&amp;""'"",1))"),0.0)</f>
        <v>0</v>
      </c>
      <c r="T19" s="19">
        <f>IFERROR(__xludf.DUMMYFUNCTION("SUM(QUERY(Entregas_BD!D:AL,""select AG where D='""&amp;D19&amp;""'"",1))"),0.0)</f>
        <v>0</v>
      </c>
      <c r="U19" s="19">
        <f>IFERROR(__xludf.DUMMYFUNCTION("SUM(QUERY(Entregas_BD!D:AL,""select AH where D='""&amp;D19&amp;""'"",1))"),0.0)</f>
        <v>0</v>
      </c>
      <c r="V19" s="19">
        <f>IFERROR(__xludf.DUMMYFUNCTION("SUM(QUERY(Entregas_BD!D:AL,""select AI where D='""&amp;D19&amp;""'"",1))"),0.0)</f>
        <v>0</v>
      </c>
      <c r="W19" s="19">
        <f>IFERROR(__xludf.DUMMYFUNCTION("SUM(QUERY(Entregas_BD!D:AL,""select AJ where D='""&amp;D19&amp;""'"",1))"),0.0)</f>
        <v>0</v>
      </c>
      <c r="X19" s="19">
        <f>IFERROR(__xludf.DUMMYFUNCTION("SUM(QUERY(Entregas_BD!D:AL,""select AL where D='""&amp;D19&amp;""'"",1))"),0.0)</f>
        <v>0</v>
      </c>
      <c r="Y19" s="19">
        <f>IFERROR(__xludf.DUMMYFUNCTION("SUM(QUERY(Entregas_BD!D:AL,""select AK where D='""&amp;D19&amp;""'"",1))"),0.0)</f>
        <v>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35" t="s">
        <v>101</v>
      </c>
      <c r="AG19" s="24">
        <f>IFERROR(__xludf.DUMMYFUNCTION("SUM(QUERY(Entregas_BD!D:W,""select U where D='""&amp;D19&amp;""'"",1))"),0.0)</f>
        <v>0</v>
      </c>
      <c r="AH19" s="24">
        <f>IFERROR(__xludf.DUMMYFUNCTION("SUM(QUERY(Entregas_BD!D:W,""select S where D='""&amp;D19&amp;""'"",1))"),0.0)</f>
        <v>0</v>
      </c>
      <c r="AI19" s="24">
        <f>IFERROR(__xludf.DUMMYFUNCTION("SUM(QUERY(Entregas_BD!D:W,""select T where D='""&amp;D19&amp;""'"",1))"),0.0)</f>
        <v>0</v>
      </c>
    </row>
    <row r="20" ht="19.5" customHeight="1">
      <c r="A20" s="7"/>
      <c r="B20" s="8"/>
      <c r="C20" s="9">
        <v>19.0</v>
      </c>
      <c r="D20" s="10" t="s">
        <v>102</v>
      </c>
      <c r="E20" s="10" t="s">
        <v>54</v>
      </c>
      <c r="F20" s="10" t="s">
        <v>45</v>
      </c>
      <c r="G20" s="10" t="s">
        <v>103</v>
      </c>
      <c r="H20" s="9" t="s">
        <v>51</v>
      </c>
      <c r="I20" s="11" t="s">
        <v>47</v>
      </c>
      <c r="J20" s="12"/>
      <c r="K20" s="28"/>
      <c r="L20" s="29"/>
      <c r="M20" s="28"/>
      <c r="N20" s="9">
        <f>IFERROR(__xludf.DUMMYFUNCTION("SUM(QUERY(Entregas_BD!D:L,""select G where D='""&amp;D20&amp;""'"",1))"),0.0)</f>
        <v>0</v>
      </c>
      <c r="O20" s="9">
        <f>IFERROR(__xludf.DUMMYFUNCTION("SUM(QUERY(Entregas_BD!D:L,""select H where D='""&amp;D20&amp;""'"",1))"),0.0)</f>
        <v>0</v>
      </c>
      <c r="P20" s="9">
        <f>IFERROR(__xludf.DUMMYFUNCTION("SUM(QUERY(Entregas_BD!D:L,""select I where D='""&amp;D20&amp;""'"",1))"),0.0)</f>
        <v>0</v>
      </c>
      <c r="Q20" s="9">
        <f>IFERROR(__xludf.DUMMYFUNCTION("SUM(QUERY(Entregas_BD!D:L,""select J where D='""&amp;D20&amp;""'"",1))"),0.0)</f>
        <v>0</v>
      </c>
      <c r="R20" s="15">
        <f>IFERROR(__xludf.DUMMYFUNCTION("SUM(QUERY(Entregas_BD!D:L,""select K where D='""&amp;D20&amp;""'"",1))"),0.0)</f>
        <v>0</v>
      </c>
      <c r="S20" s="15">
        <f>IFERROR(__xludf.DUMMYFUNCTION("SUM(QUERY(Entregas_BD!D:L,""select L where D='""&amp;D20&amp;""'"",1))"),0.0)</f>
        <v>0</v>
      </c>
      <c r="T20" s="9">
        <f>IFERROR(__xludf.DUMMYFUNCTION("SUM(QUERY(Entregas_BD!D:AL,""select AG where D='""&amp;D20&amp;""'"",1))"),0.0)</f>
        <v>0</v>
      </c>
      <c r="U20" s="9">
        <f>IFERROR(__xludf.DUMMYFUNCTION("SUM(QUERY(Entregas_BD!D:AL,""select AH where D='""&amp;D20&amp;""'"",1))"),0.0)</f>
        <v>0</v>
      </c>
      <c r="V20" s="9">
        <f>IFERROR(__xludf.DUMMYFUNCTION("SUM(QUERY(Entregas_BD!D:AL,""select AI where D='""&amp;D20&amp;""'"",1))"),0.0)</f>
        <v>0</v>
      </c>
      <c r="W20" s="9">
        <f>IFERROR(__xludf.DUMMYFUNCTION("SUM(QUERY(Entregas_BD!D:AL,""select AJ where D='""&amp;D20&amp;""'"",1))"),0.0)</f>
        <v>0</v>
      </c>
      <c r="X20" s="9">
        <f>IFERROR(__xludf.DUMMYFUNCTION("SUM(QUERY(Entregas_BD!D:AL,""select AL where D='""&amp;D20&amp;""'"",1))"),0.0)</f>
        <v>0</v>
      </c>
      <c r="Y20" s="9">
        <f>IFERROR(__xludf.DUMMYFUNCTION("SUM(QUERY(Entregas_BD!D:AL,""select AK where D='""&amp;D20&amp;""'"",1))"),0.0)</f>
        <v>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30" t="s">
        <v>104</v>
      </c>
      <c r="AG20" s="15">
        <f>IFERROR(__xludf.DUMMYFUNCTION("SUM(QUERY(Entregas_BD!D:W,""select U where D='""&amp;D20&amp;""'"",1))"),0.0)</f>
        <v>0</v>
      </c>
      <c r="AH20" s="15">
        <f>IFERROR(__xludf.DUMMYFUNCTION("SUM(QUERY(Entregas_BD!D:W,""select S where D='""&amp;D20&amp;""'"",1))"),0.0)</f>
        <v>0</v>
      </c>
      <c r="AI20" s="15">
        <f>IFERROR(__xludf.DUMMYFUNCTION("SUM(QUERY(Entregas_BD!D:W,""select T where D='""&amp;D20&amp;""'"",1))"),0.0)</f>
        <v>0</v>
      </c>
    </row>
    <row r="21" ht="19.5" customHeight="1">
      <c r="A21" s="31"/>
      <c r="B21" s="32"/>
      <c r="C21" s="19">
        <v>20.0</v>
      </c>
      <c r="D21" s="20" t="s">
        <v>105</v>
      </c>
      <c r="E21" s="20" t="s">
        <v>54</v>
      </c>
      <c r="F21" s="20" t="s">
        <v>45</v>
      </c>
      <c r="G21" s="20" t="s">
        <v>106</v>
      </c>
      <c r="H21" s="19" t="s">
        <v>51</v>
      </c>
      <c r="I21" s="21" t="s">
        <v>47</v>
      </c>
      <c r="J21" s="34"/>
      <c r="K21" s="22"/>
      <c r="L21" s="23"/>
      <c r="M21" s="22"/>
      <c r="N21" s="19">
        <f>IFERROR(__xludf.DUMMYFUNCTION("SUM(QUERY(Entregas_BD!D:L,""select G where D='""&amp;D21&amp;""'"",1))"),0.0)</f>
        <v>0</v>
      </c>
      <c r="O21" s="19">
        <f>IFERROR(__xludf.DUMMYFUNCTION("SUM(QUERY(Entregas_BD!D:L,""select H where D='""&amp;D21&amp;""'"",1))"),0.0)</f>
        <v>0</v>
      </c>
      <c r="P21" s="19">
        <f>IFERROR(__xludf.DUMMYFUNCTION("SUM(QUERY(Entregas_BD!D:L,""select I where D='""&amp;D21&amp;""'"",1))"),0.0)</f>
        <v>0</v>
      </c>
      <c r="Q21" s="19">
        <f>IFERROR(__xludf.DUMMYFUNCTION("SUM(QUERY(Entregas_BD!D:L,""select J where D='""&amp;D21&amp;""'"",1))"),0.0)</f>
        <v>0</v>
      </c>
      <c r="R21" s="24">
        <f>IFERROR(__xludf.DUMMYFUNCTION("SUM(QUERY(Entregas_BD!D:L,""select K where D='""&amp;D21&amp;""'"",1))"),0.0)</f>
        <v>0</v>
      </c>
      <c r="S21" s="24">
        <f>IFERROR(__xludf.DUMMYFUNCTION("SUM(QUERY(Entregas_BD!D:L,""select L where D='""&amp;D21&amp;""'"",1))"),0.0)</f>
        <v>0</v>
      </c>
      <c r="T21" s="19">
        <f>IFERROR(__xludf.DUMMYFUNCTION("SUM(QUERY(Entregas_BD!D:AL,""select AG where D='""&amp;D21&amp;""'"",1))"),0.0)</f>
        <v>0</v>
      </c>
      <c r="U21" s="19">
        <f>IFERROR(__xludf.DUMMYFUNCTION("SUM(QUERY(Entregas_BD!D:AL,""select AH where D='""&amp;D21&amp;""'"",1))"),0.0)</f>
        <v>0</v>
      </c>
      <c r="V21" s="19">
        <f>IFERROR(__xludf.DUMMYFUNCTION("SUM(QUERY(Entregas_BD!D:AL,""select AI where D='""&amp;D21&amp;""'"",1))"),0.0)</f>
        <v>0</v>
      </c>
      <c r="W21" s="19">
        <f>IFERROR(__xludf.DUMMYFUNCTION("SUM(QUERY(Entregas_BD!D:AL,""select AJ where D='""&amp;D21&amp;""'"",1))"),0.0)</f>
        <v>0</v>
      </c>
      <c r="X21" s="19">
        <f>IFERROR(__xludf.DUMMYFUNCTION("SUM(QUERY(Entregas_BD!D:AL,""select AL where D='""&amp;D21&amp;""'"",1))"),0.0)</f>
        <v>0</v>
      </c>
      <c r="Y21" s="19">
        <f>IFERROR(__xludf.DUMMYFUNCTION("SUM(QUERY(Entregas_BD!D:AL,""select AK where D='""&amp;D21&amp;""'"",1))"),0.0)</f>
        <v>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35" t="s">
        <v>107</v>
      </c>
      <c r="AG21" s="24">
        <f>IFERROR(__xludf.DUMMYFUNCTION("SUM(QUERY(Entregas_BD!D:W,""select U where D='""&amp;D21&amp;""'"",1))"),0.0)</f>
        <v>0</v>
      </c>
      <c r="AH21" s="24">
        <f>IFERROR(__xludf.DUMMYFUNCTION("SUM(QUERY(Entregas_BD!D:W,""select S where D='""&amp;D21&amp;""'"",1))"),0.0)</f>
        <v>0</v>
      </c>
      <c r="AI21" s="24">
        <f>IFERROR(__xludf.DUMMYFUNCTION("SUM(QUERY(Entregas_BD!D:W,""select T where D='""&amp;D21&amp;""'"",1))"),0.0)</f>
        <v>0</v>
      </c>
    </row>
    <row r="22" ht="19.5" customHeight="1">
      <c r="A22" s="7"/>
      <c r="B22" s="8"/>
      <c r="C22" s="9">
        <v>21.0</v>
      </c>
      <c r="D22" s="10" t="s">
        <v>108</v>
      </c>
      <c r="E22" s="10" t="s">
        <v>54</v>
      </c>
      <c r="F22" s="10" t="s">
        <v>45</v>
      </c>
      <c r="G22" s="10" t="s">
        <v>109</v>
      </c>
      <c r="H22" s="9" t="s">
        <v>51</v>
      </c>
      <c r="I22" s="11" t="s">
        <v>41</v>
      </c>
      <c r="J22" s="12"/>
      <c r="K22" s="28"/>
      <c r="L22" s="29"/>
      <c r="M22" s="28"/>
      <c r="N22" s="9">
        <f>IFERROR(__xludf.DUMMYFUNCTION("SUM(QUERY(Entregas_BD!D:L,""select G where D='""&amp;D22&amp;""'"",1))"),0.0)</f>
        <v>0</v>
      </c>
      <c r="O22" s="9">
        <f>IFERROR(__xludf.DUMMYFUNCTION("SUM(QUERY(Entregas_BD!D:L,""select H where D='""&amp;D22&amp;""'"",1))"),0.0)</f>
        <v>0</v>
      </c>
      <c r="P22" s="9">
        <f>IFERROR(__xludf.DUMMYFUNCTION("SUM(QUERY(Entregas_BD!D:L,""select I where D='""&amp;D22&amp;""'"",1))"),0.0)</f>
        <v>0</v>
      </c>
      <c r="Q22" s="9">
        <f>IFERROR(__xludf.DUMMYFUNCTION("SUM(QUERY(Entregas_BD!D:L,""select J where D='""&amp;D22&amp;""'"",1))"),0.0)</f>
        <v>0</v>
      </c>
      <c r="R22" s="15">
        <f>IFERROR(__xludf.DUMMYFUNCTION("SUM(QUERY(Entregas_BD!D:L,""select K where D='""&amp;D22&amp;""'"",1))"),0.0)</f>
        <v>0</v>
      </c>
      <c r="S22" s="15">
        <f>IFERROR(__xludf.DUMMYFUNCTION("SUM(QUERY(Entregas_BD!D:L,""select L where D='""&amp;D22&amp;""'"",1))"),0.0)</f>
        <v>0</v>
      </c>
      <c r="T22" s="9">
        <f>IFERROR(__xludf.DUMMYFUNCTION("SUM(QUERY(Entregas_BD!D:AL,""select AG where D='""&amp;D22&amp;""'"",1))"),20.0)</f>
        <v>20</v>
      </c>
      <c r="U22" s="9">
        <f>IFERROR(__xludf.DUMMYFUNCTION("SUM(QUERY(Entregas_BD!D:AL,""select AH where D='""&amp;D22&amp;""'"",1))"),0.0)</f>
        <v>0</v>
      </c>
      <c r="V22" s="9">
        <f>IFERROR(__xludf.DUMMYFUNCTION("SUM(QUERY(Entregas_BD!D:AL,""select AI where D='""&amp;D22&amp;""'"",1))"),0.0)</f>
        <v>0</v>
      </c>
      <c r="W22" s="9">
        <f>IFERROR(__xludf.DUMMYFUNCTION("SUM(QUERY(Entregas_BD!D:AL,""select AJ where D='""&amp;D22&amp;""'"",1))"),0.0)</f>
        <v>0</v>
      </c>
      <c r="X22" s="9">
        <f>IFERROR(__xludf.DUMMYFUNCTION("SUM(QUERY(Entregas_BD!D:AL,""select AL where D='""&amp;D22&amp;""'"",1))"),0.0)</f>
        <v>0</v>
      </c>
      <c r="Y22" s="9">
        <f>IFERROR(__xludf.DUMMYFUNCTION("SUM(QUERY(Entregas_BD!D:AL,""select AK where D='""&amp;D22&amp;""'"",1))"),0.0)</f>
        <v>0</v>
      </c>
      <c r="Z22" s="9">
        <v>-20.0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37" t="s">
        <v>110</v>
      </c>
      <c r="AG22" s="15">
        <f>IFERROR(__xludf.DUMMYFUNCTION("SUM(QUERY(Entregas_BD!D:W,""select U where D='""&amp;D22&amp;""'"",1))"),0.0)</f>
        <v>0</v>
      </c>
      <c r="AH22" s="15">
        <f>IFERROR(__xludf.DUMMYFUNCTION("SUM(QUERY(Entregas_BD!D:W,""select S where D='""&amp;D22&amp;""'"",1))"),0.0)</f>
        <v>0</v>
      </c>
      <c r="AI22" s="15">
        <f>IFERROR(__xludf.DUMMYFUNCTION("SUM(QUERY(Entregas_BD!D:W,""select T where D='""&amp;D22&amp;""'"",1))"),0.0)</f>
        <v>0</v>
      </c>
    </row>
    <row r="23" ht="19.5" customHeight="1">
      <c r="A23" s="31"/>
      <c r="B23" s="32"/>
      <c r="C23" s="19">
        <v>22.0</v>
      </c>
      <c r="D23" s="20" t="s">
        <v>111</v>
      </c>
      <c r="E23" s="20" t="s">
        <v>58</v>
      </c>
      <c r="F23" s="20" t="s">
        <v>45</v>
      </c>
      <c r="G23" s="20" t="s">
        <v>112</v>
      </c>
      <c r="H23" s="19" t="s">
        <v>51</v>
      </c>
      <c r="I23" s="21" t="s">
        <v>41</v>
      </c>
      <c r="J23" s="19"/>
      <c r="K23" s="22"/>
      <c r="L23" s="23"/>
      <c r="M23" s="22"/>
      <c r="N23" s="19">
        <f>IFERROR(__xludf.DUMMYFUNCTION("SUM(QUERY(Entregas_BD!D:L,""select G where D='""&amp;D23&amp;""'"",1))"),0.0)</f>
        <v>0</v>
      </c>
      <c r="O23" s="19">
        <f>IFERROR(__xludf.DUMMYFUNCTION("SUM(QUERY(Entregas_BD!D:L,""select H where D='""&amp;D23&amp;""'"",1))"),0.0)</f>
        <v>0</v>
      </c>
      <c r="P23" s="19">
        <f>IFERROR(__xludf.DUMMYFUNCTION("SUM(QUERY(Entregas_BD!D:L,""select I where D='""&amp;D23&amp;""'"",1))"),0.0)</f>
        <v>0</v>
      </c>
      <c r="Q23" s="19">
        <f>IFERROR(__xludf.DUMMYFUNCTION("SUM(QUERY(Entregas_BD!D:L,""select J where D='""&amp;D23&amp;""'"",1))"),0.0)</f>
        <v>0</v>
      </c>
      <c r="R23" s="24">
        <f>IFERROR(__xludf.DUMMYFUNCTION("SUM(QUERY(Entregas_BD!D:L,""select K where D='""&amp;D23&amp;""'"",1))"),0.0)</f>
        <v>0</v>
      </c>
      <c r="S23" s="24">
        <f>IFERROR(__xludf.DUMMYFUNCTION("SUM(QUERY(Entregas_BD!D:L,""select L where D='""&amp;D23&amp;""'"",1))"),0.0)</f>
        <v>0</v>
      </c>
      <c r="T23" s="19">
        <f>IFERROR(__xludf.DUMMYFUNCTION("SUM(QUERY(Entregas_BD!D:AL,""select AG where D='""&amp;D23&amp;""'"",1))"),20.0)</f>
        <v>20</v>
      </c>
      <c r="U23" s="19">
        <f>IFERROR(__xludf.DUMMYFUNCTION("SUM(QUERY(Entregas_BD!D:AL,""select AH where D='""&amp;D23&amp;""'"",1))"),0.0)</f>
        <v>0</v>
      </c>
      <c r="V23" s="19">
        <f>IFERROR(__xludf.DUMMYFUNCTION("SUM(QUERY(Entregas_BD!D:AL,""select AI where D='""&amp;D23&amp;""'"",1))"),0.0)</f>
        <v>0</v>
      </c>
      <c r="W23" s="19">
        <f>IFERROR(__xludf.DUMMYFUNCTION("SUM(QUERY(Entregas_BD!D:AL,""select AJ where D='""&amp;D23&amp;""'"",1))"),0.0)</f>
        <v>0</v>
      </c>
      <c r="X23" s="19">
        <f>IFERROR(__xludf.DUMMYFUNCTION("SUM(QUERY(Entregas_BD!D:AL,""select AL where D='""&amp;D23&amp;""'"",1))"),0.0)</f>
        <v>0</v>
      </c>
      <c r="Y23" s="19">
        <f>IFERROR(__xludf.DUMMYFUNCTION("SUM(QUERY(Entregas_BD!D:AL,""select AK where D='""&amp;D23&amp;""'"",1))"),0.0)</f>
        <v>0</v>
      </c>
      <c r="Z23" s="19">
        <v>-20.0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35" t="s">
        <v>113</v>
      </c>
      <c r="AG23" s="24">
        <f>IFERROR(__xludf.DUMMYFUNCTION("SUM(QUERY(Entregas_BD!D:W,""select U where D='""&amp;D23&amp;""'"",1))"),0.0)</f>
        <v>0</v>
      </c>
      <c r="AH23" s="24">
        <f>IFERROR(__xludf.DUMMYFUNCTION("SUM(QUERY(Entregas_BD!D:W,""select S where D='""&amp;D23&amp;""'"",1))"),0.0)</f>
        <v>0</v>
      </c>
      <c r="AI23" s="24">
        <f>IFERROR(__xludf.DUMMYFUNCTION("SUM(QUERY(Entregas_BD!D:W,""select T where D='""&amp;D23&amp;""'"",1))"),0.0)</f>
        <v>0</v>
      </c>
    </row>
    <row r="24" ht="19.5" customHeight="1">
      <c r="A24" s="26"/>
      <c r="B24" s="27"/>
      <c r="C24" s="9">
        <v>23.0</v>
      </c>
      <c r="D24" s="10" t="s">
        <v>114</v>
      </c>
      <c r="E24" s="10" t="s">
        <v>44</v>
      </c>
      <c r="F24" s="10" t="s">
        <v>45</v>
      </c>
      <c r="G24" s="10" t="s">
        <v>115</v>
      </c>
      <c r="H24" s="9" t="s">
        <v>69</v>
      </c>
      <c r="I24" s="11" t="s">
        <v>41</v>
      </c>
      <c r="J24" s="9"/>
      <c r="K24" s="28"/>
      <c r="L24" s="29"/>
      <c r="M24" s="28"/>
      <c r="N24" s="9">
        <f>IFERROR(__xludf.DUMMYFUNCTION("SUM(QUERY(Entregas_BD!D:L,""select G where D='""&amp;D24&amp;""'"",1))"),0.0)</f>
        <v>0</v>
      </c>
      <c r="O24" s="9">
        <f>IFERROR(__xludf.DUMMYFUNCTION("SUM(QUERY(Entregas_BD!D:L,""select H where D='""&amp;D24&amp;""'"",1))"),0.0)</f>
        <v>0</v>
      </c>
      <c r="P24" s="9">
        <f>IFERROR(__xludf.DUMMYFUNCTION("SUM(QUERY(Entregas_BD!D:L,""select I where D='""&amp;D24&amp;""'"",1))"),0.0)</f>
        <v>0</v>
      </c>
      <c r="Q24" s="9">
        <f>IFERROR(__xludf.DUMMYFUNCTION("SUM(QUERY(Entregas_BD!D:L,""select J where D='""&amp;D24&amp;""'"",1))"),0.0)</f>
        <v>0</v>
      </c>
      <c r="R24" s="15">
        <f>IFERROR(__xludf.DUMMYFUNCTION("SUM(QUERY(Entregas_BD!D:L,""select K where D='""&amp;D24&amp;""'"",1))"),0.0)</f>
        <v>0</v>
      </c>
      <c r="S24" s="15">
        <f>IFERROR(__xludf.DUMMYFUNCTION("SUM(QUERY(Entregas_BD!D:L,""select L where D='""&amp;D24&amp;""'"",1))"),0.0)</f>
        <v>0</v>
      </c>
      <c r="T24" s="9">
        <f>IFERROR(__xludf.DUMMYFUNCTION("SUM(QUERY(Entregas_BD!D:AL,""select AG where D='""&amp;D24&amp;""'"",1))"),0.0)</f>
        <v>0</v>
      </c>
      <c r="U24" s="9">
        <f>IFERROR(__xludf.DUMMYFUNCTION("SUM(QUERY(Entregas_BD!D:AL,""select AH where D='""&amp;D24&amp;""'"",1))"),0.0)</f>
        <v>0</v>
      </c>
      <c r="V24" s="9">
        <f>IFERROR(__xludf.DUMMYFUNCTION("SUM(QUERY(Entregas_BD!D:AL,""select AI where D='""&amp;D24&amp;""'"",1))"),0.0)</f>
        <v>0</v>
      </c>
      <c r="W24" s="9">
        <f>IFERROR(__xludf.DUMMYFUNCTION("SUM(QUERY(Entregas_BD!D:AL,""select AJ where D='""&amp;D24&amp;""'"",1))"),0.0)</f>
        <v>0</v>
      </c>
      <c r="X24" s="9">
        <f>IFERROR(__xludf.DUMMYFUNCTION("SUM(QUERY(Entregas_BD!D:AL,""select AL where D='""&amp;D24&amp;""'"",1))"),0.0)</f>
        <v>0</v>
      </c>
      <c r="Y24" s="9">
        <f>IFERROR(__xludf.DUMMYFUNCTION("SUM(QUERY(Entregas_BD!D:AL,""select AK where D='""&amp;D24&amp;""'"",1))"),0.0)</f>
        <v>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37" t="s">
        <v>116</v>
      </c>
      <c r="AG24" s="15">
        <f>IFERROR(__xludf.DUMMYFUNCTION("SUM(QUERY(Entregas_BD!D:W,""select U where D='""&amp;D24&amp;""'"",1))"),0.0)</f>
        <v>0</v>
      </c>
      <c r="AH24" s="15">
        <f>IFERROR(__xludf.DUMMYFUNCTION("SUM(QUERY(Entregas_BD!D:W,""select S where D='""&amp;D24&amp;""'"",1))"),0.0)</f>
        <v>0</v>
      </c>
      <c r="AI24" s="15">
        <f>IFERROR(__xludf.DUMMYFUNCTION("SUM(QUERY(Entregas_BD!D:W,""select T where D='""&amp;D24&amp;""'"",1))"),0.0)</f>
        <v>0</v>
      </c>
    </row>
    <row r="25" ht="19.5" customHeight="1">
      <c r="A25" s="17"/>
      <c r="B25" s="18"/>
      <c r="C25" s="19">
        <v>24.0</v>
      </c>
      <c r="D25" s="20" t="s">
        <v>117</v>
      </c>
      <c r="E25" s="20" t="s">
        <v>44</v>
      </c>
      <c r="F25" s="20" t="s">
        <v>45</v>
      </c>
      <c r="G25" s="20" t="s">
        <v>118</v>
      </c>
      <c r="H25" s="19" t="s">
        <v>51</v>
      </c>
      <c r="I25" s="21" t="s">
        <v>41</v>
      </c>
      <c r="J25" s="19"/>
      <c r="K25" s="22"/>
      <c r="L25" s="23"/>
      <c r="M25" s="22"/>
      <c r="N25" s="19">
        <f>IFERROR(__xludf.DUMMYFUNCTION("SUM(QUERY(Entregas_BD!D:L,""select G where D='""&amp;D25&amp;""'"",1))"),0.0)</f>
        <v>0</v>
      </c>
      <c r="O25" s="19">
        <f>IFERROR(__xludf.DUMMYFUNCTION("SUM(QUERY(Entregas_BD!D:L,""select H where D='""&amp;D25&amp;""'"",1))"),0.0)</f>
        <v>0</v>
      </c>
      <c r="P25" s="19">
        <f>IFERROR(__xludf.DUMMYFUNCTION("SUM(QUERY(Entregas_BD!D:L,""select I where D='""&amp;D25&amp;""'"",1))"),0.0)</f>
        <v>0</v>
      </c>
      <c r="Q25" s="19">
        <f>IFERROR(__xludf.DUMMYFUNCTION("SUM(QUERY(Entregas_BD!D:L,""select J where D='""&amp;D25&amp;""'"",1))"),0.0)</f>
        <v>0</v>
      </c>
      <c r="R25" s="24">
        <f>IFERROR(__xludf.DUMMYFUNCTION("SUM(QUERY(Entregas_BD!D:L,""select K where D='""&amp;D25&amp;""'"",1))"),0.0)</f>
        <v>0</v>
      </c>
      <c r="S25" s="24">
        <f>IFERROR(__xludf.DUMMYFUNCTION("SUM(QUERY(Entregas_BD!D:L,""select L where D='""&amp;D25&amp;""'"",1))"),0.0)</f>
        <v>0</v>
      </c>
      <c r="T25" s="19">
        <f>IFERROR(__xludf.DUMMYFUNCTION("SUM(QUERY(Entregas_BD!D:AL,""select AG where D='""&amp;D25&amp;""'"",1))"),20.0)</f>
        <v>20</v>
      </c>
      <c r="U25" s="19">
        <f>IFERROR(__xludf.DUMMYFUNCTION("SUM(QUERY(Entregas_BD!D:AL,""select AH where D='""&amp;D25&amp;""'"",1))"),0.0)</f>
        <v>0</v>
      </c>
      <c r="V25" s="19">
        <f>IFERROR(__xludf.DUMMYFUNCTION("SUM(QUERY(Entregas_BD!D:AL,""select AI where D='""&amp;D25&amp;""'"",1))"),0.0)</f>
        <v>0</v>
      </c>
      <c r="W25" s="19">
        <f>IFERROR(__xludf.DUMMYFUNCTION("SUM(QUERY(Entregas_BD!D:AL,""select AJ where D='""&amp;D25&amp;""'"",1))"),0.0)</f>
        <v>0</v>
      </c>
      <c r="X25" s="19">
        <f>IFERROR(__xludf.DUMMYFUNCTION("SUM(QUERY(Entregas_BD!D:AL,""select AL where D='""&amp;D25&amp;""'"",1))"),0.0)</f>
        <v>0</v>
      </c>
      <c r="Y25" s="19">
        <f>IFERROR(__xludf.DUMMYFUNCTION("SUM(QUERY(Entregas_BD!D:AL,""select AK where D='""&amp;D25&amp;""'"",1))"),0.0)</f>
        <v>0</v>
      </c>
      <c r="Z25" s="19">
        <v>-20.0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35" t="s">
        <v>119</v>
      </c>
      <c r="AG25" s="24">
        <f>IFERROR(__xludf.DUMMYFUNCTION("SUM(QUERY(Entregas_BD!D:W,""select U where D='""&amp;D25&amp;""'"",1))"),0.0)</f>
        <v>0</v>
      </c>
      <c r="AH25" s="24">
        <f>IFERROR(__xludf.DUMMYFUNCTION("SUM(QUERY(Entregas_BD!D:W,""select S where D='""&amp;D25&amp;""'"",1))"),0.0)</f>
        <v>0</v>
      </c>
      <c r="AI25" s="24">
        <f>IFERROR(__xludf.DUMMYFUNCTION("SUM(QUERY(Entregas_BD!D:W,""select T where D='""&amp;D25&amp;""'"",1))"),0.0)</f>
        <v>0</v>
      </c>
    </row>
    <row r="26" ht="19.5" customHeight="1">
      <c r="A26" s="26"/>
      <c r="B26" s="27"/>
      <c r="C26" s="9">
        <v>25.0</v>
      </c>
      <c r="D26" s="10" t="s">
        <v>120</v>
      </c>
      <c r="E26" s="10" t="s">
        <v>44</v>
      </c>
      <c r="F26" s="10" t="s">
        <v>45</v>
      </c>
      <c r="G26" s="10" t="s">
        <v>121</v>
      </c>
      <c r="H26" s="9" t="s">
        <v>69</v>
      </c>
      <c r="I26" s="11" t="s">
        <v>41</v>
      </c>
      <c r="J26" s="9"/>
      <c r="K26" s="28"/>
      <c r="L26" s="29"/>
      <c r="M26" s="28"/>
      <c r="N26" s="9">
        <f>IFERROR(__xludf.DUMMYFUNCTION("SUM(QUERY(Entregas_BD!D:L,""select G where D='""&amp;D26&amp;""'"",1))"),0.0)</f>
        <v>0</v>
      </c>
      <c r="O26" s="9">
        <f>IFERROR(__xludf.DUMMYFUNCTION("SUM(QUERY(Entregas_BD!D:L,""select H where D='""&amp;D26&amp;""'"",1))"),0.0)</f>
        <v>0</v>
      </c>
      <c r="P26" s="9">
        <f>IFERROR(__xludf.DUMMYFUNCTION("SUM(QUERY(Entregas_BD!D:L,""select I where D='""&amp;D26&amp;""'"",1))"),0.0)</f>
        <v>0</v>
      </c>
      <c r="Q26" s="9">
        <f>IFERROR(__xludf.DUMMYFUNCTION("SUM(QUERY(Entregas_BD!D:L,""select J where D='""&amp;D26&amp;""'"",1))"),0.0)</f>
        <v>0</v>
      </c>
      <c r="R26" s="15">
        <f>IFERROR(__xludf.DUMMYFUNCTION("SUM(QUERY(Entregas_BD!D:L,""select K where D='""&amp;D26&amp;""'"",1))"),0.0)</f>
        <v>0</v>
      </c>
      <c r="S26" s="15">
        <f>IFERROR(__xludf.DUMMYFUNCTION("SUM(QUERY(Entregas_BD!D:L,""select L where D='""&amp;D26&amp;""'"",1))"),0.0)</f>
        <v>0</v>
      </c>
      <c r="T26" s="9">
        <f>IFERROR(__xludf.DUMMYFUNCTION("SUM(QUERY(Entregas_BD!D:AL,""select AG where D='""&amp;D26&amp;""'"",1))"),25.0)</f>
        <v>25</v>
      </c>
      <c r="U26" s="9">
        <f>IFERROR(__xludf.DUMMYFUNCTION("SUM(QUERY(Entregas_BD!D:AL,""select AH where D='""&amp;D26&amp;""'"",1))"),0.0)</f>
        <v>0</v>
      </c>
      <c r="V26" s="9">
        <f>IFERROR(__xludf.DUMMYFUNCTION("SUM(QUERY(Entregas_BD!D:AL,""select AI where D='""&amp;D26&amp;""'"",1))"),0.0)</f>
        <v>0</v>
      </c>
      <c r="W26" s="9">
        <f>IFERROR(__xludf.DUMMYFUNCTION("SUM(QUERY(Entregas_BD!D:AL,""select AJ where D='""&amp;D26&amp;""'"",1))"),0.0)</f>
        <v>0</v>
      </c>
      <c r="X26" s="9">
        <f>IFERROR(__xludf.DUMMYFUNCTION("SUM(QUERY(Entregas_BD!D:AL,""select AL where D='""&amp;D26&amp;""'"",1))"),0.0)</f>
        <v>0</v>
      </c>
      <c r="Y26" s="9">
        <f>IFERROR(__xludf.DUMMYFUNCTION("SUM(QUERY(Entregas_BD!D:AL,""select AK where D='""&amp;D26&amp;""'"",1))"),0.0)</f>
        <v>0</v>
      </c>
      <c r="Z26" s="9">
        <v>-25.0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30" t="s">
        <v>122</v>
      </c>
      <c r="AG26" s="15">
        <f>IFERROR(__xludf.DUMMYFUNCTION("SUM(QUERY(Entregas_BD!D:W,""select U where D='""&amp;D26&amp;""'"",1))"),0.0)</f>
        <v>0</v>
      </c>
      <c r="AH26" s="15">
        <f>IFERROR(__xludf.DUMMYFUNCTION("SUM(QUERY(Entregas_BD!D:W,""select S where D='""&amp;D26&amp;""'"",1))"),0.0)</f>
        <v>0</v>
      </c>
      <c r="AI26" s="15">
        <f>IFERROR(__xludf.DUMMYFUNCTION("SUM(QUERY(Entregas_BD!D:W,""select T where D='""&amp;D26&amp;""'"",1))"),0.0)</f>
        <v>0</v>
      </c>
    </row>
    <row r="27" ht="19.5" customHeight="1">
      <c r="A27" s="31"/>
      <c r="B27" s="32"/>
      <c r="C27" s="19">
        <v>26.0</v>
      </c>
      <c r="D27" s="20" t="s">
        <v>123</v>
      </c>
      <c r="E27" s="20" t="s">
        <v>58</v>
      </c>
      <c r="F27" s="20" t="s">
        <v>45</v>
      </c>
      <c r="G27" s="20" t="s">
        <v>124</v>
      </c>
      <c r="H27" s="19" t="s">
        <v>51</v>
      </c>
      <c r="I27" s="21" t="s">
        <v>41</v>
      </c>
      <c r="J27" s="19"/>
      <c r="K27" s="22"/>
      <c r="L27" s="23"/>
      <c r="M27" s="22"/>
      <c r="N27" s="19">
        <f>IFERROR(__xludf.DUMMYFUNCTION("SUM(QUERY(Entregas_BD!D:L,""select G where D='""&amp;D27&amp;""'"",1))"),0.0)</f>
        <v>0</v>
      </c>
      <c r="O27" s="19">
        <f>IFERROR(__xludf.DUMMYFUNCTION("SUM(QUERY(Entregas_BD!D:L,""select H where D='""&amp;D27&amp;""'"",1))"),0.0)</f>
        <v>0</v>
      </c>
      <c r="P27" s="19">
        <f>IFERROR(__xludf.DUMMYFUNCTION("SUM(QUERY(Entregas_BD!D:L,""select I where D='""&amp;D27&amp;""'"",1))"),0.0)</f>
        <v>0</v>
      </c>
      <c r="Q27" s="19">
        <f>IFERROR(__xludf.DUMMYFUNCTION("SUM(QUERY(Entregas_BD!D:L,""select J where D='""&amp;D27&amp;""'"",1))"),0.0)</f>
        <v>0</v>
      </c>
      <c r="R27" s="24">
        <f>IFERROR(__xludf.DUMMYFUNCTION("SUM(QUERY(Entregas_BD!D:L,""select K where D='""&amp;D27&amp;""'"",1))"),0.0)</f>
        <v>0</v>
      </c>
      <c r="S27" s="24">
        <f>IFERROR(__xludf.DUMMYFUNCTION("SUM(QUERY(Entregas_BD!D:L,""select L where D='""&amp;D27&amp;""'"",1))"),0.0)</f>
        <v>0</v>
      </c>
      <c r="T27" s="19">
        <f>IFERROR(__xludf.DUMMYFUNCTION("SUM(QUERY(Entregas_BD!D:AL,""select AG where D='""&amp;D27&amp;""'"",1))"),20.0)</f>
        <v>20</v>
      </c>
      <c r="U27" s="19">
        <f>IFERROR(__xludf.DUMMYFUNCTION("SUM(QUERY(Entregas_BD!D:AL,""select AH where D='""&amp;D27&amp;""'"",1))"),0.0)</f>
        <v>0</v>
      </c>
      <c r="V27" s="19">
        <f>IFERROR(__xludf.DUMMYFUNCTION("SUM(QUERY(Entregas_BD!D:AL,""select AI where D='""&amp;D27&amp;""'"",1))"),0.0)</f>
        <v>0</v>
      </c>
      <c r="W27" s="19">
        <f>IFERROR(__xludf.DUMMYFUNCTION("SUM(QUERY(Entregas_BD!D:AL,""select AJ where D='""&amp;D27&amp;""'"",1))"),0.0)</f>
        <v>0</v>
      </c>
      <c r="X27" s="19">
        <f>IFERROR(__xludf.DUMMYFUNCTION("SUM(QUERY(Entregas_BD!D:AL,""select AL where D='""&amp;D27&amp;""'"",1))"),0.0)</f>
        <v>0</v>
      </c>
      <c r="Y27" s="19">
        <f>IFERROR(__xludf.DUMMYFUNCTION("SUM(QUERY(Entregas_BD!D:AL,""select AK where D='""&amp;D27&amp;""'"",1))"),0.0)</f>
        <v>0</v>
      </c>
      <c r="Z27" s="19">
        <v>-20.0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35" t="s">
        <v>125</v>
      </c>
      <c r="AG27" s="24">
        <f>IFERROR(__xludf.DUMMYFUNCTION("SUM(QUERY(Entregas_BD!D:W,""select U where D='""&amp;D27&amp;""'"",1))"),0.0)</f>
        <v>0</v>
      </c>
      <c r="AH27" s="24">
        <f>IFERROR(__xludf.DUMMYFUNCTION("SUM(QUERY(Entregas_BD!D:W,""select S where D='""&amp;D27&amp;""'"",1))"),0.0)</f>
        <v>0</v>
      </c>
      <c r="AI27" s="24">
        <f>IFERROR(__xludf.DUMMYFUNCTION("SUM(QUERY(Entregas_BD!D:W,""select T where D='""&amp;D27&amp;""'"",1))"),0.0)</f>
        <v>0</v>
      </c>
    </row>
    <row r="28" ht="19.5" customHeight="1">
      <c r="A28" s="7"/>
      <c r="B28" s="8"/>
      <c r="C28" s="9">
        <v>27.0</v>
      </c>
      <c r="D28" s="40" t="s">
        <v>126</v>
      </c>
      <c r="E28" s="10" t="s">
        <v>54</v>
      </c>
      <c r="F28" s="10" t="s">
        <v>45</v>
      </c>
      <c r="G28" s="10" t="s">
        <v>127</v>
      </c>
      <c r="H28" s="9" t="s">
        <v>51</v>
      </c>
      <c r="I28" s="11" t="s">
        <v>41</v>
      </c>
      <c r="J28" s="12"/>
      <c r="K28" s="28"/>
      <c r="L28" s="29"/>
      <c r="M28" s="28"/>
      <c r="N28" s="9">
        <f>IFERROR(__xludf.DUMMYFUNCTION("SUM(QUERY(Entregas_BD!D:L,""select G where D='""&amp;D28&amp;""'"",1))"),0.0)</f>
        <v>0</v>
      </c>
      <c r="O28" s="9">
        <f>IFERROR(__xludf.DUMMYFUNCTION("SUM(QUERY(Entregas_BD!D:L,""select H where D='""&amp;D28&amp;""'"",1))"),0.0)</f>
        <v>0</v>
      </c>
      <c r="P28" s="9">
        <f>IFERROR(__xludf.DUMMYFUNCTION("SUM(QUERY(Entregas_BD!D:L,""select I where D='""&amp;D28&amp;""'"",1))"),0.0)</f>
        <v>0</v>
      </c>
      <c r="Q28" s="9">
        <f>IFERROR(__xludf.DUMMYFUNCTION("SUM(QUERY(Entregas_BD!D:L,""select J where D='""&amp;D28&amp;""'"",1))"),0.0)</f>
        <v>0</v>
      </c>
      <c r="R28" s="15">
        <f>IFERROR(__xludf.DUMMYFUNCTION("SUM(QUERY(Entregas_BD!D:L,""select K where D='""&amp;D28&amp;""'"",1))"),0.0)</f>
        <v>0</v>
      </c>
      <c r="S28" s="15">
        <f>IFERROR(__xludf.DUMMYFUNCTION("SUM(QUERY(Entregas_BD!D:L,""select L where D='""&amp;D28&amp;""'"",1))"),0.0)</f>
        <v>0</v>
      </c>
      <c r="T28" s="9">
        <f>IFERROR(__xludf.DUMMYFUNCTION("SUM(QUERY(Entregas_BD!D:AL,""select AG where D='""&amp;D28&amp;""'"",1))"),20.0)</f>
        <v>20</v>
      </c>
      <c r="U28" s="9">
        <f>IFERROR(__xludf.DUMMYFUNCTION("SUM(QUERY(Entregas_BD!D:AL,""select AH where D='""&amp;D28&amp;""'"",1))"),0.0)</f>
        <v>0</v>
      </c>
      <c r="V28" s="9">
        <f>IFERROR(__xludf.DUMMYFUNCTION("SUM(QUERY(Entregas_BD!D:AL,""select AI where D='""&amp;D28&amp;""'"",1))"),0.0)</f>
        <v>0</v>
      </c>
      <c r="W28" s="9">
        <f>IFERROR(__xludf.DUMMYFUNCTION("SUM(QUERY(Entregas_BD!D:AL,""select AJ where D='""&amp;D28&amp;""'"",1))"),0.0)</f>
        <v>0</v>
      </c>
      <c r="X28" s="9">
        <f>IFERROR(__xludf.DUMMYFUNCTION("SUM(QUERY(Entregas_BD!D:AL,""select AL where D='""&amp;D28&amp;""'"",1))"),0.0)</f>
        <v>0</v>
      </c>
      <c r="Y28" s="9">
        <f>IFERROR(__xludf.DUMMYFUNCTION("SUM(QUERY(Entregas_BD!D:AL,""select AK where D='""&amp;D28&amp;""'"",1))"),0.0)</f>
        <v>0</v>
      </c>
      <c r="Z28" s="9">
        <v>-20.0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37" t="s">
        <v>128</v>
      </c>
      <c r="AG28" s="15">
        <f>IFERROR(__xludf.DUMMYFUNCTION("SUM(QUERY(Entregas_BD!D:W,""select U where D='""&amp;D28&amp;""'"",1))"),0.0)</f>
        <v>0</v>
      </c>
      <c r="AH28" s="15">
        <f>IFERROR(__xludf.DUMMYFUNCTION("SUM(QUERY(Entregas_BD!D:W,""select S where D='""&amp;D28&amp;""'"",1))"),0.0)</f>
        <v>0</v>
      </c>
      <c r="AI28" s="15">
        <f>IFERROR(__xludf.DUMMYFUNCTION("SUM(QUERY(Entregas_BD!D:W,""select T where D='""&amp;D28&amp;""'"",1))"),0.0)</f>
        <v>0</v>
      </c>
    </row>
    <row r="29" ht="19.5" customHeight="1">
      <c r="A29" s="17"/>
      <c r="B29" s="18"/>
      <c r="C29" s="19">
        <v>28.0</v>
      </c>
      <c r="D29" s="33" t="s">
        <v>129</v>
      </c>
      <c r="E29" s="20" t="s">
        <v>44</v>
      </c>
      <c r="F29" s="20" t="s">
        <v>45</v>
      </c>
      <c r="G29" s="20" t="s">
        <v>130</v>
      </c>
      <c r="H29" s="19" t="s">
        <v>51</v>
      </c>
      <c r="I29" s="21" t="s">
        <v>41</v>
      </c>
      <c r="J29" s="19"/>
      <c r="K29" s="22"/>
      <c r="L29" s="23"/>
      <c r="M29" s="22"/>
      <c r="N29" s="19">
        <f>IFERROR(__xludf.DUMMYFUNCTION("SUM(QUERY(Entregas_BD!D:L,""select G where D='""&amp;D29&amp;""'"",1))"),0.0)</f>
        <v>0</v>
      </c>
      <c r="O29" s="19">
        <f>IFERROR(__xludf.DUMMYFUNCTION("SUM(QUERY(Entregas_BD!D:L,""select H where D='""&amp;D29&amp;""'"",1))"),0.0)</f>
        <v>0</v>
      </c>
      <c r="P29" s="19">
        <f>IFERROR(__xludf.DUMMYFUNCTION("SUM(QUERY(Entregas_BD!D:L,""select I where D='""&amp;D29&amp;""'"",1))"),0.0)</f>
        <v>0</v>
      </c>
      <c r="Q29" s="19">
        <f>IFERROR(__xludf.DUMMYFUNCTION("SUM(QUERY(Entregas_BD!D:L,""select J where D='""&amp;D29&amp;""'"",1))"),0.0)</f>
        <v>0</v>
      </c>
      <c r="R29" s="24">
        <f>IFERROR(__xludf.DUMMYFUNCTION("SUM(QUERY(Entregas_BD!D:L,""select K where D='""&amp;D29&amp;""'"",1))"),0.0)</f>
        <v>0</v>
      </c>
      <c r="S29" s="24">
        <f>IFERROR(__xludf.DUMMYFUNCTION("SUM(QUERY(Entregas_BD!D:L,""select L where D='""&amp;D29&amp;""'"",1))"),0.0)</f>
        <v>0</v>
      </c>
      <c r="T29" s="19">
        <f>IFERROR(__xludf.DUMMYFUNCTION("SUM(QUERY(Entregas_BD!D:AL,""select AG where D='""&amp;D29&amp;""'"",1))"),20.0)</f>
        <v>20</v>
      </c>
      <c r="U29" s="19">
        <f>IFERROR(__xludf.DUMMYFUNCTION("SUM(QUERY(Entregas_BD!D:AL,""select AH where D='""&amp;D29&amp;""'"",1))"),0.0)</f>
        <v>0</v>
      </c>
      <c r="V29" s="19">
        <f>IFERROR(__xludf.DUMMYFUNCTION("SUM(QUERY(Entregas_BD!D:AL,""select AI where D='""&amp;D29&amp;""'"",1))"),0.0)</f>
        <v>0</v>
      </c>
      <c r="W29" s="19">
        <f>IFERROR(__xludf.DUMMYFUNCTION("SUM(QUERY(Entregas_BD!D:AL,""select AJ where D='""&amp;D29&amp;""'"",1))"),0.0)</f>
        <v>0</v>
      </c>
      <c r="X29" s="19">
        <f>IFERROR(__xludf.DUMMYFUNCTION("SUM(QUERY(Entregas_BD!D:AL,""select AL where D='""&amp;D29&amp;""'"",1))"),0.0)</f>
        <v>0</v>
      </c>
      <c r="Y29" s="19">
        <f>IFERROR(__xludf.DUMMYFUNCTION("SUM(QUERY(Entregas_BD!D:AL,""select AK where D='""&amp;D29&amp;""'"",1))"),0.0)</f>
        <v>0</v>
      </c>
      <c r="Z29" s="19">
        <v>-20.0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35" t="s">
        <v>131</v>
      </c>
      <c r="AG29" s="24">
        <f>IFERROR(__xludf.DUMMYFUNCTION("SUM(QUERY(Entregas_BD!D:W,""select U where D='""&amp;D29&amp;""'"",1))"),0.0)</f>
        <v>0</v>
      </c>
      <c r="AH29" s="24">
        <f>IFERROR(__xludf.DUMMYFUNCTION("SUM(QUERY(Entregas_BD!D:W,""select S where D='""&amp;D29&amp;""'"",1))"),0.0)</f>
        <v>0</v>
      </c>
      <c r="AI29" s="24">
        <f>IFERROR(__xludf.DUMMYFUNCTION("SUM(QUERY(Entregas_BD!D:W,""select T where D='""&amp;D29&amp;""'"",1))"),0.0)</f>
        <v>0</v>
      </c>
    </row>
    <row r="30" ht="19.5" customHeight="1">
      <c r="A30" s="7"/>
      <c r="B30" s="8"/>
      <c r="C30" s="9">
        <v>29.0</v>
      </c>
      <c r="D30" s="10" t="s">
        <v>132</v>
      </c>
      <c r="E30" s="10" t="s">
        <v>54</v>
      </c>
      <c r="F30" s="10" t="s">
        <v>45</v>
      </c>
      <c r="G30" s="10" t="s">
        <v>133</v>
      </c>
      <c r="H30" s="9" t="s">
        <v>51</v>
      </c>
      <c r="I30" s="11" t="s">
        <v>41</v>
      </c>
      <c r="J30" s="12"/>
      <c r="K30" s="28"/>
      <c r="L30" s="29"/>
      <c r="M30" s="28"/>
      <c r="N30" s="9">
        <f>IFERROR(__xludf.DUMMYFUNCTION("SUM(QUERY(Entregas_BD!D:L,""select G where D='""&amp;D30&amp;""'"",1))"),0.0)</f>
        <v>0</v>
      </c>
      <c r="O30" s="9">
        <f>IFERROR(__xludf.DUMMYFUNCTION("SUM(QUERY(Entregas_BD!D:L,""select H where D='""&amp;D30&amp;""'"",1))"),0.0)</f>
        <v>0</v>
      </c>
      <c r="P30" s="9">
        <f>IFERROR(__xludf.DUMMYFUNCTION("SUM(QUERY(Entregas_BD!D:L,""select I where D='""&amp;D30&amp;""'"",1))"),0.0)</f>
        <v>0</v>
      </c>
      <c r="Q30" s="9">
        <f>IFERROR(__xludf.DUMMYFUNCTION("SUM(QUERY(Entregas_BD!D:L,""select J where D='""&amp;D30&amp;""'"",1))"),0.0)</f>
        <v>0</v>
      </c>
      <c r="R30" s="15">
        <f>IFERROR(__xludf.DUMMYFUNCTION("SUM(QUERY(Entregas_BD!D:L,""select K where D='""&amp;D30&amp;""'"",1))"),0.0)</f>
        <v>0</v>
      </c>
      <c r="S30" s="15">
        <f>IFERROR(__xludf.DUMMYFUNCTION("SUM(QUERY(Entregas_BD!D:L,""select L where D='""&amp;D30&amp;""'"",1))"),0.0)</f>
        <v>0</v>
      </c>
      <c r="T30" s="9">
        <f>IFERROR(__xludf.DUMMYFUNCTION("SUM(QUERY(Entregas_BD!D:AL,""select AG where D='""&amp;D30&amp;""'"",1))"),20.0)</f>
        <v>20</v>
      </c>
      <c r="U30" s="9">
        <f>IFERROR(__xludf.DUMMYFUNCTION("SUM(QUERY(Entregas_BD!D:AL,""select AH where D='""&amp;D30&amp;""'"",1))"),0.0)</f>
        <v>0</v>
      </c>
      <c r="V30" s="9">
        <f>IFERROR(__xludf.DUMMYFUNCTION("SUM(QUERY(Entregas_BD!D:AL,""select AI where D='""&amp;D30&amp;""'"",1))"),0.0)</f>
        <v>0</v>
      </c>
      <c r="W30" s="9">
        <f>IFERROR(__xludf.DUMMYFUNCTION("SUM(QUERY(Entregas_BD!D:AL,""select AJ where D='""&amp;D30&amp;""'"",1))"),0.0)</f>
        <v>0</v>
      </c>
      <c r="X30" s="9">
        <f>IFERROR(__xludf.DUMMYFUNCTION("SUM(QUERY(Entregas_BD!D:AL,""select AL where D='""&amp;D30&amp;""'"",1))"),0.0)</f>
        <v>0</v>
      </c>
      <c r="Y30" s="9">
        <f>IFERROR(__xludf.DUMMYFUNCTION("SUM(QUERY(Entregas_BD!D:AL,""select AK where D='""&amp;D30&amp;""'"",1))"),0.0)</f>
        <v>0</v>
      </c>
      <c r="Z30" s="9">
        <v>-20.0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37" t="s">
        <v>134</v>
      </c>
      <c r="AG30" s="15">
        <f>IFERROR(__xludf.DUMMYFUNCTION("SUM(QUERY(Entregas_BD!D:W,""select U where D='""&amp;D30&amp;""'"",1))"),0.0)</f>
        <v>0</v>
      </c>
      <c r="AH30" s="15">
        <f>IFERROR(__xludf.DUMMYFUNCTION("SUM(QUERY(Entregas_BD!D:W,""select S where D='""&amp;D30&amp;""'"",1))"),0.0)</f>
        <v>0</v>
      </c>
      <c r="AI30" s="15">
        <f>IFERROR(__xludf.DUMMYFUNCTION("SUM(QUERY(Entregas_BD!D:W,""select T where D='""&amp;D30&amp;""'"",1))"),0.0)</f>
        <v>0</v>
      </c>
    </row>
    <row r="31" ht="19.5" customHeight="1">
      <c r="A31" s="31"/>
      <c r="B31" s="32"/>
      <c r="C31" s="19">
        <v>30.0</v>
      </c>
      <c r="D31" s="20" t="s">
        <v>135</v>
      </c>
      <c r="E31" s="20" t="s">
        <v>58</v>
      </c>
      <c r="F31" s="20" t="s">
        <v>45</v>
      </c>
      <c r="G31" s="20" t="s">
        <v>136</v>
      </c>
      <c r="H31" s="19" t="s">
        <v>51</v>
      </c>
      <c r="I31" s="21" t="s">
        <v>41</v>
      </c>
      <c r="J31" s="19"/>
      <c r="K31" s="22"/>
      <c r="L31" s="23"/>
      <c r="M31" s="22"/>
      <c r="N31" s="19">
        <f>IFERROR(__xludf.DUMMYFUNCTION("SUM(QUERY(Entregas_BD!D:L,""select G where D='""&amp;D31&amp;""'"",1))"),0.0)</f>
        <v>0</v>
      </c>
      <c r="O31" s="19">
        <f>IFERROR(__xludf.DUMMYFUNCTION("SUM(QUERY(Entregas_BD!D:L,""select H where D='""&amp;D31&amp;""'"",1))"),0.0)</f>
        <v>0</v>
      </c>
      <c r="P31" s="19">
        <f>IFERROR(__xludf.DUMMYFUNCTION("SUM(QUERY(Entregas_BD!D:L,""select I where D='""&amp;D31&amp;""'"",1))"),0.0)</f>
        <v>0</v>
      </c>
      <c r="Q31" s="19">
        <f>IFERROR(__xludf.DUMMYFUNCTION("SUM(QUERY(Entregas_BD!D:L,""select J where D='""&amp;D31&amp;""'"",1))"),0.0)</f>
        <v>0</v>
      </c>
      <c r="R31" s="24">
        <f>IFERROR(__xludf.DUMMYFUNCTION("SUM(QUERY(Entregas_BD!D:L,""select K where D='""&amp;D31&amp;""'"",1))"),0.0)</f>
        <v>0</v>
      </c>
      <c r="S31" s="24">
        <f>IFERROR(__xludf.DUMMYFUNCTION("SUM(QUERY(Entregas_BD!D:L,""select L where D='""&amp;D31&amp;""'"",1))"),0.0)</f>
        <v>0</v>
      </c>
      <c r="T31" s="19">
        <f>IFERROR(__xludf.DUMMYFUNCTION("SUM(QUERY(Entregas_BD!D:AL,""select AG where D='""&amp;D31&amp;""'"",1))"),20.0)</f>
        <v>20</v>
      </c>
      <c r="U31" s="19">
        <f>IFERROR(__xludf.DUMMYFUNCTION("SUM(QUERY(Entregas_BD!D:AL,""select AH where D='""&amp;D31&amp;""'"",1))"),0.0)</f>
        <v>0</v>
      </c>
      <c r="V31" s="19">
        <f>IFERROR(__xludf.DUMMYFUNCTION("SUM(QUERY(Entregas_BD!D:AL,""select AI where D='""&amp;D31&amp;""'"",1))"),0.0)</f>
        <v>0</v>
      </c>
      <c r="W31" s="19">
        <f>IFERROR(__xludf.DUMMYFUNCTION("SUM(QUERY(Entregas_BD!D:AL,""select AJ where D='""&amp;D31&amp;""'"",1))"),0.0)</f>
        <v>0</v>
      </c>
      <c r="X31" s="19">
        <f>IFERROR(__xludf.DUMMYFUNCTION("SUM(QUERY(Entregas_BD!D:AL,""select AL where D='""&amp;D31&amp;""'"",1))"),0.0)</f>
        <v>0</v>
      </c>
      <c r="Y31" s="19">
        <f>IFERROR(__xludf.DUMMYFUNCTION("SUM(QUERY(Entregas_BD!D:AL,""select AK where D='""&amp;D31&amp;""'"",1))"),0.0)</f>
        <v>0</v>
      </c>
      <c r="Z31" s="19">
        <v>-20.0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35" t="s">
        <v>137</v>
      </c>
      <c r="AG31" s="24">
        <f>IFERROR(__xludf.DUMMYFUNCTION("SUM(QUERY(Entregas_BD!D:W,""select U where D='""&amp;D31&amp;""'"",1))"),0.0)</f>
        <v>0</v>
      </c>
      <c r="AH31" s="24">
        <f>IFERROR(__xludf.DUMMYFUNCTION("SUM(QUERY(Entregas_BD!D:W,""select S where D='""&amp;D31&amp;""'"",1))"),0.0)</f>
        <v>0</v>
      </c>
      <c r="AI31" s="24">
        <f>IFERROR(__xludf.DUMMYFUNCTION("SUM(QUERY(Entregas_BD!D:W,""select T where D='""&amp;D31&amp;""'"",1))"),0.0)</f>
        <v>0</v>
      </c>
    </row>
    <row r="32" ht="19.5" customHeight="1">
      <c r="A32" s="7"/>
      <c r="B32" s="8"/>
      <c r="C32" s="9">
        <v>31.0</v>
      </c>
      <c r="D32" s="10" t="s">
        <v>138</v>
      </c>
      <c r="E32" s="10" t="s">
        <v>63</v>
      </c>
      <c r="F32" s="10" t="s">
        <v>139</v>
      </c>
      <c r="G32" s="10" t="s">
        <v>65</v>
      </c>
      <c r="H32" s="9" t="s">
        <v>40</v>
      </c>
      <c r="I32" s="11" t="s">
        <v>47</v>
      </c>
      <c r="J32" s="12"/>
      <c r="K32" s="28"/>
      <c r="L32" s="29"/>
      <c r="M32" s="36"/>
      <c r="N32" s="9">
        <f>IFERROR(__xludf.DUMMYFUNCTION("SUM(QUERY(Entregas_BD!D:L,""select G where D='""&amp;D32&amp;""'"",1))"),0.0)</f>
        <v>0</v>
      </c>
      <c r="O32" s="9">
        <f>IFERROR(__xludf.DUMMYFUNCTION("SUM(QUERY(Entregas_BD!D:L,""select H where D='""&amp;D32&amp;""'"",1))"),0.0)</f>
        <v>0</v>
      </c>
      <c r="P32" s="9">
        <f>IFERROR(__xludf.DUMMYFUNCTION("SUM(QUERY(Entregas_BD!D:L,""select I where D='""&amp;D32&amp;""'"",1))"),0.0)</f>
        <v>0</v>
      </c>
      <c r="Q32" s="9">
        <f>IFERROR(__xludf.DUMMYFUNCTION("SUM(QUERY(Entregas_BD!D:L,""select J where D='""&amp;D32&amp;""'"",1))"),0.0)</f>
        <v>0</v>
      </c>
      <c r="R32" s="15">
        <f>IFERROR(__xludf.DUMMYFUNCTION("SUM(QUERY(Entregas_BD!D:L,""select K where D='""&amp;D32&amp;""'"",1))"),0.0)</f>
        <v>0</v>
      </c>
      <c r="S32" s="15">
        <f>IFERROR(__xludf.DUMMYFUNCTION("SUM(QUERY(Entregas_BD!D:L,""select L where D='""&amp;D32&amp;""'"",1))"),0.0)</f>
        <v>0</v>
      </c>
      <c r="T32" s="9">
        <f>IFERROR(__xludf.DUMMYFUNCTION("SUM(QUERY(Entregas_BD!D:AL,""select AG where D='""&amp;D32&amp;""'"",1))"),0.0)</f>
        <v>0</v>
      </c>
      <c r="U32" s="9">
        <f>IFERROR(__xludf.DUMMYFUNCTION("SUM(QUERY(Entregas_BD!D:AL,""select AH where D='""&amp;D32&amp;""'"",1))"),0.0)</f>
        <v>0</v>
      </c>
      <c r="V32" s="9">
        <f>IFERROR(__xludf.DUMMYFUNCTION("SUM(QUERY(Entregas_BD!D:AL,""select AI where D='""&amp;D32&amp;""'"",1))"),0.0)</f>
        <v>0</v>
      </c>
      <c r="W32" s="9">
        <f>IFERROR(__xludf.DUMMYFUNCTION("SUM(QUERY(Entregas_BD!D:AL,""select AJ where D='""&amp;D32&amp;""'"",1))"),0.0)</f>
        <v>0</v>
      </c>
      <c r="X32" s="9">
        <f>IFERROR(__xludf.DUMMYFUNCTION("SUM(QUERY(Entregas_BD!D:AL,""select AL where D='""&amp;D32&amp;""'"",1))"),0.0)</f>
        <v>0</v>
      </c>
      <c r="Y32" s="9">
        <f>IFERROR(__xludf.DUMMYFUNCTION("SUM(QUERY(Entregas_BD!D:AL,""select AK where D='""&amp;D32&amp;""'"",1))"),0.0)</f>
        <v>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30" t="s">
        <v>140</v>
      </c>
      <c r="AG32" s="15">
        <f>IFERROR(__xludf.DUMMYFUNCTION("SUM(QUERY(Entregas_BD!D:W,""select U where D='""&amp;D32&amp;""'"",1))"),0.0)</f>
        <v>0</v>
      </c>
      <c r="AH32" s="15">
        <f>IFERROR(__xludf.DUMMYFUNCTION("SUM(QUERY(Entregas_BD!D:W,""select S where D='""&amp;D32&amp;""'"",1))"),0.0)</f>
        <v>0</v>
      </c>
      <c r="AI32" s="15">
        <f>IFERROR(__xludf.DUMMYFUNCTION("SUM(QUERY(Entregas_BD!D:W,""select T where D='""&amp;D32&amp;""'"",1))"),0.0)</f>
        <v>0</v>
      </c>
    </row>
    <row r="33" ht="19.5" customHeight="1">
      <c r="A33" s="17"/>
      <c r="B33" s="18"/>
      <c r="C33" s="19">
        <v>32.0</v>
      </c>
      <c r="D33" s="20" t="s">
        <v>141</v>
      </c>
      <c r="E33" s="20" t="s">
        <v>44</v>
      </c>
      <c r="F33" s="20" t="s">
        <v>45</v>
      </c>
      <c r="G33" s="20" t="s">
        <v>142</v>
      </c>
      <c r="H33" s="19" t="s">
        <v>51</v>
      </c>
      <c r="I33" s="21" t="s">
        <v>47</v>
      </c>
      <c r="J33" s="19"/>
      <c r="K33" s="22"/>
      <c r="L33" s="23"/>
      <c r="M33" s="22"/>
      <c r="N33" s="19">
        <f>IFERROR(__xludf.DUMMYFUNCTION("SUM(QUERY(Entregas_BD!D:L,""select G where D='""&amp;D33&amp;""'"",1))"),0.0)</f>
        <v>0</v>
      </c>
      <c r="O33" s="19">
        <f>IFERROR(__xludf.DUMMYFUNCTION("SUM(QUERY(Entregas_BD!D:L,""select H where D='""&amp;D33&amp;""'"",1))"),0.0)</f>
        <v>0</v>
      </c>
      <c r="P33" s="19">
        <f>IFERROR(__xludf.DUMMYFUNCTION("SUM(QUERY(Entregas_BD!D:L,""select I where D='""&amp;D33&amp;""'"",1))"),0.0)</f>
        <v>0</v>
      </c>
      <c r="Q33" s="19">
        <f>IFERROR(__xludf.DUMMYFUNCTION("SUM(QUERY(Entregas_BD!D:L,""select J where D='""&amp;D33&amp;""'"",1))"),0.0)</f>
        <v>0</v>
      </c>
      <c r="R33" s="24">
        <f>IFERROR(__xludf.DUMMYFUNCTION("SUM(QUERY(Entregas_BD!D:L,""select K where D='""&amp;D33&amp;""'"",1))"),0.0)</f>
        <v>0</v>
      </c>
      <c r="S33" s="24">
        <f>IFERROR(__xludf.DUMMYFUNCTION("SUM(QUERY(Entregas_BD!D:L,""select L where D='""&amp;D33&amp;""'"",1))"),0.0)</f>
        <v>0</v>
      </c>
      <c r="T33" s="19">
        <f>IFERROR(__xludf.DUMMYFUNCTION("SUM(QUERY(Entregas_BD!D:AL,""select AG where D='""&amp;D33&amp;""'"",1))"),0.0)</f>
        <v>0</v>
      </c>
      <c r="U33" s="19">
        <f>IFERROR(__xludf.DUMMYFUNCTION("SUM(QUERY(Entregas_BD!D:AL,""select AH where D='""&amp;D33&amp;""'"",1))"),0.0)</f>
        <v>0</v>
      </c>
      <c r="V33" s="19">
        <f>IFERROR(__xludf.DUMMYFUNCTION("SUM(QUERY(Entregas_BD!D:AL,""select AI where D='""&amp;D33&amp;""'"",1))"),0.0)</f>
        <v>0</v>
      </c>
      <c r="W33" s="19">
        <f>IFERROR(__xludf.DUMMYFUNCTION("SUM(QUERY(Entregas_BD!D:AL,""select AJ where D='""&amp;D33&amp;""'"",1))"),0.0)</f>
        <v>0</v>
      </c>
      <c r="X33" s="19">
        <f>IFERROR(__xludf.DUMMYFUNCTION("SUM(QUERY(Entregas_BD!D:AL,""select AL where D='""&amp;D33&amp;""'"",1))"),0.0)</f>
        <v>0</v>
      </c>
      <c r="Y33" s="19">
        <f>IFERROR(__xludf.DUMMYFUNCTION("SUM(QUERY(Entregas_BD!D:AL,""select AK where D='""&amp;D33&amp;""'"",1))"),0.0)</f>
        <v>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35" t="s">
        <v>143</v>
      </c>
      <c r="AG33" s="24">
        <f>IFERROR(__xludf.DUMMYFUNCTION("SUM(QUERY(Entregas_BD!D:W,""select U where D='""&amp;D33&amp;""'"",1))"),0.0)</f>
        <v>0</v>
      </c>
      <c r="AH33" s="24">
        <f>IFERROR(__xludf.DUMMYFUNCTION("SUM(QUERY(Entregas_BD!D:W,""select S where D='""&amp;D33&amp;""'"",1))"),0.0)</f>
        <v>0</v>
      </c>
      <c r="AI33" s="24">
        <f>IFERROR(__xludf.DUMMYFUNCTION("SUM(QUERY(Entregas_BD!D:W,""select T where D='""&amp;D33&amp;""'"",1))"),0.0)</f>
        <v>0</v>
      </c>
    </row>
    <row r="34" ht="19.5" customHeight="1">
      <c r="A34" s="7"/>
      <c r="B34" s="8"/>
      <c r="C34" s="9">
        <v>33.0</v>
      </c>
      <c r="D34" s="10" t="s">
        <v>144</v>
      </c>
      <c r="E34" s="10" t="s">
        <v>54</v>
      </c>
      <c r="F34" s="10" t="s">
        <v>45</v>
      </c>
      <c r="G34" s="10" t="s">
        <v>68</v>
      </c>
      <c r="H34" s="9" t="s">
        <v>69</v>
      </c>
      <c r="I34" s="11" t="s">
        <v>41</v>
      </c>
      <c r="J34" s="12"/>
      <c r="K34" s="28"/>
      <c r="L34" s="29"/>
      <c r="M34" s="28"/>
      <c r="N34" s="9">
        <f>IFERROR(__xludf.DUMMYFUNCTION("SUM(QUERY(Entregas_BD!D:L,""select G where D='""&amp;D34&amp;""'"",1))"),0.0)</f>
        <v>0</v>
      </c>
      <c r="O34" s="9">
        <f>IFERROR(__xludf.DUMMYFUNCTION("SUM(QUERY(Entregas_BD!D:L,""select H where D='""&amp;D34&amp;""'"",1))"),0.0)</f>
        <v>0</v>
      </c>
      <c r="P34" s="9">
        <f>IFERROR(__xludf.DUMMYFUNCTION("SUM(QUERY(Entregas_BD!D:L,""select I where D='""&amp;D34&amp;""'"",1))"),0.0)</f>
        <v>0</v>
      </c>
      <c r="Q34" s="9">
        <f>IFERROR(__xludf.DUMMYFUNCTION("SUM(QUERY(Entregas_BD!D:L,""select J where D='""&amp;D34&amp;""'"",1))"),0.0)</f>
        <v>0</v>
      </c>
      <c r="R34" s="15">
        <f>IFERROR(__xludf.DUMMYFUNCTION("SUM(QUERY(Entregas_BD!D:L,""select K where D='""&amp;D34&amp;""'"",1))"),0.0)</f>
        <v>0</v>
      </c>
      <c r="S34" s="15">
        <f>IFERROR(__xludf.DUMMYFUNCTION("SUM(QUERY(Entregas_BD!D:L,""select L where D='""&amp;D34&amp;""'"",1))"),0.0)</f>
        <v>0</v>
      </c>
      <c r="T34" s="9">
        <f>IFERROR(__xludf.DUMMYFUNCTION("SUM(QUERY(Entregas_BD!D:AL,""select AG where D='""&amp;D34&amp;""'"",1))"),0.0)</f>
        <v>0</v>
      </c>
      <c r="U34" s="9">
        <f>IFERROR(__xludf.DUMMYFUNCTION("SUM(QUERY(Entregas_BD!D:AL,""select AH where D='""&amp;D34&amp;""'"",1))"),0.0)</f>
        <v>0</v>
      </c>
      <c r="V34" s="9">
        <f>IFERROR(__xludf.DUMMYFUNCTION("SUM(QUERY(Entregas_BD!D:AL,""select AI where D='""&amp;D34&amp;""'"",1))"),0.0)</f>
        <v>0</v>
      </c>
      <c r="W34" s="9">
        <f>IFERROR(__xludf.DUMMYFUNCTION("SUM(QUERY(Entregas_BD!D:AL,""select AJ where D='""&amp;D34&amp;""'"",1))"),0.0)</f>
        <v>0</v>
      </c>
      <c r="X34" s="9">
        <f>IFERROR(__xludf.DUMMYFUNCTION("SUM(QUERY(Entregas_BD!D:AL,""select AL where D='""&amp;D34&amp;""'"",1))"),0.0)</f>
        <v>0</v>
      </c>
      <c r="Y34" s="9">
        <f>IFERROR(__xludf.DUMMYFUNCTION("SUM(QUERY(Entregas_BD!D:AL,""select AK where D='""&amp;D34&amp;""'"",1))"),0.0)</f>
        <v>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37" t="s">
        <v>145</v>
      </c>
      <c r="AG34" s="15">
        <f>IFERROR(__xludf.DUMMYFUNCTION("SUM(QUERY(Entregas_BD!D:W,""select U where D='""&amp;D34&amp;""'"",1))"),0.0)</f>
        <v>0</v>
      </c>
      <c r="AH34" s="15">
        <f>IFERROR(__xludf.DUMMYFUNCTION("SUM(QUERY(Entregas_BD!D:W,""select S where D='""&amp;D34&amp;""'"",1))"),0.0)</f>
        <v>0</v>
      </c>
      <c r="AI34" s="15">
        <f>IFERROR(__xludf.DUMMYFUNCTION("SUM(QUERY(Entregas_BD!D:W,""select T where D='""&amp;D34&amp;""'"",1))"),0.0)</f>
        <v>0</v>
      </c>
    </row>
    <row r="35" ht="19.5" customHeight="1">
      <c r="A35" s="31"/>
      <c r="B35" s="32"/>
      <c r="C35" s="19">
        <v>34.0</v>
      </c>
      <c r="D35" s="20" t="s">
        <v>146</v>
      </c>
      <c r="E35" s="20" t="s">
        <v>54</v>
      </c>
      <c r="F35" s="20" t="s">
        <v>45</v>
      </c>
      <c r="G35" s="20" t="s">
        <v>127</v>
      </c>
      <c r="H35" s="19" t="s">
        <v>51</v>
      </c>
      <c r="I35" s="21" t="s">
        <v>41</v>
      </c>
      <c r="J35" s="34"/>
      <c r="K35" s="22"/>
      <c r="L35" s="23"/>
      <c r="M35" s="22"/>
      <c r="N35" s="19">
        <f>IFERROR(__xludf.DUMMYFUNCTION("SUM(QUERY(Entregas_BD!D:L,""select G where D='""&amp;D35&amp;""'"",1))"),0.0)</f>
        <v>0</v>
      </c>
      <c r="O35" s="19">
        <f>IFERROR(__xludf.DUMMYFUNCTION("SUM(QUERY(Entregas_BD!D:L,""select H where D='""&amp;D35&amp;""'"",1))"),0.0)</f>
        <v>0</v>
      </c>
      <c r="P35" s="19">
        <f>IFERROR(__xludf.DUMMYFUNCTION("SUM(QUERY(Entregas_BD!D:L,""select I where D='""&amp;D35&amp;""'"",1))"),0.0)</f>
        <v>0</v>
      </c>
      <c r="Q35" s="19">
        <f>IFERROR(__xludf.DUMMYFUNCTION("SUM(QUERY(Entregas_BD!D:L,""select J where D='""&amp;D35&amp;""'"",1))"),0.0)</f>
        <v>0</v>
      </c>
      <c r="R35" s="24">
        <f>IFERROR(__xludf.DUMMYFUNCTION("SUM(QUERY(Entregas_BD!D:L,""select K where D='""&amp;D35&amp;""'"",1))"),0.0)</f>
        <v>0</v>
      </c>
      <c r="S35" s="24">
        <f>IFERROR(__xludf.DUMMYFUNCTION("SUM(QUERY(Entregas_BD!D:L,""select L where D='""&amp;D35&amp;""'"",1))"),0.0)</f>
        <v>0</v>
      </c>
      <c r="T35" s="19">
        <f>IFERROR(__xludf.DUMMYFUNCTION("SUM(QUERY(Entregas_BD!D:AL,""select AG where D='""&amp;D35&amp;""'"",1))"),100.0)</f>
        <v>100</v>
      </c>
      <c r="U35" s="19">
        <f>IFERROR(__xludf.DUMMYFUNCTION("SUM(QUERY(Entregas_BD!D:AL,""select AH where D='""&amp;D35&amp;""'"",1))"),0.0)</f>
        <v>0</v>
      </c>
      <c r="V35" s="19">
        <f>IFERROR(__xludf.DUMMYFUNCTION("SUM(QUERY(Entregas_BD!D:AL,""select AI where D='""&amp;D35&amp;""'"",1))"),0.0)</f>
        <v>0</v>
      </c>
      <c r="W35" s="19">
        <f>IFERROR(__xludf.DUMMYFUNCTION("SUM(QUERY(Entregas_BD!D:AL,""select AJ where D='""&amp;D35&amp;""'"",1))"),0.0)</f>
        <v>0</v>
      </c>
      <c r="X35" s="19">
        <f>IFERROR(__xludf.DUMMYFUNCTION("SUM(QUERY(Entregas_BD!D:AL,""select AL where D='""&amp;D35&amp;""'"",1))"),0.0)</f>
        <v>0</v>
      </c>
      <c r="Y35" s="19">
        <f>IFERROR(__xludf.DUMMYFUNCTION("SUM(QUERY(Entregas_BD!D:AL,""select AK where D='""&amp;D35&amp;""'"",1))"),0.0)</f>
        <v>0</v>
      </c>
      <c r="Z35" s="19">
        <v>-100.0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35" t="s">
        <v>147</v>
      </c>
      <c r="AG35" s="24">
        <f>IFERROR(__xludf.DUMMYFUNCTION("SUM(QUERY(Entregas_BD!D:W,""select U where D='""&amp;D35&amp;""'"",1))"),0.0)</f>
        <v>0</v>
      </c>
      <c r="AH35" s="24">
        <f>IFERROR(__xludf.DUMMYFUNCTION("SUM(QUERY(Entregas_BD!D:W,""select S where D='""&amp;D35&amp;""'"",1))"),0.0)</f>
        <v>0</v>
      </c>
      <c r="AI35" s="24">
        <f>IFERROR(__xludf.DUMMYFUNCTION("SUM(QUERY(Entregas_BD!D:W,""select T where D='""&amp;D35&amp;""'"",1))"),0.0)</f>
        <v>0</v>
      </c>
    </row>
    <row r="36" ht="19.5" customHeight="1">
      <c r="A36" s="7"/>
      <c r="B36" s="8"/>
      <c r="C36" s="9">
        <v>35.0</v>
      </c>
      <c r="D36" s="10" t="s">
        <v>148</v>
      </c>
      <c r="E36" s="10" t="s">
        <v>72</v>
      </c>
      <c r="F36" s="10" t="s">
        <v>45</v>
      </c>
      <c r="G36" s="10" t="s">
        <v>149</v>
      </c>
      <c r="H36" s="9" t="s">
        <v>40</v>
      </c>
      <c r="I36" s="11" t="s">
        <v>41</v>
      </c>
      <c r="J36" s="12"/>
      <c r="K36" s="28"/>
      <c r="L36" s="29"/>
      <c r="M36" s="28"/>
      <c r="N36" s="9">
        <f>IFERROR(__xludf.DUMMYFUNCTION("SUM(QUERY(Entregas_BD!D:L,""select G where D='""&amp;D36&amp;""'"",1))"),0.0)</f>
        <v>0</v>
      </c>
      <c r="O36" s="9">
        <f>IFERROR(__xludf.DUMMYFUNCTION("SUM(QUERY(Entregas_BD!D:L,""select H where D='""&amp;D36&amp;""'"",1))"),0.0)</f>
        <v>0</v>
      </c>
      <c r="P36" s="9">
        <f>IFERROR(__xludf.DUMMYFUNCTION("SUM(QUERY(Entregas_BD!D:L,""select I where D='""&amp;D36&amp;""'"",1))"),0.0)</f>
        <v>0</v>
      </c>
      <c r="Q36" s="9">
        <f>IFERROR(__xludf.DUMMYFUNCTION("SUM(QUERY(Entregas_BD!D:L,""select J where D='""&amp;D36&amp;""'"",1))"),0.0)</f>
        <v>0</v>
      </c>
      <c r="R36" s="15">
        <f>IFERROR(__xludf.DUMMYFUNCTION("SUM(QUERY(Entregas_BD!D:L,""select K where D='""&amp;D36&amp;""'"",1))"),0.0)</f>
        <v>0</v>
      </c>
      <c r="S36" s="15">
        <f>IFERROR(__xludf.DUMMYFUNCTION("SUM(QUERY(Entregas_BD!D:L,""select L where D='""&amp;D36&amp;""'"",1))"),0.0)</f>
        <v>0</v>
      </c>
      <c r="T36" s="9">
        <f>IFERROR(__xludf.DUMMYFUNCTION("SUM(QUERY(Entregas_BD!D:AL,""select AG where D='""&amp;D36&amp;""'"",1))"),0.0)</f>
        <v>0</v>
      </c>
      <c r="U36" s="9">
        <f>IFERROR(__xludf.DUMMYFUNCTION("SUM(QUERY(Entregas_BD!D:AL,""select AH where D='""&amp;D36&amp;""'"",1))"),0.0)</f>
        <v>0</v>
      </c>
      <c r="V36" s="9">
        <f>IFERROR(__xludf.DUMMYFUNCTION("SUM(QUERY(Entregas_BD!D:AL,""select AI where D='""&amp;D36&amp;""'"",1))"),0.0)</f>
        <v>0</v>
      </c>
      <c r="W36" s="9">
        <f>IFERROR(__xludf.DUMMYFUNCTION("SUM(QUERY(Entregas_BD!D:AL,""select AJ where D='""&amp;D36&amp;""'"",1))"),0.0)</f>
        <v>0</v>
      </c>
      <c r="X36" s="9">
        <f>IFERROR(__xludf.DUMMYFUNCTION("SUM(QUERY(Entregas_BD!D:AL,""select AL where D='""&amp;D36&amp;""'"",1))"),0.0)</f>
        <v>0</v>
      </c>
      <c r="Y36" s="9">
        <f>IFERROR(__xludf.DUMMYFUNCTION("SUM(QUERY(Entregas_BD!D:AL,""select AK where D='""&amp;D36&amp;""'"",1))"),0.0)</f>
        <v>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37" t="s">
        <v>150</v>
      </c>
      <c r="AG36" s="15">
        <f>IFERROR(__xludf.DUMMYFUNCTION("SUM(QUERY(Entregas_BD!D:W,""select U where D='""&amp;D36&amp;""'"",1))"),0.0)</f>
        <v>0</v>
      </c>
      <c r="AH36" s="15">
        <f>IFERROR(__xludf.DUMMYFUNCTION("SUM(QUERY(Entregas_BD!D:W,""select S where D='""&amp;D36&amp;""'"",1))"),0.0)</f>
        <v>0</v>
      </c>
      <c r="AI36" s="15">
        <f>IFERROR(__xludf.DUMMYFUNCTION("SUM(QUERY(Entregas_BD!D:W,""select T where D='""&amp;D36&amp;""'"",1))"),0.0)</f>
        <v>0</v>
      </c>
    </row>
    <row r="37" ht="19.5" customHeight="1">
      <c r="A37" s="31"/>
      <c r="B37" s="32"/>
      <c r="C37" s="19">
        <v>36.0</v>
      </c>
      <c r="D37" s="20" t="s">
        <v>151</v>
      </c>
      <c r="E37" s="20" t="s">
        <v>72</v>
      </c>
      <c r="F37" s="20" t="s">
        <v>45</v>
      </c>
      <c r="G37" s="20" t="s">
        <v>149</v>
      </c>
      <c r="H37" s="19" t="s">
        <v>40</v>
      </c>
      <c r="I37" s="21" t="s">
        <v>41</v>
      </c>
      <c r="J37" s="34"/>
      <c r="K37" s="22"/>
      <c r="L37" s="23"/>
      <c r="M37" s="22"/>
      <c r="N37" s="19">
        <f>IFERROR(__xludf.DUMMYFUNCTION("SUM(QUERY(Entregas_BD!D:L,""select G where D='""&amp;D37&amp;""'"",1))"),0.0)</f>
        <v>0</v>
      </c>
      <c r="O37" s="19">
        <f>IFERROR(__xludf.DUMMYFUNCTION("SUM(QUERY(Entregas_BD!D:L,""select H where D='""&amp;D37&amp;""'"",1))"),0.0)</f>
        <v>0</v>
      </c>
      <c r="P37" s="19">
        <f>IFERROR(__xludf.DUMMYFUNCTION("SUM(QUERY(Entregas_BD!D:L,""select I where D='""&amp;D37&amp;""'"",1))"),0.0)</f>
        <v>0</v>
      </c>
      <c r="Q37" s="19">
        <f>IFERROR(__xludf.DUMMYFUNCTION("SUM(QUERY(Entregas_BD!D:L,""select J where D='""&amp;D37&amp;""'"",1))"),0.0)</f>
        <v>0</v>
      </c>
      <c r="R37" s="24">
        <f>IFERROR(__xludf.DUMMYFUNCTION("SUM(QUERY(Entregas_BD!D:L,""select K where D='""&amp;D37&amp;""'"",1))"),0.0)</f>
        <v>0</v>
      </c>
      <c r="S37" s="24">
        <f>IFERROR(__xludf.DUMMYFUNCTION("SUM(QUERY(Entregas_BD!D:L,""select L where D='""&amp;D37&amp;""'"",1))"),0.0)</f>
        <v>0</v>
      </c>
      <c r="T37" s="19">
        <f>IFERROR(__xludf.DUMMYFUNCTION("SUM(QUERY(Entregas_BD!D:AL,""select AG where D='""&amp;D37&amp;""'"",1))"),70.0)</f>
        <v>70</v>
      </c>
      <c r="U37" s="19">
        <f>IFERROR(__xludf.DUMMYFUNCTION("SUM(QUERY(Entregas_BD!D:AL,""select AH where D='""&amp;D37&amp;""'"",1))"),0.0)</f>
        <v>0</v>
      </c>
      <c r="V37" s="19">
        <f>IFERROR(__xludf.DUMMYFUNCTION("SUM(QUERY(Entregas_BD!D:AL,""select AI where D='""&amp;D37&amp;""'"",1))"),0.0)</f>
        <v>0</v>
      </c>
      <c r="W37" s="19">
        <f>IFERROR(__xludf.DUMMYFUNCTION("SUM(QUERY(Entregas_BD!D:AL,""select AJ where D='""&amp;D37&amp;""'"",1))"),0.0)</f>
        <v>0</v>
      </c>
      <c r="X37" s="19">
        <f>IFERROR(__xludf.DUMMYFUNCTION("SUM(QUERY(Entregas_BD!D:AL,""select AL where D='""&amp;D37&amp;""'"",1))"),0.0)</f>
        <v>0</v>
      </c>
      <c r="Y37" s="19">
        <f>IFERROR(__xludf.DUMMYFUNCTION("SUM(QUERY(Entregas_BD!D:AL,""select AK where D='""&amp;D37&amp;""'"",1))"),0.0)</f>
        <v>0</v>
      </c>
      <c r="Z37" s="19">
        <v>-70.0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35" t="s">
        <v>150</v>
      </c>
      <c r="AG37" s="24">
        <f>IFERROR(__xludf.DUMMYFUNCTION("SUM(QUERY(Entregas_BD!D:W,""select U where D='""&amp;D37&amp;""'"",1))"),0.0)</f>
        <v>0</v>
      </c>
      <c r="AH37" s="24">
        <f>IFERROR(__xludf.DUMMYFUNCTION("SUM(QUERY(Entregas_BD!D:W,""select S where D='""&amp;D37&amp;""'"",1))"),0.0)</f>
        <v>0</v>
      </c>
      <c r="AI37" s="24">
        <f>IFERROR(__xludf.DUMMYFUNCTION("SUM(QUERY(Entregas_BD!D:W,""select T where D='""&amp;D37&amp;""'"",1))"),0.0)</f>
        <v>0</v>
      </c>
    </row>
    <row r="38" ht="19.5" customHeight="1">
      <c r="A38" s="7"/>
      <c r="B38" s="8"/>
      <c r="C38" s="9">
        <v>37.0</v>
      </c>
      <c r="D38" s="10" t="s">
        <v>152</v>
      </c>
      <c r="E38" s="10" t="s">
        <v>153</v>
      </c>
      <c r="F38" s="10" t="s">
        <v>154</v>
      </c>
      <c r="G38" s="10" t="s">
        <v>155</v>
      </c>
      <c r="H38" s="12" t="s">
        <v>40</v>
      </c>
      <c r="I38" s="11" t="s">
        <v>41</v>
      </c>
      <c r="J38" s="12"/>
      <c r="K38" s="28"/>
      <c r="L38" s="29"/>
      <c r="M38" s="36"/>
      <c r="N38" s="9">
        <f>IFERROR(__xludf.DUMMYFUNCTION("SUM(QUERY(Entregas_BD!D:L,""select G where D='""&amp;D38&amp;""'"",1))"),0.0)</f>
        <v>0</v>
      </c>
      <c r="O38" s="9">
        <f>IFERROR(__xludf.DUMMYFUNCTION("SUM(QUERY(Entregas_BD!D:L,""select H where D='""&amp;D38&amp;""'"",1))"),0.0)</f>
        <v>0</v>
      </c>
      <c r="P38" s="9">
        <f>IFERROR(__xludf.DUMMYFUNCTION("SUM(QUERY(Entregas_BD!D:L,""select I where D='""&amp;D38&amp;""'"",1))"),0.0)</f>
        <v>0</v>
      </c>
      <c r="Q38" s="9">
        <f>IFERROR(__xludf.DUMMYFUNCTION("SUM(QUERY(Entregas_BD!D:L,""select J where D='""&amp;D38&amp;""'"",1))"),0.0)</f>
        <v>0</v>
      </c>
      <c r="R38" s="15">
        <f>IFERROR(__xludf.DUMMYFUNCTION("SUM(QUERY(Entregas_BD!D:L,""select K where D='""&amp;D38&amp;""'"",1))"),0.0)</f>
        <v>0</v>
      </c>
      <c r="S38" s="15">
        <f>IFERROR(__xludf.DUMMYFUNCTION("SUM(QUERY(Entregas_BD!D:L,""select L where D='""&amp;D38&amp;""'"",1))"),0.0)</f>
        <v>0</v>
      </c>
      <c r="T38" s="9">
        <f>IFERROR(__xludf.DUMMYFUNCTION("SUM(QUERY(Entregas_BD!D:AL,""select AG where D='""&amp;D38&amp;""'"",1))"),0.0)</f>
        <v>0</v>
      </c>
      <c r="U38" s="9">
        <f>IFERROR(__xludf.DUMMYFUNCTION("SUM(QUERY(Entregas_BD!D:AL,""select AH where D='""&amp;D38&amp;""'"",1))"),0.0)</f>
        <v>0</v>
      </c>
      <c r="V38" s="9">
        <f>IFERROR(__xludf.DUMMYFUNCTION("SUM(QUERY(Entregas_BD!D:AL,""select AI where D='""&amp;D38&amp;""'"",1))"),0.0)</f>
        <v>0</v>
      </c>
      <c r="W38" s="9">
        <f>IFERROR(__xludf.DUMMYFUNCTION("SUM(QUERY(Entregas_BD!D:AL,""select AJ where D='""&amp;D38&amp;""'"",1))"),0.0)</f>
        <v>0</v>
      </c>
      <c r="X38" s="9">
        <f>IFERROR(__xludf.DUMMYFUNCTION("SUM(QUERY(Entregas_BD!D:AL,""select AL where D='""&amp;D38&amp;""'"",1))"),0.0)</f>
        <v>0</v>
      </c>
      <c r="Y38" s="9">
        <f>IFERROR(__xludf.DUMMYFUNCTION("SUM(QUERY(Entregas_BD!D:AL,""select AK where D='""&amp;D38&amp;""'"",1))"),0.0)</f>
        <v>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30" t="s">
        <v>156</v>
      </c>
      <c r="AG38" s="15">
        <f>IFERROR(__xludf.DUMMYFUNCTION("SUM(QUERY(Entregas_BD!D:W,""select U where D='""&amp;D38&amp;""'"",1))"),0.0)</f>
        <v>0</v>
      </c>
      <c r="AH38" s="15">
        <f>IFERROR(__xludf.DUMMYFUNCTION("SUM(QUERY(Entregas_BD!D:W,""select S where D='""&amp;D38&amp;""'"",1))"),0.0)</f>
        <v>0</v>
      </c>
      <c r="AI38" s="15">
        <f>IFERROR(__xludf.DUMMYFUNCTION("SUM(QUERY(Entregas_BD!D:W,""select T where D='""&amp;D38&amp;""'"",1))"),0.0)</f>
        <v>0</v>
      </c>
    </row>
    <row r="39" ht="19.5" customHeight="1">
      <c r="A39" s="31"/>
      <c r="B39" s="32"/>
      <c r="C39" s="19">
        <v>38.0</v>
      </c>
      <c r="D39" s="20" t="s">
        <v>157</v>
      </c>
      <c r="E39" s="20" t="s">
        <v>153</v>
      </c>
      <c r="F39" s="20" t="s">
        <v>158</v>
      </c>
      <c r="G39" s="20" t="s">
        <v>158</v>
      </c>
      <c r="H39" s="34" t="s">
        <v>159</v>
      </c>
      <c r="I39" s="21" t="s">
        <v>41</v>
      </c>
      <c r="J39" s="34"/>
      <c r="K39" s="22"/>
      <c r="L39" s="23"/>
      <c r="M39" s="41"/>
      <c r="N39" s="19">
        <f>IFERROR(__xludf.DUMMYFUNCTION("SUM(QUERY(Entregas_BD!D:L,""select G where D='""&amp;D39&amp;""'"",1))"),0.0)</f>
        <v>0</v>
      </c>
      <c r="O39" s="19">
        <f>IFERROR(__xludf.DUMMYFUNCTION("SUM(QUERY(Entregas_BD!D:L,""select H where D='""&amp;D39&amp;""'"",1))"),0.0)</f>
        <v>0</v>
      </c>
      <c r="P39" s="19">
        <f>IFERROR(__xludf.DUMMYFUNCTION("SUM(QUERY(Entregas_BD!D:L,""select I where D='""&amp;D39&amp;""'"",1))"),0.0)</f>
        <v>0</v>
      </c>
      <c r="Q39" s="19">
        <f>IFERROR(__xludf.DUMMYFUNCTION("SUM(QUERY(Entregas_BD!D:L,""select J where D='""&amp;D39&amp;""'"",1))"),0.0)</f>
        <v>0</v>
      </c>
      <c r="R39" s="24">
        <f>IFERROR(__xludf.DUMMYFUNCTION("SUM(QUERY(Entregas_BD!D:L,""select K where D='""&amp;D39&amp;""'"",1))"),0.0)</f>
        <v>0</v>
      </c>
      <c r="S39" s="24">
        <f>IFERROR(__xludf.DUMMYFUNCTION("SUM(QUERY(Entregas_BD!D:L,""select L where D='""&amp;D39&amp;""'"",1))"),0.0)</f>
        <v>0</v>
      </c>
      <c r="T39" s="19">
        <f>IFERROR(__xludf.DUMMYFUNCTION("SUM(QUERY(Entregas_BD!D:AL,""select AG where D='""&amp;D39&amp;""'"",1))"),0.0)</f>
        <v>0</v>
      </c>
      <c r="U39" s="19">
        <f>IFERROR(__xludf.DUMMYFUNCTION("SUM(QUERY(Entregas_BD!D:AL,""select AH where D='""&amp;D39&amp;""'"",1))"),0.0)</f>
        <v>0</v>
      </c>
      <c r="V39" s="19">
        <f>IFERROR(__xludf.DUMMYFUNCTION("SUM(QUERY(Entregas_BD!D:AL,""select AI where D='""&amp;D39&amp;""'"",1))"),0.0)</f>
        <v>0</v>
      </c>
      <c r="W39" s="19">
        <f>IFERROR(__xludf.DUMMYFUNCTION("SUM(QUERY(Entregas_BD!D:AL,""select AJ where D='""&amp;D39&amp;""'"",1))"),0.0)</f>
        <v>0</v>
      </c>
      <c r="X39" s="19">
        <f>IFERROR(__xludf.DUMMYFUNCTION("SUM(QUERY(Entregas_BD!D:AL,""select AL where D='""&amp;D39&amp;""'"",1))"),0.0)</f>
        <v>0</v>
      </c>
      <c r="Y39" s="19">
        <f>IFERROR(__xludf.DUMMYFUNCTION("SUM(QUERY(Entregas_BD!D:AL,""select AK where D='""&amp;D39&amp;""'"",1))"),0.0)</f>
        <v>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25" t="s">
        <v>160</v>
      </c>
      <c r="AG39" s="24">
        <f>IFERROR(__xludf.DUMMYFUNCTION("SUM(QUERY(Entregas_BD!D:W,""select U where D='""&amp;D39&amp;""'"",1))"),0.0)</f>
        <v>0</v>
      </c>
      <c r="AH39" s="24">
        <f>IFERROR(__xludf.DUMMYFUNCTION("SUM(QUERY(Entregas_BD!D:W,""select S where D='""&amp;D39&amp;""'"",1))"),0.0)</f>
        <v>0</v>
      </c>
      <c r="AI39" s="24">
        <f>IFERROR(__xludf.DUMMYFUNCTION("SUM(QUERY(Entregas_BD!D:W,""select T where D='""&amp;D39&amp;""'"",1))"),0.0)</f>
        <v>0</v>
      </c>
    </row>
    <row r="40" ht="19.5" customHeight="1">
      <c r="A40" s="26"/>
      <c r="B40" s="27"/>
      <c r="C40" s="9">
        <v>39.0</v>
      </c>
      <c r="D40" s="10" t="s">
        <v>161</v>
      </c>
      <c r="E40" s="10" t="s">
        <v>44</v>
      </c>
      <c r="F40" s="10" t="s">
        <v>45</v>
      </c>
      <c r="G40" s="10" t="s">
        <v>162</v>
      </c>
      <c r="H40" s="9" t="s">
        <v>51</v>
      </c>
      <c r="I40" s="11" t="s">
        <v>47</v>
      </c>
      <c r="J40" s="9"/>
      <c r="K40" s="28"/>
      <c r="L40" s="29"/>
      <c r="M40" s="28"/>
      <c r="N40" s="9">
        <f>IFERROR(__xludf.DUMMYFUNCTION("SUM(QUERY(Entregas_BD!D:L,""select G where D='""&amp;D40&amp;""'"",1))"),0.0)</f>
        <v>0</v>
      </c>
      <c r="O40" s="9">
        <f>IFERROR(__xludf.DUMMYFUNCTION("SUM(QUERY(Entregas_BD!D:L,""select H where D='""&amp;D40&amp;""'"",1))"),0.0)</f>
        <v>0</v>
      </c>
      <c r="P40" s="9">
        <f>IFERROR(__xludf.DUMMYFUNCTION("SUM(QUERY(Entregas_BD!D:L,""select I where D='""&amp;D40&amp;""'"",1))"),0.0)</f>
        <v>0</v>
      </c>
      <c r="Q40" s="9">
        <f>IFERROR(__xludf.DUMMYFUNCTION("SUM(QUERY(Entregas_BD!D:L,""select J where D='""&amp;D40&amp;""'"",1))"),0.0)</f>
        <v>0</v>
      </c>
      <c r="R40" s="15">
        <f>IFERROR(__xludf.DUMMYFUNCTION("SUM(QUERY(Entregas_BD!D:L,""select K where D='""&amp;D40&amp;""'"",1))"),0.0)</f>
        <v>0</v>
      </c>
      <c r="S40" s="15">
        <f>IFERROR(__xludf.DUMMYFUNCTION("SUM(QUERY(Entregas_BD!D:L,""select L where D='""&amp;D40&amp;""'"",1))"),0.0)</f>
        <v>0</v>
      </c>
      <c r="T40" s="9">
        <f>IFERROR(__xludf.DUMMYFUNCTION("SUM(QUERY(Entregas_BD!D:AL,""select AG where D='""&amp;D40&amp;""'"",1))"),0.0)</f>
        <v>0</v>
      </c>
      <c r="U40" s="9">
        <f>IFERROR(__xludf.DUMMYFUNCTION("SUM(QUERY(Entregas_BD!D:AL,""select AH where D='""&amp;D40&amp;""'"",1))"),0.0)</f>
        <v>0</v>
      </c>
      <c r="V40" s="9">
        <f>IFERROR(__xludf.DUMMYFUNCTION("SUM(QUERY(Entregas_BD!D:AL,""select AI where D='""&amp;D40&amp;""'"",1))"),0.0)</f>
        <v>0</v>
      </c>
      <c r="W40" s="9">
        <f>IFERROR(__xludf.DUMMYFUNCTION("SUM(QUERY(Entregas_BD!D:AL,""select AJ where D='""&amp;D40&amp;""'"",1))"),0.0)</f>
        <v>0</v>
      </c>
      <c r="X40" s="9">
        <f>IFERROR(__xludf.DUMMYFUNCTION("SUM(QUERY(Entregas_BD!D:AL,""select AL where D='""&amp;D40&amp;""'"",1))"),0.0)</f>
        <v>0</v>
      </c>
      <c r="Y40" s="9">
        <f>IFERROR(__xludf.DUMMYFUNCTION("SUM(QUERY(Entregas_BD!D:AL,""select AK where D='""&amp;D40&amp;""'"",1))"),0.0)</f>
        <v>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30" t="s">
        <v>163</v>
      </c>
      <c r="AG40" s="15">
        <f>IFERROR(__xludf.DUMMYFUNCTION("SUM(QUERY(Entregas_BD!D:W,""select U where D='""&amp;D40&amp;""'"",1))"),0.0)</f>
        <v>0</v>
      </c>
      <c r="AH40" s="15">
        <f>IFERROR(__xludf.DUMMYFUNCTION("SUM(QUERY(Entregas_BD!D:W,""select S where D='""&amp;D40&amp;""'"",1))"),0.0)</f>
        <v>0</v>
      </c>
      <c r="AI40" s="15">
        <f>IFERROR(__xludf.DUMMYFUNCTION("SUM(QUERY(Entregas_BD!D:W,""select T where D='""&amp;D40&amp;""'"",1))"),0.0)</f>
        <v>0</v>
      </c>
    </row>
    <row r="41" ht="19.5" customHeight="1">
      <c r="A41" s="31"/>
      <c r="B41" s="32"/>
      <c r="C41" s="19">
        <v>40.0</v>
      </c>
      <c r="D41" s="20" t="s">
        <v>164</v>
      </c>
      <c r="E41" s="20" t="s">
        <v>58</v>
      </c>
      <c r="F41" s="20" t="s">
        <v>45</v>
      </c>
      <c r="G41" s="20" t="s">
        <v>165</v>
      </c>
      <c r="H41" s="19" t="s">
        <v>51</v>
      </c>
      <c r="I41" s="21" t="s">
        <v>41</v>
      </c>
      <c r="J41" s="19"/>
      <c r="K41" s="22"/>
      <c r="L41" s="23"/>
      <c r="M41" s="22"/>
      <c r="N41" s="19">
        <f>IFERROR(__xludf.DUMMYFUNCTION("SUM(QUERY(Entregas_BD!D:L,""select G where D='""&amp;D41&amp;""'"",1))"),0.0)</f>
        <v>0</v>
      </c>
      <c r="O41" s="19">
        <f>IFERROR(__xludf.DUMMYFUNCTION("SUM(QUERY(Entregas_BD!D:L,""select H where D='""&amp;D41&amp;""'"",1))"),0.0)</f>
        <v>0</v>
      </c>
      <c r="P41" s="19">
        <f>IFERROR(__xludf.DUMMYFUNCTION("SUM(QUERY(Entregas_BD!D:L,""select I where D='""&amp;D41&amp;""'"",1))"),0.0)</f>
        <v>0</v>
      </c>
      <c r="Q41" s="19">
        <f>IFERROR(__xludf.DUMMYFUNCTION("SUM(QUERY(Entregas_BD!D:L,""select J where D='""&amp;D41&amp;""'"",1))"),0.0)</f>
        <v>0</v>
      </c>
      <c r="R41" s="24">
        <f>IFERROR(__xludf.DUMMYFUNCTION("SUM(QUERY(Entregas_BD!D:L,""select K where D='""&amp;D41&amp;""'"",1))"),0.0)</f>
        <v>0</v>
      </c>
      <c r="S41" s="24">
        <f>IFERROR(__xludf.DUMMYFUNCTION("SUM(QUERY(Entregas_BD!D:L,""select L where D='""&amp;D41&amp;""'"",1))"),0.0)</f>
        <v>0</v>
      </c>
      <c r="T41" s="19">
        <f>IFERROR(__xludf.DUMMYFUNCTION("SUM(QUERY(Entregas_BD!D:AL,""select AG where D='""&amp;D41&amp;""'"",1))"),0.0)</f>
        <v>0</v>
      </c>
      <c r="U41" s="19">
        <f>IFERROR(__xludf.DUMMYFUNCTION("SUM(QUERY(Entregas_BD!D:AL,""select AH where D='""&amp;D41&amp;""'"",1))"),0.0)</f>
        <v>0</v>
      </c>
      <c r="V41" s="19">
        <f>IFERROR(__xludf.DUMMYFUNCTION("SUM(QUERY(Entregas_BD!D:AL,""select AI where D='""&amp;D41&amp;""'"",1))"),0.0)</f>
        <v>0</v>
      </c>
      <c r="W41" s="19">
        <f>IFERROR(__xludf.DUMMYFUNCTION("SUM(QUERY(Entregas_BD!D:AL,""select AJ where D='""&amp;D41&amp;""'"",1))"),0.0)</f>
        <v>0</v>
      </c>
      <c r="X41" s="19">
        <f>IFERROR(__xludf.DUMMYFUNCTION("SUM(QUERY(Entregas_BD!D:AL,""select AL where D='""&amp;D41&amp;""'"",1))"),0.0)</f>
        <v>0</v>
      </c>
      <c r="Y41" s="19">
        <f>IFERROR(__xludf.DUMMYFUNCTION("SUM(QUERY(Entregas_BD!D:AL,""select AK where D='""&amp;D41&amp;""'"",1))"),0.0)</f>
        <v>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25" t="s">
        <v>166</v>
      </c>
      <c r="AG41" s="24">
        <f>IFERROR(__xludf.DUMMYFUNCTION("SUM(QUERY(Entregas_BD!D:W,""select U where D='""&amp;D41&amp;""'"",1))"),0.0)</f>
        <v>0</v>
      </c>
      <c r="AH41" s="24">
        <f>IFERROR(__xludf.DUMMYFUNCTION("SUM(QUERY(Entregas_BD!D:W,""select S where D='""&amp;D41&amp;""'"",1))"),0.0)</f>
        <v>0</v>
      </c>
      <c r="AI41" s="24">
        <f>IFERROR(__xludf.DUMMYFUNCTION("SUM(QUERY(Entregas_BD!D:W,""select T where D='""&amp;D41&amp;""'"",1))"),0.0)</f>
        <v>0</v>
      </c>
    </row>
    <row r="42" ht="19.5" customHeight="1">
      <c r="A42" s="7"/>
      <c r="B42" s="8"/>
      <c r="C42" s="9">
        <v>41.0</v>
      </c>
      <c r="D42" s="10" t="s">
        <v>167</v>
      </c>
      <c r="E42" s="10" t="s">
        <v>153</v>
      </c>
      <c r="F42" s="10" t="s">
        <v>168</v>
      </c>
      <c r="G42" s="10" t="s">
        <v>169</v>
      </c>
      <c r="H42" s="12" t="s">
        <v>40</v>
      </c>
      <c r="I42" s="11" t="s">
        <v>47</v>
      </c>
      <c r="J42" s="12"/>
      <c r="K42" s="28"/>
      <c r="L42" s="29"/>
      <c r="M42" s="36"/>
      <c r="N42" s="9">
        <f>IFERROR(__xludf.DUMMYFUNCTION("SUM(QUERY(Entregas_BD!D:L,""select G where D='""&amp;D42&amp;""'"",1))"),0.0)</f>
        <v>0</v>
      </c>
      <c r="O42" s="9">
        <f>IFERROR(__xludf.DUMMYFUNCTION("SUM(QUERY(Entregas_BD!D:L,""select H where D='""&amp;D42&amp;""'"",1))"),0.0)</f>
        <v>0</v>
      </c>
      <c r="P42" s="9">
        <f>IFERROR(__xludf.DUMMYFUNCTION("SUM(QUERY(Entregas_BD!D:L,""select I where D='""&amp;D42&amp;""'"",1))"),0.0)</f>
        <v>0</v>
      </c>
      <c r="Q42" s="9">
        <f>IFERROR(__xludf.DUMMYFUNCTION("SUM(QUERY(Entregas_BD!D:L,""select J where D='""&amp;D42&amp;""'"",1))"),0.0)</f>
        <v>0</v>
      </c>
      <c r="R42" s="15">
        <f>IFERROR(__xludf.DUMMYFUNCTION("SUM(QUERY(Entregas_BD!D:L,""select K where D='""&amp;D42&amp;""'"",1))"),0.0)</f>
        <v>0</v>
      </c>
      <c r="S42" s="15">
        <f>IFERROR(__xludf.DUMMYFUNCTION("SUM(QUERY(Entregas_BD!D:L,""select L where D='""&amp;D42&amp;""'"",1))"),0.0)</f>
        <v>0</v>
      </c>
      <c r="T42" s="9">
        <f>IFERROR(__xludf.DUMMYFUNCTION("SUM(QUERY(Entregas_BD!D:AL,""select AG where D='""&amp;D42&amp;""'"",1))"),0.0)</f>
        <v>0</v>
      </c>
      <c r="U42" s="9">
        <f>IFERROR(__xludf.DUMMYFUNCTION("SUM(QUERY(Entregas_BD!D:AL,""select AH where D='""&amp;D42&amp;""'"",1))"),0.0)</f>
        <v>0</v>
      </c>
      <c r="V42" s="9">
        <f>IFERROR(__xludf.DUMMYFUNCTION("SUM(QUERY(Entregas_BD!D:AL,""select AI where D='""&amp;D42&amp;""'"",1))"),0.0)</f>
        <v>0</v>
      </c>
      <c r="W42" s="9">
        <f>IFERROR(__xludf.DUMMYFUNCTION("SUM(QUERY(Entregas_BD!D:AL,""select AJ where D='""&amp;D42&amp;""'"",1))"),0.0)</f>
        <v>0</v>
      </c>
      <c r="X42" s="9">
        <f>IFERROR(__xludf.DUMMYFUNCTION("SUM(QUERY(Entregas_BD!D:AL,""select AL where D='""&amp;D42&amp;""'"",1))"),0.0)</f>
        <v>0</v>
      </c>
      <c r="Y42" s="9">
        <f>IFERROR(__xludf.DUMMYFUNCTION("SUM(QUERY(Entregas_BD!D:AL,""select AK where D='""&amp;D42&amp;""'"",1))"),0.0)</f>
        <v>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30" t="s">
        <v>170</v>
      </c>
      <c r="AG42" s="15">
        <f>IFERROR(__xludf.DUMMYFUNCTION("SUM(QUERY(Entregas_BD!D:W,""select U where D='""&amp;D42&amp;""'"",1))"),0.0)</f>
        <v>0</v>
      </c>
      <c r="AH42" s="15">
        <f>IFERROR(__xludf.DUMMYFUNCTION("SUM(QUERY(Entregas_BD!D:W,""select S where D='""&amp;D42&amp;""'"",1))"),0.0)</f>
        <v>0</v>
      </c>
      <c r="AI42" s="15">
        <f>IFERROR(__xludf.DUMMYFUNCTION("SUM(QUERY(Entregas_BD!D:W,""select T where D='""&amp;D42&amp;""'"",1))"),0.0)</f>
        <v>0</v>
      </c>
    </row>
    <row r="43" ht="19.5" customHeight="1">
      <c r="A43" s="31"/>
      <c r="B43" s="32"/>
      <c r="C43" s="19">
        <v>42.0</v>
      </c>
      <c r="D43" s="20" t="s">
        <v>171</v>
      </c>
      <c r="E43" s="20" t="s">
        <v>72</v>
      </c>
      <c r="F43" s="20" t="s">
        <v>45</v>
      </c>
      <c r="G43" s="20" t="s">
        <v>149</v>
      </c>
      <c r="H43" s="19" t="s">
        <v>69</v>
      </c>
      <c r="I43" s="21" t="s">
        <v>41</v>
      </c>
      <c r="J43" s="34"/>
      <c r="K43" s="22"/>
      <c r="L43" s="23"/>
      <c r="M43" s="22"/>
      <c r="N43" s="19">
        <f>IFERROR(__xludf.DUMMYFUNCTION("SUM(QUERY(Entregas_BD!D:L,""select G where D='""&amp;D43&amp;""'"",1))"),0.0)</f>
        <v>0</v>
      </c>
      <c r="O43" s="19">
        <f>IFERROR(__xludf.DUMMYFUNCTION("SUM(QUERY(Entregas_BD!D:L,""select H where D='""&amp;D43&amp;""'"",1))"),0.0)</f>
        <v>0</v>
      </c>
      <c r="P43" s="19">
        <f>IFERROR(__xludf.DUMMYFUNCTION("SUM(QUERY(Entregas_BD!D:L,""select I where D='""&amp;D43&amp;""'"",1))"),0.0)</f>
        <v>0</v>
      </c>
      <c r="Q43" s="19">
        <f>IFERROR(__xludf.DUMMYFUNCTION("SUM(QUERY(Entregas_BD!D:L,""select J where D='""&amp;D43&amp;""'"",1))"),0.0)</f>
        <v>0</v>
      </c>
      <c r="R43" s="24">
        <f>IFERROR(__xludf.DUMMYFUNCTION("SUM(QUERY(Entregas_BD!D:L,""select K where D='""&amp;D43&amp;""'"",1))"),0.0)</f>
        <v>0</v>
      </c>
      <c r="S43" s="24">
        <f>IFERROR(__xludf.DUMMYFUNCTION("SUM(QUERY(Entregas_BD!D:L,""select L where D='""&amp;D43&amp;""'"",1))"),0.0)</f>
        <v>0</v>
      </c>
      <c r="T43" s="19">
        <f>IFERROR(__xludf.DUMMYFUNCTION("SUM(QUERY(Entregas_BD!D:AL,""select AG where D='""&amp;D43&amp;""'"",1))"),100.0)</f>
        <v>100</v>
      </c>
      <c r="U43" s="19">
        <f>IFERROR(__xludf.DUMMYFUNCTION("SUM(QUERY(Entregas_BD!D:AL,""select AH where D='""&amp;D43&amp;""'"",1))"),0.0)</f>
        <v>0</v>
      </c>
      <c r="V43" s="19">
        <f>IFERROR(__xludf.DUMMYFUNCTION("SUM(QUERY(Entregas_BD!D:AL,""select AI where D='""&amp;D43&amp;""'"",1))"),0.0)</f>
        <v>0</v>
      </c>
      <c r="W43" s="19">
        <f>IFERROR(__xludf.DUMMYFUNCTION("SUM(QUERY(Entregas_BD!D:AL,""select AJ where D='""&amp;D43&amp;""'"",1))"),0.0)</f>
        <v>0</v>
      </c>
      <c r="X43" s="19">
        <f>IFERROR(__xludf.DUMMYFUNCTION("SUM(QUERY(Entregas_BD!D:AL,""select AL where D='""&amp;D43&amp;""'"",1))"),0.0)</f>
        <v>0</v>
      </c>
      <c r="Y43" s="19">
        <f>IFERROR(__xludf.DUMMYFUNCTION("SUM(QUERY(Entregas_BD!D:AL,""select AK where D='""&amp;D43&amp;""'"",1))"),0.0)</f>
        <v>0</v>
      </c>
      <c r="Z43" s="19">
        <v>-100.0</v>
      </c>
      <c r="AA43" s="19">
        <v>0.0</v>
      </c>
      <c r="AB43" s="19">
        <v>0.0</v>
      </c>
      <c r="AC43" s="19">
        <v>0.0</v>
      </c>
      <c r="AD43" s="19">
        <v>0.0</v>
      </c>
      <c r="AE43" s="19">
        <v>0.0</v>
      </c>
      <c r="AF43" s="35" t="s">
        <v>172</v>
      </c>
      <c r="AG43" s="24">
        <f>IFERROR(__xludf.DUMMYFUNCTION("SUM(QUERY(Entregas_BD!D:W,""select U where D='""&amp;D43&amp;""'"",1))"),0.0)</f>
        <v>0</v>
      </c>
      <c r="AH43" s="24">
        <f>IFERROR(__xludf.DUMMYFUNCTION("SUM(QUERY(Entregas_BD!D:W,""select S where D='""&amp;D43&amp;""'"",1))"),0.0)</f>
        <v>0</v>
      </c>
      <c r="AI43" s="24">
        <f>IFERROR(__xludf.DUMMYFUNCTION("SUM(QUERY(Entregas_BD!D:W,""select T where D='""&amp;D43&amp;""'"",1))"),0.0)</f>
        <v>0</v>
      </c>
    </row>
    <row r="44" ht="19.5" customHeight="1">
      <c r="A44" s="7"/>
      <c r="B44" s="8"/>
      <c r="C44" s="9">
        <v>43.0</v>
      </c>
      <c r="D44" s="10" t="s">
        <v>173</v>
      </c>
      <c r="E44" s="10" t="s">
        <v>58</v>
      </c>
      <c r="F44" s="10" t="s">
        <v>45</v>
      </c>
      <c r="G44" s="10" t="s">
        <v>174</v>
      </c>
      <c r="H44" s="9" t="s">
        <v>40</v>
      </c>
      <c r="I44" s="11" t="s">
        <v>41</v>
      </c>
      <c r="J44" s="9"/>
      <c r="K44" s="28"/>
      <c r="L44" s="29"/>
      <c r="M44" s="28"/>
      <c r="N44" s="9">
        <f>IFERROR(__xludf.DUMMYFUNCTION("SUM(QUERY(Entregas_BD!D:L,""select G where D='""&amp;D44&amp;""'"",1))"),0.0)</f>
        <v>0</v>
      </c>
      <c r="O44" s="9">
        <f>IFERROR(__xludf.DUMMYFUNCTION("SUM(QUERY(Entregas_BD!D:L,""select H where D='""&amp;D44&amp;""'"",1))"),0.0)</f>
        <v>0</v>
      </c>
      <c r="P44" s="9">
        <f>IFERROR(__xludf.DUMMYFUNCTION("SUM(QUERY(Entregas_BD!D:L,""select I where D='""&amp;D44&amp;""'"",1))"),0.0)</f>
        <v>0</v>
      </c>
      <c r="Q44" s="9">
        <f>IFERROR(__xludf.DUMMYFUNCTION("SUM(QUERY(Entregas_BD!D:L,""select J where D='""&amp;D44&amp;""'"",1))"),0.0)</f>
        <v>0</v>
      </c>
      <c r="R44" s="15">
        <f>IFERROR(__xludf.DUMMYFUNCTION("SUM(QUERY(Entregas_BD!D:L,""select K where D='""&amp;D44&amp;""'"",1))"),0.0)</f>
        <v>0</v>
      </c>
      <c r="S44" s="15">
        <f>IFERROR(__xludf.DUMMYFUNCTION("SUM(QUERY(Entregas_BD!D:L,""select L where D='""&amp;D44&amp;""'"",1))"),0.0)</f>
        <v>0</v>
      </c>
      <c r="T44" s="9">
        <f>IFERROR(__xludf.DUMMYFUNCTION("SUM(QUERY(Entregas_BD!D:AL,""select AG where D='""&amp;D44&amp;""'"",1))"),220.0)</f>
        <v>220</v>
      </c>
      <c r="U44" s="9">
        <f>IFERROR(__xludf.DUMMYFUNCTION("SUM(QUERY(Entregas_BD!D:AL,""select AH where D='""&amp;D44&amp;""'"",1))"),0.0)</f>
        <v>0</v>
      </c>
      <c r="V44" s="9">
        <f>IFERROR(__xludf.DUMMYFUNCTION("SUM(QUERY(Entregas_BD!D:AL,""select AI where D='""&amp;D44&amp;""'"",1))"),0.0)</f>
        <v>0</v>
      </c>
      <c r="W44" s="9">
        <f>IFERROR(__xludf.DUMMYFUNCTION("SUM(QUERY(Entregas_BD!D:AL,""select AJ where D='""&amp;D44&amp;""'"",1))"),100.0)</f>
        <v>100</v>
      </c>
      <c r="X44" s="9">
        <f>IFERROR(__xludf.DUMMYFUNCTION("SUM(QUERY(Entregas_BD!D:AL,""select AL where D='""&amp;D44&amp;""'"",1))"),0.0)</f>
        <v>0</v>
      </c>
      <c r="Y44" s="9">
        <f>IFERROR(__xludf.DUMMYFUNCTION("SUM(QUERY(Entregas_BD!D:AL,""select AK where D='""&amp;D44&amp;""'"",1))"),0.0)</f>
        <v>0</v>
      </c>
      <c r="Z44" s="9">
        <v>-220.0</v>
      </c>
      <c r="AA44" s="9">
        <v>0.0</v>
      </c>
      <c r="AB44" s="9">
        <v>0.0</v>
      </c>
      <c r="AC44" s="9">
        <v>-100.0</v>
      </c>
      <c r="AD44" s="9">
        <v>0.0</v>
      </c>
      <c r="AE44" s="9">
        <v>0.0</v>
      </c>
      <c r="AF44" s="30" t="s">
        <v>175</v>
      </c>
      <c r="AG44" s="15">
        <f>IFERROR(__xludf.DUMMYFUNCTION("SUM(QUERY(Entregas_BD!D:W,""select U where D='""&amp;D44&amp;""'"",1))"),0.0)</f>
        <v>0</v>
      </c>
      <c r="AH44" s="15">
        <f>IFERROR(__xludf.DUMMYFUNCTION("SUM(QUERY(Entregas_BD!D:W,""select S where D='""&amp;D44&amp;""'"",1))"),0.0)</f>
        <v>0</v>
      </c>
      <c r="AI44" s="15">
        <f>IFERROR(__xludf.DUMMYFUNCTION("SUM(QUERY(Entregas_BD!D:W,""select T where D='""&amp;D44&amp;""'"",1))"),0.0)</f>
        <v>0</v>
      </c>
    </row>
    <row r="45" ht="19.5" customHeight="1">
      <c r="A45" s="17"/>
      <c r="B45" s="18"/>
      <c r="C45" s="19">
        <v>44.0</v>
      </c>
      <c r="D45" s="20" t="s">
        <v>176</v>
      </c>
      <c r="E45" s="20" t="s">
        <v>44</v>
      </c>
      <c r="F45" s="20" t="s">
        <v>45</v>
      </c>
      <c r="G45" s="20" t="s">
        <v>177</v>
      </c>
      <c r="H45" s="19" t="s">
        <v>40</v>
      </c>
      <c r="I45" s="21" t="s">
        <v>47</v>
      </c>
      <c r="J45" s="19"/>
      <c r="K45" s="22"/>
      <c r="L45" s="23"/>
      <c r="M45" s="22"/>
      <c r="N45" s="19">
        <f>IFERROR(__xludf.DUMMYFUNCTION("SUM(QUERY(Entregas_BD!D:L,""select G where D='""&amp;D45&amp;""'"",1))"),0.0)</f>
        <v>0</v>
      </c>
      <c r="O45" s="19">
        <f>IFERROR(__xludf.DUMMYFUNCTION("SUM(QUERY(Entregas_BD!D:L,""select H where D='""&amp;D45&amp;""'"",1))"),0.0)</f>
        <v>0</v>
      </c>
      <c r="P45" s="19">
        <f>IFERROR(__xludf.DUMMYFUNCTION("SUM(QUERY(Entregas_BD!D:L,""select I where D='""&amp;D45&amp;""'"",1))"),0.0)</f>
        <v>0</v>
      </c>
      <c r="Q45" s="19">
        <f>IFERROR(__xludf.DUMMYFUNCTION("SUM(QUERY(Entregas_BD!D:L,""select J where D='""&amp;D45&amp;""'"",1))"),0.0)</f>
        <v>0</v>
      </c>
      <c r="R45" s="24">
        <f>IFERROR(__xludf.DUMMYFUNCTION("SUM(QUERY(Entregas_BD!D:L,""select K where D='""&amp;D45&amp;""'"",1))"),0.0)</f>
        <v>0</v>
      </c>
      <c r="S45" s="24">
        <f>IFERROR(__xludf.DUMMYFUNCTION("SUM(QUERY(Entregas_BD!D:L,""select L where D='""&amp;D45&amp;""'"",1))"),0.0)</f>
        <v>0</v>
      </c>
      <c r="T45" s="19">
        <f>IFERROR(__xludf.DUMMYFUNCTION("SUM(QUERY(Entregas_BD!D:AL,""select AG where D='""&amp;D45&amp;""'"",1))"),0.0)</f>
        <v>0</v>
      </c>
      <c r="U45" s="19">
        <f>IFERROR(__xludf.DUMMYFUNCTION("SUM(QUERY(Entregas_BD!D:AL,""select AH where D='""&amp;D45&amp;""'"",1))"),0.0)</f>
        <v>0</v>
      </c>
      <c r="V45" s="19">
        <f>IFERROR(__xludf.DUMMYFUNCTION("SUM(QUERY(Entregas_BD!D:AL,""select AI where D='""&amp;D45&amp;""'"",1))"),0.0)</f>
        <v>0</v>
      </c>
      <c r="W45" s="19">
        <f>IFERROR(__xludf.DUMMYFUNCTION("SUM(QUERY(Entregas_BD!D:AL,""select AJ where D='""&amp;D45&amp;""'"",1))"),0.0)</f>
        <v>0</v>
      </c>
      <c r="X45" s="19">
        <f>IFERROR(__xludf.DUMMYFUNCTION("SUM(QUERY(Entregas_BD!D:AL,""select AL where D='""&amp;D45&amp;""'"",1))"),0.0)</f>
        <v>0</v>
      </c>
      <c r="Y45" s="19">
        <f>IFERROR(__xludf.DUMMYFUNCTION("SUM(QUERY(Entregas_BD!D:AL,""select AK where D='""&amp;D45&amp;""'"",1))"),0.0)</f>
        <v>0</v>
      </c>
      <c r="Z45" s="19">
        <v>0.0</v>
      </c>
      <c r="AA45" s="19">
        <v>0.0</v>
      </c>
      <c r="AB45" s="19">
        <v>0.0</v>
      </c>
      <c r="AC45" s="19">
        <v>0.0</v>
      </c>
      <c r="AD45" s="19">
        <v>0.0</v>
      </c>
      <c r="AE45" s="19">
        <v>0.0</v>
      </c>
      <c r="AF45" s="25" t="s">
        <v>178</v>
      </c>
      <c r="AG45" s="24">
        <f>IFERROR(__xludf.DUMMYFUNCTION("SUM(QUERY(Entregas_BD!D:W,""select U where D='""&amp;D45&amp;""'"",1))"),0.0)</f>
        <v>0</v>
      </c>
      <c r="AH45" s="24">
        <f>IFERROR(__xludf.DUMMYFUNCTION("SUM(QUERY(Entregas_BD!D:W,""select S where D='""&amp;D45&amp;""'"",1))"),0.0)</f>
        <v>0</v>
      </c>
      <c r="AI45" s="24">
        <f>IFERROR(__xludf.DUMMYFUNCTION("SUM(QUERY(Entregas_BD!D:W,""select T where D='""&amp;D45&amp;""'"",1))"),0.0)</f>
        <v>0</v>
      </c>
    </row>
    <row r="46" ht="19.5" customHeight="1">
      <c r="A46" s="7"/>
      <c r="B46" s="8"/>
      <c r="C46" s="9">
        <v>45.0</v>
      </c>
      <c r="D46" s="10" t="s">
        <v>179</v>
      </c>
      <c r="E46" s="10" t="s">
        <v>72</v>
      </c>
      <c r="F46" s="10" t="s">
        <v>45</v>
      </c>
      <c r="G46" s="10" t="s">
        <v>136</v>
      </c>
      <c r="H46" s="9" t="s">
        <v>40</v>
      </c>
      <c r="I46" s="11" t="s">
        <v>41</v>
      </c>
      <c r="J46" s="12"/>
      <c r="K46" s="28"/>
      <c r="L46" s="29"/>
      <c r="M46" s="28"/>
      <c r="N46" s="9">
        <f>IFERROR(__xludf.DUMMYFUNCTION("SUM(QUERY(Entregas_BD!D:L,""select G where D='""&amp;D46&amp;""'"",1))"),0.0)</f>
        <v>0</v>
      </c>
      <c r="O46" s="9">
        <f>IFERROR(__xludf.DUMMYFUNCTION("SUM(QUERY(Entregas_BD!D:L,""select H where D='""&amp;D46&amp;""'"",1))"),0.0)</f>
        <v>0</v>
      </c>
      <c r="P46" s="9">
        <f>IFERROR(__xludf.DUMMYFUNCTION("SUM(QUERY(Entregas_BD!D:L,""select I where D='""&amp;D46&amp;""'"",1))"),0.0)</f>
        <v>0</v>
      </c>
      <c r="Q46" s="9">
        <f>IFERROR(__xludf.DUMMYFUNCTION("SUM(QUERY(Entregas_BD!D:L,""select J where D='""&amp;D46&amp;""'"",1))"),0.0)</f>
        <v>0</v>
      </c>
      <c r="R46" s="15">
        <f>IFERROR(__xludf.DUMMYFUNCTION("SUM(QUERY(Entregas_BD!D:L,""select K where D='""&amp;D46&amp;""'"",1))"),0.0)</f>
        <v>0</v>
      </c>
      <c r="S46" s="15">
        <f>IFERROR(__xludf.DUMMYFUNCTION("SUM(QUERY(Entregas_BD!D:L,""select L where D='""&amp;D46&amp;""'"",1))"),0.0)</f>
        <v>0</v>
      </c>
      <c r="T46" s="9">
        <f>IFERROR(__xludf.DUMMYFUNCTION("SUM(QUERY(Entregas_BD!D:AL,""select AG where D='""&amp;D46&amp;""'"",1))"),100.0)</f>
        <v>100</v>
      </c>
      <c r="U46" s="9">
        <f>IFERROR(__xludf.DUMMYFUNCTION("SUM(QUERY(Entregas_BD!D:AL,""select AH where D='""&amp;D46&amp;""'"",1))"),0.0)</f>
        <v>0</v>
      </c>
      <c r="V46" s="9">
        <f>IFERROR(__xludf.DUMMYFUNCTION("SUM(QUERY(Entregas_BD!D:AL,""select AI where D='""&amp;D46&amp;""'"",1))"),0.0)</f>
        <v>0</v>
      </c>
      <c r="W46" s="9">
        <f>IFERROR(__xludf.DUMMYFUNCTION("SUM(QUERY(Entregas_BD!D:AL,""select AJ where D='""&amp;D46&amp;""'"",1))"),0.0)</f>
        <v>0</v>
      </c>
      <c r="X46" s="9">
        <f>IFERROR(__xludf.DUMMYFUNCTION("SUM(QUERY(Entregas_BD!D:AL,""select AL where D='""&amp;D46&amp;""'"",1))"),0.0)</f>
        <v>0</v>
      </c>
      <c r="Y46" s="9">
        <f>IFERROR(__xludf.DUMMYFUNCTION("SUM(QUERY(Entregas_BD!D:AL,""select AK where D='""&amp;D46&amp;""'"",1))"),0.0)</f>
        <v>0</v>
      </c>
      <c r="Z46" s="9">
        <v>-100.0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30" t="s">
        <v>180</v>
      </c>
      <c r="AG46" s="15">
        <f>IFERROR(__xludf.DUMMYFUNCTION("SUM(QUERY(Entregas_BD!D:W,""select U where D='""&amp;D46&amp;""'"",1))"),0.0)</f>
        <v>0</v>
      </c>
      <c r="AH46" s="15">
        <f>IFERROR(__xludf.DUMMYFUNCTION("SUM(QUERY(Entregas_BD!D:W,""select S where D='""&amp;D46&amp;""'"",1))"),0.0)</f>
        <v>0</v>
      </c>
      <c r="AI46" s="15">
        <f>IFERROR(__xludf.DUMMYFUNCTION("SUM(QUERY(Entregas_BD!D:W,""select T where D='""&amp;D46&amp;""'"",1))"),0.0)</f>
        <v>0</v>
      </c>
    </row>
    <row r="47" ht="19.5" customHeight="1">
      <c r="A47" s="31"/>
      <c r="B47" s="32"/>
      <c r="C47" s="19">
        <v>46.0</v>
      </c>
      <c r="D47" s="20" t="s">
        <v>181</v>
      </c>
      <c r="E47" s="20" t="s">
        <v>72</v>
      </c>
      <c r="F47" s="20" t="s">
        <v>45</v>
      </c>
      <c r="G47" s="20" t="s">
        <v>182</v>
      </c>
      <c r="H47" s="19" t="s">
        <v>51</v>
      </c>
      <c r="I47" s="21" t="s">
        <v>41</v>
      </c>
      <c r="J47" s="34"/>
      <c r="K47" s="22"/>
      <c r="L47" s="23"/>
      <c r="M47" s="22"/>
      <c r="N47" s="19">
        <f>IFERROR(__xludf.DUMMYFUNCTION("SUM(QUERY(Entregas_BD!D:L,""select G where D='""&amp;D47&amp;""'"",1))"),0.0)</f>
        <v>0</v>
      </c>
      <c r="O47" s="19">
        <f>IFERROR(__xludf.DUMMYFUNCTION("SUM(QUERY(Entregas_BD!D:L,""select H where D='""&amp;D47&amp;""'"",1))"),0.0)</f>
        <v>0</v>
      </c>
      <c r="P47" s="19">
        <f>IFERROR(__xludf.DUMMYFUNCTION("SUM(QUERY(Entregas_BD!D:L,""select I where D='""&amp;D47&amp;""'"",1))"),0.0)</f>
        <v>0</v>
      </c>
      <c r="Q47" s="19">
        <f>IFERROR(__xludf.DUMMYFUNCTION("SUM(QUERY(Entregas_BD!D:L,""select J where D='""&amp;D47&amp;""'"",1))"),0.0)</f>
        <v>0</v>
      </c>
      <c r="R47" s="24">
        <f>IFERROR(__xludf.DUMMYFUNCTION("SUM(QUERY(Entregas_BD!D:L,""select K where D='""&amp;D47&amp;""'"",1))"),0.0)</f>
        <v>0</v>
      </c>
      <c r="S47" s="24">
        <f>IFERROR(__xludf.DUMMYFUNCTION("SUM(QUERY(Entregas_BD!D:L,""select L where D='""&amp;D47&amp;""'"",1))"),0.0)</f>
        <v>0</v>
      </c>
      <c r="T47" s="19">
        <f>IFERROR(__xludf.DUMMYFUNCTION("SUM(QUERY(Entregas_BD!D:AL,""select AG where D='""&amp;D47&amp;""'"",1))"),100.0)</f>
        <v>100</v>
      </c>
      <c r="U47" s="19">
        <f>IFERROR(__xludf.DUMMYFUNCTION("SUM(QUERY(Entregas_BD!D:AL,""select AH where D='""&amp;D47&amp;""'"",1))"),0.0)</f>
        <v>0</v>
      </c>
      <c r="V47" s="19">
        <f>IFERROR(__xludf.DUMMYFUNCTION("SUM(QUERY(Entregas_BD!D:AL,""select AI where D='""&amp;D47&amp;""'"",1))"),0.0)</f>
        <v>0</v>
      </c>
      <c r="W47" s="19">
        <f>IFERROR(__xludf.DUMMYFUNCTION("SUM(QUERY(Entregas_BD!D:AL,""select AJ where D='""&amp;D47&amp;""'"",1))"),0.0)</f>
        <v>0</v>
      </c>
      <c r="X47" s="19">
        <f>IFERROR(__xludf.DUMMYFUNCTION("SUM(QUERY(Entregas_BD!D:AL,""select AL where D='""&amp;D47&amp;""'"",1))"),0.0)</f>
        <v>0</v>
      </c>
      <c r="Y47" s="19">
        <f>IFERROR(__xludf.DUMMYFUNCTION("SUM(QUERY(Entregas_BD!D:AL,""select AK where D='""&amp;D47&amp;""'"",1))"),0.0)</f>
        <v>0</v>
      </c>
      <c r="Z47" s="19">
        <v>-100.0</v>
      </c>
      <c r="AA47" s="19">
        <v>0.0</v>
      </c>
      <c r="AB47" s="19">
        <v>0.0</v>
      </c>
      <c r="AC47" s="19">
        <v>0.0</v>
      </c>
      <c r="AD47" s="19">
        <v>0.0</v>
      </c>
      <c r="AE47" s="19">
        <v>0.0</v>
      </c>
      <c r="AF47" s="25" t="s">
        <v>183</v>
      </c>
      <c r="AG47" s="24">
        <f>IFERROR(__xludf.DUMMYFUNCTION("SUM(QUERY(Entregas_BD!D:W,""select U where D='""&amp;D47&amp;""'"",1))"),0.0)</f>
        <v>0</v>
      </c>
      <c r="AH47" s="24">
        <f>IFERROR(__xludf.DUMMYFUNCTION("SUM(QUERY(Entregas_BD!D:W,""select S where D='""&amp;D47&amp;""'"",1))"),0.0)</f>
        <v>0</v>
      </c>
      <c r="AI47" s="24">
        <f>IFERROR(__xludf.DUMMYFUNCTION("SUM(QUERY(Entregas_BD!D:W,""select T where D='""&amp;D47&amp;""'"",1))"),0.0)</f>
        <v>0</v>
      </c>
    </row>
    <row r="48" ht="19.5" customHeight="1">
      <c r="A48" s="7"/>
      <c r="B48" s="8"/>
      <c r="C48" s="9">
        <v>47.0</v>
      </c>
      <c r="D48" s="10" t="s">
        <v>184</v>
      </c>
      <c r="E48" s="10" t="s">
        <v>63</v>
      </c>
      <c r="F48" s="10" t="s">
        <v>185</v>
      </c>
      <c r="G48" s="10" t="s">
        <v>149</v>
      </c>
      <c r="H48" s="9" t="s">
        <v>51</v>
      </c>
      <c r="I48" s="11" t="s">
        <v>47</v>
      </c>
      <c r="J48" s="12"/>
      <c r="K48" s="28"/>
      <c r="L48" s="29"/>
      <c r="M48" s="36"/>
      <c r="N48" s="9">
        <f>IFERROR(__xludf.DUMMYFUNCTION("SUM(QUERY(Entregas_BD!D:L,""select G where D='""&amp;D48&amp;""'"",1))"),0.0)</f>
        <v>0</v>
      </c>
      <c r="O48" s="9">
        <f>IFERROR(__xludf.DUMMYFUNCTION("SUM(QUERY(Entregas_BD!D:L,""select H where D='""&amp;D48&amp;""'"",1))"),0.0)</f>
        <v>0</v>
      </c>
      <c r="P48" s="9">
        <f>IFERROR(__xludf.DUMMYFUNCTION("SUM(QUERY(Entregas_BD!D:L,""select I where D='""&amp;D48&amp;""'"",1))"),0.0)</f>
        <v>0</v>
      </c>
      <c r="Q48" s="9">
        <f>IFERROR(__xludf.DUMMYFUNCTION("SUM(QUERY(Entregas_BD!D:L,""select J where D='""&amp;D48&amp;""'"",1))"),0.0)</f>
        <v>0</v>
      </c>
      <c r="R48" s="15">
        <f>IFERROR(__xludf.DUMMYFUNCTION("SUM(QUERY(Entregas_BD!D:L,""select K where D='""&amp;D48&amp;""'"",1))"),0.0)</f>
        <v>0</v>
      </c>
      <c r="S48" s="15">
        <f>IFERROR(__xludf.DUMMYFUNCTION("SUM(QUERY(Entregas_BD!D:L,""select L where D='""&amp;D48&amp;""'"",1))"),0.0)</f>
        <v>0</v>
      </c>
      <c r="T48" s="9">
        <f>IFERROR(__xludf.DUMMYFUNCTION("SUM(QUERY(Entregas_BD!D:AL,""select AG where D='""&amp;D48&amp;""'"",1))"),0.0)</f>
        <v>0</v>
      </c>
      <c r="U48" s="9">
        <f>IFERROR(__xludf.DUMMYFUNCTION("SUM(QUERY(Entregas_BD!D:AL,""select AH where D='""&amp;D48&amp;""'"",1))"),0.0)</f>
        <v>0</v>
      </c>
      <c r="V48" s="9">
        <f>IFERROR(__xludf.DUMMYFUNCTION("SUM(QUERY(Entregas_BD!D:AL,""select AI where D='""&amp;D48&amp;""'"",1))"),0.0)</f>
        <v>0</v>
      </c>
      <c r="W48" s="9">
        <f>IFERROR(__xludf.DUMMYFUNCTION("SUM(QUERY(Entregas_BD!D:AL,""select AJ where D='""&amp;D48&amp;""'"",1))"),0.0)</f>
        <v>0</v>
      </c>
      <c r="X48" s="9">
        <f>IFERROR(__xludf.DUMMYFUNCTION("SUM(QUERY(Entregas_BD!D:AL,""select AL where D='""&amp;D48&amp;""'"",1))"),0.0)</f>
        <v>0</v>
      </c>
      <c r="Y48" s="9">
        <f>IFERROR(__xludf.DUMMYFUNCTION("SUM(QUERY(Entregas_BD!D:AL,""select AK where D='""&amp;D48&amp;""'"",1))"),0.0)</f>
        <v>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30" t="s">
        <v>186</v>
      </c>
      <c r="AG48" s="15">
        <f>IFERROR(__xludf.DUMMYFUNCTION("SUM(QUERY(Entregas_BD!D:W,""select U where D='""&amp;D48&amp;""'"",1))"),0.0)</f>
        <v>0</v>
      </c>
      <c r="AH48" s="15">
        <f>IFERROR(__xludf.DUMMYFUNCTION("SUM(QUERY(Entregas_BD!D:W,""select S where D='""&amp;D48&amp;""'"",1))"),0.0)</f>
        <v>0</v>
      </c>
      <c r="AI48" s="15">
        <f>IFERROR(__xludf.DUMMYFUNCTION("SUM(QUERY(Entregas_BD!D:W,""select T where D='""&amp;D48&amp;""'"",1))"),0.0)</f>
        <v>0</v>
      </c>
    </row>
    <row r="49" ht="19.5" customHeight="1">
      <c r="A49" s="31"/>
      <c r="B49" s="32"/>
      <c r="C49" s="19">
        <v>48.0</v>
      </c>
      <c r="D49" s="20" t="s">
        <v>187</v>
      </c>
      <c r="E49" s="20" t="s">
        <v>38</v>
      </c>
      <c r="F49" s="20" t="s">
        <v>188</v>
      </c>
      <c r="G49" s="20" t="s">
        <v>189</v>
      </c>
      <c r="H49" s="19" t="s">
        <v>40</v>
      </c>
      <c r="I49" s="21" t="s">
        <v>47</v>
      </c>
      <c r="J49" s="42"/>
      <c r="K49" s="22"/>
      <c r="L49" s="23"/>
      <c r="M49" s="41"/>
      <c r="N49" s="19">
        <f>IFERROR(__xludf.DUMMYFUNCTION("SUM(QUERY(Entregas_BD!D:L,""select G where D='""&amp;D49&amp;""'"",1))"),0.0)</f>
        <v>0</v>
      </c>
      <c r="O49" s="19">
        <f>IFERROR(__xludf.DUMMYFUNCTION("SUM(QUERY(Entregas_BD!D:L,""select H where D='""&amp;D49&amp;""'"",1))"),0.0)</f>
        <v>0</v>
      </c>
      <c r="P49" s="19">
        <f>IFERROR(__xludf.DUMMYFUNCTION("SUM(QUERY(Entregas_BD!D:L,""select I where D='""&amp;D49&amp;""'"",1))"),0.0)</f>
        <v>0</v>
      </c>
      <c r="Q49" s="19">
        <f>IFERROR(__xludf.DUMMYFUNCTION("SUM(QUERY(Entregas_BD!D:L,""select J where D='""&amp;D49&amp;""'"",1))"),0.0)</f>
        <v>0</v>
      </c>
      <c r="R49" s="24">
        <f>IFERROR(__xludf.DUMMYFUNCTION("SUM(QUERY(Entregas_BD!D:L,""select K where D='""&amp;D49&amp;""'"",1))"),0.0)</f>
        <v>0</v>
      </c>
      <c r="S49" s="24">
        <f>IFERROR(__xludf.DUMMYFUNCTION("SUM(QUERY(Entregas_BD!D:L,""select L where D='""&amp;D49&amp;""'"",1))"),0.0)</f>
        <v>0</v>
      </c>
      <c r="T49" s="19">
        <f>IFERROR(__xludf.DUMMYFUNCTION("SUM(QUERY(Entregas_BD!D:AL,""select AG where D='""&amp;D49&amp;""'"",1))"),0.0)</f>
        <v>0</v>
      </c>
      <c r="U49" s="19">
        <f>IFERROR(__xludf.DUMMYFUNCTION("SUM(QUERY(Entregas_BD!D:AL,""select AH where D='""&amp;D49&amp;""'"",1))"),0.0)</f>
        <v>0</v>
      </c>
      <c r="V49" s="19">
        <f>IFERROR(__xludf.DUMMYFUNCTION("SUM(QUERY(Entregas_BD!D:AL,""select AI where D='""&amp;D49&amp;""'"",1))"),0.0)</f>
        <v>0</v>
      </c>
      <c r="W49" s="19">
        <f>IFERROR(__xludf.DUMMYFUNCTION("SUM(QUERY(Entregas_BD!D:AL,""select AJ where D='""&amp;D49&amp;""'"",1))"),0.0)</f>
        <v>0</v>
      </c>
      <c r="X49" s="19">
        <f>IFERROR(__xludf.DUMMYFUNCTION("SUM(QUERY(Entregas_BD!D:AL,""select AL where D='""&amp;D49&amp;""'"",1))"),0.0)</f>
        <v>0</v>
      </c>
      <c r="Y49" s="19">
        <f>IFERROR(__xludf.DUMMYFUNCTION("SUM(QUERY(Entregas_BD!D:AL,""select AK where D='""&amp;D49&amp;""'"",1))"),0.0)</f>
        <v>0</v>
      </c>
      <c r="Z49" s="19">
        <v>0.0</v>
      </c>
      <c r="AA49" s="19">
        <v>0.0</v>
      </c>
      <c r="AB49" s="19">
        <v>0.0</v>
      </c>
      <c r="AC49" s="19">
        <v>0.0</v>
      </c>
      <c r="AD49" s="19">
        <v>0.0</v>
      </c>
      <c r="AE49" s="19">
        <v>0.0</v>
      </c>
      <c r="AF49" s="35" t="s">
        <v>190</v>
      </c>
      <c r="AG49" s="24">
        <f>IFERROR(__xludf.DUMMYFUNCTION("SUM(QUERY(Entregas_BD!D:W,""select U where D='""&amp;D49&amp;""'"",1))"),0.0)</f>
        <v>0</v>
      </c>
      <c r="AH49" s="24">
        <f>IFERROR(__xludf.DUMMYFUNCTION("SUM(QUERY(Entregas_BD!D:W,""select S where D='""&amp;D49&amp;""'"",1))"),0.0)</f>
        <v>0</v>
      </c>
      <c r="AI49" s="24">
        <f>IFERROR(__xludf.DUMMYFUNCTION("SUM(QUERY(Entregas_BD!D:W,""select T where D='""&amp;D49&amp;""'"",1))"),0.0)</f>
        <v>0</v>
      </c>
    </row>
    <row r="50" ht="19.5" customHeight="1">
      <c r="A50" s="7"/>
      <c r="B50" s="8"/>
      <c r="C50" s="9">
        <v>49.0</v>
      </c>
      <c r="D50" s="10" t="s">
        <v>191</v>
      </c>
      <c r="E50" s="10" t="s">
        <v>58</v>
      </c>
      <c r="F50" s="10" t="s">
        <v>45</v>
      </c>
      <c r="G50" s="10" t="s">
        <v>192</v>
      </c>
      <c r="H50" s="9" t="s">
        <v>51</v>
      </c>
      <c r="I50" s="11" t="s">
        <v>41</v>
      </c>
      <c r="J50" s="9"/>
      <c r="K50" s="28"/>
      <c r="L50" s="29"/>
      <c r="M50" s="28"/>
      <c r="N50" s="9">
        <f>IFERROR(__xludf.DUMMYFUNCTION("SUM(QUERY(Entregas_BD!D:L,""select G where D='""&amp;D50&amp;""'"",1))"),0.0)</f>
        <v>0</v>
      </c>
      <c r="O50" s="9">
        <f>IFERROR(__xludf.DUMMYFUNCTION("SUM(QUERY(Entregas_BD!D:L,""select H where D='""&amp;D50&amp;""'"",1))"),0.0)</f>
        <v>0</v>
      </c>
      <c r="P50" s="9">
        <f>IFERROR(__xludf.DUMMYFUNCTION("SUM(QUERY(Entregas_BD!D:L,""select I where D='""&amp;D50&amp;""'"",1))"),0.0)</f>
        <v>0</v>
      </c>
      <c r="Q50" s="9">
        <f>IFERROR(__xludf.DUMMYFUNCTION("SUM(QUERY(Entregas_BD!D:L,""select J where D='""&amp;D50&amp;""'"",1))"),0.0)</f>
        <v>0</v>
      </c>
      <c r="R50" s="15">
        <f>IFERROR(__xludf.DUMMYFUNCTION("SUM(QUERY(Entregas_BD!D:L,""select K where D='""&amp;D50&amp;""'"",1))"),0.0)</f>
        <v>0</v>
      </c>
      <c r="S50" s="15">
        <f>IFERROR(__xludf.DUMMYFUNCTION("SUM(QUERY(Entregas_BD!D:L,""select L where D='""&amp;D50&amp;""'"",1))"),0.0)</f>
        <v>0</v>
      </c>
      <c r="T50" s="9">
        <f>IFERROR(__xludf.DUMMYFUNCTION("SUM(QUERY(Entregas_BD!D:AL,""select AG where D='""&amp;D50&amp;""'"",1))"),0.0)</f>
        <v>0</v>
      </c>
      <c r="U50" s="9">
        <f>IFERROR(__xludf.DUMMYFUNCTION("SUM(QUERY(Entregas_BD!D:AL,""select AH where D='""&amp;D50&amp;""'"",1))"),0.0)</f>
        <v>0</v>
      </c>
      <c r="V50" s="9">
        <f>IFERROR(__xludf.DUMMYFUNCTION("SUM(QUERY(Entregas_BD!D:AL,""select AI where D='""&amp;D50&amp;""'"",1))"),0.0)</f>
        <v>0</v>
      </c>
      <c r="W50" s="9">
        <f>IFERROR(__xludf.DUMMYFUNCTION("SUM(QUERY(Entregas_BD!D:AL,""select AJ where D='""&amp;D50&amp;""'"",1))"),0.0)</f>
        <v>0</v>
      </c>
      <c r="X50" s="9">
        <f>IFERROR(__xludf.DUMMYFUNCTION("SUM(QUERY(Entregas_BD!D:AL,""select AL where D='""&amp;D50&amp;""'"",1))"),0.0)</f>
        <v>0</v>
      </c>
      <c r="Y50" s="9">
        <f>IFERROR(__xludf.DUMMYFUNCTION("SUM(QUERY(Entregas_BD!D:AL,""select AK where D='""&amp;D50&amp;""'"",1))"),0.0)</f>
        <v>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30" t="s">
        <v>193</v>
      </c>
      <c r="AG50" s="15">
        <f>IFERROR(__xludf.DUMMYFUNCTION("SUM(QUERY(Entregas_BD!D:W,""select U where D='""&amp;D50&amp;""'"",1))"),0.0)</f>
        <v>0</v>
      </c>
      <c r="AH50" s="15">
        <f>IFERROR(__xludf.DUMMYFUNCTION("SUM(QUERY(Entregas_BD!D:W,""select S where D='""&amp;D50&amp;""'"",1))"),0.0)</f>
        <v>0</v>
      </c>
      <c r="AI50" s="15">
        <f>IFERROR(__xludf.DUMMYFUNCTION("SUM(QUERY(Entregas_BD!D:W,""select T where D='""&amp;D50&amp;""'"",1))"),0.0)</f>
        <v>0</v>
      </c>
    </row>
    <row r="51" ht="19.5" customHeight="1">
      <c r="A51" s="31"/>
      <c r="B51" s="32"/>
      <c r="C51" s="19">
        <v>50.0</v>
      </c>
      <c r="D51" s="20" t="s">
        <v>194</v>
      </c>
      <c r="E51" s="20" t="s">
        <v>72</v>
      </c>
      <c r="F51" s="20" t="s">
        <v>45</v>
      </c>
      <c r="G51" s="20" t="s">
        <v>97</v>
      </c>
      <c r="H51" s="19" t="s">
        <v>51</v>
      </c>
      <c r="I51" s="21" t="s">
        <v>47</v>
      </c>
      <c r="J51" s="34"/>
      <c r="K51" s="22"/>
      <c r="L51" s="23"/>
      <c r="M51" s="22"/>
      <c r="N51" s="19">
        <f>IFERROR(__xludf.DUMMYFUNCTION("SUM(QUERY(Entregas_BD!D:L,""select G where D='""&amp;D51&amp;""'"",1))"),0.0)</f>
        <v>0</v>
      </c>
      <c r="O51" s="19">
        <f>IFERROR(__xludf.DUMMYFUNCTION("SUM(QUERY(Entregas_BD!D:L,""select H where D='""&amp;D51&amp;""'"",1))"),0.0)</f>
        <v>0</v>
      </c>
      <c r="P51" s="19">
        <f>IFERROR(__xludf.DUMMYFUNCTION("SUM(QUERY(Entregas_BD!D:L,""select I where D='""&amp;D51&amp;""'"",1))"),0.0)</f>
        <v>0</v>
      </c>
      <c r="Q51" s="19">
        <f>IFERROR(__xludf.DUMMYFUNCTION("SUM(QUERY(Entregas_BD!D:L,""select J where D='""&amp;D51&amp;""'"",1))"),0.0)</f>
        <v>0</v>
      </c>
      <c r="R51" s="24">
        <f>IFERROR(__xludf.DUMMYFUNCTION("SUM(QUERY(Entregas_BD!D:L,""select K where D='""&amp;D51&amp;""'"",1))"),0.0)</f>
        <v>0</v>
      </c>
      <c r="S51" s="24">
        <f>IFERROR(__xludf.DUMMYFUNCTION("SUM(QUERY(Entregas_BD!D:L,""select L where D='""&amp;D51&amp;""'"",1))"),0.0)</f>
        <v>0</v>
      </c>
      <c r="T51" s="19">
        <f>IFERROR(__xludf.DUMMYFUNCTION("SUM(QUERY(Entregas_BD!D:AL,""select AG where D='""&amp;D51&amp;""'"",1))"),100.0)</f>
        <v>100</v>
      </c>
      <c r="U51" s="19">
        <f>IFERROR(__xludf.DUMMYFUNCTION("SUM(QUERY(Entregas_BD!D:AL,""select AH where D='""&amp;D51&amp;""'"",1))"),0.0)</f>
        <v>0</v>
      </c>
      <c r="V51" s="19">
        <f>IFERROR(__xludf.DUMMYFUNCTION("SUM(QUERY(Entregas_BD!D:AL,""select AI where D='""&amp;D51&amp;""'"",1))"),0.0)</f>
        <v>0</v>
      </c>
      <c r="W51" s="19">
        <f>IFERROR(__xludf.DUMMYFUNCTION("SUM(QUERY(Entregas_BD!D:AL,""select AJ where D='""&amp;D51&amp;""'"",1))"),50.0)</f>
        <v>50</v>
      </c>
      <c r="X51" s="19">
        <f>IFERROR(__xludf.DUMMYFUNCTION("SUM(QUERY(Entregas_BD!D:AL,""select AL where D='""&amp;D51&amp;""'"",1))"),0.0)</f>
        <v>0</v>
      </c>
      <c r="Y51" s="19">
        <f>IFERROR(__xludf.DUMMYFUNCTION("SUM(QUERY(Entregas_BD!D:AL,""select AK where D='""&amp;D51&amp;""'"",1))"),0.0)</f>
        <v>0</v>
      </c>
      <c r="Z51" s="19">
        <v>-100.0</v>
      </c>
      <c r="AA51" s="19">
        <v>0.0</v>
      </c>
      <c r="AB51" s="19">
        <v>0.0</v>
      </c>
      <c r="AC51" s="19">
        <v>-50.0</v>
      </c>
      <c r="AD51" s="19">
        <v>0.0</v>
      </c>
      <c r="AE51" s="19">
        <v>0.0</v>
      </c>
      <c r="AF51" s="25" t="s">
        <v>195</v>
      </c>
      <c r="AG51" s="24">
        <f>IFERROR(__xludf.DUMMYFUNCTION("SUM(QUERY(Entregas_BD!D:W,""select U where D='""&amp;D51&amp;""'"",1))"),0.0)</f>
        <v>0</v>
      </c>
      <c r="AH51" s="24">
        <f>IFERROR(__xludf.DUMMYFUNCTION("SUM(QUERY(Entregas_BD!D:W,""select S where D='""&amp;D51&amp;""'"",1))"),0.0)</f>
        <v>0</v>
      </c>
      <c r="AI51" s="24">
        <f>IFERROR(__xludf.DUMMYFUNCTION("SUM(QUERY(Entregas_BD!D:W,""select T where D='""&amp;D51&amp;""'"",1))"),0.0)</f>
        <v>0</v>
      </c>
    </row>
    <row r="52" ht="19.5" customHeight="1">
      <c r="A52" s="26"/>
      <c r="B52" s="8"/>
      <c r="C52" s="9">
        <v>51.0</v>
      </c>
      <c r="D52" s="10" t="s">
        <v>196</v>
      </c>
      <c r="E52" s="10" t="s">
        <v>197</v>
      </c>
      <c r="F52" s="10" t="s">
        <v>198</v>
      </c>
      <c r="G52" s="10" t="s">
        <v>199</v>
      </c>
      <c r="H52" s="9" t="s">
        <v>40</v>
      </c>
      <c r="I52" s="11" t="s">
        <v>41</v>
      </c>
      <c r="J52" s="12"/>
      <c r="K52" s="28"/>
      <c r="L52" s="29"/>
      <c r="M52" s="36"/>
      <c r="N52" s="9">
        <f>IFERROR(__xludf.DUMMYFUNCTION("SUM(QUERY(Entregas_BD!D:L,""select G where D='""&amp;D52&amp;""'"",1))"),0.0)</f>
        <v>0</v>
      </c>
      <c r="O52" s="9">
        <f>IFERROR(__xludf.DUMMYFUNCTION("SUM(QUERY(Entregas_BD!D:L,""select H where D='""&amp;D52&amp;""'"",1))"),0.0)</f>
        <v>0</v>
      </c>
      <c r="P52" s="9">
        <f>IFERROR(__xludf.DUMMYFUNCTION("SUM(QUERY(Entregas_BD!D:L,""select I where D='""&amp;D52&amp;""'"",1))"),0.0)</f>
        <v>0</v>
      </c>
      <c r="Q52" s="9">
        <f>IFERROR(__xludf.DUMMYFUNCTION("SUM(QUERY(Entregas_BD!D:L,""select J where D='""&amp;D52&amp;""'"",1))"),0.0)</f>
        <v>0</v>
      </c>
      <c r="R52" s="15">
        <f>IFERROR(__xludf.DUMMYFUNCTION("SUM(QUERY(Entregas_BD!D:L,""select K where D='""&amp;D52&amp;""'"",1))"),0.0)</f>
        <v>0</v>
      </c>
      <c r="S52" s="15">
        <f>IFERROR(__xludf.DUMMYFUNCTION("SUM(QUERY(Entregas_BD!D:L,""select L where D='""&amp;D52&amp;""'"",1))"),0.0)</f>
        <v>0</v>
      </c>
      <c r="T52" s="9">
        <f>IFERROR(__xludf.DUMMYFUNCTION("SUM(QUERY(Entregas_BD!D:AL,""select AG where D='""&amp;D52&amp;""'"",1))"),0.0)</f>
        <v>0</v>
      </c>
      <c r="U52" s="9">
        <f>IFERROR(__xludf.DUMMYFUNCTION("SUM(QUERY(Entregas_BD!D:AL,""select AH where D='""&amp;D52&amp;""'"",1))"),0.0)</f>
        <v>0</v>
      </c>
      <c r="V52" s="9">
        <f>IFERROR(__xludf.DUMMYFUNCTION("SUM(QUERY(Entregas_BD!D:AL,""select AI where D='""&amp;D52&amp;""'"",1))"),0.0)</f>
        <v>0</v>
      </c>
      <c r="W52" s="9">
        <f>IFERROR(__xludf.DUMMYFUNCTION("SUM(QUERY(Entregas_BD!D:AL,""select AJ where D='""&amp;D52&amp;""'"",1))"),0.0)</f>
        <v>0</v>
      </c>
      <c r="X52" s="9">
        <f>IFERROR(__xludf.DUMMYFUNCTION("SUM(QUERY(Entregas_BD!D:AL,""select AL where D='""&amp;D52&amp;""'"",1))"),0.0)</f>
        <v>0</v>
      </c>
      <c r="Y52" s="9">
        <f>IFERROR(__xludf.DUMMYFUNCTION("SUM(QUERY(Entregas_BD!D:AL,""select AK where D='""&amp;D52&amp;""'"",1))"),0.0)</f>
        <v>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30" t="s">
        <v>200</v>
      </c>
      <c r="AG52" s="15">
        <f>IFERROR(__xludf.DUMMYFUNCTION("SUM(QUERY(Entregas_BD!D:W,""select U where D='""&amp;D52&amp;""'"",1))"),0.0)</f>
        <v>0</v>
      </c>
      <c r="AH52" s="15">
        <f>IFERROR(__xludf.DUMMYFUNCTION("SUM(QUERY(Entregas_BD!D:W,""select S where D='""&amp;D52&amp;""'"",1))"),0.0)</f>
        <v>0</v>
      </c>
      <c r="AI52" s="15">
        <f>IFERROR(__xludf.DUMMYFUNCTION("SUM(QUERY(Entregas_BD!D:W,""select T where D='""&amp;D52&amp;""'"",1))"),0.0)</f>
        <v>0</v>
      </c>
    </row>
    <row r="53" ht="19.5" customHeight="1">
      <c r="A53" s="17"/>
      <c r="B53" s="18"/>
      <c r="C53" s="19">
        <v>52.0</v>
      </c>
      <c r="D53" s="20" t="s">
        <v>201</v>
      </c>
      <c r="E53" s="20" t="s">
        <v>44</v>
      </c>
      <c r="F53" s="20" t="s">
        <v>45</v>
      </c>
      <c r="G53" s="20" t="s">
        <v>46</v>
      </c>
      <c r="H53" s="19" t="s">
        <v>69</v>
      </c>
      <c r="I53" s="21" t="s">
        <v>41</v>
      </c>
      <c r="J53" s="19"/>
      <c r="K53" s="22"/>
      <c r="L53" s="23"/>
      <c r="M53" s="22"/>
      <c r="N53" s="19">
        <f>IFERROR(__xludf.DUMMYFUNCTION("SUM(QUERY(Entregas_BD!D:L,""select G where D='""&amp;D53&amp;""'"",1))"),0.0)</f>
        <v>0</v>
      </c>
      <c r="O53" s="19">
        <f>IFERROR(__xludf.DUMMYFUNCTION("SUM(QUERY(Entregas_BD!D:L,""select H where D='""&amp;D53&amp;""'"",1))"),0.0)</f>
        <v>0</v>
      </c>
      <c r="P53" s="19">
        <f>IFERROR(__xludf.DUMMYFUNCTION("SUM(QUERY(Entregas_BD!D:L,""select I where D='""&amp;D53&amp;""'"",1))"),0.0)</f>
        <v>0</v>
      </c>
      <c r="Q53" s="19">
        <f>IFERROR(__xludf.DUMMYFUNCTION("SUM(QUERY(Entregas_BD!D:L,""select J where D='""&amp;D53&amp;""'"",1))"),0.0)</f>
        <v>0</v>
      </c>
      <c r="R53" s="24">
        <f>IFERROR(__xludf.DUMMYFUNCTION("SUM(QUERY(Entregas_BD!D:L,""select K where D='""&amp;D53&amp;""'"",1))"),0.0)</f>
        <v>0</v>
      </c>
      <c r="S53" s="24">
        <f>IFERROR(__xludf.DUMMYFUNCTION("SUM(QUERY(Entregas_BD!D:L,""select L where D='""&amp;D53&amp;""'"",1))"),0.0)</f>
        <v>0</v>
      </c>
      <c r="T53" s="19">
        <f>IFERROR(__xludf.DUMMYFUNCTION("SUM(QUERY(Entregas_BD!D:AL,""select AG where D='""&amp;D53&amp;""'"",1))"),20.0)</f>
        <v>20</v>
      </c>
      <c r="U53" s="19">
        <f>IFERROR(__xludf.DUMMYFUNCTION("SUM(QUERY(Entregas_BD!D:AL,""select AH where D='""&amp;D53&amp;""'"",1))"),0.0)</f>
        <v>0</v>
      </c>
      <c r="V53" s="19">
        <f>IFERROR(__xludf.DUMMYFUNCTION("SUM(QUERY(Entregas_BD!D:AL,""select AI where D='""&amp;D53&amp;""'"",1))"),0.0)</f>
        <v>0</v>
      </c>
      <c r="W53" s="19">
        <f>IFERROR(__xludf.DUMMYFUNCTION("SUM(QUERY(Entregas_BD!D:AL,""select AJ where D='""&amp;D53&amp;""'"",1))"),0.0)</f>
        <v>0</v>
      </c>
      <c r="X53" s="19">
        <f>IFERROR(__xludf.DUMMYFUNCTION("SUM(QUERY(Entregas_BD!D:AL,""select AL where D='""&amp;D53&amp;""'"",1))"),0.0)</f>
        <v>0</v>
      </c>
      <c r="Y53" s="19">
        <f>IFERROR(__xludf.DUMMYFUNCTION("SUM(QUERY(Entregas_BD!D:AL,""select AK where D='""&amp;D53&amp;""'"",1))"),0.0)</f>
        <v>0</v>
      </c>
      <c r="Z53" s="19">
        <v>-20.0</v>
      </c>
      <c r="AA53" s="19">
        <v>0.0</v>
      </c>
      <c r="AB53" s="19">
        <v>0.0</v>
      </c>
      <c r="AC53" s="19">
        <v>0.0</v>
      </c>
      <c r="AD53" s="19">
        <v>0.0</v>
      </c>
      <c r="AE53" s="19">
        <v>0.0</v>
      </c>
      <c r="AF53" s="25" t="s">
        <v>202</v>
      </c>
      <c r="AG53" s="24">
        <f>IFERROR(__xludf.DUMMYFUNCTION("SUM(QUERY(Entregas_BD!D:W,""select U where D='""&amp;D53&amp;""'"",1))"),0.0)</f>
        <v>0</v>
      </c>
      <c r="AH53" s="24">
        <f>IFERROR(__xludf.DUMMYFUNCTION("SUM(QUERY(Entregas_BD!D:W,""select S where D='""&amp;D53&amp;""'"",1))"),0.0)</f>
        <v>0</v>
      </c>
      <c r="AI53" s="24">
        <f>IFERROR(__xludf.DUMMYFUNCTION("SUM(QUERY(Entregas_BD!D:W,""select T where D='""&amp;D53&amp;""'"",1))"),0.0)</f>
        <v>0</v>
      </c>
    </row>
    <row r="54" ht="19.5" customHeight="1">
      <c r="A54" s="7"/>
      <c r="B54" s="8"/>
      <c r="C54" s="9">
        <v>53.0</v>
      </c>
      <c r="D54" s="10" t="s">
        <v>203</v>
      </c>
      <c r="E54" s="10" t="s">
        <v>63</v>
      </c>
      <c r="F54" s="10" t="s">
        <v>139</v>
      </c>
      <c r="G54" s="10" t="s">
        <v>204</v>
      </c>
      <c r="H54" s="9" t="s">
        <v>51</v>
      </c>
      <c r="I54" s="11" t="s">
        <v>41</v>
      </c>
      <c r="J54" s="12"/>
      <c r="K54" s="28"/>
      <c r="L54" s="29"/>
      <c r="M54" s="28"/>
      <c r="N54" s="9">
        <f>IFERROR(__xludf.DUMMYFUNCTION("SUM(QUERY(Entregas_BD!D:L,""select G where D='""&amp;D54&amp;""'"",1))"),0.0)</f>
        <v>0</v>
      </c>
      <c r="O54" s="9">
        <f>IFERROR(__xludf.DUMMYFUNCTION("SUM(QUERY(Entregas_BD!D:L,""select H where D='""&amp;D54&amp;""'"",1))"),0.0)</f>
        <v>0</v>
      </c>
      <c r="P54" s="9">
        <f>IFERROR(__xludf.DUMMYFUNCTION("SUM(QUERY(Entregas_BD!D:L,""select I where D='""&amp;D54&amp;""'"",1))"),0.0)</f>
        <v>0</v>
      </c>
      <c r="Q54" s="9">
        <f>IFERROR(__xludf.DUMMYFUNCTION("SUM(QUERY(Entregas_BD!D:L,""select J where D='""&amp;D54&amp;""'"",1))"),0.0)</f>
        <v>0</v>
      </c>
      <c r="R54" s="15">
        <f>IFERROR(__xludf.DUMMYFUNCTION("SUM(QUERY(Entregas_BD!D:L,""select K where D='""&amp;D54&amp;""'"",1))"),0.0)</f>
        <v>0</v>
      </c>
      <c r="S54" s="15">
        <f>IFERROR(__xludf.DUMMYFUNCTION("SUM(QUERY(Entregas_BD!D:L,""select L where D='""&amp;D54&amp;""'"",1))"),0.0)</f>
        <v>0</v>
      </c>
      <c r="T54" s="9">
        <f>IFERROR(__xludf.DUMMYFUNCTION("SUM(QUERY(Entregas_BD!D:AL,""select AG where D='""&amp;D54&amp;""'"",1))"),100.0)</f>
        <v>100</v>
      </c>
      <c r="U54" s="9">
        <f>IFERROR(__xludf.DUMMYFUNCTION("SUM(QUERY(Entregas_BD!D:AL,""select AH where D='""&amp;D54&amp;""'"",1))"),0.0)</f>
        <v>0</v>
      </c>
      <c r="V54" s="9">
        <f>IFERROR(__xludf.DUMMYFUNCTION("SUM(QUERY(Entregas_BD!D:AL,""select AI where D='""&amp;D54&amp;""'"",1))"),0.0)</f>
        <v>0</v>
      </c>
      <c r="W54" s="9">
        <f>IFERROR(__xludf.DUMMYFUNCTION("SUM(QUERY(Entregas_BD!D:AL,""select AJ where D='""&amp;D54&amp;""'"",1))"),0.0)</f>
        <v>0</v>
      </c>
      <c r="X54" s="9">
        <f>IFERROR(__xludf.DUMMYFUNCTION("SUM(QUERY(Entregas_BD!D:AL,""select AL where D='""&amp;D54&amp;""'"",1))"),0.0)</f>
        <v>0</v>
      </c>
      <c r="Y54" s="9">
        <f>IFERROR(__xludf.DUMMYFUNCTION("SUM(QUERY(Entregas_BD!D:AL,""select AK where D='""&amp;D54&amp;""'"",1))"),0.0)</f>
        <v>0</v>
      </c>
      <c r="Z54" s="9">
        <v>-100.0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30" t="s">
        <v>205</v>
      </c>
      <c r="AG54" s="15">
        <f>IFERROR(__xludf.DUMMYFUNCTION("SUM(QUERY(Entregas_BD!D:W,""select U where D='""&amp;D54&amp;""'"",1))"),0.0)</f>
        <v>0</v>
      </c>
      <c r="AH54" s="15">
        <f>IFERROR(__xludf.DUMMYFUNCTION("SUM(QUERY(Entregas_BD!D:W,""select S where D='""&amp;D54&amp;""'"",1))"),0.0)</f>
        <v>0</v>
      </c>
      <c r="AI54" s="15">
        <f>IFERROR(__xludf.DUMMYFUNCTION("SUM(QUERY(Entregas_BD!D:W,""select T where D='""&amp;D54&amp;""'"",1))"),0.0)</f>
        <v>0</v>
      </c>
    </row>
    <row r="55" ht="19.5" customHeight="1">
      <c r="A55" s="31"/>
      <c r="B55" s="32"/>
      <c r="C55" s="19">
        <v>54.0</v>
      </c>
      <c r="D55" s="20" t="s">
        <v>206</v>
      </c>
      <c r="E55" s="20" t="s">
        <v>153</v>
      </c>
      <c r="F55" s="20" t="s">
        <v>207</v>
      </c>
      <c r="G55" s="20" t="s">
        <v>149</v>
      </c>
      <c r="H55" s="34" t="s">
        <v>40</v>
      </c>
      <c r="I55" s="21" t="s">
        <v>41</v>
      </c>
      <c r="J55" s="34"/>
      <c r="K55" s="22"/>
      <c r="L55" s="23"/>
      <c r="M55" s="41"/>
      <c r="N55" s="19">
        <f>IFERROR(__xludf.DUMMYFUNCTION("SUM(QUERY(Entregas_BD!D:L,""select G where D='""&amp;D55&amp;""'"",1))"),0.0)</f>
        <v>0</v>
      </c>
      <c r="O55" s="19">
        <f>IFERROR(__xludf.DUMMYFUNCTION("SUM(QUERY(Entregas_BD!D:L,""select H where D='""&amp;D55&amp;""'"",1))"),0.0)</f>
        <v>0</v>
      </c>
      <c r="P55" s="19">
        <f>IFERROR(__xludf.DUMMYFUNCTION("SUM(QUERY(Entregas_BD!D:L,""select I where D='""&amp;D55&amp;""'"",1))"),0.0)</f>
        <v>0</v>
      </c>
      <c r="Q55" s="19">
        <f>IFERROR(__xludf.DUMMYFUNCTION("SUM(QUERY(Entregas_BD!D:L,""select J where D='""&amp;D55&amp;""'"",1))"),0.0)</f>
        <v>0</v>
      </c>
      <c r="R55" s="24">
        <f>IFERROR(__xludf.DUMMYFUNCTION("SUM(QUERY(Entregas_BD!D:L,""select K where D='""&amp;D55&amp;""'"",1))"),0.0)</f>
        <v>0</v>
      </c>
      <c r="S55" s="24">
        <f>IFERROR(__xludf.DUMMYFUNCTION("SUM(QUERY(Entregas_BD!D:L,""select L where D='""&amp;D55&amp;""'"",1))"),0.0)</f>
        <v>0</v>
      </c>
      <c r="T55" s="19">
        <f>IFERROR(__xludf.DUMMYFUNCTION("SUM(QUERY(Entregas_BD!D:AL,""select AG where D='""&amp;D55&amp;""'"",1))"),0.0)</f>
        <v>0</v>
      </c>
      <c r="U55" s="19">
        <f>IFERROR(__xludf.DUMMYFUNCTION("SUM(QUERY(Entregas_BD!D:AL,""select AH where D='""&amp;D55&amp;""'"",1))"),0.0)</f>
        <v>0</v>
      </c>
      <c r="V55" s="19">
        <f>IFERROR(__xludf.DUMMYFUNCTION("SUM(QUERY(Entregas_BD!D:AL,""select AI where D='""&amp;D55&amp;""'"",1))"),0.0)</f>
        <v>0</v>
      </c>
      <c r="W55" s="19">
        <f>IFERROR(__xludf.DUMMYFUNCTION("SUM(QUERY(Entregas_BD!D:AL,""select AJ where D='""&amp;D55&amp;""'"",1))"),0.0)</f>
        <v>0</v>
      </c>
      <c r="X55" s="19">
        <f>IFERROR(__xludf.DUMMYFUNCTION("SUM(QUERY(Entregas_BD!D:AL,""select AL where D='""&amp;D55&amp;""'"",1))"),0.0)</f>
        <v>0</v>
      </c>
      <c r="Y55" s="19">
        <f>IFERROR(__xludf.DUMMYFUNCTION("SUM(QUERY(Entregas_BD!D:AL,""select AK where D='""&amp;D55&amp;""'"",1))"),0.0)</f>
        <v>0</v>
      </c>
      <c r="Z55" s="19">
        <v>0.0</v>
      </c>
      <c r="AA55" s="19">
        <v>0.0</v>
      </c>
      <c r="AB55" s="19">
        <v>0.0</v>
      </c>
      <c r="AC55" s="19">
        <v>0.0</v>
      </c>
      <c r="AD55" s="19">
        <v>0.0</v>
      </c>
      <c r="AE55" s="19">
        <v>0.0</v>
      </c>
      <c r="AF55" s="35" t="s">
        <v>208</v>
      </c>
      <c r="AG55" s="24">
        <f>IFERROR(__xludf.DUMMYFUNCTION("SUM(QUERY(Entregas_BD!D:W,""select U where D='""&amp;D55&amp;""'"",1))"),0.0)</f>
        <v>0</v>
      </c>
      <c r="AH55" s="24">
        <f>IFERROR(__xludf.DUMMYFUNCTION("SUM(QUERY(Entregas_BD!D:W,""select S where D='""&amp;D55&amp;""'"",1))"),0.0)</f>
        <v>0</v>
      </c>
      <c r="AI55" s="24">
        <f>IFERROR(__xludf.DUMMYFUNCTION("SUM(QUERY(Entregas_BD!D:W,""select T where D='""&amp;D55&amp;""'"",1))"),0.0)</f>
        <v>0</v>
      </c>
    </row>
    <row r="56" ht="19.5" customHeight="1">
      <c r="A56" s="7"/>
      <c r="B56" s="8"/>
      <c r="C56" s="9">
        <v>55.0</v>
      </c>
      <c r="D56" s="10" t="s">
        <v>209</v>
      </c>
      <c r="E56" s="10" t="s">
        <v>58</v>
      </c>
      <c r="F56" s="10" t="s">
        <v>45</v>
      </c>
      <c r="G56" s="10" t="s">
        <v>136</v>
      </c>
      <c r="H56" s="9" t="s">
        <v>51</v>
      </c>
      <c r="I56" s="11" t="s">
        <v>47</v>
      </c>
      <c r="J56" s="9"/>
      <c r="K56" s="28"/>
      <c r="L56" s="29"/>
      <c r="M56" s="28"/>
      <c r="N56" s="9">
        <f>IFERROR(__xludf.DUMMYFUNCTION("SUM(QUERY(Entregas_BD!D:L,""select G where D='""&amp;D56&amp;""'"",1))"),0.0)</f>
        <v>0</v>
      </c>
      <c r="O56" s="9">
        <f>IFERROR(__xludf.DUMMYFUNCTION("SUM(QUERY(Entregas_BD!D:L,""select H where D='""&amp;D56&amp;""'"",1))"),0.0)</f>
        <v>0</v>
      </c>
      <c r="P56" s="9">
        <f>IFERROR(__xludf.DUMMYFUNCTION("SUM(QUERY(Entregas_BD!D:L,""select I where D='""&amp;D56&amp;""'"",1))"),0.0)</f>
        <v>0</v>
      </c>
      <c r="Q56" s="9">
        <f>IFERROR(__xludf.DUMMYFUNCTION("SUM(QUERY(Entregas_BD!D:L,""select J where D='""&amp;D56&amp;""'"",1))"),0.0)</f>
        <v>0</v>
      </c>
      <c r="R56" s="15">
        <f>IFERROR(__xludf.DUMMYFUNCTION("SUM(QUERY(Entregas_BD!D:L,""select K where D='""&amp;D56&amp;""'"",1))"),0.0)</f>
        <v>0</v>
      </c>
      <c r="S56" s="15">
        <f>IFERROR(__xludf.DUMMYFUNCTION("SUM(QUERY(Entregas_BD!D:L,""select L where D='""&amp;D56&amp;""'"",1))"),0.0)</f>
        <v>0</v>
      </c>
      <c r="T56" s="9">
        <f>IFERROR(__xludf.DUMMYFUNCTION("SUM(QUERY(Entregas_BD!D:AL,""select AG where D='""&amp;D56&amp;""'"",1))"),0.0)</f>
        <v>0</v>
      </c>
      <c r="U56" s="9">
        <f>IFERROR(__xludf.DUMMYFUNCTION("SUM(QUERY(Entregas_BD!D:AL,""select AH where D='""&amp;D56&amp;""'"",1))"),0.0)</f>
        <v>0</v>
      </c>
      <c r="V56" s="9">
        <f>IFERROR(__xludf.DUMMYFUNCTION("SUM(QUERY(Entregas_BD!D:AL,""select AI where D='""&amp;D56&amp;""'"",1))"),0.0)</f>
        <v>0</v>
      </c>
      <c r="W56" s="9">
        <f>IFERROR(__xludf.DUMMYFUNCTION("SUM(QUERY(Entregas_BD!D:AL,""select AJ where D='""&amp;D56&amp;""'"",1))"),0.0)</f>
        <v>0</v>
      </c>
      <c r="X56" s="9">
        <f>IFERROR(__xludf.DUMMYFUNCTION("SUM(QUERY(Entregas_BD!D:AL,""select AL where D='""&amp;D56&amp;""'"",1))"),0.0)</f>
        <v>0</v>
      </c>
      <c r="Y56" s="9">
        <f>IFERROR(__xludf.DUMMYFUNCTION("SUM(QUERY(Entregas_BD!D:AL,""select AK where D='""&amp;D56&amp;""'"",1))"),0.0)</f>
        <v>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30" t="s">
        <v>210</v>
      </c>
      <c r="AG56" s="15">
        <f>IFERROR(__xludf.DUMMYFUNCTION("SUM(QUERY(Entregas_BD!D:W,""select U where D='""&amp;D56&amp;""'"",1))"),0.0)</f>
        <v>0</v>
      </c>
      <c r="AH56" s="15">
        <f>IFERROR(__xludf.DUMMYFUNCTION("SUM(QUERY(Entregas_BD!D:W,""select S where D='""&amp;D56&amp;""'"",1))"),0.0)</f>
        <v>0</v>
      </c>
      <c r="AI56" s="15">
        <f>IFERROR(__xludf.DUMMYFUNCTION("SUM(QUERY(Entregas_BD!D:W,""select T where D='""&amp;D56&amp;""'"",1))"),0.0)</f>
        <v>0</v>
      </c>
    </row>
    <row r="57" ht="19.5" customHeight="1">
      <c r="A57" s="31"/>
      <c r="B57" s="32"/>
      <c r="C57" s="19">
        <v>56.0</v>
      </c>
      <c r="D57" s="20" t="s">
        <v>211</v>
      </c>
      <c r="E57" s="20" t="s">
        <v>72</v>
      </c>
      <c r="F57" s="20" t="s">
        <v>45</v>
      </c>
      <c r="G57" s="20" t="s">
        <v>212</v>
      </c>
      <c r="H57" s="19" t="s">
        <v>51</v>
      </c>
      <c r="I57" s="21" t="s">
        <v>41</v>
      </c>
      <c r="J57" s="34"/>
      <c r="K57" s="22"/>
      <c r="L57" s="23"/>
      <c r="M57" s="22"/>
      <c r="N57" s="19">
        <f>IFERROR(__xludf.DUMMYFUNCTION("SUM(QUERY(Entregas_BD!D:L,""select G where D='""&amp;D57&amp;""'"",1))"),0.0)</f>
        <v>0</v>
      </c>
      <c r="O57" s="19">
        <f>IFERROR(__xludf.DUMMYFUNCTION("SUM(QUERY(Entregas_BD!D:L,""select H where D='""&amp;D57&amp;""'"",1))"),0.0)</f>
        <v>0</v>
      </c>
      <c r="P57" s="19">
        <f>IFERROR(__xludf.DUMMYFUNCTION("SUM(QUERY(Entregas_BD!D:L,""select I where D='""&amp;D57&amp;""'"",1))"),0.0)</f>
        <v>0</v>
      </c>
      <c r="Q57" s="19">
        <f>IFERROR(__xludf.DUMMYFUNCTION("SUM(QUERY(Entregas_BD!D:L,""select J where D='""&amp;D57&amp;""'"",1))"),0.0)</f>
        <v>0</v>
      </c>
      <c r="R57" s="24">
        <f>IFERROR(__xludf.DUMMYFUNCTION("SUM(QUERY(Entregas_BD!D:L,""select K where D='""&amp;D57&amp;""'"",1))"),0.0)</f>
        <v>0</v>
      </c>
      <c r="S57" s="24">
        <f>IFERROR(__xludf.DUMMYFUNCTION("SUM(QUERY(Entregas_BD!D:L,""select L where D='""&amp;D57&amp;""'"",1))"),0.0)</f>
        <v>0</v>
      </c>
      <c r="T57" s="19">
        <f>IFERROR(__xludf.DUMMYFUNCTION("SUM(QUERY(Entregas_BD!D:AL,""select AG where D='""&amp;D57&amp;""'"",1))"),100.0)</f>
        <v>100</v>
      </c>
      <c r="U57" s="19">
        <f>IFERROR(__xludf.DUMMYFUNCTION("SUM(QUERY(Entregas_BD!D:AL,""select AH where D='""&amp;D57&amp;""'"",1))"),0.0)</f>
        <v>0</v>
      </c>
      <c r="V57" s="19">
        <f>IFERROR(__xludf.DUMMYFUNCTION("SUM(QUERY(Entregas_BD!D:AL,""select AI where D='""&amp;D57&amp;""'"",1))"),0.0)</f>
        <v>0</v>
      </c>
      <c r="W57" s="19">
        <f>IFERROR(__xludf.DUMMYFUNCTION("SUM(QUERY(Entregas_BD!D:AL,""select AJ where D='""&amp;D57&amp;""'"",1))"),0.0)</f>
        <v>0</v>
      </c>
      <c r="X57" s="19">
        <f>IFERROR(__xludf.DUMMYFUNCTION("SUM(QUERY(Entregas_BD!D:AL,""select AL where D='""&amp;D57&amp;""'"",1))"),0.0)</f>
        <v>0</v>
      </c>
      <c r="Y57" s="19">
        <f>IFERROR(__xludf.DUMMYFUNCTION("SUM(QUERY(Entregas_BD!D:AL,""select AK where D='""&amp;D57&amp;""'"",1))"),0.0)</f>
        <v>0</v>
      </c>
      <c r="Z57" s="19">
        <v>-100.0</v>
      </c>
      <c r="AA57" s="19">
        <v>0.0</v>
      </c>
      <c r="AB57" s="19">
        <v>0.0</v>
      </c>
      <c r="AC57" s="19">
        <v>0.0</v>
      </c>
      <c r="AD57" s="19">
        <v>0.0</v>
      </c>
      <c r="AE57" s="19">
        <v>0.0</v>
      </c>
      <c r="AF57" s="25" t="s">
        <v>213</v>
      </c>
      <c r="AG57" s="24">
        <f>IFERROR(__xludf.DUMMYFUNCTION("SUM(QUERY(Entregas_BD!D:W,""select U where D='""&amp;D57&amp;""'"",1))"),0.0)</f>
        <v>0</v>
      </c>
      <c r="AH57" s="24">
        <f>IFERROR(__xludf.DUMMYFUNCTION("SUM(QUERY(Entregas_BD!D:W,""select S where D='""&amp;D57&amp;""'"",1))"),0.0)</f>
        <v>0</v>
      </c>
      <c r="AI57" s="24">
        <f>IFERROR(__xludf.DUMMYFUNCTION("SUM(QUERY(Entregas_BD!D:W,""select T where D='""&amp;D57&amp;""'"",1))"),0.0)</f>
        <v>0</v>
      </c>
    </row>
    <row r="58" ht="19.5" customHeight="1">
      <c r="A58" s="7"/>
      <c r="B58" s="8"/>
      <c r="C58" s="9">
        <v>57.0</v>
      </c>
      <c r="D58" s="10" t="s">
        <v>214</v>
      </c>
      <c r="E58" s="10" t="s">
        <v>72</v>
      </c>
      <c r="F58" s="10" t="s">
        <v>45</v>
      </c>
      <c r="G58" s="10" t="s">
        <v>215</v>
      </c>
      <c r="H58" s="9" t="s">
        <v>51</v>
      </c>
      <c r="I58" s="11" t="s">
        <v>41</v>
      </c>
      <c r="J58" s="12"/>
      <c r="K58" s="28"/>
      <c r="L58" s="29"/>
      <c r="M58" s="28"/>
      <c r="N58" s="9">
        <f>IFERROR(__xludf.DUMMYFUNCTION("SUM(QUERY(Entregas_BD!D:L,""select G where D='""&amp;D58&amp;""'"",1))"),0.0)</f>
        <v>0</v>
      </c>
      <c r="O58" s="9">
        <f>IFERROR(__xludf.DUMMYFUNCTION("SUM(QUERY(Entregas_BD!D:L,""select H where D='""&amp;D58&amp;""'"",1))"),0.0)</f>
        <v>0</v>
      </c>
      <c r="P58" s="9">
        <f>IFERROR(__xludf.DUMMYFUNCTION("SUM(QUERY(Entregas_BD!D:L,""select I where D='""&amp;D58&amp;""'"",1))"),0.0)</f>
        <v>0</v>
      </c>
      <c r="Q58" s="9">
        <f>IFERROR(__xludf.DUMMYFUNCTION("SUM(QUERY(Entregas_BD!D:L,""select J where D='""&amp;D58&amp;""'"",1))"),0.0)</f>
        <v>0</v>
      </c>
      <c r="R58" s="15">
        <f>IFERROR(__xludf.DUMMYFUNCTION("SUM(QUERY(Entregas_BD!D:L,""select K where D='""&amp;D58&amp;""'"",1))"),0.0)</f>
        <v>0</v>
      </c>
      <c r="S58" s="15">
        <f>IFERROR(__xludf.DUMMYFUNCTION("SUM(QUERY(Entregas_BD!D:L,""select L where D='""&amp;D58&amp;""'"",1))"),0.0)</f>
        <v>0</v>
      </c>
      <c r="T58" s="9">
        <f>IFERROR(__xludf.DUMMYFUNCTION("SUM(QUERY(Entregas_BD!D:AL,""select AG where D='""&amp;D58&amp;""'"",1))"),50.0)</f>
        <v>50</v>
      </c>
      <c r="U58" s="9">
        <f>IFERROR(__xludf.DUMMYFUNCTION("SUM(QUERY(Entregas_BD!D:AL,""select AH where D='""&amp;D58&amp;""'"",1))"),0.0)</f>
        <v>0</v>
      </c>
      <c r="V58" s="9">
        <f>IFERROR(__xludf.DUMMYFUNCTION("SUM(QUERY(Entregas_BD!D:AL,""select AI where D='""&amp;D58&amp;""'"",1))"),0.0)</f>
        <v>0</v>
      </c>
      <c r="W58" s="9">
        <f>IFERROR(__xludf.DUMMYFUNCTION("SUM(QUERY(Entregas_BD!D:AL,""select AJ where D='""&amp;D58&amp;""'"",1))"),0.0)</f>
        <v>0</v>
      </c>
      <c r="X58" s="9">
        <f>IFERROR(__xludf.DUMMYFUNCTION("SUM(QUERY(Entregas_BD!D:AL,""select AL where D='""&amp;D58&amp;""'"",1))"),0.0)</f>
        <v>0</v>
      </c>
      <c r="Y58" s="9">
        <f>IFERROR(__xludf.DUMMYFUNCTION("SUM(QUERY(Entregas_BD!D:AL,""select AK where D='""&amp;D58&amp;""'"",1))"),0.0)</f>
        <v>0</v>
      </c>
      <c r="Z58" s="9">
        <v>-50.0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30" t="s">
        <v>216</v>
      </c>
      <c r="AG58" s="15">
        <f>IFERROR(__xludf.DUMMYFUNCTION("SUM(QUERY(Entregas_BD!D:W,""select U where D='""&amp;D58&amp;""'"",1))"),0.0)</f>
        <v>0</v>
      </c>
      <c r="AH58" s="15">
        <f>IFERROR(__xludf.DUMMYFUNCTION("SUM(QUERY(Entregas_BD!D:W,""select S where D='""&amp;D58&amp;""'"",1))"),0.0)</f>
        <v>0</v>
      </c>
      <c r="AI58" s="15">
        <f>IFERROR(__xludf.DUMMYFUNCTION("SUM(QUERY(Entregas_BD!D:W,""select T where D='""&amp;D58&amp;""'"",1))"),0.0)</f>
        <v>0</v>
      </c>
    </row>
    <row r="59" ht="19.5" customHeight="1">
      <c r="A59" s="31"/>
      <c r="B59" s="32"/>
      <c r="C59" s="19">
        <v>58.0</v>
      </c>
      <c r="D59" s="20" t="s">
        <v>217</v>
      </c>
      <c r="E59" s="20" t="s">
        <v>58</v>
      </c>
      <c r="F59" s="20" t="s">
        <v>45</v>
      </c>
      <c r="G59" s="20" t="s">
        <v>218</v>
      </c>
      <c r="H59" s="19" t="s">
        <v>51</v>
      </c>
      <c r="I59" s="21" t="s">
        <v>41</v>
      </c>
      <c r="J59" s="19"/>
      <c r="K59" s="22"/>
      <c r="L59" s="23"/>
      <c r="M59" s="22"/>
      <c r="N59" s="19">
        <f>IFERROR(__xludf.DUMMYFUNCTION("SUM(QUERY(Entregas_BD!D:L,""select G where D='""&amp;D59&amp;""'"",1))"),0.0)</f>
        <v>0</v>
      </c>
      <c r="O59" s="19">
        <f>IFERROR(__xludf.DUMMYFUNCTION("SUM(QUERY(Entregas_BD!D:L,""select H where D='""&amp;D59&amp;""'"",1))"),0.0)</f>
        <v>0</v>
      </c>
      <c r="P59" s="19">
        <f>IFERROR(__xludf.DUMMYFUNCTION("SUM(QUERY(Entregas_BD!D:L,""select I where D='""&amp;D59&amp;""'"",1))"),0.0)</f>
        <v>0</v>
      </c>
      <c r="Q59" s="19">
        <f>IFERROR(__xludf.DUMMYFUNCTION("SUM(QUERY(Entregas_BD!D:L,""select J where D='""&amp;D59&amp;""'"",1))"),0.0)</f>
        <v>0</v>
      </c>
      <c r="R59" s="24">
        <f>IFERROR(__xludf.DUMMYFUNCTION("SUM(QUERY(Entregas_BD!D:L,""select K where D='""&amp;D59&amp;""'"",1))"),0.0)</f>
        <v>0</v>
      </c>
      <c r="S59" s="24">
        <f>IFERROR(__xludf.DUMMYFUNCTION("SUM(QUERY(Entregas_BD!D:L,""select L where D='""&amp;D59&amp;""'"",1))"),0.0)</f>
        <v>0</v>
      </c>
      <c r="T59" s="19">
        <f>IFERROR(__xludf.DUMMYFUNCTION("SUM(QUERY(Entregas_BD!D:AL,""select AG where D='""&amp;D59&amp;""'"",1))"),100.0)</f>
        <v>100</v>
      </c>
      <c r="U59" s="19">
        <f>IFERROR(__xludf.DUMMYFUNCTION("SUM(QUERY(Entregas_BD!D:AL,""select AH where D='""&amp;D59&amp;""'"",1))"),0.0)</f>
        <v>0</v>
      </c>
      <c r="V59" s="19">
        <f>IFERROR(__xludf.DUMMYFUNCTION("SUM(QUERY(Entregas_BD!D:AL,""select AI where D='""&amp;D59&amp;""'"",1))"),0.0)</f>
        <v>0</v>
      </c>
      <c r="W59" s="19">
        <f>IFERROR(__xludf.DUMMYFUNCTION("SUM(QUERY(Entregas_BD!D:AL,""select AJ where D='""&amp;D59&amp;""'"",1))"),0.0)</f>
        <v>0</v>
      </c>
      <c r="X59" s="19">
        <f>IFERROR(__xludf.DUMMYFUNCTION("SUM(QUERY(Entregas_BD!D:AL,""select AL where D='""&amp;D59&amp;""'"",1))"),0.0)</f>
        <v>0</v>
      </c>
      <c r="Y59" s="19">
        <f>IFERROR(__xludf.DUMMYFUNCTION("SUM(QUERY(Entregas_BD!D:AL,""select AK where D='""&amp;D59&amp;""'"",1))"),0.0)</f>
        <v>0</v>
      </c>
      <c r="Z59" s="19">
        <v>-100.0</v>
      </c>
      <c r="AA59" s="19">
        <v>0.0</v>
      </c>
      <c r="AB59" s="19">
        <v>0.0</v>
      </c>
      <c r="AC59" s="19">
        <v>0.0</v>
      </c>
      <c r="AD59" s="19">
        <v>0.0</v>
      </c>
      <c r="AE59" s="19">
        <v>0.0</v>
      </c>
      <c r="AF59" s="25" t="s">
        <v>219</v>
      </c>
      <c r="AG59" s="24">
        <f>IFERROR(__xludf.DUMMYFUNCTION("SUM(QUERY(Entregas_BD!D:W,""select U where D='""&amp;D59&amp;""'"",1))"),0.0)</f>
        <v>0</v>
      </c>
      <c r="AH59" s="24">
        <f>IFERROR(__xludf.DUMMYFUNCTION("SUM(QUERY(Entregas_BD!D:W,""select S where D='""&amp;D59&amp;""'"",1))"),0.0)</f>
        <v>0</v>
      </c>
      <c r="AI59" s="24">
        <f>IFERROR(__xludf.DUMMYFUNCTION("SUM(QUERY(Entregas_BD!D:W,""select T where D='""&amp;D59&amp;""'"",1))"),0.0)</f>
        <v>0</v>
      </c>
    </row>
    <row r="60" ht="19.5" customHeight="1">
      <c r="A60" s="7"/>
      <c r="B60" s="8"/>
      <c r="C60" s="9">
        <v>59.0</v>
      </c>
      <c r="D60" s="10" t="s">
        <v>220</v>
      </c>
      <c r="E60" s="10" t="s">
        <v>58</v>
      </c>
      <c r="F60" s="10" t="s">
        <v>45</v>
      </c>
      <c r="G60" s="10" t="s">
        <v>218</v>
      </c>
      <c r="H60" s="9" t="s">
        <v>51</v>
      </c>
      <c r="I60" s="11" t="s">
        <v>41</v>
      </c>
      <c r="J60" s="9"/>
      <c r="K60" s="28"/>
      <c r="L60" s="29"/>
      <c r="M60" s="28"/>
      <c r="N60" s="9">
        <f>IFERROR(__xludf.DUMMYFUNCTION("SUM(QUERY(Entregas_BD!D:L,""select G where D='""&amp;D60&amp;""'"",1))"),0.0)</f>
        <v>0</v>
      </c>
      <c r="O60" s="9">
        <f>IFERROR(__xludf.DUMMYFUNCTION("SUM(QUERY(Entregas_BD!D:L,""select H where D='""&amp;D60&amp;""'"",1))"),0.0)</f>
        <v>0</v>
      </c>
      <c r="P60" s="9">
        <f>IFERROR(__xludf.DUMMYFUNCTION("SUM(QUERY(Entregas_BD!D:L,""select I where D='""&amp;D60&amp;""'"",1))"),0.0)</f>
        <v>0</v>
      </c>
      <c r="Q60" s="9">
        <f>IFERROR(__xludf.DUMMYFUNCTION("SUM(QUERY(Entregas_BD!D:L,""select J where D='""&amp;D60&amp;""'"",1))"),0.0)</f>
        <v>0</v>
      </c>
      <c r="R60" s="15">
        <f>IFERROR(__xludf.DUMMYFUNCTION("SUM(QUERY(Entregas_BD!D:L,""select K where D='""&amp;D60&amp;""'"",1))"),0.0)</f>
        <v>0</v>
      </c>
      <c r="S60" s="15">
        <f>IFERROR(__xludf.DUMMYFUNCTION("SUM(QUERY(Entregas_BD!D:L,""select L where D='""&amp;D60&amp;""'"",1))"),0.0)</f>
        <v>0</v>
      </c>
      <c r="T60" s="9">
        <f>IFERROR(__xludf.DUMMYFUNCTION("SUM(QUERY(Entregas_BD!D:AL,""select AG where D='""&amp;D60&amp;""'"",1))"),50.0)</f>
        <v>50</v>
      </c>
      <c r="U60" s="9">
        <f>IFERROR(__xludf.DUMMYFUNCTION("SUM(QUERY(Entregas_BD!D:AL,""select AH where D='""&amp;D60&amp;""'"",1))"),0.0)</f>
        <v>0</v>
      </c>
      <c r="V60" s="9">
        <f>IFERROR(__xludf.DUMMYFUNCTION("SUM(QUERY(Entregas_BD!D:AL,""select AI where D='""&amp;D60&amp;""'"",1))"),0.0)</f>
        <v>0</v>
      </c>
      <c r="W60" s="9">
        <f>IFERROR(__xludf.DUMMYFUNCTION("SUM(QUERY(Entregas_BD!D:AL,""select AJ where D='""&amp;D60&amp;""'"",1))"),0.0)</f>
        <v>0</v>
      </c>
      <c r="X60" s="9">
        <f>IFERROR(__xludf.DUMMYFUNCTION("SUM(QUERY(Entregas_BD!D:AL,""select AL where D='""&amp;D60&amp;""'"",1))"),0.0)</f>
        <v>0</v>
      </c>
      <c r="Y60" s="9">
        <f>IFERROR(__xludf.DUMMYFUNCTION("SUM(QUERY(Entregas_BD!D:AL,""select AK where D='""&amp;D60&amp;""'"",1))"),0.0)</f>
        <v>0</v>
      </c>
      <c r="Z60" s="9">
        <v>-50.0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30" t="s">
        <v>221</v>
      </c>
      <c r="AG60" s="15">
        <f>IFERROR(__xludf.DUMMYFUNCTION("SUM(QUERY(Entregas_BD!D:W,""select U where D='""&amp;D60&amp;""'"",1))"),0.0)</f>
        <v>0</v>
      </c>
      <c r="AH60" s="15">
        <f>IFERROR(__xludf.DUMMYFUNCTION("SUM(QUERY(Entregas_BD!D:W,""select S where D='""&amp;D60&amp;""'"",1))"),0.0)</f>
        <v>0</v>
      </c>
      <c r="AI60" s="15">
        <f>IFERROR(__xludf.DUMMYFUNCTION("SUM(QUERY(Entregas_BD!D:W,""select T where D='""&amp;D60&amp;""'"",1))"),0.0)</f>
        <v>0</v>
      </c>
    </row>
    <row r="61" ht="19.5" customHeight="1">
      <c r="A61" s="31"/>
      <c r="B61" s="32"/>
      <c r="C61" s="19">
        <v>60.0</v>
      </c>
      <c r="D61" s="20" t="s">
        <v>222</v>
      </c>
      <c r="E61" s="20" t="s">
        <v>153</v>
      </c>
      <c r="F61" s="20" t="s">
        <v>223</v>
      </c>
      <c r="G61" s="20" t="s">
        <v>224</v>
      </c>
      <c r="H61" s="34" t="s">
        <v>40</v>
      </c>
      <c r="I61" s="21" t="s">
        <v>41</v>
      </c>
      <c r="J61" s="34"/>
      <c r="K61" s="22"/>
      <c r="L61" s="23"/>
      <c r="M61" s="41"/>
      <c r="N61" s="19">
        <f>IFERROR(__xludf.DUMMYFUNCTION("SUM(QUERY(Entregas_BD!D:L,""select G where D='""&amp;D61&amp;""'"",1))"),0.0)</f>
        <v>0</v>
      </c>
      <c r="O61" s="19">
        <f>IFERROR(__xludf.DUMMYFUNCTION("SUM(QUERY(Entregas_BD!D:L,""select H where D='""&amp;D61&amp;""'"",1))"),0.0)</f>
        <v>0</v>
      </c>
      <c r="P61" s="19">
        <f>IFERROR(__xludf.DUMMYFUNCTION("SUM(QUERY(Entregas_BD!D:L,""select I where D='""&amp;D61&amp;""'"",1))"),0.0)</f>
        <v>0</v>
      </c>
      <c r="Q61" s="19">
        <f>IFERROR(__xludf.DUMMYFUNCTION("SUM(QUERY(Entregas_BD!D:L,""select J where D='""&amp;D61&amp;""'"",1))"),0.0)</f>
        <v>0</v>
      </c>
      <c r="R61" s="24">
        <f>IFERROR(__xludf.DUMMYFUNCTION("SUM(QUERY(Entregas_BD!D:L,""select K where D='""&amp;D61&amp;""'"",1))"),0.0)</f>
        <v>0</v>
      </c>
      <c r="S61" s="24">
        <f>IFERROR(__xludf.DUMMYFUNCTION("SUM(QUERY(Entregas_BD!D:L,""select L where D='""&amp;D61&amp;""'"",1))"),0.0)</f>
        <v>0</v>
      </c>
      <c r="T61" s="19">
        <f>IFERROR(__xludf.DUMMYFUNCTION("SUM(QUERY(Entregas_BD!D:AL,""select AG where D='""&amp;D61&amp;""'"",1))"),0.0)</f>
        <v>0</v>
      </c>
      <c r="U61" s="19">
        <f>IFERROR(__xludf.DUMMYFUNCTION("SUM(QUERY(Entregas_BD!D:AL,""select AH where D='""&amp;D61&amp;""'"",1))"),0.0)</f>
        <v>0</v>
      </c>
      <c r="V61" s="19">
        <f>IFERROR(__xludf.DUMMYFUNCTION("SUM(QUERY(Entregas_BD!D:AL,""select AI where D='""&amp;D61&amp;""'"",1))"),0.0)</f>
        <v>0</v>
      </c>
      <c r="W61" s="19">
        <f>IFERROR(__xludf.DUMMYFUNCTION("SUM(QUERY(Entregas_BD!D:AL,""select AJ where D='""&amp;D61&amp;""'"",1))"),0.0)</f>
        <v>0</v>
      </c>
      <c r="X61" s="19">
        <f>IFERROR(__xludf.DUMMYFUNCTION("SUM(QUERY(Entregas_BD!D:AL,""select AL where D='""&amp;D61&amp;""'"",1))"),0.0)</f>
        <v>0</v>
      </c>
      <c r="Y61" s="19">
        <f>IFERROR(__xludf.DUMMYFUNCTION("SUM(QUERY(Entregas_BD!D:AL,""select AK where D='""&amp;D61&amp;""'"",1))"),0.0)</f>
        <v>0</v>
      </c>
      <c r="Z61" s="19">
        <v>0.0</v>
      </c>
      <c r="AA61" s="19">
        <v>0.0</v>
      </c>
      <c r="AB61" s="19">
        <v>0.0</v>
      </c>
      <c r="AC61" s="19">
        <v>0.0</v>
      </c>
      <c r="AD61" s="19">
        <v>0.0</v>
      </c>
      <c r="AE61" s="19">
        <v>0.0</v>
      </c>
      <c r="AF61" s="35" t="s">
        <v>225</v>
      </c>
      <c r="AG61" s="24">
        <f>IFERROR(__xludf.DUMMYFUNCTION("SUM(QUERY(Entregas_BD!D:W,""select U where D='""&amp;D61&amp;""'"",1))"),0.0)</f>
        <v>0</v>
      </c>
      <c r="AH61" s="24">
        <f>IFERROR(__xludf.DUMMYFUNCTION("SUM(QUERY(Entregas_BD!D:W,""select S where D='""&amp;D61&amp;""'"",1))"),0.0)</f>
        <v>0</v>
      </c>
      <c r="AI61" s="24">
        <f>IFERROR(__xludf.DUMMYFUNCTION("SUM(QUERY(Entregas_BD!D:W,""select T where D='""&amp;D61&amp;""'"",1))"),0.0)</f>
        <v>0</v>
      </c>
    </row>
    <row r="62" ht="19.5" customHeight="1">
      <c r="A62" s="7"/>
      <c r="B62" s="8"/>
      <c r="C62" s="9">
        <v>61.0</v>
      </c>
      <c r="D62" s="10" t="s">
        <v>226</v>
      </c>
      <c r="E62" s="10" t="s">
        <v>153</v>
      </c>
      <c r="F62" s="10" t="s">
        <v>227</v>
      </c>
      <c r="G62" s="10" t="s">
        <v>228</v>
      </c>
      <c r="H62" s="12" t="s">
        <v>40</v>
      </c>
      <c r="I62" s="11" t="s">
        <v>41</v>
      </c>
      <c r="J62" s="12"/>
      <c r="K62" s="28"/>
      <c r="L62" s="29"/>
      <c r="M62" s="36"/>
      <c r="N62" s="9">
        <f>IFERROR(__xludf.DUMMYFUNCTION("SUM(QUERY(Entregas_BD!D:L,""select G where D='""&amp;D62&amp;""'"",1))"),0.0)</f>
        <v>0</v>
      </c>
      <c r="O62" s="9">
        <f>IFERROR(__xludf.DUMMYFUNCTION("SUM(QUERY(Entregas_BD!D:L,""select H where D='""&amp;D62&amp;""'"",1))"),0.0)</f>
        <v>0</v>
      </c>
      <c r="P62" s="9">
        <f>IFERROR(__xludf.DUMMYFUNCTION("SUM(QUERY(Entregas_BD!D:L,""select I where D='""&amp;D62&amp;""'"",1))"),0.0)</f>
        <v>0</v>
      </c>
      <c r="Q62" s="9">
        <f>IFERROR(__xludf.DUMMYFUNCTION("SUM(QUERY(Entregas_BD!D:L,""select J where D='""&amp;D62&amp;""'"",1))"),0.0)</f>
        <v>0</v>
      </c>
      <c r="R62" s="15">
        <f>IFERROR(__xludf.DUMMYFUNCTION("SUM(QUERY(Entregas_BD!D:L,""select K where D='""&amp;D62&amp;""'"",1))"),0.0)</f>
        <v>0</v>
      </c>
      <c r="S62" s="15">
        <f>IFERROR(__xludf.DUMMYFUNCTION("SUM(QUERY(Entregas_BD!D:L,""select L where D='""&amp;D62&amp;""'"",1))"),0.0)</f>
        <v>0</v>
      </c>
      <c r="T62" s="9">
        <f>IFERROR(__xludf.DUMMYFUNCTION("SUM(QUERY(Entregas_BD!D:AL,""select AG where D='""&amp;D62&amp;""'"",1))"),0.0)</f>
        <v>0</v>
      </c>
      <c r="U62" s="9">
        <f>IFERROR(__xludf.DUMMYFUNCTION("SUM(QUERY(Entregas_BD!D:AL,""select AH where D='""&amp;D62&amp;""'"",1))"),0.0)</f>
        <v>0</v>
      </c>
      <c r="V62" s="9">
        <f>IFERROR(__xludf.DUMMYFUNCTION("SUM(QUERY(Entregas_BD!D:AL,""select AI where D='""&amp;D62&amp;""'"",1))"),0.0)</f>
        <v>0</v>
      </c>
      <c r="W62" s="9">
        <f>IFERROR(__xludf.DUMMYFUNCTION("SUM(QUERY(Entregas_BD!D:AL,""select AJ where D='""&amp;D62&amp;""'"",1))"),0.0)</f>
        <v>0</v>
      </c>
      <c r="X62" s="9">
        <f>IFERROR(__xludf.DUMMYFUNCTION("SUM(QUERY(Entregas_BD!D:AL,""select AL where D='""&amp;D62&amp;""'"",1))"),0.0)</f>
        <v>0</v>
      </c>
      <c r="Y62" s="9">
        <f>IFERROR(__xludf.DUMMYFUNCTION("SUM(QUERY(Entregas_BD!D:AL,""select AK where D='""&amp;D62&amp;""'"",1))"),0.0)</f>
        <v>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30" t="s">
        <v>229</v>
      </c>
      <c r="AG62" s="15">
        <f>IFERROR(__xludf.DUMMYFUNCTION("SUM(QUERY(Entregas_BD!D:W,""select U where D='""&amp;D62&amp;""'"",1))"),0.0)</f>
        <v>0</v>
      </c>
      <c r="AH62" s="15">
        <f>IFERROR(__xludf.DUMMYFUNCTION("SUM(QUERY(Entregas_BD!D:W,""select S where D='""&amp;D62&amp;""'"",1))"),0.0)</f>
        <v>0</v>
      </c>
      <c r="AI62" s="15">
        <f>IFERROR(__xludf.DUMMYFUNCTION("SUM(QUERY(Entregas_BD!D:W,""select T where D='""&amp;D62&amp;""'"",1))"),0.0)</f>
        <v>0</v>
      </c>
    </row>
    <row r="63" ht="19.5" customHeight="1">
      <c r="A63" s="31"/>
      <c r="B63" s="32"/>
      <c r="C63" s="19">
        <v>62.0</v>
      </c>
      <c r="D63" s="20" t="s">
        <v>230</v>
      </c>
      <c r="E63" s="20" t="s">
        <v>153</v>
      </c>
      <c r="F63" s="20" t="s">
        <v>231</v>
      </c>
      <c r="G63" s="20" t="s">
        <v>232</v>
      </c>
      <c r="H63" s="34" t="s">
        <v>40</v>
      </c>
      <c r="I63" s="21" t="s">
        <v>41</v>
      </c>
      <c r="J63" s="34"/>
      <c r="K63" s="22"/>
      <c r="L63" s="23"/>
      <c r="M63" s="41"/>
      <c r="N63" s="19">
        <f>IFERROR(__xludf.DUMMYFUNCTION("SUM(QUERY(Entregas_BD!D:L,""select G where D='""&amp;D63&amp;""'"",1))"),0.0)</f>
        <v>0</v>
      </c>
      <c r="O63" s="19">
        <f>IFERROR(__xludf.DUMMYFUNCTION("SUM(QUERY(Entregas_BD!D:L,""select H where D='""&amp;D63&amp;""'"",1))"),0.0)</f>
        <v>0</v>
      </c>
      <c r="P63" s="19">
        <f>IFERROR(__xludf.DUMMYFUNCTION("SUM(QUERY(Entregas_BD!D:L,""select I where D='""&amp;D63&amp;""'"",1))"),0.0)</f>
        <v>0</v>
      </c>
      <c r="Q63" s="19">
        <f>IFERROR(__xludf.DUMMYFUNCTION("SUM(QUERY(Entregas_BD!D:L,""select J where D='""&amp;D63&amp;""'"",1))"),0.0)</f>
        <v>0</v>
      </c>
      <c r="R63" s="24">
        <f>IFERROR(__xludf.DUMMYFUNCTION("SUM(QUERY(Entregas_BD!D:L,""select K where D='""&amp;D63&amp;""'"",1))"),0.0)</f>
        <v>0</v>
      </c>
      <c r="S63" s="24">
        <f>IFERROR(__xludf.DUMMYFUNCTION("SUM(QUERY(Entregas_BD!D:L,""select L where D='""&amp;D63&amp;""'"",1))"),0.0)</f>
        <v>0</v>
      </c>
      <c r="T63" s="19">
        <f>IFERROR(__xludf.DUMMYFUNCTION("SUM(QUERY(Entregas_BD!D:AL,""select AG where D='""&amp;D63&amp;""'"",1))"),0.0)</f>
        <v>0</v>
      </c>
      <c r="U63" s="19">
        <f>IFERROR(__xludf.DUMMYFUNCTION("SUM(QUERY(Entregas_BD!D:AL,""select AH where D='""&amp;D63&amp;""'"",1))"),0.0)</f>
        <v>0</v>
      </c>
      <c r="V63" s="19">
        <f>IFERROR(__xludf.DUMMYFUNCTION("SUM(QUERY(Entregas_BD!D:AL,""select AI where D='""&amp;D63&amp;""'"",1))"),0.0)</f>
        <v>0</v>
      </c>
      <c r="W63" s="19">
        <f>IFERROR(__xludf.DUMMYFUNCTION("SUM(QUERY(Entregas_BD!D:AL,""select AJ where D='""&amp;D63&amp;""'"",1))"),0.0)</f>
        <v>0</v>
      </c>
      <c r="X63" s="19">
        <f>IFERROR(__xludf.DUMMYFUNCTION("SUM(QUERY(Entregas_BD!D:AL,""select AL where D='""&amp;D63&amp;""'"",1))"),0.0)</f>
        <v>0</v>
      </c>
      <c r="Y63" s="19">
        <f>IFERROR(__xludf.DUMMYFUNCTION("SUM(QUERY(Entregas_BD!D:AL,""select AK where D='""&amp;D63&amp;""'"",1))"),0.0)</f>
        <v>0</v>
      </c>
      <c r="Z63" s="19">
        <v>0.0</v>
      </c>
      <c r="AA63" s="19">
        <v>0.0</v>
      </c>
      <c r="AB63" s="19">
        <v>0.0</v>
      </c>
      <c r="AC63" s="19">
        <v>0.0</v>
      </c>
      <c r="AD63" s="19">
        <v>0.0</v>
      </c>
      <c r="AE63" s="19">
        <v>0.0</v>
      </c>
      <c r="AF63" s="25" t="s">
        <v>233</v>
      </c>
      <c r="AG63" s="24">
        <f>IFERROR(__xludf.DUMMYFUNCTION("SUM(QUERY(Entregas_BD!D:W,""select U where D='""&amp;D63&amp;""'"",1))"),0.0)</f>
        <v>0</v>
      </c>
      <c r="AH63" s="24">
        <f>IFERROR(__xludf.DUMMYFUNCTION("SUM(QUERY(Entregas_BD!D:W,""select S where D='""&amp;D63&amp;""'"",1))"),0.0)</f>
        <v>0</v>
      </c>
      <c r="AI63" s="24">
        <f>IFERROR(__xludf.DUMMYFUNCTION("SUM(QUERY(Entregas_BD!D:W,""select T where D='""&amp;D63&amp;""'"",1))"),0.0)</f>
        <v>0</v>
      </c>
    </row>
    <row r="64" ht="19.5" customHeight="1">
      <c r="A64" s="7"/>
      <c r="B64" s="8"/>
      <c r="C64" s="9">
        <v>63.0</v>
      </c>
      <c r="D64" s="10" t="s">
        <v>234</v>
      </c>
      <c r="E64" s="10" t="s">
        <v>235</v>
      </c>
      <c r="F64" s="10" t="s">
        <v>236</v>
      </c>
      <c r="G64" s="10" t="s">
        <v>237</v>
      </c>
      <c r="H64" s="12" t="s">
        <v>40</v>
      </c>
      <c r="I64" s="11" t="s">
        <v>47</v>
      </c>
      <c r="J64" s="12"/>
      <c r="K64" s="28"/>
      <c r="L64" s="29"/>
      <c r="M64" s="36"/>
      <c r="N64" s="9">
        <f>IFERROR(__xludf.DUMMYFUNCTION("SUM(QUERY(Entregas_BD!D:L,""select G where D='""&amp;D64&amp;""'"",1))"),0.0)</f>
        <v>0</v>
      </c>
      <c r="O64" s="9">
        <f>IFERROR(__xludf.DUMMYFUNCTION("SUM(QUERY(Entregas_BD!D:L,""select H where D='""&amp;D64&amp;""'"",1))"),0.0)</f>
        <v>0</v>
      </c>
      <c r="P64" s="9">
        <f>IFERROR(__xludf.DUMMYFUNCTION("SUM(QUERY(Entregas_BD!D:L,""select I where D='""&amp;D64&amp;""'"",1))"),0.0)</f>
        <v>0</v>
      </c>
      <c r="Q64" s="9">
        <f>IFERROR(__xludf.DUMMYFUNCTION("SUM(QUERY(Entregas_BD!D:L,""select J where D='""&amp;D64&amp;""'"",1))"),0.0)</f>
        <v>0</v>
      </c>
      <c r="R64" s="15">
        <f>IFERROR(__xludf.DUMMYFUNCTION("SUM(QUERY(Entregas_BD!D:L,""select K where D='""&amp;D64&amp;""'"",1))"),0.0)</f>
        <v>0</v>
      </c>
      <c r="S64" s="15">
        <f>IFERROR(__xludf.DUMMYFUNCTION("SUM(QUERY(Entregas_BD!D:L,""select L where D='""&amp;D64&amp;""'"",1))"),0.0)</f>
        <v>0</v>
      </c>
      <c r="T64" s="9">
        <f>IFERROR(__xludf.DUMMYFUNCTION("SUM(QUERY(Entregas_BD!D:AL,""select AG where D='""&amp;D64&amp;""'"",1))"),100.0)</f>
        <v>100</v>
      </c>
      <c r="U64" s="9">
        <f>IFERROR(__xludf.DUMMYFUNCTION("SUM(QUERY(Entregas_BD!D:AL,""select AH where D='""&amp;D64&amp;""'"",1))"),0.0)</f>
        <v>0</v>
      </c>
      <c r="V64" s="9">
        <f>IFERROR(__xludf.DUMMYFUNCTION("SUM(QUERY(Entregas_BD!D:AL,""select AI where D='""&amp;D64&amp;""'"",1))"),0.0)</f>
        <v>0</v>
      </c>
      <c r="W64" s="9">
        <f>IFERROR(__xludf.DUMMYFUNCTION("SUM(QUERY(Entregas_BD!D:AL,""select AJ where D='""&amp;D64&amp;""'"",1))"),0.0)</f>
        <v>0</v>
      </c>
      <c r="X64" s="9">
        <f>IFERROR(__xludf.DUMMYFUNCTION("SUM(QUERY(Entregas_BD!D:AL,""select AL where D='""&amp;D64&amp;""'"",1))"),0.0)</f>
        <v>0</v>
      </c>
      <c r="Y64" s="9">
        <f>IFERROR(__xludf.DUMMYFUNCTION("SUM(QUERY(Entregas_BD!D:AL,""select AK where D='""&amp;D64&amp;""'"",1))"),0.0)</f>
        <v>0</v>
      </c>
      <c r="Z64" s="9">
        <v>-100.0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30" t="s">
        <v>238</v>
      </c>
      <c r="AG64" s="15">
        <f>IFERROR(__xludf.DUMMYFUNCTION("SUM(QUERY(Entregas_BD!D:W,""select U where D='""&amp;D64&amp;""'"",1))"),0.0)</f>
        <v>0</v>
      </c>
      <c r="AH64" s="15">
        <f>IFERROR(__xludf.DUMMYFUNCTION("SUM(QUERY(Entregas_BD!D:W,""select S where D='""&amp;D64&amp;""'"",1))"),0.0)</f>
        <v>0</v>
      </c>
      <c r="AI64" s="15">
        <f>IFERROR(__xludf.DUMMYFUNCTION("SUM(QUERY(Entregas_BD!D:W,""select T where D='""&amp;D64&amp;""'"",1))"),0.0)</f>
        <v>0</v>
      </c>
    </row>
    <row r="65" ht="19.5" customHeight="1">
      <c r="A65" s="31"/>
      <c r="B65" s="32"/>
      <c r="C65" s="19">
        <v>64.0</v>
      </c>
      <c r="D65" s="34" t="s">
        <v>239</v>
      </c>
      <c r="E65" s="20" t="s">
        <v>72</v>
      </c>
      <c r="F65" s="20" t="s">
        <v>45</v>
      </c>
      <c r="G65" s="20" t="s">
        <v>240</v>
      </c>
      <c r="H65" s="19" t="s">
        <v>51</v>
      </c>
      <c r="I65" s="21" t="s">
        <v>41</v>
      </c>
      <c r="J65" s="34"/>
      <c r="K65" s="22"/>
      <c r="L65" s="23"/>
      <c r="M65" s="22"/>
      <c r="N65" s="19">
        <f>IFERROR(__xludf.DUMMYFUNCTION("SUM(QUERY(Entregas_BD!D:L,""select G where D='""&amp;D65&amp;""'"",1))"),0.0)</f>
        <v>0</v>
      </c>
      <c r="O65" s="19">
        <f>IFERROR(__xludf.DUMMYFUNCTION("SUM(QUERY(Entregas_BD!D:L,""select H where D='""&amp;D65&amp;""'"",1))"),0.0)</f>
        <v>0</v>
      </c>
      <c r="P65" s="19">
        <f>IFERROR(__xludf.DUMMYFUNCTION("SUM(QUERY(Entregas_BD!D:L,""select I where D='""&amp;D65&amp;""'"",1))"),0.0)</f>
        <v>0</v>
      </c>
      <c r="Q65" s="19">
        <f>IFERROR(__xludf.DUMMYFUNCTION("SUM(QUERY(Entregas_BD!D:L,""select J where D='""&amp;D65&amp;""'"",1))"),0.0)</f>
        <v>0</v>
      </c>
      <c r="R65" s="24">
        <f>IFERROR(__xludf.DUMMYFUNCTION("SUM(QUERY(Entregas_BD!D:L,""select K where D='""&amp;D65&amp;""'"",1))"),0.0)</f>
        <v>0</v>
      </c>
      <c r="S65" s="24">
        <f>IFERROR(__xludf.DUMMYFUNCTION("SUM(QUERY(Entregas_BD!D:L,""select L where D='""&amp;D65&amp;""'"",1))"),0.0)</f>
        <v>0</v>
      </c>
      <c r="T65" s="19">
        <f>IFERROR(__xludf.DUMMYFUNCTION("SUM(QUERY(Entregas_BD!D:AL,""select AG where D='""&amp;D65&amp;""'"",1))"),100.0)</f>
        <v>100</v>
      </c>
      <c r="U65" s="19">
        <f>IFERROR(__xludf.DUMMYFUNCTION("SUM(QUERY(Entregas_BD!D:AL,""select AH where D='""&amp;D65&amp;""'"",1))"),0.0)</f>
        <v>0</v>
      </c>
      <c r="V65" s="19">
        <f>IFERROR(__xludf.DUMMYFUNCTION("SUM(QUERY(Entregas_BD!D:AL,""select AI where D='""&amp;D65&amp;""'"",1))"),0.0)</f>
        <v>0</v>
      </c>
      <c r="W65" s="19">
        <f>IFERROR(__xludf.DUMMYFUNCTION("SUM(QUERY(Entregas_BD!D:AL,""select AJ where D='""&amp;D65&amp;""'"",1))"),0.0)</f>
        <v>0</v>
      </c>
      <c r="X65" s="19">
        <f>IFERROR(__xludf.DUMMYFUNCTION("SUM(QUERY(Entregas_BD!D:AL,""select AL where D='""&amp;D65&amp;""'"",1))"),0.0)</f>
        <v>0</v>
      </c>
      <c r="Y65" s="19">
        <f>IFERROR(__xludf.DUMMYFUNCTION("SUM(QUERY(Entregas_BD!D:AL,""select AK where D='""&amp;D65&amp;""'"",1))"),0.0)</f>
        <v>0</v>
      </c>
      <c r="Z65" s="19">
        <v>-100.0</v>
      </c>
      <c r="AA65" s="19">
        <v>0.0</v>
      </c>
      <c r="AB65" s="19">
        <v>0.0</v>
      </c>
      <c r="AC65" s="19">
        <v>0.0</v>
      </c>
      <c r="AD65" s="19">
        <v>0.0</v>
      </c>
      <c r="AE65" s="19">
        <v>0.0</v>
      </c>
      <c r="AF65" s="25" t="s">
        <v>241</v>
      </c>
      <c r="AG65" s="24">
        <f>IFERROR(__xludf.DUMMYFUNCTION("SUM(QUERY(Entregas_BD!D:W,""select U where D='""&amp;D65&amp;""'"",1))"),0.0)</f>
        <v>0</v>
      </c>
      <c r="AH65" s="24">
        <f>IFERROR(__xludf.DUMMYFUNCTION("SUM(QUERY(Entregas_BD!D:W,""select S where D='""&amp;D65&amp;""'"",1))"),0.0)</f>
        <v>0</v>
      </c>
      <c r="AI65" s="24">
        <f>IFERROR(__xludf.DUMMYFUNCTION("SUM(QUERY(Entregas_BD!D:W,""select T where D='""&amp;D65&amp;""'"",1))"),0.0)</f>
        <v>0</v>
      </c>
    </row>
    <row r="66" ht="19.5" customHeight="1">
      <c r="A66" s="7"/>
      <c r="B66" s="8"/>
      <c r="C66" s="9">
        <v>65.0</v>
      </c>
      <c r="D66" s="43" t="s">
        <v>242</v>
      </c>
      <c r="E66" s="10" t="s">
        <v>197</v>
      </c>
      <c r="F66" s="10" t="s">
        <v>243</v>
      </c>
      <c r="G66" s="10" t="s">
        <v>244</v>
      </c>
      <c r="H66" s="9" t="s">
        <v>69</v>
      </c>
      <c r="I66" s="11" t="s">
        <v>41</v>
      </c>
      <c r="J66" s="12"/>
      <c r="K66" s="28"/>
      <c r="L66" s="29"/>
      <c r="M66" s="36"/>
      <c r="N66" s="9">
        <f>IFERROR(__xludf.DUMMYFUNCTION("SUM(QUERY(Entregas_BD!D:L,""select G where D='""&amp;D66&amp;""'"",1))"),0.0)</f>
        <v>0</v>
      </c>
      <c r="O66" s="9">
        <f>IFERROR(__xludf.DUMMYFUNCTION("SUM(QUERY(Entregas_BD!D:L,""select H where D='""&amp;D66&amp;""'"",1))"),0.0)</f>
        <v>0</v>
      </c>
      <c r="P66" s="9">
        <f>IFERROR(__xludf.DUMMYFUNCTION("SUM(QUERY(Entregas_BD!D:L,""select I where D='""&amp;D66&amp;""'"",1))"),0.0)</f>
        <v>0</v>
      </c>
      <c r="Q66" s="9">
        <f>IFERROR(__xludf.DUMMYFUNCTION("SUM(QUERY(Entregas_BD!D:L,""select J where D='""&amp;D66&amp;""'"",1))"),0.0)</f>
        <v>0</v>
      </c>
      <c r="R66" s="15">
        <f>IFERROR(__xludf.DUMMYFUNCTION("SUM(QUERY(Entregas_BD!D:L,""select K where D='""&amp;D66&amp;""'"",1))"),0.0)</f>
        <v>0</v>
      </c>
      <c r="S66" s="15">
        <f>IFERROR(__xludf.DUMMYFUNCTION("SUM(QUERY(Entregas_BD!D:L,""select L where D='""&amp;D66&amp;""'"",1))"),0.0)</f>
        <v>0</v>
      </c>
      <c r="T66" s="9">
        <f>IFERROR(__xludf.DUMMYFUNCTION("SUM(QUERY(Entregas_BD!D:AL,""select AG where D='""&amp;D66&amp;""'"",1))"),150.0)</f>
        <v>150</v>
      </c>
      <c r="U66" s="9">
        <f>IFERROR(__xludf.DUMMYFUNCTION("SUM(QUERY(Entregas_BD!D:AL,""select AH where D='""&amp;D66&amp;""'"",1))"),0.0)</f>
        <v>0</v>
      </c>
      <c r="V66" s="9">
        <f>IFERROR(__xludf.DUMMYFUNCTION("SUM(QUERY(Entregas_BD!D:AL,""select AI where D='""&amp;D66&amp;""'"",1))"),0.0)</f>
        <v>0</v>
      </c>
      <c r="W66" s="9">
        <f>IFERROR(__xludf.DUMMYFUNCTION("SUM(QUERY(Entregas_BD!D:AL,""select AJ where D='""&amp;D66&amp;""'"",1))"),0.0)</f>
        <v>0</v>
      </c>
      <c r="X66" s="9">
        <f>IFERROR(__xludf.DUMMYFUNCTION("SUM(QUERY(Entregas_BD!D:AL,""select AL where D='""&amp;D66&amp;""'"",1))"),0.0)</f>
        <v>0</v>
      </c>
      <c r="Y66" s="9">
        <f>IFERROR(__xludf.DUMMYFUNCTION("SUM(QUERY(Entregas_BD!D:AL,""select AK where D='""&amp;D66&amp;""'"",1))"),0.0)</f>
        <v>0</v>
      </c>
      <c r="Z66" s="9">
        <v>-150.0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30" t="s">
        <v>245</v>
      </c>
      <c r="AG66" s="15">
        <f>IFERROR(__xludf.DUMMYFUNCTION("SUM(QUERY(Entregas_BD!D:W,""select U where D='""&amp;D66&amp;""'"",1))"),0.0)</f>
        <v>0</v>
      </c>
      <c r="AH66" s="15">
        <f>IFERROR(__xludf.DUMMYFUNCTION("SUM(QUERY(Entregas_BD!D:W,""select S where D='""&amp;D66&amp;""'"",1))"),0.0)</f>
        <v>0</v>
      </c>
      <c r="AI66" s="15">
        <f>IFERROR(__xludf.DUMMYFUNCTION("SUM(QUERY(Entregas_BD!D:W,""select T where D='""&amp;D66&amp;""'"",1))"),0.0)</f>
        <v>0</v>
      </c>
    </row>
    <row r="67" ht="19.5" customHeight="1">
      <c r="A67" s="31"/>
      <c r="B67" s="32"/>
      <c r="C67" s="19">
        <v>66.0</v>
      </c>
      <c r="D67" s="20" t="s">
        <v>246</v>
      </c>
      <c r="E67" s="20" t="s">
        <v>63</v>
      </c>
      <c r="F67" s="20" t="s">
        <v>185</v>
      </c>
      <c r="G67" s="20" t="s">
        <v>247</v>
      </c>
      <c r="H67" s="19" t="s">
        <v>40</v>
      </c>
      <c r="I67" s="21" t="s">
        <v>41</v>
      </c>
      <c r="J67" s="34"/>
      <c r="K67" s="22"/>
      <c r="L67" s="23"/>
      <c r="M67" s="22"/>
      <c r="N67" s="19">
        <f>IFERROR(__xludf.DUMMYFUNCTION("SUM(QUERY(Entregas_BD!D:L,""select G where D='""&amp;D67&amp;""'"",1))"),0.0)</f>
        <v>0</v>
      </c>
      <c r="O67" s="19">
        <f>IFERROR(__xludf.DUMMYFUNCTION("SUM(QUERY(Entregas_BD!D:L,""select H where D='""&amp;D67&amp;""'"",1))"),0.0)</f>
        <v>0</v>
      </c>
      <c r="P67" s="19">
        <f>IFERROR(__xludf.DUMMYFUNCTION("SUM(QUERY(Entregas_BD!D:L,""select I where D='""&amp;D67&amp;""'"",1))"),0.0)</f>
        <v>0</v>
      </c>
      <c r="Q67" s="19">
        <f>IFERROR(__xludf.DUMMYFUNCTION("SUM(QUERY(Entregas_BD!D:L,""select J where D='""&amp;D67&amp;""'"",1))"),0.0)</f>
        <v>0</v>
      </c>
      <c r="R67" s="24">
        <f>IFERROR(__xludf.DUMMYFUNCTION("SUM(QUERY(Entregas_BD!D:L,""select K where D='""&amp;D67&amp;""'"",1))"),0.0)</f>
        <v>0</v>
      </c>
      <c r="S67" s="24">
        <f>IFERROR(__xludf.DUMMYFUNCTION("SUM(QUERY(Entregas_BD!D:L,""select L where D='""&amp;D67&amp;""'"",1))"),0.0)</f>
        <v>0</v>
      </c>
      <c r="T67" s="19">
        <f>IFERROR(__xludf.DUMMYFUNCTION("SUM(QUERY(Entregas_BD!D:AL,""select AG where D='""&amp;D67&amp;""'"",1))"),100.0)</f>
        <v>100</v>
      </c>
      <c r="U67" s="19">
        <f>IFERROR(__xludf.DUMMYFUNCTION("SUM(QUERY(Entregas_BD!D:AL,""select AH where D='""&amp;D67&amp;""'"",1))"),0.0)</f>
        <v>0</v>
      </c>
      <c r="V67" s="19">
        <f>IFERROR(__xludf.DUMMYFUNCTION("SUM(QUERY(Entregas_BD!D:AL,""select AI where D='""&amp;D67&amp;""'"",1))"),0.0)</f>
        <v>0</v>
      </c>
      <c r="W67" s="19">
        <f>IFERROR(__xludf.DUMMYFUNCTION("SUM(QUERY(Entregas_BD!D:AL,""select AJ where D='""&amp;D67&amp;""'"",1))"),0.0)</f>
        <v>0</v>
      </c>
      <c r="X67" s="19">
        <f>IFERROR(__xludf.DUMMYFUNCTION("SUM(QUERY(Entregas_BD!D:AL,""select AL where D='""&amp;D67&amp;""'"",1))"),0.0)</f>
        <v>0</v>
      </c>
      <c r="Y67" s="19">
        <f>IFERROR(__xludf.DUMMYFUNCTION("SUM(QUERY(Entregas_BD!D:AL,""select AK where D='""&amp;D67&amp;""'"",1))"),0.0)</f>
        <v>0</v>
      </c>
      <c r="Z67" s="19">
        <v>-100.0</v>
      </c>
      <c r="AA67" s="19">
        <v>0.0</v>
      </c>
      <c r="AB67" s="19">
        <v>0.0</v>
      </c>
      <c r="AC67" s="19">
        <v>0.0</v>
      </c>
      <c r="AD67" s="19">
        <v>0.0</v>
      </c>
      <c r="AE67" s="19">
        <v>0.0</v>
      </c>
      <c r="AF67" s="35" t="s">
        <v>248</v>
      </c>
      <c r="AG67" s="24">
        <f>IFERROR(__xludf.DUMMYFUNCTION("SUM(QUERY(Entregas_BD!D:W,""select U where D='""&amp;D67&amp;""'"",1))"),0.0)</f>
        <v>0</v>
      </c>
      <c r="AH67" s="24">
        <f>IFERROR(__xludf.DUMMYFUNCTION("SUM(QUERY(Entregas_BD!D:W,""select S where D='""&amp;D67&amp;""'"",1))"),0.0)</f>
        <v>0</v>
      </c>
      <c r="AI67" s="24">
        <f>IFERROR(__xludf.DUMMYFUNCTION("SUM(QUERY(Entregas_BD!D:W,""select T where D='""&amp;D67&amp;""'"",1))"),0.0)</f>
        <v>0</v>
      </c>
    </row>
    <row r="68" ht="19.5" customHeight="1">
      <c r="A68" s="7"/>
      <c r="B68" s="8"/>
      <c r="C68" s="9">
        <v>67.0</v>
      </c>
      <c r="D68" s="10" t="s">
        <v>249</v>
      </c>
      <c r="E68" s="10" t="s">
        <v>63</v>
      </c>
      <c r="F68" s="10" t="s">
        <v>64</v>
      </c>
      <c r="G68" s="10" t="s">
        <v>250</v>
      </c>
      <c r="H68" s="9" t="s">
        <v>40</v>
      </c>
      <c r="I68" s="11" t="s">
        <v>41</v>
      </c>
      <c r="J68" s="12"/>
      <c r="K68" s="28"/>
      <c r="L68" s="29"/>
      <c r="M68" s="28"/>
      <c r="N68" s="9">
        <f>IFERROR(__xludf.DUMMYFUNCTION("SUM(QUERY(Entregas_BD!D:L,""select G where D='""&amp;D68&amp;""'"",1))"),0.0)</f>
        <v>0</v>
      </c>
      <c r="O68" s="9">
        <f>IFERROR(__xludf.DUMMYFUNCTION("SUM(QUERY(Entregas_BD!D:L,""select H where D='""&amp;D68&amp;""'"",1))"),0.0)</f>
        <v>0</v>
      </c>
      <c r="P68" s="9">
        <f>IFERROR(__xludf.DUMMYFUNCTION("SUM(QUERY(Entregas_BD!D:L,""select I where D='""&amp;D68&amp;""'"",1))"),0.0)</f>
        <v>0</v>
      </c>
      <c r="Q68" s="9">
        <f>IFERROR(__xludf.DUMMYFUNCTION("SUM(QUERY(Entregas_BD!D:L,""select J where D='""&amp;D68&amp;""'"",1))"),0.0)</f>
        <v>0</v>
      </c>
      <c r="R68" s="15">
        <f>IFERROR(__xludf.DUMMYFUNCTION("SUM(QUERY(Entregas_BD!D:L,""select K where D='""&amp;D68&amp;""'"",1))"),0.0)</f>
        <v>0</v>
      </c>
      <c r="S68" s="15">
        <f>IFERROR(__xludf.DUMMYFUNCTION("SUM(QUERY(Entregas_BD!D:L,""select L where D='""&amp;D68&amp;""'"",1))"),0.0)</f>
        <v>0</v>
      </c>
      <c r="T68" s="9">
        <f>IFERROR(__xludf.DUMMYFUNCTION("SUM(QUERY(Entregas_BD!D:AL,""select AG where D='""&amp;D68&amp;""'"",1))"),250.0)</f>
        <v>250</v>
      </c>
      <c r="U68" s="9">
        <f>IFERROR(__xludf.DUMMYFUNCTION("SUM(QUERY(Entregas_BD!D:AL,""select AH where D='""&amp;D68&amp;""'"",1))"),0.0)</f>
        <v>0</v>
      </c>
      <c r="V68" s="9">
        <f>IFERROR(__xludf.DUMMYFUNCTION("SUM(QUERY(Entregas_BD!D:AL,""select AI where D='""&amp;D68&amp;""'"",1))"),0.0)</f>
        <v>0</v>
      </c>
      <c r="W68" s="9">
        <f>IFERROR(__xludf.DUMMYFUNCTION("SUM(QUERY(Entregas_BD!D:AL,""select AJ where D='""&amp;D68&amp;""'"",1))"),0.0)</f>
        <v>0</v>
      </c>
      <c r="X68" s="9">
        <f>IFERROR(__xludf.DUMMYFUNCTION("SUM(QUERY(Entregas_BD!D:AL,""select AL where D='""&amp;D68&amp;""'"",1))"),0.0)</f>
        <v>0</v>
      </c>
      <c r="Y68" s="9">
        <f>IFERROR(__xludf.DUMMYFUNCTION("SUM(QUERY(Entregas_BD!D:AL,""select AK where D='""&amp;D68&amp;""'"",1))"),0.0)</f>
        <v>0</v>
      </c>
      <c r="Z68" s="9">
        <v>-250.0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30" t="s">
        <v>251</v>
      </c>
      <c r="AG68" s="15">
        <f>IFERROR(__xludf.DUMMYFUNCTION("SUM(QUERY(Entregas_BD!D:W,""select U where D='""&amp;D68&amp;""'"",1))"),0.0)</f>
        <v>0</v>
      </c>
      <c r="AH68" s="15">
        <f>IFERROR(__xludf.DUMMYFUNCTION("SUM(QUERY(Entregas_BD!D:W,""select S where D='""&amp;D68&amp;""'"",1))"),0.0)</f>
        <v>0</v>
      </c>
      <c r="AI68" s="15">
        <f>IFERROR(__xludf.DUMMYFUNCTION("SUM(QUERY(Entregas_BD!D:W,""select T where D='""&amp;D68&amp;""'"",1))"),0.0)</f>
        <v>0</v>
      </c>
    </row>
    <row r="69" ht="19.5" customHeight="1">
      <c r="A69" s="31"/>
      <c r="B69" s="32"/>
      <c r="C69" s="19">
        <v>68.0</v>
      </c>
      <c r="D69" s="20" t="s">
        <v>252</v>
      </c>
      <c r="E69" s="20" t="s">
        <v>58</v>
      </c>
      <c r="F69" s="20" t="s">
        <v>45</v>
      </c>
      <c r="G69" s="20" t="s">
        <v>253</v>
      </c>
      <c r="H69" s="19" t="s">
        <v>51</v>
      </c>
      <c r="I69" s="21" t="s">
        <v>41</v>
      </c>
      <c r="J69" s="19"/>
      <c r="K69" s="22"/>
      <c r="L69" s="23"/>
      <c r="M69" s="22"/>
      <c r="N69" s="19">
        <f>IFERROR(__xludf.DUMMYFUNCTION("SUM(QUERY(Entregas_BD!D:L,""select G where D='""&amp;D69&amp;""'"",1))"),0.0)</f>
        <v>0</v>
      </c>
      <c r="O69" s="19">
        <f>IFERROR(__xludf.DUMMYFUNCTION("SUM(QUERY(Entregas_BD!D:L,""select H where D='""&amp;D69&amp;""'"",1))"),0.0)</f>
        <v>0</v>
      </c>
      <c r="P69" s="19">
        <f>IFERROR(__xludf.DUMMYFUNCTION("SUM(QUERY(Entregas_BD!D:L,""select I where D='""&amp;D69&amp;""'"",1))"),0.0)</f>
        <v>0</v>
      </c>
      <c r="Q69" s="19">
        <f>IFERROR(__xludf.DUMMYFUNCTION("SUM(QUERY(Entregas_BD!D:L,""select J where D='""&amp;D69&amp;""'"",1))"),0.0)</f>
        <v>0</v>
      </c>
      <c r="R69" s="24">
        <f>IFERROR(__xludf.DUMMYFUNCTION("SUM(QUERY(Entregas_BD!D:L,""select K where D='""&amp;D69&amp;""'"",1))"),0.0)</f>
        <v>0</v>
      </c>
      <c r="S69" s="24">
        <f>IFERROR(__xludf.DUMMYFUNCTION("SUM(QUERY(Entregas_BD!D:L,""select L where D='""&amp;D69&amp;""'"",1))"),0.0)</f>
        <v>0</v>
      </c>
      <c r="T69" s="19">
        <f>IFERROR(__xludf.DUMMYFUNCTION("SUM(QUERY(Entregas_BD!D:AL,""select AG where D='""&amp;D69&amp;""'"",1))"),0.0)</f>
        <v>0</v>
      </c>
      <c r="U69" s="19">
        <f>IFERROR(__xludf.DUMMYFUNCTION("SUM(QUERY(Entregas_BD!D:AL,""select AH where D='""&amp;D69&amp;""'"",1))"),0.0)</f>
        <v>0</v>
      </c>
      <c r="V69" s="19">
        <f>IFERROR(__xludf.DUMMYFUNCTION("SUM(QUERY(Entregas_BD!D:AL,""select AI where D='""&amp;D69&amp;""'"",1))"),0.0)</f>
        <v>0</v>
      </c>
      <c r="W69" s="19">
        <f>IFERROR(__xludf.DUMMYFUNCTION("SUM(QUERY(Entregas_BD!D:AL,""select AJ where D='""&amp;D69&amp;""'"",1))"),0.0)</f>
        <v>0</v>
      </c>
      <c r="X69" s="19">
        <f>IFERROR(__xludf.DUMMYFUNCTION("SUM(QUERY(Entregas_BD!D:AL,""select AL where D='""&amp;D69&amp;""'"",1))"),0.0)</f>
        <v>0</v>
      </c>
      <c r="Y69" s="19">
        <f>IFERROR(__xludf.DUMMYFUNCTION("SUM(QUERY(Entregas_BD!D:AL,""select AK where D='""&amp;D69&amp;""'"",1))"),0.0)</f>
        <v>0</v>
      </c>
      <c r="Z69" s="19">
        <v>0.0</v>
      </c>
      <c r="AA69" s="19">
        <v>0.0</v>
      </c>
      <c r="AB69" s="19">
        <v>0.0</v>
      </c>
      <c r="AC69" s="19">
        <v>0.0</v>
      </c>
      <c r="AD69" s="19">
        <v>0.0</v>
      </c>
      <c r="AE69" s="19">
        <v>0.0</v>
      </c>
      <c r="AF69" s="25" t="s">
        <v>254</v>
      </c>
      <c r="AG69" s="24">
        <f>IFERROR(__xludf.DUMMYFUNCTION("SUM(QUERY(Entregas_BD!D:W,""select U where D='""&amp;D69&amp;""'"",1))"),0.0)</f>
        <v>0</v>
      </c>
      <c r="AH69" s="24">
        <f>IFERROR(__xludf.DUMMYFUNCTION("SUM(QUERY(Entregas_BD!D:W,""select S where D='""&amp;D69&amp;""'"",1))"),0.0)</f>
        <v>0</v>
      </c>
      <c r="AI69" s="24">
        <f>IFERROR(__xludf.DUMMYFUNCTION("SUM(QUERY(Entregas_BD!D:W,""select T where D='""&amp;D69&amp;""'"",1))"),0.0)</f>
        <v>0</v>
      </c>
    </row>
    <row r="70" ht="19.5" customHeight="1">
      <c r="A70" s="7"/>
      <c r="B70" s="27"/>
      <c r="C70" s="9">
        <v>69.0</v>
      </c>
      <c r="D70" s="10" t="s">
        <v>255</v>
      </c>
      <c r="E70" s="10" t="s">
        <v>44</v>
      </c>
      <c r="F70" s="10" t="s">
        <v>45</v>
      </c>
      <c r="G70" s="10" t="s">
        <v>256</v>
      </c>
      <c r="H70" s="9" t="s">
        <v>40</v>
      </c>
      <c r="I70" s="11" t="s">
        <v>41</v>
      </c>
      <c r="J70" s="9"/>
      <c r="K70" s="28"/>
      <c r="L70" s="29"/>
      <c r="M70" s="28"/>
      <c r="N70" s="9">
        <f>IFERROR(__xludf.DUMMYFUNCTION("SUM(QUERY(Entregas_BD!D:L,""select G where D='""&amp;D70&amp;""'"",1))"),0.0)</f>
        <v>0</v>
      </c>
      <c r="O70" s="9">
        <f>IFERROR(__xludf.DUMMYFUNCTION("SUM(QUERY(Entregas_BD!D:L,""select H where D='""&amp;D70&amp;""'"",1))"),0.0)</f>
        <v>0</v>
      </c>
      <c r="P70" s="9">
        <f>IFERROR(__xludf.DUMMYFUNCTION("SUM(QUERY(Entregas_BD!D:L,""select I where D='""&amp;D70&amp;""'"",1))"),0.0)</f>
        <v>0</v>
      </c>
      <c r="Q70" s="9">
        <f>IFERROR(__xludf.DUMMYFUNCTION("SUM(QUERY(Entregas_BD!D:L,""select J where D='""&amp;D70&amp;""'"",1))"),0.0)</f>
        <v>0</v>
      </c>
      <c r="R70" s="15">
        <f>IFERROR(__xludf.DUMMYFUNCTION("SUM(QUERY(Entregas_BD!D:L,""select K where D='""&amp;D70&amp;""'"",1))"),0.0)</f>
        <v>0</v>
      </c>
      <c r="S70" s="15">
        <f>IFERROR(__xludf.DUMMYFUNCTION("SUM(QUERY(Entregas_BD!D:L,""select L where D='""&amp;D70&amp;""'"",1))"),0.0)</f>
        <v>0</v>
      </c>
      <c r="T70" s="9">
        <f>IFERROR(__xludf.DUMMYFUNCTION("SUM(QUERY(Entregas_BD!D:AL,""select AG where D='""&amp;D70&amp;""'"",1))"),20.0)</f>
        <v>20</v>
      </c>
      <c r="U70" s="9">
        <f>IFERROR(__xludf.DUMMYFUNCTION("SUM(QUERY(Entregas_BD!D:AL,""select AH where D='""&amp;D70&amp;""'"",1))"),0.0)</f>
        <v>0</v>
      </c>
      <c r="V70" s="9">
        <f>IFERROR(__xludf.DUMMYFUNCTION("SUM(QUERY(Entregas_BD!D:AL,""select AI where D='""&amp;D70&amp;""'"",1))"),0.0)</f>
        <v>0</v>
      </c>
      <c r="W70" s="9">
        <f>IFERROR(__xludf.DUMMYFUNCTION("SUM(QUERY(Entregas_BD!D:AL,""select AJ where D='""&amp;D70&amp;""'"",1))"),0.0)</f>
        <v>0</v>
      </c>
      <c r="X70" s="9">
        <f>IFERROR(__xludf.DUMMYFUNCTION("SUM(QUERY(Entregas_BD!D:AL,""select AL where D='""&amp;D70&amp;""'"",1))"),0.0)</f>
        <v>0</v>
      </c>
      <c r="Y70" s="9">
        <f>IFERROR(__xludf.DUMMYFUNCTION("SUM(QUERY(Entregas_BD!D:AL,""select AK where D='""&amp;D70&amp;""'"",1))"),0.0)</f>
        <v>0</v>
      </c>
      <c r="Z70" s="9">
        <v>-20.0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30" t="s">
        <v>257</v>
      </c>
      <c r="AG70" s="15">
        <f>IFERROR(__xludf.DUMMYFUNCTION("SUM(QUERY(Entregas_BD!D:W,""select U where D='""&amp;D70&amp;""'"",1))"),0.0)</f>
        <v>0</v>
      </c>
      <c r="AH70" s="15">
        <f>IFERROR(__xludf.DUMMYFUNCTION("SUM(QUERY(Entregas_BD!D:W,""select S where D='""&amp;D70&amp;""'"",1))"),0.0)</f>
        <v>0</v>
      </c>
      <c r="AI70" s="15">
        <f>IFERROR(__xludf.DUMMYFUNCTION("SUM(QUERY(Entregas_BD!D:W,""select T where D='""&amp;D70&amp;""'"",1))"),0.0)</f>
        <v>0</v>
      </c>
    </row>
    <row r="71" ht="19.5" customHeight="1">
      <c r="A71" s="31"/>
      <c r="B71" s="32"/>
      <c r="C71" s="19">
        <v>70.0</v>
      </c>
      <c r="D71" s="44" t="s">
        <v>258</v>
      </c>
      <c r="E71" s="20" t="s">
        <v>58</v>
      </c>
      <c r="F71" s="20" t="s">
        <v>45</v>
      </c>
      <c r="G71" s="20" t="s">
        <v>259</v>
      </c>
      <c r="H71" s="19" t="s">
        <v>40</v>
      </c>
      <c r="I71" s="21" t="s">
        <v>41</v>
      </c>
      <c r="J71" s="19"/>
      <c r="K71" s="22"/>
      <c r="L71" s="23"/>
      <c r="M71" s="22"/>
      <c r="N71" s="19">
        <f>IFERROR(__xludf.DUMMYFUNCTION("SUM(QUERY(Entregas_BD!D:L,""select G where D='""&amp;D71&amp;""'"",1))"),0.0)</f>
        <v>0</v>
      </c>
      <c r="O71" s="19">
        <f>IFERROR(__xludf.DUMMYFUNCTION("SUM(QUERY(Entregas_BD!D:L,""select H where D='""&amp;D71&amp;""'"",1))"),0.0)</f>
        <v>0</v>
      </c>
      <c r="P71" s="19">
        <f>IFERROR(__xludf.DUMMYFUNCTION("SUM(QUERY(Entregas_BD!D:L,""select I where D='""&amp;D71&amp;""'"",1))"),0.0)</f>
        <v>0</v>
      </c>
      <c r="Q71" s="19">
        <f>IFERROR(__xludf.DUMMYFUNCTION("SUM(QUERY(Entregas_BD!D:L,""select J where D='""&amp;D71&amp;""'"",1))"),0.0)</f>
        <v>0</v>
      </c>
      <c r="R71" s="24">
        <f>IFERROR(__xludf.DUMMYFUNCTION("SUM(QUERY(Entregas_BD!D:L,""select K where D='""&amp;D71&amp;""'"",1))"),0.0)</f>
        <v>0</v>
      </c>
      <c r="S71" s="24">
        <f>IFERROR(__xludf.DUMMYFUNCTION("SUM(QUERY(Entregas_BD!D:L,""select L where D='""&amp;D71&amp;""'"",1))"),0.0)</f>
        <v>0</v>
      </c>
      <c r="T71" s="19">
        <f>IFERROR(__xludf.DUMMYFUNCTION("SUM(QUERY(Entregas_BD!D:AL,""select AG where D='""&amp;D71&amp;""'"",1))"),200.0)</f>
        <v>200</v>
      </c>
      <c r="U71" s="19">
        <f>IFERROR(__xludf.DUMMYFUNCTION("SUM(QUERY(Entregas_BD!D:AL,""select AH where D='""&amp;D71&amp;""'"",1))"),0.0)</f>
        <v>0</v>
      </c>
      <c r="V71" s="19">
        <f>IFERROR(__xludf.DUMMYFUNCTION("SUM(QUERY(Entregas_BD!D:AL,""select AI where D='""&amp;D71&amp;""'"",1))"),0.0)</f>
        <v>0</v>
      </c>
      <c r="W71" s="19">
        <f>IFERROR(__xludf.DUMMYFUNCTION("SUM(QUERY(Entregas_BD!D:AL,""select AJ where D='""&amp;D71&amp;""'"",1))"),0.0)</f>
        <v>0</v>
      </c>
      <c r="X71" s="19">
        <f>IFERROR(__xludf.DUMMYFUNCTION("SUM(QUERY(Entregas_BD!D:AL,""select AL where D='""&amp;D71&amp;""'"",1))"),0.0)</f>
        <v>0</v>
      </c>
      <c r="Y71" s="19">
        <f>IFERROR(__xludf.DUMMYFUNCTION("SUM(QUERY(Entregas_BD!D:AL,""select AK where D='""&amp;D71&amp;""'"",1))"),0.0)</f>
        <v>0</v>
      </c>
      <c r="Z71" s="19">
        <v>-200.0</v>
      </c>
      <c r="AA71" s="19">
        <v>0.0</v>
      </c>
      <c r="AB71" s="19">
        <v>0.0</v>
      </c>
      <c r="AC71" s="19">
        <v>0.0</v>
      </c>
      <c r="AD71" s="19">
        <v>0.0</v>
      </c>
      <c r="AE71" s="19">
        <v>0.0</v>
      </c>
      <c r="AF71" s="25" t="s">
        <v>260</v>
      </c>
      <c r="AG71" s="24">
        <f>IFERROR(__xludf.DUMMYFUNCTION("SUM(QUERY(Entregas_BD!D:W,""select U where D='""&amp;D71&amp;""'"",1))"),0.0)</f>
        <v>0</v>
      </c>
      <c r="AH71" s="24">
        <f>IFERROR(__xludf.DUMMYFUNCTION("SUM(QUERY(Entregas_BD!D:W,""select S where D='""&amp;D71&amp;""'"",1))"),0.0)</f>
        <v>0</v>
      </c>
      <c r="AI71" s="24">
        <f>IFERROR(__xludf.DUMMYFUNCTION("SUM(QUERY(Entregas_BD!D:W,""select T where D='""&amp;D71&amp;""'"",1))"),0.0)</f>
        <v>0</v>
      </c>
    </row>
    <row r="72" ht="19.5" customHeight="1">
      <c r="A72" s="7"/>
      <c r="B72" s="8"/>
      <c r="C72" s="9">
        <v>71.0</v>
      </c>
      <c r="D72" s="45" t="s">
        <v>258</v>
      </c>
      <c r="E72" s="10" t="s">
        <v>58</v>
      </c>
      <c r="F72" s="10" t="s">
        <v>45</v>
      </c>
      <c r="G72" s="10" t="s">
        <v>88</v>
      </c>
      <c r="H72" s="9" t="s">
        <v>40</v>
      </c>
      <c r="I72" s="11" t="s">
        <v>41</v>
      </c>
      <c r="J72" s="9"/>
      <c r="K72" s="28"/>
      <c r="L72" s="29"/>
      <c r="M72" s="28"/>
      <c r="N72" s="9">
        <f>IFERROR(__xludf.DUMMYFUNCTION("SUM(QUERY(Entregas_BD!D:L,""select G where D='""&amp;D72&amp;""'"",1))"),0.0)</f>
        <v>0</v>
      </c>
      <c r="O72" s="9">
        <f>IFERROR(__xludf.DUMMYFUNCTION("SUM(QUERY(Entregas_BD!D:L,""select H where D='""&amp;D72&amp;""'"",1))"),0.0)</f>
        <v>0</v>
      </c>
      <c r="P72" s="9">
        <f>IFERROR(__xludf.DUMMYFUNCTION("SUM(QUERY(Entregas_BD!D:L,""select I where D='""&amp;D72&amp;""'"",1))"),0.0)</f>
        <v>0</v>
      </c>
      <c r="Q72" s="9">
        <f>IFERROR(__xludf.DUMMYFUNCTION("SUM(QUERY(Entregas_BD!D:L,""select J where D='""&amp;D72&amp;""'"",1))"),0.0)</f>
        <v>0</v>
      </c>
      <c r="R72" s="15">
        <f>IFERROR(__xludf.DUMMYFUNCTION("SUM(QUERY(Entregas_BD!D:L,""select K where D='""&amp;D72&amp;""'"",1))"),0.0)</f>
        <v>0</v>
      </c>
      <c r="S72" s="15">
        <f>IFERROR(__xludf.DUMMYFUNCTION("SUM(QUERY(Entregas_BD!D:L,""select L where D='""&amp;D72&amp;""'"",1))"),0.0)</f>
        <v>0</v>
      </c>
      <c r="T72" s="9">
        <f>IFERROR(__xludf.DUMMYFUNCTION("SUM(QUERY(Entregas_BD!D:AL,""select AG where D='""&amp;D72&amp;""'"",1))"),200.0)</f>
        <v>200</v>
      </c>
      <c r="U72" s="9">
        <f>IFERROR(__xludf.DUMMYFUNCTION("SUM(QUERY(Entregas_BD!D:AL,""select AH where D='""&amp;D72&amp;""'"",1))"),0.0)</f>
        <v>0</v>
      </c>
      <c r="V72" s="9">
        <f>IFERROR(__xludf.DUMMYFUNCTION("SUM(QUERY(Entregas_BD!D:AL,""select AI where D='""&amp;D72&amp;""'"",1))"),0.0)</f>
        <v>0</v>
      </c>
      <c r="W72" s="9">
        <f>IFERROR(__xludf.DUMMYFUNCTION("SUM(QUERY(Entregas_BD!D:AL,""select AJ where D='""&amp;D72&amp;""'"",1))"),0.0)</f>
        <v>0</v>
      </c>
      <c r="X72" s="9">
        <f>IFERROR(__xludf.DUMMYFUNCTION("SUM(QUERY(Entregas_BD!D:AL,""select AL where D='""&amp;D72&amp;""'"",1))"),0.0)</f>
        <v>0</v>
      </c>
      <c r="Y72" s="9">
        <f>IFERROR(__xludf.DUMMYFUNCTION("SUM(QUERY(Entregas_BD!D:AL,""select AK where D='""&amp;D72&amp;""'"",1))"),0.0)</f>
        <v>0</v>
      </c>
      <c r="Z72" s="9">
        <v>-200.0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30" t="s">
        <v>260</v>
      </c>
      <c r="AG72" s="15">
        <f>IFERROR(__xludf.DUMMYFUNCTION("SUM(QUERY(Entregas_BD!D:W,""select U where D='""&amp;D72&amp;""'"",1))"),0.0)</f>
        <v>0</v>
      </c>
      <c r="AH72" s="15">
        <f>IFERROR(__xludf.DUMMYFUNCTION("SUM(QUERY(Entregas_BD!D:W,""select S where D='""&amp;D72&amp;""'"",1))"),0.0)</f>
        <v>0</v>
      </c>
      <c r="AI72" s="15">
        <f>IFERROR(__xludf.DUMMYFUNCTION("SUM(QUERY(Entregas_BD!D:W,""select T where D='""&amp;D72&amp;""'"",1))"),0.0)</f>
        <v>0</v>
      </c>
    </row>
    <row r="73" ht="19.5" customHeight="1">
      <c r="A73" s="17"/>
      <c r="B73" s="18"/>
      <c r="C73" s="19">
        <v>72.0</v>
      </c>
      <c r="D73" s="20" t="s">
        <v>261</v>
      </c>
      <c r="E73" s="20" t="s">
        <v>44</v>
      </c>
      <c r="F73" s="20" t="s">
        <v>45</v>
      </c>
      <c r="G73" s="20" t="s">
        <v>262</v>
      </c>
      <c r="H73" s="19" t="s">
        <v>69</v>
      </c>
      <c r="I73" s="21" t="s">
        <v>41</v>
      </c>
      <c r="J73" s="19"/>
      <c r="K73" s="22"/>
      <c r="L73" s="23"/>
      <c r="M73" s="22"/>
      <c r="N73" s="19">
        <f>IFERROR(__xludf.DUMMYFUNCTION("SUM(QUERY(Entregas_BD!D:L,""select G where D='""&amp;D73&amp;""'"",1))"),0.0)</f>
        <v>0</v>
      </c>
      <c r="O73" s="19">
        <f>IFERROR(__xludf.DUMMYFUNCTION("SUM(QUERY(Entregas_BD!D:L,""select H where D='""&amp;D73&amp;""'"",1))"),0.0)</f>
        <v>0</v>
      </c>
      <c r="P73" s="19">
        <f>IFERROR(__xludf.DUMMYFUNCTION("SUM(QUERY(Entregas_BD!D:L,""select I where D='""&amp;D73&amp;""'"",1))"),0.0)</f>
        <v>0</v>
      </c>
      <c r="Q73" s="19">
        <f>IFERROR(__xludf.DUMMYFUNCTION("SUM(QUERY(Entregas_BD!D:L,""select J where D='""&amp;D73&amp;""'"",1))"),0.0)</f>
        <v>0</v>
      </c>
      <c r="R73" s="24">
        <f>IFERROR(__xludf.DUMMYFUNCTION("SUM(QUERY(Entregas_BD!D:L,""select K where D='""&amp;D73&amp;""'"",1))"),0.0)</f>
        <v>0</v>
      </c>
      <c r="S73" s="24">
        <f>IFERROR(__xludf.DUMMYFUNCTION("SUM(QUERY(Entregas_BD!D:L,""select L where D='""&amp;D73&amp;""'"",1))"),0.0)</f>
        <v>0</v>
      </c>
      <c r="T73" s="19">
        <f>IFERROR(__xludf.DUMMYFUNCTION("SUM(QUERY(Entregas_BD!D:AL,""select AG where D='""&amp;D73&amp;""'"",1))"),100.0)</f>
        <v>100</v>
      </c>
      <c r="U73" s="19">
        <f>IFERROR(__xludf.DUMMYFUNCTION("SUM(QUERY(Entregas_BD!D:AL,""select AH where D='""&amp;D73&amp;""'"",1))"),0.0)</f>
        <v>0</v>
      </c>
      <c r="V73" s="19">
        <f>IFERROR(__xludf.DUMMYFUNCTION("SUM(QUERY(Entregas_BD!D:AL,""select AI where D='""&amp;D73&amp;""'"",1))"),0.0)</f>
        <v>0</v>
      </c>
      <c r="W73" s="19">
        <f>IFERROR(__xludf.DUMMYFUNCTION("SUM(QUERY(Entregas_BD!D:AL,""select AJ where D='""&amp;D73&amp;""'"",1))"),0.0)</f>
        <v>0</v>
      </c>
      <c r="X73" s="19">
        <f>IFERROR(__xludf.DUMMYFUNCTION("SUM(QUERY(Entregas_BD!D:AL,""select AL where D='""&amp;D73&amp;""'"",1))"),0.0)</f>
        <v>0</v>
      </c>
      <c r="Y73" s="19">
        <f>IFERROR(__xludf.DUMMYFUNCTION("SUM(QUERY(Entregas_BD!D:AL,""select AK where D='""&amp;D73&amp;""'"",1))"),0.0)</f>
        <v>0</v>
      </c>
      <c r="Z73" s="19">
        <v>-100.0</v>
      </c>
      <c r="AA73" s="19">
        <v>0.0</v>
      </c>
      <c r="AB73" s="19">
        <v>0.0</v>
      </c>
      <c r="AC73" s="19">
        <v>0.0</v>
      </c>
      <c r="AD73" s="19">
        <v>0.0</v>
      </c>
      <c r="AE73" s="19">
        <v>0.0</v>
      </c>
      <c r="AF73" s="35" t="s">
        <v>263</v>
      </c>
      <c r="AG73" s="24">
        <f>IFERROR(__xludf.DUMMYFUNCTION("SUM(QUERY(Entregas_BD!D:W,""select U where D='""&amp;D73&amp;""'"",1))"),0.0)</f>
        <v>0</v>
      </c>
      <c r="AH73" s="24">
        <f>IFERROR(__xludf.DUMMYFUNCTION("SUM(QUERY(Entregas_BD!D:W,""select S where D='""&amp;D73&amp;""'"",1))"),0.0)</f>
        <v>0</v>
      </c>
      <c r="AI73" s="24">
        <f>IFERROR(__xludf.DUMMYFUNCTION("SUM(QUERY(Entregas_BD!D:W,""select T where D='""&amp;D73&amp;""'"",1))"),0.0)</f>
        <v>0</v>
      </c>
    </row>
    <row r="74" ht="19.5" customHeight="1">
      <c r="A74" s="26"/>
      <c r="B74" s="27"/>
      <c r="C74" s="9">
        <v>73.0</v>
      </c>
      <c r="D74" s="10" t="s">
        <v>264</v>
      </c>
      <c r="E74" s="10" t="s">
        <v>44</v>
      </c>
      <c r="F74" s="10" t="s">
        <v>45</v>
      </c>
      <c r="G74" s="10" t="s">
        <v>265</v>
      </c>
      <c r="H74" s="9" t="s">
        <v>40</v>
      </c>
      <c r="I74" s="11" t="s">
        <v>41</v>
      </c>
      <c r="J74" s="9"/>
      <c r="K74" s="28"/>
      <c r="L74" s="29"/>
      <c r="M74" s="28"/>
      <c r="N74" s="9">
        <f>IFERROR(__xludf.DUMMYFUNCTION("SUM(QUERY(Entregas_BD!D:L,""select G where D='""&amp;D74&amp;""'"",1))"),0.0)</f>
        <v>0</v>
      </c>
      <c r="O74" s="9">
        <f>IFERROR(__xludf.DUMMYFUNCTION("SUM(QUERY(Entregas_BD!D:L,""select H where D='""&amp;D74&amp;""'"",1))"),0.0)</f>
        <v>0</v>
      </c>
      <c r="P74" s="9">
        <f>IFERROR(__xludf.DUMMYFUNCTION("SUM(QUERY(Entregas_BD!D:L,""select I where D='""&amp;D74&amp;""'"",1))"),0.0)</f>
        <v>0</v>
      </c>
      <c r="Q74" s="9">
        <f>IFERROR(__xludf.DUMMYFUNCTION("SUM(QUERY(Entregas_BD!D:L,""select J where D='""&amp;D74&amp;""'"",1))"),0.0)</f>
        <v>0</v>
      </c>
      <c r="R74" s="15">
        <f>IFERROR(__xludf.DUMMYFUNCTION("SUM(QUERY(Entregas_BD!D:L,""select K where D='""&amp;D74&amp;""'"",1))"),0.0)</f>
        <v>0</v>
      </c>
      <c r="S74" s="15">
        <f>IFERROR(__xludf.DUMMYFUNCTION("SUM(QUERY(Entregas_BD!D:L,""select L where D='""&amp;D74&amp;""'"",1))"),0.0)</f>
        <v>0</v>
      </c>
      <c r="T74" s="9">
        <f>IFERROR(__xludf.DUMMYFUNCTION("SUM(QUERY(Entregas_BD!D:AL,""select AG where D='""&amp;D74&amp;""'"",1))"),300.0)</f>
        <v>300</v>
      </c>
      <c r="U74" s="9">
        <f>IFERROR(__xludf.DUMMYFUNCTION("SUM(QUERY(Entregas_BD!D:AL,""select AH where D='""&amp;D74&amp;""'"",1))"),0.0)</f>
        <v>0</v>
      </c>
      <c r="V74" s="9">
        <f>IFERROR(__xludf.DUMMYFUNCTION("SUM(QUERY(Entregas_BD!D:AL,""select AI where D='""&amp;D74&amp;""'"",1))"),0.0)</f>
        <v>0</v>
      </c>
      <c r="W74" s="9">
        <f>IFERROR(__xludf.DUMMYFUNCTION("SUM(QUERY(Entregas_BD!D:AL,""select AJ where D='""&amp;D74&amp;""'"",1))"),0.0)</f>
        <v>0</v>
      </c>
      <c r="X74" s="9">
        <f>IFERROR(__xludf.DUMMYFUNCTION("SUM(QUERY(Entregas_BD!D:AL,""select AL where D='""&amp;D74&amp;""'"",1))"),0.0)</f>
        <v>0</v>
      </c>
      <c r="Y74" s="9">
        <f>IFERROR(__xludf.DUMMYFUNCTION("SUM(QUERY(Entregas_BD!D:AL,""select AK where D='""&amp;D74&amp;""'"",1))"),0.0)</f>
        <v>0</v>
      </c>
      <c r="Z74" s="9">
        <v>-300.0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30" t="s">
        <v>266</v>
      </c>
      <c r="AG74" s="15">
        <f>IFERROR(__xludf.DUMMYFUNCTION("SUM(QUERY(Entregas_BD!D:W,""select U where D='""&amp;D74&amp;""'"",1))"),0.0)</f>
        <v>0</v>
      </c>
      <c r="AH74" s="15">
        <f>IFERROR(__xludf.DUMMYFUNCTION("SUM(QUERY(Entregas_BD!D:W,""select S where D='""&amp;D74&amp;""'"",1))"),0.0)</f>
        <v>0</v>
      </c>
      <c r="AI74" s="15">
        <f>IFERROR(__xludf.DUMMYFUNCTION("SUM(QUERY(Entregas_BD!D:W,""select T where D='""&amp;D74&amp;""'"",1))"),0.0)</f>
        <v>0</v>
      </c>
    </row>
    <row r="75" ht="19.5" customHeight="1">
      <c r="A75" s="31"/>
      <c r="B75" s="32"/>
      <c r="C75" s="19">
        <v>74.0</v>
      </c>
      <c r="D75" s="20" t="s">
        <v>267</v>
      </c>
      <c r="E75" s="20" t="s">
        <v>54</v>
      </c>
      <c r="F75" s="20" t="s">
        <v>45</v>
      </c>
      <c r="G75" s="20" t="s">
        <v>268</v>
      </c>
      <c r="H75" s="19" t="s">
        <v>69</v>
      </c>
      <c r="I75" s="21" t="s">
        <v>41</v>
      </c>
      <c r="J75" s="34"/>
      <c r="K75" s="22"/>
      <c r="L75" s="23"/>
      <c r="M75" s="22"/>
      <c r="N75" s="19">
        <f>IFERROR(__xludf.DUMMYFUNCTION("SUM(QUERY(Entregas_BD!D:L,""select G where D='""&amp;D75&amp;""'"",1))"),0.0)</f>
        <v>0</v>
      </c>
      <c r="O75" s="19">
        <f>IFERROR(__xludf.DUMMYFUNCTION("SUM(QUERY(Entregas_BD!D:L,""select H where D='""&amp;D75&amp;""'"",1))"),0.0)</f>
        <v>0</v>
      </c>
      <c r="P75" s="19">
        <f>IFERROR(__xludf.DUMMYFUNCTION("SUM(QUERY(Entregas_BD!D:L,""select I where D='""&amp;D75&amp;""'"",1))"),0.0)</f>
        <v>0</v>
      </c>
      <c r="Q75" s="19">
        <f>IFERROR(__xludf.DUMMYFUNCTION("SUM(QUERY(Entregas_BD!D:L,""select J where D='""&amp;D75&amp;""'"",1))"),0.0)</f>
        <v>0</v>
      </c>
      <c r="R75" s="24">
        <f>IFERROR(__xludf.DUMMYFUNCTION("SUM(QUERY(Entregas_BD!D:L,""select K where D='""&amp;D75&amp;""'"",1))"),0.0)</f>
        <v>0</v>
      </c>
      <c r="S75" s="24">
        <f>IFERROR(__xludf.DUMMYFUNCTION("SUM(QUERY(Entregas_BD!D:L,""select L where D='""&amp;D75&amp;""'"",1))"),0.0)</f>
        <v>0</v>
      </c>
      <c r="T75" s="19">
        <f>IFERROR(__xludf.DUMMYFUNCTION("SUM(QUERY(Entregas_BD!D:AL,""select AG where D='""&amp;D75&amp;""'"",1))"),255.0)</f>
        <v>255</v>
      </c>
      <c r="U75" s="19">
        <f>IFERROR(__xludf.DUMMYFUNCTION("SUM(QUERY(Entregas_BD!D:AL,""select AH where D='""&amp;D75&amp;""'"",1))"),0.0)</f>
        <v>0</v>
      </c>
      <c r="V75" s="19">
        <f>IFERROR(__xludf.DUMMYFUNCTION("SUM(QUERY(Entregas_BD!D:AL,""select AI where D='""&amp;D75&amp;""'"",1))"),0.0)</f>
        <v>0</v>
      </c>
      <c r="W75" s="19">
        <f>IFERROR(__xludf.DUMMYFUNCTION("SUM(QUERY(Entregas_BD!D:AL,""select AJ where D='""&amp;D75&amp;""'"",1))"),0.0)</f>
        <v>0</v>
      </c>
      <c r="X75" s="19">
        <f>IFERROR(__xludf.DUMMYFUNCTION("SUM(QUERY(Entregas_BD!D:AL,""select AL where D='""&amp;D75&amp;""'"",1))"),0.0)</f>
        <v>0</v>
      </c>
      <c r="Y75" s="19">
        <f>IFERROR(__xludf.DUMMYFUNCTION("SUM(QUERY(Entregas_BD!D:AL,""select AK where D='""&amp;D75&amp;""'"",1))"),0.0)</f>
        <v>0</v>
      </c>
      <c r="Z75" s="19">
        <v>-255.0</v>
      </c>
      <c r="AA75" s="19">
        <v>0.0</v>
      </c>
      <c r="AB75" s="19">
        <v>0.0</v>
      </c>
      <c r="AC75" s="19">
        <v>0.0</v>
      </c>
      <c r="AD75" s="19">
        <v>0.0</v>
      </c>
      <c r="AE75" s="19">
        <v>0.0</v>
      </c>
      <c r="AF75" s="25" t="s">
        <v>269</v>
      </c>
      <c r="AG75" s="24">
        <f>IFERROR(__xludf.DUMMYFUNCTION("SUM(QUERY(Entregas_BD!D:W,""select U where D='""&amp;D75&amp;""'"",1))"),0.0)</f>
        <v>0</v>
      </c>
      <c r="AH75" s="24">
        <f>IFERROR(__xludf.DUMMYFUNCTION("SUM(QUERY(Entregas_BD!D:W,""select S where D='""&amp;D75&amp;""'"",1))"),0.0)</f>
        <v>0</v>
      </c>
      <c r="AI75" s="24">
        <f>IFERROR(__xludf.DUMMYFUNCTION("SUM(QUERY(Entregas_BD!D:W,""select T where D='""&amp;D75&amp;""'"",1))"),0.0)</f>
        <v>0</v>
      </c>
    </row>
    <row r="76" ht="19.5" customHeight="1">
      <c r="A76" s="7"/>
      <c r="B76" s="8"/>
      <c r="C76" s="9">
        <v>75.0</v>
      </c>
      <c r="D76" s="10" t="s">
        <v>270</v>
      </c>
      <c r="E76" s="10" t="s">
        <v>54</v>
      </c>
      <c r="F76" s="10" t="s">
        <v>45</v>
      </c>
      <c r="G76" s="10" t="s">
        <v>271</v>
      </c>
      <c r="H76" s="9" t="s">
        <v>69</v>
      </c>
      <c r="I76" s="11" t="s">
        <v>41</v>
      </c>
      <c r="J76" s="12"/>
      <c r="K76" s="28"/>
      <c r="L76" s="29"/>
      <c r="M76" s="28"/>
      <c r="N76" s="9">
        <f>IFERROR(__xludf.DUMMYFUNCTION("SUM(QUERY(Entregas_BD!D:L,""select G where D='""&amp;D76&amp;""'"",1))"),0.0)</f>
        <v>0</v>
      </c>
      <c r="O76" s="9">
        <f>IFERROR(__xludf.DUMMYFUNCTION("SUM(QUERY(Entregas_BD!D:L,""select H where D='""&amp;D76&amp;""'"",1))"),0.0)</f>
        <v>0</v>
      </c>
      <c r="P76" s="9">
        <f>IFERROR(__xludf.DUMMYFUNCTION("SUM(QUERY(Entregas_BD!D:L,""select I where D='""&amp;D76&amp;""'"",1))"),0.0)</f>
        <v>0</v>
      </c>
      <c r="Q76" s="9">
        <f>IFERROR(__xludf.DUMMYFUNCTION("SUM(QUERY(Entregas_BD!D:L,""select J where D='""&amp;D76&amp;""'"",1))"),0.0)</f>
        <v>0</v>
      </c>
      <c r="R76" s="15">
        <f>IFERROR(__xludf.DUMMYFUNCTION("SUM(QUERY(Entregas_BD!D:L,""select K where D='""&amp;D76&amp;""'"",1))"),0.0)</f>
        <v>0</v>
      </c>
      <c r="S76" s="15">
        <f>IFERROR(__xludf.DUMMYFUNCTION("SUM(QUERY(Entregas_BD!D:L,""select L where D='""&amp;D76&amp;""'"",1))"),0.0)</f>
        <v>0</v>
      </c>
      <c r="T76" s="9">
        <f>IFERROR(__xludf.DUMMYFUNCTION("SUM(QUERY(Entregas_BD!D:AL,""select AG where D='""&amp;D76&amp;""'"",1))"),150.0)</f>
        <v>150</v>
      </c>
      <c r="U76" s="9">
        <f>IFERROR(__xludf.DUMMYFUNCTION("SUM(QUERY(Entregas_BD!D:AL,""select AH where D='""&amp;D76&amp;""'"",1))"),0.0)</f>
        <v>0</v>
      </c>
      <c r="V76" s="9">
        <f>IFERROR(__xludf.DUMMYFUNCTION("SUM(QUERY(Entregas_BD!D:AL,""select AI where D='""&amp;D76&amp;""'"",1))"),0.0)</f>
        <v>0</v>
      </c>
      <c r="W76" s="9">
        <f>IFERROR(__xludf.DUMMYFUNCTION("SUM(QUERY(Entregas_BD!D:AL,""select AJ where D='""&amp;D76&amp;""'"",1))"),0.0)</f>
        <v>0</v>
      </c>
      <c r="X76" s="9">
        <f>IFERROR(__xludf.DUMMYFUNCTION("SUM(QUERY(Entregas_BD!D:AL,""select AL where D='""&amp;D76&amp;""'"",1))"),0.0)</f>
        <v>0</v>
      </c>
      <c r="Y76" s="9">
        <f>IFERROR(__xludf.DUMMYFUNCTION("SUM(QUERY(Entregas_BD!D:AL,""select AK where D='""&amp;D76&amp;""'"",1))"),0.0)</f>
        <v>0</v>
      </c>
      <c r="Z76" s="9">
        <v>-150.0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30" t="s">
        <v>272</v>
      </c>
      <c r="AG76" s="15">
        <f>IFERROR(__xludf.DUMMYFUNCTION("SUM(QUERY(Entregas_BD!D:W,""select U where D='""&amp;D76&amp;""'"",1))"),0.0)</f>
        <v>0</v>
      </c>
      <c r="AH76" s="15">
        <f>IFERROR(__xludf.DUMMYFUNCTION("SUM(QUERY(Entregas_BD!D:W,""select S where D='""&amp;D76&amp;""'"",1))"),0.0)</f>
        <v>0</v>
      </c>
      <c r="AI76" s="15">
        <f>IFERROR(__xludf.DUMMYFUNCTION("SUM(QUERY(Entregas_BD!D:W,""select T where D='""&amp;D76&amp;""'"",1))"),0.0)</f>
        <v>0</v>
      </c>
    </row>
    <row r="77" ht="19.5" customHeight="1">
      <c r="A77" s="31"/>
      <c r="B77" s="32"/>
      <c r="C77" s="19">
        <v>76.0</v>
      </c>
      <c r="D77" s="20" t="s">
        <v>273</v>
      </c>
      <c r="E77" s="20" t="s">
        <v>72</v>
      </c>
      <c r="F77" s="20" t="s">
        <v>45</v>
      </c>
      <c r="G77" s="20" t="s">
        <v>97</v>
      </c>
      <c r="H77" s="19" t="s">
        <v>69</v>
      </c>
      <c r="I77" s="21" t="s">
        <v>41</v>
      </c>
      <c r="J77" s="34"/>
      <c r="K77" s="22"/>
      <c r="L77" s="23"/>
      <c r="M77" s="22"/>
      <c r="N77" s="19">
        <f>IFERROR(__xludf.DUMMYFUNCTION("SUM(QUERY(Entregas_BD!D:L,""select G where D='""&amp;D77&amp;""'"",1))"),0.0)</f>
        <v>0</v>
      </c>
      <c r="O77" s="19">
        <f>IFERROR(__xludf.DUMMYFUNCTION("SUM(QUERY(Entregas_BD!D:L,""select H where D='""&amp;D77&amp;""'"",1))"),0.0)</f>
        <v>0</v>
      </c>
      <c r="P77" s="19">
        <f>IFERROR(__xludf.DUMMYFUNCTION("SUM(QUERY(Entregas_BD!D:L,""select I where D='""&amp;D77&amp;""'"",1))"),0.0)</f>
        <v>0</v>
      </c>
      <c r="Q77" s="19">
        <f>IFERROR(__xludf.DUMMYFUNCTION("SUM(QUERY(Entregas_BD!D:L,""select J where D='""&amp;D77&amp;""'"",1))"),0.0)</f>
        <v>0</v>
      </c>
      <c r="R77" s="24">
        <f>IFERROR(__xludf.DUMMYFUNCTION("SUM(QUERY(Entregas_BD!D:L,""select K where D='""&amp;D77&amp;""'"",1))"),0.0)</f>
        <v>0</v>
      </c>
      <c r="S77" s="24">
        <f>IFERROR(__xludf.DUMMYFUNCTION("SUM(QUERY(Entregas_BD!D:L,""select L where D='""&amp;D77&amp;""'"",1))"),0.0)</f>
        <v>0</v>
      </c>
      <c r="T77" s="19">
        <f>IFERROR(__xludf.DUMMYFUNCTION("SUM(QUERY(Entregas_BD!D:AL,""select AG where D='""&amp;D77&amp;""'"",1))"),200.0)</f>
        <v>200</v>
      </c>
      <c r="U77" s="19">
        <f>IFERROR(__xludf.DUMMYFUNCTION("SUM(QUERY(Entregas_BD!D:AL,""select AH where D='""&amp;D77&amp;""'"",1))"),0.0)</f>
        <v>0</v>
      </c>
      <c r="V77" s="19">
        <f>IFERROR(__xludf.DUMMYFUNCTION("SUM(QUERY(Entregas_BD!D:AL,""select AI where D='""&amp;D77&amp;""'"",1))"),0.0)</f>
        <v>0</v>
      </c>
      <c r="W77" s="19">
        <f>IFERROR(__xludf.DUMMYFUNCTION("SUM(QUERY(Entregas_BD!D:AL,""select AJ where D='""&amp;D77&amp;""'"",1))"),0.0)</f>
        <v>0</v>
      </c>
      <c r="X77" s="19">
        <f>IFERROR(__xludf.DUMMYFUNCTION("SUM(QUERY(Entregas_BD!D:AL,""select AL where D='""&amp;D77&amp;""'"",1))"),0.0)</f>
        <v>0</v>
      </c>
      <c r="Y77" s="19">
        <f>IFERROR(__xludf.DUMMYFUNCTION("SUM(QUERY(Entregas_BD!D:AL,""select AK where D='""&amp;D77&amp;""'"",1))"),0.0)</f>
        <v>0</v>
      </c>
      <c r="Z77" s="19">
        <v>-200.0</v>
      </c>
      <c r="AA77" s="19">
        <v>0.0</v>
      </c>
      <c r="AB77" s="19">
        <v>0.0</v>
      </c>
      <c r="AC77" s="19">
        <v>0.0</v>
      </c>
      <c r="AD77" s="19">
        <v>0.0</v>
      </c>
      <c r="AE77" s="19">
        <v>0.0</v>
      </c>
      <c r="AF77" s="35" t="s">
        <v>274</v>
      </c>
      <c r="AG77" s="24">
        <f>IFERROR(__xludf.DUMMYFUNCTION("SUM(QUERY(Entregas_BD!D:W,""select U where D='""&amp;D77&amp;""'"",1))"),0.0)</f>
        <v>0</v>
      </c>
      <c r="AH77" s="24">
        <f>IFERROR(__xludf.DUMMYFUNCTION("SUM(QUERY(Entregas_BD!D:W,""select S where D='""&amp;D77&amp;""'"",1))"),0.0)</f>
        <v>0</v>
      </c>
      <c r="AI77" s="24">
        <f>IFERROR(__xludf.DUMMYFUNCTION("SUM(QUERY(Entregas_BD!D:W,""select T where D='""&amp;D77&amp;""'"",1))"),0.0)</f>
        <v>0</v>
      </c>
    </row>
    <row r="78" ht="19.5" customHeight="1">
      <c r="A78" s="7"/>
      <c r="B78" s="8"/>
      <c r="C78" s="9">
        <v>77.0</v>
      </c>
      <c r="D78" s="10" t="s">
        <v>275</v>
      </c>
      <c r="E78" s="10" t="s">
        <v>38</v>
      </c>
      <c r="F78" s="10" t="s">
        <v>276</v>
      </c>
      <c r="G78" s="10" t="s">
        <v>149</v>
      </c>
      <c r="H78" s="9" t="s">
        <v>40</v>
      </c>
      <c r="I78" s="11" t="s">
        <v>41</v>
      </c>
      <c r="J78" s="12"/>
      <c r="K78" s="28"/>
      <c r="L78" s="29"/>
      <c r="M78" s="36"/>
      <c r="N78" s="9">
        <f>IFERROR(__xludf.DUMMYFUNCTION("SUM(QUERY(Entregas_BD!D:L,""select G where D='""&amp;D78&amp;""'"",1))"),0.0)</f>
        <v>0</v>
      </c>
      <c r="O78" s="9">
        <f>IFERROR(__xludf.DUMMYFUNCTION("SUM(QUERY(Entregas_BD!D:L,""select H where D='""&amp;D78&amp;""'"",1))"),0.0)</f>
        <v>0</v>
      </c>
      <c r="P78" s="9">
        <f>IFERROR(__xludf.DUMMYFUNCTION("SUM(QUERY(Entregas_BD!D:L,""select I where D='""&amp;D78&amp;""'"",1))"),0.0)</f>
        <v>0</v>
      </c>
      <c r="Q78" s="9">
        <f>IFERROR(__xludf.DUMMYFUNCTION("SUM(QUERY(Entregas_BD!D:L,""select J where D='""&amp;D78&amp;""'"",1))"),0.0)</f>
        <v>0</v>
      </c>
      <c r="R78" s="15">
        <f>IFERROR(__xludf.DUMMYFUNCTION("SUM(QUERY(Entregas_BD!D:L,""select K where D='""&amp;D78&amp;""'"",1))"),0.0)</f>
        <v>0</v>
      </c>
      <c r="S78" s="15">
        <f>IFERROR(__xludf.DUMMYFUNCTION("SUM(QUERY(Entregas_BD!D:L,""select L where D='""&amp;D78&amp;""'"",1))"),0.0)</f>
        <v>0</v>
      </c>
      <c r="T78" s="9">
        <f>IFERROR(__xludf.DUMMYFUNCTION("SUM(QUERY(Entregas_BD!D:AL,""select AG where D='""&amp;D78&amp;""'"",1))"),50.0)</f>
        <v>50</v>
      </c>
      <c r="U78" s="9">
        <f>IFERROR(__xludf.DUMMYFUNCTION("SUM(QUERY(Entregas_BD!D:AL,""select AH where D='""&amp;D78&amp;""'"",1))"),0.0)</f>
        <v>0</v>
      </c>
      <c r="V78" s="9">
        <f>IFERROR(__xludf.DUMMYFUNCTION("SUM(QUERY(Entregas_BD!D:AL,""select AI where D='""&amp;D78&amp;""'"",1))"),0.0)</f>
        <v>0</v>
      </c>
      <c r="W78" s="9">
        <f>IFERROR(__xludf.DUMMYFUNCTION("SUM(QUERY(Entregas_BD!D:AL,""select AJ where D='""&amp;D78&amp;""'"",1))"),0.0)</f>
        <v>0</v>
      </c>
      <c r="X78" s="9">
        <f>IFERROR(__xludf.DUMMYFUNCTION("SUM(QUERY(Entregas_BD!D:AL,""select AL where D='""&amp;D78&amp;""'"",1))"),0.0)</f>
        <v>0</v>
      </c>
      <c r="Y78" s="9">
        <f>IFERROR(__xludf.DUMMYFUNCTION("SUM(QUERY(Entregas_BD!D:AL,""select AK where D='""&amp;D78&amp;""'"",1))"),0.0)</f>
        <v>0</v>
      </c>
      <c r="Z78" s="9">
        <v>-50.0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37" t="s">
        <v>277</v>
      </c>
      <c r="AG78" s="15">
        <f>IFERROR(__xludf.DUMMYFUNCTION("SUM(QUERY(Entregas_BD!D:W,""select U where D='""&amp;D78&amp;""'"",1))"),0.0)</f>
        <v>0</v>
      </c>
      <c r="AH78" s="15">
        <f>IFERROR(__xludf.DUMMYFUNCTION("SUM(QUERY(Entregas_BD!D:W,""select S where D='""&amp;D78&amp;""'"",1))"),0.0)</f>
        <v>0</v>
      </c>
      <c r="AI78" s="15">
        <f>IFERROR(__xludf.DUMMYFUNCTION("SUM(QUERY(Entregas_BD!D:W,""select T where D='""&amp;D78&amp;""'"",1))"),0.0)</f>
        <v>0</v>
      </c>
    </row>
    <row r="79" ht="19.5" customHeight="1">
      <c r="A79" s="31"/>
      <c r="B79" s="32"/>
      <c r="C79" s="19">
        <v>78.0</v>
      </c>
      <c r="D79" s="20" t="s">
        <v>278</v>
      </c>
      <c r="E79" s="20" t="s">
        <v>153</v>
      </c>
      <c r="F79" s="20" t="s">
        <v>279</v>
      </c>
      <c r="G79" s="20" t="s">
        <v>280</v>
      </c>
      <c r="H79" s="34" t="s">
        <v>40</v>
      </c>
      <c r="I79" s="21" t="s">
        <v>41</v>
      </c>
      <c r="J79" s="34"/>
      <c r="K79" s="22"/>
      <c r="L79" s="23"/>
      <c r="M79" s="41"/>
      <c r="N79" s="19">
        <f>IFERROR(__xludf.DUMMYFUNCTION("SUM(QUERY(Entregas_BD!D:L,""select G where D='""&amp;D79&amp;""'"",1))"),0.0)</f>
        <v>0</v>
      </c>
      <c r="O79" s="19">
        <f>IFERROR(__xludf.DUMMYFUNCTION("SUM(QUERY(Entregas_BD!D:L,""select H where D='""&amp;D79&amp;""'"",1))"),0.0)</f>
        <v>0</v>
      </c>
      <c r="P79" s="19">
        <f>IFERROR(__xludf.DUMMYFUNCTION("SUM(QUERY(Entregas_BD!D:L,""select I where D='""&amp;D79&amp;""'"",1))"),0.0)</f>
        <v>0</v>
      </c>
      <c r="Q79" s="19">
        <f>IFERROR(__xludf.DUMMYFUNCTION("SUM(QUERY(Entregas_BD!D:L,""select J where D='""&amp;D79&amp;""'"",1))"),0.0)</f>
        <v>0</v>
      </c>
      <c r="R79" s="24">
        <f>IFERROR(__xludf.DUMMYFUNCTION("SUM(QUERY(Entregas_BD!D:L,""select K where D='""&amp;D79&amp;""'"",1))"),0.0)</f>
        <v>0</v>
      </c>
      <c r="S79" s="24">
        <f>IFERROR(__xludf.DUMMYFUNCTION("SUM(QUERY(Entregas_BD!D:L,""select L where D='""&amp;D79&amp;""'"",1))"),0.0)</f>
        <v>0</v>
      </c>
      <c r="T79" s="19">
        <f>IFERROR(__xludf.DUMMYFUNCTION("SUM(QUERY(Entregas_BD!D:AL,""select AG where D='""&amp;D79&amp;""'"",1))"),0.0)</f>
        <v>0</v>
      </c>
      <c r="U79" s="19">
        <f>IFERROR(__xludf.DUMMYFUNCTION("SUM(QUERY(Entregas_BD!D:AL,""select AH where D='""&amp;D79&amp;""'"",1))"),0.0)</f>
        <v>0</v>
      </c>
      <c r="V79" s="19">
        <f>IFERROR(__xludf.DUMMYFUNCTION("SUM(QUERY(Entregas_BD!D:AL,""select AI where D='""&amp;D79&amp;""'"",1))"),0.0)</f>
        <v>0</v>
      </c>
      <c r="W79" s="19">
        <f>IFERROR(__xludf.DUMMYFUNCTION("SUM(QUERY(Entregas_BD!D:AL,""select AJ where D='""&amp;D79&amp;""'"",1))"),0.0)</f>
        <v>0</v>
      </c>
      <c r="X79" s="19">
        <f>IFERROR(__xludf.DUMMYFUNCTION("SUM(QUERY(Entregas_BD!D:AL,""select AL where D='""&amp;D79&amp;""'"",1))"),0.0)</f>
        <v>0</v>
      </c>
      <c r="Y79" s="19">
        <f>IFERROR(__xludf.DUMMYFUNCTION("SUM(QUERY(Entregas_BD!D:AL,""select AK where D='""&amp;D79&amp;""'"",1))"),0.0)</f>
        <v>0</v>
      </c>
      <c r="Z79" s="19">
        <v>0.0</v>
      </c>
      <c r="AA79" s="19">
        <v>0.0</v>
      </c>
      <c r="AB79" s="19">
        <v>0.0</v>
      </c>
      <c r="AC79" s="19">
        <v>0.0</v>
      </c>
      <c r="AD79" s="19">
        <v>0.0</v>
      </c>
      <c r="AE79" s="19">
        <v>0.0</v>
      </c>
      <c r="AF79" s="35" t="s">
        <v>281</v>
      </c>
      <c r="AG79" s="24">
        <f>IFERROR(__xludf.DUMMYFUNCTION("SUM(QUERY(Entregas_BD!D:W,""select U where D='""&amp;D79&amp;""'"",1))"),0.0)</f>
        <v>0</v>
      </c>
      <c r="AH79" s="24">
        <f>IFERROR(__xludf.DUMMYFUNCTION("SUM(QUERY(Entregas_BD!D:W,""select S where D='""&amp;D79&amp;""'"",1))"),0.0)</f>
        <v>0</v>
      </c>
      <c r="AI79" s="24">
        <f>IFERROR(__xludf.DUMMYFUNCTION("SUM(QUERY(Entregas_BD!D:W,""select T where D='""&amp;D79&amp;""'"",1))"),0.0)</f>
        <v>0</v>
      </c>
    </row>
    <row r="80" ht="19.5" customHeight="1">
      <c r="A80" s="7"/>
      <c r="B80" s="8"/>
      <c r="C80" s="9">
        <v>79.0</v>
      </c>
      <c r="D80" s="10" t="s">
        <v>282</v>
      </c>
      <c r="E80" s="10" t="s">
        <v>63</v>
      </c>
      <c r="F80" s="10" t="s">
        <v>283</v>
      </c>
      <c r="G80" s="10" t="s">
        <v>149</v>
      </c>
      <c r="H80" s="9" t="s">
        <v>51</v>
      </c>
      <c r="I80" s="11" t="s">
        <v>47</v>
      </c>
      <c r="J80" s="12"/>
      <c r="K80" s="28"/>
      <c r="L80" s="29"/>
      <c r="M80" s="36"/>
      <c r="N80" s="9">
        <f>IFERROR(__xludf.DUMMYFUNCTION("SUM(QUERY(Entregas_BD!D:L,""select G where D='""&amp;D80&amp;""'"",1))"),0.0)</f>
        <v>0</v>
      </c>
      <c r="O80" s="9">
        <f>IFERROR(__xludf.DUMMYFUNCTION("SUM(QUERY(Entregas_BD!D:L,""select H where D='""&amp;D80&amp;""'"",1))"),0.0)</f>
        <v>0</v>
      </c>
      <c r="P80" s="9">
        <f>IFERROR(__xludf.DUMMYFUNCTION("SUM(QUERY(Entregas_BD!D:L,""select I where D='""&amp;D80&amp;""'"",1))"),0.0)</f>
        <v>0</v>
      </c>
      <c r="Q80" s="9">
        <f>IFERROR(__xludf.DUMMYFUNCTION("SUM(QUERY(Entregas_BD!D:L,""select J where D='""&amp;D80&amp;""'"",1))"),0.0)</f>
        <v>0</v>
      </c>
      <c r="R80" s="15">
        <f>IFERROR(__xludf.DUMMYFUNCTION("SUM(QUERY(Entregas_BD!D:L,""select K where D='""&amp;D80&amp;""'"",1))"),0.0)</f>
        <v>0</v>
      </c>
      <c r="S80" s="15">
        <f>IFERROR(__xludf.DUMMYFUNCTION("SUM(QUERY(Entregas_BD!D:L,""select L where D='""&amp;D80&amp;""'"",1))"),0.0)</f>
        <v>0</v>
      </c>
      <c r="T80" s="9">
        <f>IFERROR(__xludf.DUMMYFUNCTION("SUM(QUERY(Entregas_BD!D:AL,""select AG where D='""&amp;D80&amp;""'"",1))"),0.0)</f>
        <v>0</v>
      </c>
      <c r="U80" s="9">
        <f>IFERROR(__xludf.DUMMYFUNCTION("SUM(QUERY(Entregas_BD!D:AL,""select AH where D='""&amp;D80&amp;""'"",1))"),0.0)</f>
        <v>0</v>
      </c>
      <c r="V80" s="9">
        <f>IFERROR(__xludf.DUMMYFUNCTION("SUM(QUERY(Entregas_BD!D:AL,""select AI where D='""&amp;D80&amp;""'"",1))"),0.0)</f>
        <v>0</v>
      </c>
      <c r="W80" s="9">
        <f>IFERROR(__xludf.DUMMYFUNCTION("SUM(QUERY(Entregas_BD!D:AL,""select AJ where D='""&amp;D80&amp;""'"",1))"),0.0)</f>
        <v>0</v>
      </c>
      <c r="X80" s="9">
        <f>IFERROR(__xludf.DUMMYFUNCTION("SUM(QUERY(Entregas_BD!D:AL,""select AL where D='""&amp;D80&amp;""'"",1))"),0.0)</f>
        <v>0</v>
      </c>
      <c r="Y80" s="9">
        <f>IFERROR(__xludf.DUMMYFUNCTION("SUM(QUERY(Entregas_BD!D:AL,""select AK where D='""&amp;D80&amp;""'"",1))"),0.0)</f>
        <v>0</v>
      </c>
      <c r="Z80" s="9">
        <v>0.0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30" t="s">
        <v>284</v>
      </c>
      <c r="AG80" s="15">
        <f>IFERROR(__xludf.DUMMYFUNCTION("SUM(QUERY(Entregas_BD!D:W,""select U where D='""&amp;D80&amp;""'"",1))"),0.0)</f>
        <v>0</v>
      </c>
      <c r="AH80" s="15">
        <f>IFERROR(__xludf.DUMMYFUNCTION("SUM(QUERY(Entregas_BD!D:W,""select S where D='""&amp;D80&amp;""'"",1))"),0.0)</f>
        <v>0</v>
      </c>
      <c r="AI80" s="15">
        <f>IFERROR(__xludf.DUMMYFUNCTION("SUM(QUERY(Entregas_BD!D:W,""select T where D='""&amp;D80&amp;""'"",1))"),0.0)</f>
        <v>0</v>
      </c>
    </row>
    <row r="81" ht="19.5" customHeight="1">
      <c r="A81" s="31"/>
      <c r="B81" s="32"/>
      <c r="C81" s="19">
        <v>80.0</v>
      </c>
      <c r="D81" s="20" t="s">
        <v>285</v>
      </c>
      <c r="E81" s="20" t="s">
        <v>58</v>
      </c>
      <c r="F81" s="20" t="s">
        <v>45</v>
      </c>
      <c r="G81" s="20" t="s">
        <v>88</v>
      </c>
      <c r="H81" s="19" t="s">
        <v>40</v>
      </c>
      <c r="I81" s="21" t="s">
        <v>41</v>
      </c>
      <c r="J81" s="19"/>
      <c r="K81" s="22"/>
      <c r="L81" s="23"/>
      <c r="M81" s="22"/>
      <c r="N81" s="19">
        <f>IFERROR(__xludf.DUMMYFUNCTION("SUM(QUERY(Entregas_BD!D:L,""select G where D='""&amp;D81&amp;""'"",1))"),0.0)</f>
        <v>0</v>
      </c>
      <c r="O81" s="19">
        <f>IFERROR(__xludf.DUMMYFUNCTION("SUM(QUERY(Entregas_BD!D:L,""select H where D='""&amp;D81&amp;""'"",1))"),0.0)</f>
        <v>0</v>
      </c>
      <c r="P81" s="19">
        <f>IFERROR(__xludf.DUMMYFUNCTION("SUM(QUERY(Entregas_BD!D:L,""select I where D='""&amp;D81&amp;""'"",1))"),0.0)</f>
        <v>0</v>
      </c>
      <c r="Q81" s="19">
        <f>IFERROR(__xludf.DUMMYFUNCTION("SUM(QUERY(Entregas_BD!D:L,""select J where D='""&amp;D81&amp;""'"",1))"),0.0)</f>
        <v>0</v>
      </c>
      <c r="R81" s="24">
        <f>IFERROR(__xludf.DUMMYFUNCTION("SUM(QUERY(Entregas_BD!D:L,""select K where D='""&amp;D81&amp;""'"",1))"),0.0)</f>
        <v>0</v>
      </c>
      <c r="S81" s="24">
        <f>IFERROR(__xludf.DUMMYFUNCTION("SUM(QUERY(Entregas_BD!D:L,""select L where D='""&amp;D81&amp;""'"",1))"),0.0)</f>
        <v>0</v>
      </c>
      <c r="T81" s="19">
        <f>IFERROR(__xludf.DUMMYFUNCTION("SUM(QUERY(Entregas_BD!D:AL,""select AG where D='""&amp;D81&amp;""'"",1))"),0.0)</f>
        <v>0</v>
      </c>
      <c r="U81" s="19">
        <f>IFERROR(__xludf.DUMMYFUNCTION("SUM(QUERY(Entregas_BD!D:AL,""select AH where D='""&amp;D81&amp;""'"",1))"),0.0)</f>
        <v>0</v>
      </c>
      <c r="V81" s="19">
        <f>IFERROR(__xludf.DUMMYFUNCTION("SUM(QUERY(Entregas_BD!D:AL,""select AI where D='""&amp;D81&amp;""'"",1))"),0.0)</f>
        <v>0</v>
      </c>
      <c r="W81" s="19">
        <f>IFERROR(__xludf.DUMMYFUNCTION("SUM(QUERY(Entregas_BD!D:AL,""select AJ where D='""&amp;D81&amp;""'"",1))"),0.0)</f>
        <v>0</v>
      </c>
      <c r="X81" s="19">
        <f>IFERROR(__xludf.DUMMYFUNCTION("SUM(QUERY(Entregas_BD!D:AL,""select AL where D='""&amp;D81&amp;""'"",1))"),0.0)</f>
        <v>0</v>
      </c>
      <c r="Y81" s="19">
        <f>IFERROR(__xludf.DUMMYFUNCTION("SUM(QUERY(Entregas_BD!D:AL,""select AK where D='""&amp;D81&amp;""'"",1))"),0.0)</f>
        <v>0</v>
      </c>
      <c r="Z81" s="19">
        <v>0.0</v>
      </c>
      <c r="AA81" s="19">
        <v>0.0</v>
      </c>
      <c r="AB81" s="19">
        <v>0.0</v>
      </c>
      <c r="AC81" s="19">
        <v>0.0</v>
      </c>
      <c r="AD81" s="19">
        <v>0.0</v>
      </c>
      <c r="AE81" s="19">
        <v>0.0</v>
      </c>
      <c r="AF81" s="35" t="s">
        <v>260</v>
      </c>
      <c r="AG81" s="24">
        <f>IFERROR(__xludf.DUMMYFUNCTION("SUM(QUERY(Entregas_BD!D:W,""select U where D='""&amp;D81&amp;""'"",1))"),0.0)</f>
        <v>0</v>
      </c>
      <c r="AH81" s="24">
        <f>IFERROR(__xludf.DUMMYFUNCTION("SUM(QUERY(Entregas_BD!D:W,""select S where D='""&amp;D81&amp;""'"",1))"),0.0)</f>
        <v>0</v>
      </c>
      <c r="AI81" s="24">
        <f>IFERROR(__xludf.DUMMYFUNCTION("SUM(QUERY(Entregas_BD!D:W,""select T where D='""&amp;D81&amp;""'"",1))"),0.0)</f>
        <v>0</v>
      </c>
    </row>
    <row r="82" ht="19.5" customHeight="1">
      <c r="A82" s="7"/>
      <c r="B82" s="8"/>
      <c r="C82" s="9">
        <v>81.0</v>
      </c>
      <c r="D82" s="10" t="s">
        <v>286</v>
      </c>
      <c r="E82" s="10" t="s">
        <v>63</v>
      </c>
      <c r="F82" s="10" t="s">
        <v>139</v>
      </c>
      <c r="G82" s="10" t="s">
        <v>149</v>
      </c>
      <c r="H82" s="9" t="s">
        <v>51</v>
      </c>
      <c r="I82" s="11" t="s">
        <v>47</v>
      </c>
      <c r="J82" s="12"/>
      <c r="K82" s="28"/>
      <c r="L82" s="29"/>
      <c r="M82" s="36"/>
      <c r="N82" s="9">
        <f>IFERROR(__xludf.DUMMYFUNCTION("SUM(QUERY(Entregas_BD!D:L,""select G where D='""&amp;D82&amp;""'"",1))"),0.0)</f>
        <v>0</v>
      </c>
      <c r="O82" s="9">
        <f>IFERROR(__xludf.DUMMYFUNCTION("SUM(QUERY(Entregas_BD!D:L,""select H where D='""&amp;D82&amp;""'"",1))"),0.0)</f>
        <v>0</v>
      </c>
      <c r="P82" s="9">
        <f>IFERROR(__xludf.DUMMYFUNCTION("SUM(QUERY(Entregas_BD!D:L,""select I where D='""&amp;D82&amp;""'"",1))"),0.0)</f>
        <v>0</v>
      </c>
      <c r="Q82" s="9">
        <f>IFERROR(__xludf.DUMMYFUNCTION("SUM(QUERY(Entregas_BD!D:L,""select J where D='""&amp;D82&amp;""'"",1))"),0.0)</f>
        <v>0</v>
      </c>
      <c r="R82" s="15">
        <f>IFERROR(__xludf.DUMMYFUNCTION("SUM(QUERY(Entregas_BD!D:L,""select K where D='""&amp;D82&amp;""'"",1))"),0.0)</f>
        <v>0</v>
      </c>
      <c r="S82" s="15">
        <f>IFERROR(__xludf.DUMMYFUNCTION("SUM(QUERY(Entregas_BD!D:L,""select L where D='""&amp;D82&amp;""'"",1))"),0.0)</f>
        <v>0</v>
      </c>
      <c r="T82" s="9">
        <f>IFERROR(__xludf.DUMMYFUNCTION("SUM(QUERY(Entregas_BD!D:AL,""select AG where D='""&amp;D82&amp;""'"",1))"),0.0)</f>
        <v>0</v>
      </c>
      <c r="U82" s="9">
        <f>IFERROR(__xludf.DUMMYFUNCTION("SUM(QUERY(Entregas_BD!D:AL,""select AH where D='""&amp;D82&amp;""'"",1))"),0.0)</f>
        <v>0</v>
      </c>
      <c r="V82" s="9">
        <f>IFERROR(__xludf.DUMMYFUNCTION("SUM(QUERY(Entregas_BD!D:AL,""select AI where D='""&amp;D82&amp;""'"",1))"),0.0)</f>
        <v>0</v>
      </c>
      <c r="W82" s="9">
        <f>IFERROR(__xludf.DUMMYFUNCTION("SUM(QUERY(Entregas_BD!D:AL,""select AJ where D='""&amp;D82&amp;""'"",1))"),0.0)</f>
        <v>0</v>
      </c>
      <c r="X82" s="9">
        <f>IFERROR(__xludf.DUMMYFUNCTION("SUM(QUERY(Entregas_BD!D:AL,""select AL where D='""&amp;D82&amp;""'"",1))"),0.0)</f>
        <v>0</v>
      </c>
      <c r="Y82" s="9">
        <f>IFERROR(__xludf.DUMMYFUNCTION("SUM(QUERY(Entregas_BD!D:AL,""select AK where D='""&amp;D82&amp;""'"",1))"),0.0)</f>
        <v>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37" t="s">
        <v>287</v>
      </c>
      <c r="AG82" s="15">
        <f>IFERROR(__xludf.DUMMYFUNCTION("SUM(QUERY(Entregas_BD!D:W,""select U where D='""&amp;D82&amp;""'"",1))"),0.0)</f>
        <v>0</v>
      </c>
      <c r="AH82" s="15">
        <f>IFERROR(__xludf.DUMMYFUNCTION("SUM(QUERY(Entregas_BD!D:W,""select S where D='""&amp;D82&amp;""'"",1))"),0.0)</f>
        <v>0</v>
      </c>
      <c r="AI82" s="15">
        <f>IFERROR(__xludf.DUMMYFUNCTION("SUM(QUERY(Entregas_BD!D:W,""select T where D='""&amp;D82&amp;""'"",1))"),0.0)</f>
        <v>0</v>
      </c>
    </row>
    <row r="83" ht="19.5" customHeight="1">
      <c r="A83" s="31"/>
      <c r="B83" s="32"/>
      <c r="C83" s="19">
        <v>82.0</v>
      </c>
      <c r="D83" s="20" t="s">
        <v>288</v>
      </c>
      <c r="E83" s="20" t="s">
        <v>58</v>
      </c>
      <c r="F83" s="20" t="s">
        <v>45</v>
      </c>
      <c r="G83" s="20" t="s">
        <v>289</v>
      </c>
      <c r="H83" s="19" t="s">
        <v>51</v>
      </c>
      <c r="I83" s="21" t="s">
        <v>47</v>
      </c>
      <c r="J83" s="19"/>
      <c r="K83" s="22"/>
      <c r="L83" s="23"/>
      <c r="M83" s="22"/>
      <c r="N83" s="19">
        <f>IFERROR(__xludf.DUMMYFUNCTION("SUM(QUERY(Entregas_BD!D:L,""select G where D='""&amp;D83&amp;""'"",1))"),0.0)</f>
        <v>0</v>
      </c>
      <c r="O83" s="19">
        <f>IFERROR(__xludf.DUMMYFUNCTION("SUM(QUERY(Entregas_BD!D:L,""select H where D='""&amp;D83&amp;""'"",1))"),0.0)</f>
        <v>0</v>
      </c>
      <c r="P83" s="19">
        <f>IFERROR(__xludf.DUMMYFUNCTION("SUM(QUERY(Entregas_BD!D:L,""select I where D='""&amp;D83&amp;""'"",1))"),0.0)</f>
        <v>0</v>
      </c>
      <c r="Q83" s="19">
        <f>IFERROR(__xludf.DUMMYFUNCTION("SUM(QUERY(Entregas_BD!D:L,""select J where D='""&amp;D83&amp;""'"",1))"),0.0)</f>
        <v>0</v>
      </c>
      <c r="R83" s="24">
        <f>IFERROR(__xludf.DUMMYFUNCTION("SUM(QUERY(Entregas_BD!D:L,""select K where D='""&amp;D83&amp;""'"",1))"),0.0)</f>
        <v>0</v>
      </c>
      <c r="S83" s="24">
        <f>IFERROR(__xludf.DUMMYFUNCTION("SUM(QUERY(Entregas_BD!D:L,""select L where D='""&amp;D83&amp;""'"",1))"),0.0)</f>
        <v>0</v>
      </c>
      <c r="T83" s="19">
        <f>IFERROR(__xludf.DUMMYFUNCTION("SUM(QUERY(Entregas_BD!D:AL,""select AG where D='""&amp;D83&amp;""'"",1))"),0.0)</f>
        <v>0</v>
      </c>
      <c r="U83" s="19">
        <f>IFERROR(__xludf.DUMMYFUNCTION("SUM(QUERY(Entregas_BD!D:AL,""select AH where D='""&amp;D83&amp;""'"",1))"),0.0)</f>
        <v>0</v>
      </c>
      <c r="V83" s="19">
        <f>IFERROR(__xludf.DUMMYFUNCTION("SUM(QUERY(Entregas_BD!D:AL,""select AI where D='""&amp;D83&amp;""'"",1))"),0.0)</f>
        <v>0</v>
      </c>
      <c r="W83" s="19">
        <f>IFERROR(__xludf.DUMMYFUNCTION("SUM(QUERY(Entregas_BD!D:AL,""select AJ where D='""&amp;D83&amp;""'"",1))"),0.0)</f>
        <v>0</v>
      </c>
      <c r="X83" s="19">
        <f>IFERROR(__xludf.DUMMYFUNCTION("SUM(QUERY(Entregas_BD!D:AL,""select AL where D='""&amp;D83&amp;""'"",1))"),0.0)</f>
        <v>0</v>
      </c>
      <c r="Y83" s="19">
        <f>IFERROR(__xludf.DUMMYFUNCTION("SUM(QUERY(Entregas_BD!D:AL,""select AK where D='""&amp;D83&amp;""'"",1))"),0.0)</f>
        <v>0</v>
      </c>
      <c r="Z83" s="19">
        <v>0.0</v>
      </c>
      <c r="AA83" s="19">
        <v>0.0</v>
      </c>
      <c r="AB83" s="19">
        <v>0.0</v>
      </c>
      <c r="AC83" s="19">
        <v>0.0</v>
      </c>
      <c r="AD83" s="19">
        <v>0.0</v>
      </c>
      <c r="AE83" s="19">
        <v>0.0</v>
      </c>
      <c r="AF83" s="35" t="s">
        <v>290</v>
      </c>
      <c r="AG83" s="24">
        <f>IFERROR(__xludf.DUMMYFUNCTION("SUM(QUERY(Entregas_BD!D:W,""select U where D='""&amp;D83&amp;""'"",1))"),0.0)</f>
        <v>0</v>
      </c>
      <c r="AH83" s="24">
        <f>IFERROR(__xludf.DUMMYFUNCTION("SUM(QUERY(Entregas_BD!D:W,""select S where D='""&amp;D83&amp;""'"",1))"),0.0)</f>
        <v>0</v>
      </c>
      <c r="AI83" s="24">
        <f>IFERROR(__xludf.DUMMYFUNCTION("SUM(QUERY(Entregas_BD!D:W,""select T where D='""&amp;D83&amp;""'"",1))"),0.0)</f>
        <v>0</v>
      </c>
    </row>
    <row r="84" ht="19.5" customHeight="1">
      <c r="A84" s="7"/>
      <c r="B84" s="8"/>
      <c r="C84" s="9">
        <v>83.0</v>
      </c>
      <c r="D84" s="10" t="s">
        <v>291</v>
      </c>
      <c r="E84" s="10" t="s">
        <v>58</v>
      </c>
      <c r="F84" s="10" t="s">
        <v>45</v>
      </c>
      <c r="G84" s="10" t="s">
        <v>292</v>
      </c>
      <c r="H84" s="9" t="s">
        <v>40</v>
      </c>
      <c r="I84" s="11" t="s">
        <v>47</v>
      </c>
      <c r="J84" s="9"/>
      <c r="K84" s="28"/>
      <c r="L84" s="29"/>
      <c r="M84" s="28"/>
      <c r="N84" s="9">
        <f>IFERROR(__xludf.DUMMYFUNCTION("SUM(QUERY(Entregas_BD!D:L,""select G where D='""&amp;D84&amp;""'"",1))"),0.0)</f>
        <v>0</v>
      </c>
      <c r="O84" s="9">
        <f>IFERROR(__xludf.DUMMYFUNCTION("SUM(QUERY(Entregas_BD!D:L,""select H where D='""&amp;D84&amp;""'"",1))"),0.0)</f>
        <v>0</v>
      </c>
      <c r="P84" s="9">
        <f>IFERROR(__xludf.DUMMYFUNCTION("SUM(QUERY(Entregas_BD!D:L,""select I where D='""&amp;D84&amp;""'"",1))"),0.0)</f>
        <v>0</v>
      </c>
      <c r="Q84" s="9">
        <f>IFERROR(__xludf.DUMMYFUNCTION("SUM(QUERY(Entregas_BD!D:L,""select J where D='""&amp;D84&amp;""'"",1))"),0.0)</f>
        <v>0</v>
      </c>
      <c r="R84" s="15">
        <f>IFERROR(__xludf.DUMMYFUNCTION("SUM(QUERY(Entregas_BD!D:L,""select K where D='""&amp;D84&amp;""'"",1))"),0.0)</f>
        <v>0</v>
      </c>
      <c r="S84" s="15">
        <f>IFERROR(__xludf.DUMMYFUNCTION("SUM(QUERY(Entregas_BD!D:L,""select L where D='""&amp;D84&amp;""'"",1))"),0.0)</f>
        <v>0</v>
      </c>
      <c r="T84" s="9">
        <f>IFERROR(__xludf.DUMMYFUNCTION("SUM(QUERY(Entregas_BD!D:AL,""select AG where D='""&amp;D84&amp;""'"",1))"),0.0)</f>
        <v>0</v>
      </c>
      <c r="U84" s="9">
        <f>IFERROR(__xludf.DUMMYFUNCTION("SUM(QUERY(Entregas_BD!D:AL,""select AH where D='""&amp;D84&amp;""'"",1))"),0.0)</f>
        <v>0</v>
      </c>
      <c r="V84" s="9">
        <f>IFERROR(__xludf.DUMMYFUNCTION("SUM(QUERY(Entregas_BD!D:AL,""select AI where D='""&amp;D84&amp;""'"",1))"),0.0)</f>
        <v>0</v>
      </c>
      <c r="W84" s="9">
        <f>IFERROR(__xludf.DUMMYFUNCTION("SUM(QUERY(Entregas_BD!D:AL,""select AJ where D='""&amp;D84&amp;""'"",1))"),0.0)</f>
        <v>0</v>
      </c>
      <c r="X84" s="9">
        <f>IFERROR(__xludf.DUMMYFUNCTION("SUM(QUERY(Entregas_BD!D:AL,""select AL where D='""&amp;D84&amp;""'"",1))"),0.0)</f>
        <v>0</v>
      </c>
      <c r="Y84" s="9">
        <f>IFERROR(__xludf.DUMMYFUNCTION("SUM(QUERY(Entregas_BD!D:AL,""select AK where D='""&amp;D84&amp;""'"",1))"),0.0)</f>
        <v>0</v>
      </c>
      <c r="Z84" s="9">
        <v>0.0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37" t="s">
        <v>293</v>
      </c>
      <c r="AG84" s="15">
        <f>IFERROR(__xludf.DUMMYFUNCTION("SUM(QUERY(Entregas_BD!D:W,""select U where D='""&amp;D84&amp;""'"",1))"),0.0)</f>
        <v>0</v>
      </c>
      <c r="AH84" s="15">
        <f>IFERROR(__xludf.DUMMYFUNCTION("SUM(QUERY(Entregas_BD!D:W,""select S where D='""&amp;D84&amp;""'"",1))"),0.0)</f>
        <v>0</v>
      </c>
      <c r="AI84" s="15">
        <f>IFERROR(__xludf.DUMMYFUNCTION("SUM(QUERY(Entregas_BD!D:W,""select T where D='""&amp;D84&amp;""'"",1))"),0.0)</f>
        <v>0</v>
      </c>
    </row>
    <row r="85" ht="19.5" customHeight="1">
      <c r="A85" s="31"/>
      <c r="B85" s="32"/>
      <c r="C85" s="19">
        <v>84.0</v>
      </c>
      <c r="D85" s="33" t="s">
        <v>294</v>
      </c>
      <c r="E85" s="20" t="s">
        <v>58</v>
      </c>
      <c r="F85" s="20" t="s">
        <v>45</v>
      </c>
      <c r="G85" s="20" t="s">
        <v>88</v>
      </c>
      <c r="H85" s="19" t="s">
        <v>51</v>
      </c>
      <c r="I85" s="21" t="s">
        <v>41</v>
      </c>
      <c r="J85" s="19"/>
      <c r="K85" s="22"/>
      <c r="L85" s="23"/>
      <c r="M85" s="22"/>
      <c r="N85" s="19">
        <f>IFERROR(__xludf.DUMMYFUNCTION("SUM(QUERY(Entregas_BD!D:L,""select G where D='""&amp;D85&amp;""'"",1))"),0.0)</f>
        <v>0</v>
      </c>
      <c r="O85" s="19">
        <f>IFERROR(__xludf.DUMMYFUNCTION("SUM(QUERY(Entregas_BD!D:L,""select H where D='""&amp;D85&amp;""'"",1))"),0.0)</f>
        <v>0</v>
      </c>
      <c r="P85" s="19">
        <f>IFERROR(__xludf.DUMMYFUNCTION("SUM(QUERY(Entregas_BD!D:L,""select I where D='""&amp;D85&amp;""'"",1))"),0.0)</f>
        <v>0</v>
      </c>
      <c r="Q85" s="19">
        <f>IFERROR(__xludf.DUMMYFUNCTION("SUM(QUERY(Entregas_BD!D:L,""select J where D='""&amp;D85&amp;""'"",1))"),0.0)</f>
        <v>0</v>
      </c>
      <c r="R85" s="24">
        <f>IFERROR(__xludf.DUMMYFUNCTION("SUM(QUERY(Entregas_BD!D:L,""select K where D='""&amp;D85&amp;""'"",1))"),0.0)</f>
        <v>0</v>
      </c>
      <c r="S85" s="24">
        <f>IFERROR(__xludf.DUMMYFUNCTION("SUM(QUERY(Entregas_BD!D:L,""select L where D='""&amp;D85&amp;""'"",1))"),0.0)</f>
        <v>0</v>
      </c>
      <c r="T85" s="19">
        <f>IFERROR(__xludf.DUMMYFUNCTION("SUM(QUERY(Entregas_BD!D:AL,""select AG where D='""&amp;D85&amp;""'"",1))"),50.0)</f>
        <v>50</v>
      </c>
      <c r="U85" s="19">
        <f>IFERROR(__xludf.DUMMYFUNCTION("SUM(QUERY(Entregas_BD!D:AL,""select AH where D='""&amp;D85&amp;""'"",1))"),0.0)</f>
        <v>0</v>
      </c>
      <c r="V85" s="19">
        <f>IFERROR(__xludf.DUMMYFUNCTION("SUM(QUERY(Entregas_BD!D:AL,""select AI where D='""&amp;D85&amp;""'"",1))"),0.0)</f>
        <v>0</v>
      </c>
      <c r="W85" s="19">
        <f>IFERROR(__xludf.DUMMYFUNCTION("SUM(QUERY(Entregas_BD!D:AL,""select AJ where D='""&amp;D85&amp;""'"",1))"),0.0)</f>
        <v>0</v>
      </c>
      <c r="X85" s="19">
        <f>IFERROR(__xludf.DUMMYFUNCTION("SUM(QUERY(Entregas_BD!D:AL,""select AL where D='""&amp;D85&amp;""'"",1))"),0.0)</f>
        <v>0</v>
      </c>
      <c r="Y85" s="19">
        <f>IFERROR(__xludf.DUMMYFUNCTION("SUM(QUERY(Entregas_BD!D:AL,""select AK where D='""&amp;D85&amp;""'"",1))"),0.0)</f>
        <v>0</v>
      </c>
      <c r="Z85" s="19">
        <v>-50.0</v>
      </c>
      <c r="AA85" s="19">
        <v>0.0</v>
      </c>
      <c r="AB85" s="19">
        <v>0.0</v>
      </c>
      <c r="AC85" s="19">
        <v>0.0</v>
      </c>
      <c r="AD85" s="19">
        <v>0.0</v>
      </c>
      <c r="AE85" s="19">
        <v>0.0</v>
      </c>
      <c r="AF85" s="35" t="s">
        <v>295</v>
      </c>
      <c r="AG85" s="24">
        <f>IFERROR(__xludf.DUMMYFUNCTION("SUM(QUERY(Entregas_BD!D:W,""select U where D='""&amp;D85&amp;""'"",1))"),0.0)</f>
        <v>0</v>
      </c>
      <c r="AH85" s="24">
        <f>IFERROR(__xludf.DUMMYFUNCTION("SUM(QUERY(Entregas_BD!D:W,""select S where D='""&amp;D85&amp;""'"",1))"),0.0)</f>
        <v>0</v>
      </c>
      <c r="AI85" s="24">
        <f>IFERROR(__xludf.DUMMYFUNCTION("SUM(QUERY(Entregas_BD!D:W,""select T where D='""&amp;D85&amp;""'"",1))"),0.0)</f>
        <v>0</v>
      </c>
    </row>
    <row r="86" ht="19.5" customHeight="1">
      <c r="A86" s="7"/>
      <c r="B86" s="8"/>
      <c r="C86" s="9">
        <v>85.0</v>
      </c>
      <c r="D86" s="10" t="s">
        <v>296</v>
      </c>
      <c r="E86" s="10" t="s">
        <v>58</v>
      </c>
      <c r="F86" s="10" t="s">
        <v>45</v>
      </c>
      <c r="G86" s="10" t="s">
        <v>297</v>
      </c>
      <c r="H86" s="9" t="s">
        <v>51</v>
      </c>
      <c r="I86" s="11" t="s">
        <v>41</v>
      </c>
      <c r="J86" s="9"/>
      <c r="K86" s="28"/>
      <c r="L86" s="29"/>
      <c r="M86" s="28"/>
      <c r="N86" s="9">
        <f>IFERROR(__xludf.DUMMYFUNCTION("SUM(QUERY(Entregas_BD!D:L,""select G where D='""&amp;D86&amp;""'"",1))"),0.0)</f>
        <v>0</v>
      </c>
      <c r="O86" s="9">
        <f>IFERROR(__xludf.DUMMYFUNCTION("SUM(QUERY(Entregas_BD!D:L,""select H where D='""&amp;D86&amp;""'"",1))"),0.0)</f>
        <v>0</v>
      </c>
      <c r="P86" s="9">
        <f>IFERROR(__xludf.DUMMYFUNCTION("SUM(QUERY(Entregas_BD!D:L,""select I where D='""&amp;D86&amp;""'"",1))"),0.0)</f>
        <v>0</v>
      </c>
      <c r="Q86" s="9">
        <f>IFERROR(__xludf.DUMMYFUNCTION("SUM(QUERY(Entregas_BD!D:L,""select J where D='""&amp;D86&amp;""'"",1))"),0.0)</f>
        <v>0</v>
      </c>
      <c r="R86" s="15">
        <f>IFERROR(__xludf.DUMMYFUNCTION("SUM(QUERY(Entregas_BD!D:L,""select K where D='""&amp;D86&amp;""'"",1))"),0.0)</f>
        <v>0</v>
      </c>
      <c r="S86" s="15">
        <f>IFERROR(__xludf.DUMMYFUNCTION("SUM(QUERY(Entregas_BD!D:L,""select L where D='""&amp;D86&amp;""'"",1))"),0.0)</f>
        <v>0</v>
      </c>
      <c r="T86" s="9">
        <f>IFERROR(__xludf.DUMMYFUNCTION("SUM(QUERY(Entregas_BD!D:AL,""select AG where D='""&amp;D86&amp;""'"",1))"),0.0)</f>
        <v>0</v>
      </c>
      <c r="U86" s="9">
        <f>IFERROR(__xludf.DUMMYFUNCTION("SUM(QUERY(Entregas_BD!D:AL,""select AH where D='""&amp;D86&amp;""'"",1))"),0.0)</f>
        <v>0</v>
      </c>
      <c r="V86" s="9">
        <f>IFERROR(__xludf.DUMMYFUNCTION("SUM(QUERY(Entregas_BD!D:AL,""select AI where D='""&amp;D86&amp;""'"",1))"),0.0)</f>
        <v>0</v>
      </c>
      <c r="W86" s="9">
        <f>IFERROR(__xludf.DUMMYFUNCTION("SUM(QUERY(Entregas_BD!D:AL,""select AJ where D='""&amp;D86&amp;""'"",1))"),0.0)</f>
        <v>0</v>
      </c>
      <c r="X86" s="9">
        <f>IFERROR(__xludf.DUMMYFUNCTION("SUM(QUERY(Entregas_BD!D:AL,""select AL where D='""&amp;D86&amp;""'"",1))"),0.0)</f>
        <v>0</v>
      </c>
      <c r="Y86" s="9">
        <f>IFERROR(__xludf.DUMMYFUNCTION("SUM(QUERY(Entregas_BD!D:AL,""select AK where D='""&amp;D86&amp;""'"",1))"),0.0)</f>
        <v>0</v>
      </c>
      <c r="Z86" s="9">
        <v>0.0</v>
      </c>
      <c r="AA86" s="9">
        <v>0.0</v>
      </c>
      <c r="AB86" s="9">
        <v>0.0</v>
      </c>
      <c r="AC86" s="9">
        <v>0.0</v>
      </c>
      <c r="AD86" s="9">
        <v>0.0</v>
      </c>
      <c r="AE86" s="9">
        <v>0.0</v>
      </c>
      <c r="AF86" s="30" t="s">
        <v>298</v>
      </c>
      <c r="AG86" s="15">
        <f>IFERROR(__xludf.DUMMYFUNCTION("SUM(QUERY(Entregas_BD!D:W,""select U where D='""&amp;D86&amp;""'"",1))"),0.0)</f>
        <v>0</v>
      </c>
      <c r="AH86" s="15">
        <f>IFERROR(__xludf.DUMMYFUNCTION("SUM(QUERY(Entregas_BD!D:W,""select S where D='""&amp;D86&amp;""'"",1))"),0.0)</f>
        <v>0</v>
      </c>
      <c r="AI86" s="15">
        <f>IFERROR(__xludf.DUMMYFUNCTION("SUM(QUERY(Entregas_BD!D:W,""select T where D='""&amp;D86&amp;""'"",1))"),0.0)</f>
        <v>0</v>
      </c>
    </row>
    <row r="87" ht="19.5" customHeight="1">
      <c r="A87" s="17"/>
      <c r="B87" s="18"/>
      <c r="C87" s="19">
        <v>86.0</v>
      </c>
      <c r="D87" s="20" t="s">
        <v>299</v>
      </c>
      <c r="E87" s="20" t="s">
        <v>44</v>
      </c>
      <c r="F87" s="20" t="s">
        <v>45</v>
      </c>
      <c r="G87" s="20" t="s">
        <v>300</v>
      </c>
      <c r="H87" s="19" t="s">
        <v>69</v>
      </c>
      <c r="I87" s="21" t="s">
        <v>41</v>
      </c>
      <c r="J87" s="19"/>
      <c r="K87" s="22"/>
      <c r="L87" s="23"/>
      <c r="M87" s="22"/>
      <c r="N87" s="19">
        <f>IFERROR(__xludf.DUMMYFUNCTION("SUM(QUERY(Entregas_BD!D:L,""select G where D='""&amp;D87&amp;""'"",1))"),0.0)</f>
        <v>0</v>
      </c>
      <c r="O87" s="19">
        <f>IFERROR(__xludf.DUMMYFUNCTION("SUM(QUERY(Entregas_BD!D:L,""select H where D='""&amp;D87&amp;""'"",1))"),0.0)</f>
        <v>0</v>
      </c>
      <c r="P87" s="19">
        <f>IFERROR(__xludf.DUMMYFUNCTION("SUM(QUERY(Entregas_BD!D:L,""select I where D='""&amp;D87&amp;""'"",1))"),0.0)</f>
        <v>0</v>
      </c>
      <c r="Q87" s="19">
        <f>IFERROR(__xludf.DUMMYFUNCTION("SUM(QUERY(Entregas_BD!D:L,""select J where D='""&amp;D87&amp;""'"",1))"),0.0)</f>
        <v>0</v>
      </c>
      <c r="R87" s="24">
        <f>IFERROR(__xludf.DUMMYFUNCTION("SUM(QUERY(Entregas_BD!D:L,""select K where D='""&amp;D87&amp;""'"",1))"),0.0)</f>
        <v>0</v>
      </c>
      <c r="S87" s="24">
        <f>IFERROR(__xludf.DUMMYFUNCTION("SUM(QUERY(Entregas_BD!D:L,""select L where D='""&amp;D87&amp;""'"",1))"),0.0)</f>
        <v>0</v>
      </c>
      <c r="T87" s="19">
        <f>IFERROR(__xludf.DUMMYFUNCTION("SUM(QUERY(Entregas_BD!D:AL,""select AG where D='""&amp;D87&amp;""'"",1))"),50.0)</f>
        <v>50</v>
      </c>
      <c r="U87" s="19">
        <f>IFERROR(__xludf.DUMMYFUNCTION("SUM(QUERY(Entregas_BD!D:AL,""select AH where D='""&amp;D87&amp;""'"",1))"),0.0)</f>
        <v>0</v>
      </c>
      <c r="V87" s="19">
        <f>IFERROR(__xludf.DUMMYFUNCTION("SUM(QUERY(Entregas_BD!D:AL,""select AI where D='""&amp;D87&amp;""'"",1))"),0.0)</f>
        <v>0</v>
      </c>
      <c r="W87" s="19">
        <f>IFERROR(__xludf.DUMMYFUNCTION("SUM(QUERY(Entregas_BD!D:AL,""select AJ where D='""&amp;D87&amp;""'"",1))"),0.0)</f>
        <v>0</v>
      </c>
      <c r="X87" s="19">
        <f>IFERROR(__xludf.DUMMYFUNCTION("SUM(QUERY(Entregas_BD!D:AL,""select AL where D='""&amp;D87&amp;""'"",1))"),0.0)</f>
        <v>0</v>
      </c>
      <c r="Y87" s="19">
        <f>IFERROR(__xludf.DUMMYFUNCTION("SUM(QUERY(Entregas_BD!D:AL,""select AK where D='""&amp;D87&amp;""'"",1))"),0.0)</f>
        <v>0</v>
      </c>
      <c r="Z87" s="19">
        <v>-50.0</v>
      </c>
      <c r="AA87" s="19">
        <v>0.0</v>
      </c>
      <c r="AB87" s="19">
        <v>0.0</v>
      </c>
      <c r="AC87" s="19">
        <v>0.0</v>
      </c>
      <c r="AD87" s="19">
        <v>0.0</v>
      </c>
      <c r="AE87" s="19">
        <v>0.0</v>
      </c>
      <c r="AF87" s="35" t="s">
        <v>301</v>
      </c>
      <c r="AG87" s="24">
        <f>IFERROR(__xludf.DUMMYFUNCTION("SUM(QUERY(Entregas_BD!D:W,""select U where D='""&amp;D87&amp;""'"",1))"),0.0)</f>
        <v>0</v>
      </c>
      <c r="AH87" s="24">
        <f>IFERROR(__xludf.DUMMYFUNCTION("SUM(QUERY(Entregas_BD!D:W,""select S where D='""&amp;D87&amp;""'"",1))"),0.0)</f>
        <v>0</v>
      </c>
      <c r="AI87" s="24">
        <f>IFERROR(__xludf.DUMMYFUNCTION("SUM(QUERY(Entregas_BD!D:W,""select T where D='""&amp;D87&amp;""'"",1))"),0.0)</f>
        <v>0</v>
      </c>
    </row>
    <row r="88" ht="19.5" customHeight="1">
      <c r="A88" s="7"/>
      <c r="B88" s="8"/>
      <c r="C88" s="9">
        <v>87.0</v>
      </c>
      <c r="D88" s="10" t="s">
        <v>302</v>
      </c>
      <c r="E88" s="10" t="s">
        <v>38</v>
      </c>
      <c r="F88" s="10" t="s">
        <v>303</v>
      </c>
      <c r="G88" s="10" t="s">
        <v>304</v>
      </c>
      <c r="H88" s="12" t="s">
        <v>69</v>
      </c>
      <c r="I88" s="11" t="s">
        <v>41</v>
      </c>
      <c r="J88" s="13"/>
      <c r="K88" s="28"/>
      <c r="L88" s="29"/>
      <c r="M88" s="36"/>
      <c r="N88" s="9">
        <f>IFERROR(__xludf.DUMMYFUNCTION("SUM(QUERY(Entregas_BD!D:L,""select G where D='""&amp;D88&amp;""'"",1))"),0.0)</f>
        <v>0</v>
      </c>
      <c r="O88" s="9">
        <f>IFERROR(__xludf.DUMMYFUNCTION("SUM(QUERY(Entregas_BD!D:L,""select H where D='""&amp;D88&amp;""'"",1))"),0.0)</f>
        <v>0</v>
      </c>
      <c r="P88" s="9">
        <f>IFERROR(__xludf.DUMMYFUNCTION("SUM(QUERY(Entregas_BD!D:L,""select I where D='""&amp;D88&amp;""'"",1))"),0.0)</f>
        <v>0</v>
      </c>
      <c r="Q88" s="9">
        <f>IFERROR(__xludf.DUMMYFUNCTION("SUM(QUERY(Entregas_BD!D:L,""select J where D='""&amp;D88&amp;""'"",1))"),0.0)</f>
        <v>0</v>
      </c>
      <c r="R88" s="15">
        <f>IFERROR(__xludf.DUMMYFUNCTION("SUM(QUERY(Entregas_BD!D:L,""select K where D='""&amp;D88&amp;""'"",1))"),0.0)</f>
        <v>0</v>
      </c>
      <c r="S88" s="15">
        <f>IFERROR(__xludf.DUMMYFUNCTION("SUM(QUERY(Entregas_BD!D:L,""select L where D='""&amp;D88&amp;""'"",1))"),0.0)</f>
        <v>0</v>
      </c>
      <c r="T88" s="9">
        <f>IFERROR(__xludf.DUMMYFUNCTION("SUM(QUERY(Entregas_BD!D:AL,""select AG where D='""&amp;D88&amp;""'"",1))"),0.0)</f>
        <v>0</v>
      </c>
      <c r="U88" s="9">
        <f>IFERROR(__xludf.DUMMYFUNCTION("SUM(QUERY(Entregas_BD!D:AL,""select AH where D='""&amp;D88&amp;""'"",1))"),0.0)</f>
        <v>0</v>
      </c>
      <c r="V88" s="9">
        <f>IFERROR(__xludf.DUMMYFUNCTION("SUM(QUERY(Entregas_BD!D:AL,""select AI where D='""&amp;D88&amp;""'"",1))"),0.0)</f>
        <v>0</v>
      </c>
      <c r="W88" s="9">
        <f>IFERROR(__xludf.DUMMYFUNCTION("SUM(QUERY(Entregas_BD!D:AL,""select AJ where D='""&amp;D88&amp;""'"",1))"),0.0)</f>
        <v>0</v>
      </c>
      <c r="X88" s="9">
        <f>IFERROR(__xludf.DUMMYFUNCTION("SUM(QUERY(Entregas_BD!D:AL,""select AL where D='""&amp;D88&amp;""'"",1))"),0.0)</f>
        <v>0</v>
      </c>
      <c r="Y88" s="9">
        <f>IFERROR(__xludf.DUMMYFUNCTION("SUM(QUERY(Entregas_BD!D:AL,""select AK where D='""&amp;D88&amp;""'"",1))"),0.0)</f>
        <v>0</v>
      </c>
      <c r="Z88" s="9">
        <v>0.0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37" t="s">
        <v>305</v>
      </c>
      <c r="AG88" s="15">
        <f>IFERROR(__xludf.DUMMYFUNCTION("SUM(QUERY(Entregas_BD!D:W,""select U where D='""&amp;D88&amp;""'"",1))"),0.0)</f>
        <v>0</v>
      </c>
      <c r="AH88" s="15">
        <f>IFERROR(__xludf.DUMMYFUNCTION("SUM(QUERY(Entregas_BD!D:W,""select S where D='""&amp;D88&amp;""'"",1))"),0.0)</f>
        <v>0</v>
      </c>
      <c r="AI88" s="15">
        <f>IFERROR(__xludf.DUMMYFUNCTION("SUM(QUERY(Entregas_BD!D:W,""select T where D='""&amp;D88&amp;""'"",1))"),0.0)</f>
        <v>0</v>
      </c>
    </row>
    <row r="89" ht="19.5" customHeight="1">
      <c r="A89" s="31"/>
      <c r="B89" s="32"/>
      <c r="C89" s="19">
        <v>88.0</v>
      </c>
      <c r="D89" s="20" t="s">
        <v>306</v>
      </c>
      <c r="E89" s="20" t="s">
        <v>58</v>
      </c>
      <c r="F89" s="20" t="s">
        <v>45</v>
      </c>
      <c r="G89" s="20" t="s">
        <v>307</v>
      </c>
      <c r="H89" s="19" t="s">
        <v>69</v>
      </c>
      <c r="I89" s="21" t="s">
        <v>41</v>
      </c>
      <c r="J89" s="19"/>
      <c r="K89" s="22"/>
      <c r="L89" s="23"/>
      <c r="M89" s="22"/>
      <c r="N89" s="19">
        <f>IFERROR(__xludf.DUMMYFUNCTION("SUM(QUERY(Entregas_BD!D:L,""select G where D='""&amp;D89&amp;""'"",1))"),0.0)</f>
        <v>0</v>
      </c>
      <c r="O89" s="19">
        <f>IFERROR(__xludf.DUMMYFUNCTION("SUM(QUERY(Entregas_BD!D:L,""select H where D='""&amp;D89&amp;""'"",1))"),0.0)</f>
        <v>0</v>
      </c>
      <c r="P89" s="19">
        <f>IFERROR(__xludf.DUMMYFUNCTION("SUM(QUERY(Entregas_BD!D:L,""select I where D='""&amp;D89&amp;""'"",1))"),0.0)</f>
        <v>0</v>
      </c>
      <c r="Q89" s="19">
        <f>IFERROR(__xludf.DUMMYFUNCTION("SUM(QUERY(Entregas_BD!D:L,""select J where D='""&amp;D89&amp;""'"",1))"),0.0)</f>
        <v>0</v>
      </c>
      <c r="R89" s="24">
        <f>IFERROR(__xludf.DUMMYFUNCTION("SUM(QUERY(Entregas_BD!D:L,""select K where D='""&amp;D89&amp;""'"",1))"),0.0)</f>
        <v>0</v>
      </c>
      <c r="S89" s="24">
        <f>IFERROR(__xludf.DUMMYFUNCTION("SUM(QUERY(Entregas_BD!D:L,""select L where D='""&amp;D89&amp;""'"",1))"),0.0)</f>
        <v>0</v>
      </c>
      <c r="T89" s="19">
        <f>IFERROR(__xludf.DUMMYFUNCTION("SUM(QUERY(Entregas_BD!D:AL,""select AG where D='""&amp;D89&amp;""'"",1))"),0.0)</f>
        <v>0</v>
      </c>
      <c r="U89" s="19">
        <f>IFERROR(__xludf.DUMMYFUNCTION("SUM(QUERY(Entregas_BD!D:AL,""select AH where D='""&amp;D89&amp;""'"",1))"),0.0)</f>
        <v>0</v>
      </c>
      <c r="V89" s="19">
        <f>IFERROR(__xludf.DUMMYFUNCTION("SUM(QUERY(Entregas_BD!D:AL,""select AI where D='""&amp;D89&amp;""'"",1))"),0.0)</f>
        <v>0</v>
      </c>
      <c r="W89" s="19">
        <f>IFERROR(__xludf.DUMMYFUNCTION("SUM(QUERY(Entregas_BD!D:AL,""select AJ where D='""&amp;D89&amp;""'"",1))"),0.0)</f>
        <v>0</v>
      </c>
      <c r="X89" s="19">
        <f>IFERROR(__xludf.DUMMYFUNCTION("SUM(QUERY(Entregas_BD!D:AL,""select AL where D='""&amp;D89&amp;""'"",1))"),0.0)</f>
        <v>0</v>
      </c>
      <c r="Y89" s="19">
        <f>IFERROR(__xludf.DUMMYFUNCTION("SUM(QUERY(Entregas_BD!D:AL,""select AK where D='""&amp;D89&amp;""'"",1))"),0.0)</f>
        <v>0</v>
      </c>
      <c r="Z89" s="19">
        <v>0.0</v>
      </c>
      <c r="AA89" s="19">
        <v>0.0</v>
      </c>
      <c r="AB89" s="19">
        <v>0.0</v>
      </c>
      <c r="AC89" s="19">
        <v>0.0</v>
      </c>
      <c r="AD89" s="19">
        <v>0.0</v>
      </c>
      <c r="AE89" s="19">
        <v>0.0</v>
      </c>
      <c r="AF89" s="35" t="s">
        <v>308</v>
      </c>
      <c r="AG89" s="24">
        <f>IFERROR(__xludf.DUMMYFUNCTION("SUM(QUERY(Entregas_BD!D:W,""select U where D='""&amp;D89&amp;""'"",1))"),0.0)</f>
        <v>0</v>
      </c>
      <c r="AH89" s="24">
        <f>IFERROR(__xludf.DUMMYFUNCTION("SUM(QUERY(Entregas_BD!D:W,""select S where D='""&amp;D89&amp;""'"",1))"),0.0)</f>
        <v>0</v>
      </c>
      <c r="AI89" s="24">
        <f>IFERROR(__xludf.DUMMYFUNCTION("SUM(QUERY(Entregas_BD!D:W,""select T where D='""&amp;D89&amp;""'"",1))"),0.0)</f>
        <v>0</v>
      </c>
    </row>
    <row r="90" ht="19.5" customHeight="1">
      <c r="A90" s="7"/>
      <c r="B90" s="8"/>
      <c r="C90" s="9">
        <v>89.0</v>
      </c>
      <c r="D90" s="10" t="s">
        <v>309</v>
      </c>
      <c r="E90" s="10" t="s">
        <v>153</v>
      </c>
      <c r="F90" s="10" t="s">
        <v>310</v>
      </c>
      <c r="G90" s="10" t="s">
        <v>72</v>
      </c>
      <c r="H90" s="12" t="s">
        <v>40</v>
      </c>
      <c r="I90" s="11" t="s">
        <v>41</v>
      </c>
      <c r="J90" s="12"/>
      <c r="K90" s="28"/>
      <c r="L90" s="29"/>
      <c r="M90" s="36"/>
      <c r="N90" s="9">
        <f>IFERROR(__xludf.DUMMYFUNCTION("SUM(QUERY(Entregas_BD!D:L,""select G where D='""&amp;D90&amp;""'"",1))"),0.0)</f>
        <v>0</v>
      </c>
      <c r="O90" s="9">
        <f>IFERROR(__xludf.DUMMYFUNCTION("SUM(QUERY(Entregas_BD!D:L,""select H where D='""&amp;D90&amp;""'"",1))"),0.0)</f>
        <v>0</v>
      </c>
      <c r="P90" s="9">
        <f>IFERROR(__xludf.DUMMYFUNCTION("SUM(QUERY(Entregas_BD!D:L,""select I where D='""&amp;D90&amp;""'"",1))"),0.0)</f>
        <v>0</v>
      </c>
      <c r="Q90" s="9">
        <f>IFERROR(__xludf.DUMMYFUNCTION("SUM(QUERY(Entregas_BD!D:L,""select J where D='""&amp;D90&amp;""'"",1))"),0.0)</f>
        <v>0</v>
      </c>
      <c r="R90" s="15">
        <f>IFERROR(__xludf.DUMMYFUNCTION("SUM(QUERY(Entregas_BD!D:L,""select K where D='""&amp;D90&amp;""'"",1))"),0.0)</f>
        <v>0</v>
      </c>
      <c r="S90" s="15">
        <f>IFERROR(__xludf.DUMMYFUNCTION("SUM(QUERY(Entregas_BD!D:L,""select L where D='""&amp;D90&amp;""'"",1))"),0.0)</f>
        <v>0</v>
      </c>
      <c r="T90" s="9">
        <f>IFERROR(__xludf.DUMMYFUNCTION("SUM(QUERY(Entregas_BD!D:AL,""select AG where D='""&amp;D90&amp;""'"",1))"),0.0)</f>
        <v>0</v>
      </c>
      <c r="U90" s="9">
        <f>IFERROR(__xludf.DUMMYFUNCTION("SUM(QUERY(Entregas_BD!D:AL,""select AH where D='""&amp;D90&amp;""'"",1))"),0.0)</f>
        <v>0</v>
      </c>
      <c r="V90" s="9">
        <f>IFERROR(__xludf.DUMMYFUNCTION("SUM(QUERY(Entregas_BD!D:AL,""select AI where D='""&amp;D90&amp;""'"",1))"),0.0)</f>
        <v>0</v>
      </c>
      <c r="W90" s="9">
        <f>IFERROR(__xludf.DUMMYFUNCTION("SUM(QUERY(Entregas_BD!D:AL,""select AJ where D='""&amp;D90&amp;""'"",1))"),0.0)</f>
        <v>0</v>
      </c>
      <c r="X90" s="9">
        <f>IFERROR(__xludf.DUMMYFUNCTION("SUM(QUERY(Entregas_BD!D:AL,""select AL where D='""&amp;D90&amp;""'"",1))"),0.0)</f>
        <v>0</v>
      </c>
      <c r="Y90" s="9">
        <f>IFERROR(__xludf.DUMMYFUNCTION("SUM(QUERY(Entregas_BD!D:AL,""select AK where D='""&amp;D90&amp;""'"",1))"),0.0)</f>
        <v>0</v>
      </c>
      <c r="Z90" s="9">
        <v>0.0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37" t="s">
        <v>311</v>
      </c>
      <c r="AG90" s="15">
        <f>IFERROR(__xludf.DUMMYFUNCTION("SUM(QUERY(Entregas_BD!D:W,""select U where D='""&amp;D90&amp;""'"",1))"),0.0)</f>
        <v>0</v>
      </c>
      <c r="AH90" s="15">
        <f>IFERROR(__xludf.DUMMYFUNCTION("SUM(QUERY(Entregas_BD!D:W,""select S where D='""&amp;D90&amp;""'"",1))"),0.0)</f>
        <v>0</v>
      </c>
      <c r="AI90" s="15">
        <f>IFERROR(__xludf.DUMMYFUNCTION("SUM(QUERY(Entregas_BD!D:W,""select T where D='""&amp;D90&amp;""'"",1))"),0.0)</f>
        <v>0</v>
      </c>
    </row>
    <row r="91" ht="19.5" customHeight="1">
      <c r="A91" s="31"/>
      <c r="B91" s="32"/>
      <c r="C91" s="19">
        <v>90.0</v>
      </c>
      <c r="D91" s="20" t="s">
        <v>312</v>
      </c>
      <c r="E91" s="20" t="s">
        <v>58</v>
      </c>
      <c r="F91" s="20" t="s">
        <v>45</v>
      </c>
      <c r="G91" s="20" t="s">
        <v>313</v>
      </c>
      <c r="H91" s="19" t="s">
        <v>69</v>
      </c>
      <c r="I91" s="21" t="s">
        <v>41</v>
      </c>
      <c r="J91" s="19"/>
      <c r="K91" s="22"/>
      <c r="L91" s="23"/>
      <c r="M91" s="22"/>
      <c r="N91" s="19">
        <f>IFERROR(__xludf.DUMMYFUNCTION("SUM(QUERY(Entregas_BD!D:L,""select G where D='""&amp;D91&amp;""'"",1))"),0.0)</f>
        <v>0</v>
      </c>
      <c r="O91" s="19">
        <f>IFERROR(__xludf.DUMMYFUNCTION("SUM(QUERY(Entregas_BD!D:L,""select H where D='""&amp;D91&amp;""'"",1))"),0.0)</f>
        <v>0</v>
      </c>
      <c r="P91" s="19">
        <f>IFERROR(__xludf.DUMMYFUNCTION("SUM(QUERY(Entregas_BD!D:L,""select I where D='""&amp;D91&amp;""'"",1))"),0.0)</f>
        <v>0</v>
      </c>
      <c r="Q91" s="19">
        <f>IFERROR(__xludf.DUMMYFUNCTION("SUM(QUERY(Entregas_BD!D:L,""select J where D='""&amp;D91&amp;""'"",1))"),0.0)</f>
        <v>0</v>
      </c>
      <c r="R91" s="24">
        <f>IFERROR(__xludf.DUMMYFUNCTION("SUM(QUERY(Entregas_BD!D:L,""select K where D='""&amp;D91&amp;""'"",1))"),0.0)</f>
        <v>0</v>
      </c>
      <c r="S91" s="24">
        <f>IFERROR(__xludf.DUMMYFUNCTION("SUM(QUERY(Entregas_BD!D:L,""select L where D='""&amp;D91&amp;""'"",1))"),0.0)</f>
        <v>0</v>
      </c>
      <c r="T91" s="19">
        <f>IFERROR(__xludf.DUMMYFUNCTION("SUM(QUERY(Entregas_BD!D:AL,""select AG where D='""&amp;D91&amp;""'"",1))"),100.0)</f>
        <v>100</v>
      </c>
      <c r="U91" s="19">
        <f>IFERROR(__xludf.DUMMYFUNCTION("SUM(QUERY(Entregas_BD!D:AL,""select AH where D='""&amp;D91&amp;""'"",1))"),0.0)</f>
        <v>0</v>
      </c>
      <c r="V91" s="19">
        <f>IFERROR(__xludf.DUMMYFUNCTION("SUM(QUERY(Entregas_BD!D:AL,""select AI where D='""&amp;D91&amp;""'"",1))"),0.0)</f>
        <v>0</v>
      </c>
      <c r="W91" s="19">
        <f>IFERROR(__xludf.DUMMYFUNCTION("SUM(QUERY(Entregas_BD!D:AL,""select AJ where D='""&amp;D91&amp;""'"",1))"),0.0)</f>
        <v>0</v>
      </c>
      <c r="X91" s="19">
        <f>IFERROR(__xludf.DUMMYFUNCTION("SUM(QUERY(Entregas_BD!D:AL,""select AL where D='""&amp;D91&amp;""'"",1))"),0.0)</f>
        <v>0</v>
      </c>
      <c r="Y91" s="19">
        <f>IFERROR(__xludf.DUMMYFUNCTION("SUM(QUERY(Entregas_BD!D:AL,""select AK where D='""&amp;D91&amp;""'"",1))"),0.0)</f>
        <v>0</v>
      </c>
      <c r="Z91" s="19">
        <v>-100.0</v>
      </c>
      <c r="AA91" s="19">
        <v>0.0</v>
      </c>
      <c r="AB91" s="19">
        <v>0.0</v>
      </c>
      <c r="AC91" s="19">
        <v>0.0</v>
      </c>
      <c r="AD91" s="19">
        <v>0.0</v>
      </c>
      <c r="AE91" s="19">
        <v>0.0</v>
      </c>
      <c r="AF91" s="35" t="s">
        <v>314</v>
      </c>
      <c r="AG91" s="24">
        <f>IFERROR(__xludf.DUMMYFUNCTION("SUM(QUERY(Entregas_BD!D:W,""select U where D='""&amp;D91&amp;""'"",1))"),0.0)</f>
        <v>0</v>
      </c>
      <c r="AH91" s="24">
        <f>IFERROR(__xludf.DUMMYFUNCTION("SUM(QUERY(Entregas_BD!D:W,""select S where D='""&amp;D91&amp;""'"",1))"),0.0)</f>
        <v>0</v>
      </c>
      <c r="AI91" s="24">
        <f>IFERROR(__xludf.DUMMYFUNCTION("SUM(QUERY(Entregas_BD!D:W,""select T where D='""&amp;D91&amp;""'"",1))"),0.0)</f>
        <v>0</v>
      </c>
    </row>
    <row r="92" ht="19.5" customHeight="1">
      <c r="A92" s="26"/>
      <c r="B92" s="8"/>
      <c r="C92" s="9">
        <v>91.0</v>
      </c>
      <c r="D92" s="10" t="s">
        <v>315</v>
      </c>
      <c r="E92" s="10" t="s">
        <v>197</v>
      </c>
      <c r="F92" s="10" t="s">
        <v>316</v>
      </c>
      <c r="G92" s="10" t="s">
        <v>212</v>
      </c>
      <c r="H92" s="9" t="s">
        <v>40</v>
      </c>
      <c r="I92" s="11" t="s">
        <v>41</v>
      </c>
      <c r="J92" s="12"/>
      <c r="K92" s="28"/>
      <c r="L92" s="29"/>
      <c r="M92" s="36"/>
      <c r="N92" s="9">
        <f>IFERROR(__xludf.DUMMYFUNCTION("SUM(QUERY(Entregas_BD!D:L,""select G where D='""&amp;D92&amp;""'"",1))"),0.0)</f>
        <v>0</v>
      </c>
      <c r="O92" s="9">
        <f>IFERROR(__xludf.DUMMYFUNCTION("SUM(QUERY(Entregas_BD!D:L,""select H where D='""&amp;D92&amp;""'"",1))"),0.0)</f>
        <v>0</v>
      </c>
      <c r="P92" s="9">
        <f>IFERROR(__xludf.DUMMYFUNCTION("SUM(QUERY(Entregas_BD!D:L,""select I where D='""&amp;D92&amp;""'"",1))"),0.0)</f>
        <v>0</v>
      </c>
      <c r="Q92" s="9">
        <f>IFERROR(__xludf.DUMMYFUNCTION("SUM(QUERY(Entregas_BD!D:L,""select J where D='""&amp;D92&amp;""'"",1))"),0.0)</f>
        <v>0</v>
      </c>
      <c r="R92" s="15">
        <f>IFERROR(__xludf.DUMMYFUNCTION("SUM(QUERY(Entregas_BD!D:L,""select K where D='""&amp;D92&amp;""'"",1))"),0.0)</f>
        <v>0</v>
      </c>
      <c r="S92" s="15">
        <f>IFERROR(__xludf.DUMMYFUNCTION("SUM(QUERY(Entregas_BD!D:L,""select L where D='""&amp;D92&amp;""'"",1))"),0.0)</f>
        <v>0</v>
      </c>
      <c r="T92" s="9">
        <f>IFERROR(__xludf.DUMMYFUNCTION("SUM(QUERY(Entregas_BD!D:AL,""select AG where D='""&amp;D92&amp;""'"",1))"),0.0)</f>
        <v>0</v>
      </c>
      <c r="U92" s="9">
        <f>IFERROR(__xludf.DUMMYFUNCTION("SUM(QUERY(Entregas_BD!D:AL,""select AH where D='""&amp;D92&amp;""'"",1))"),0.0)</f>
        <v>0</v>
      </c>
      <c r="V92" s="9">
        <f>IFERROR(__xludf.DUMMYFUNCTION("SUM(QUERY(Entregas_BD!D:AL,""select AI where D='""&amp;D92&amp;""'"",1))"),0.0)</f>
        <v>0</v>
      </c>
      <c r="W92" s="9">
        <f>IFERROR(__xludf.DUMMYFUNCTION("SUM(QUERY(Entregas_BD!D:AL,""select AJ where D='""&amp;D92&amp;""'"",1))"),0.0)</f>
        <v>0</v>
      </c>
      <c r="X92" s="9">
        <f>IFERROR(__xludf.DUMMYFUNCTION("SUM(QUERY(Entregas_BD!D:AL,""select AL where D='""&amp;D92&amp;""'"",1))"),0.0)</f>
        <v>0</v>
      </c>
      <c r="Y92" s="9">
        <f>IFERROR(__xludf.DUMMYFUNCTION("SUM(QUERY(Entregas_BD!D:AL,""select AK where D='""&amp;D92&amp;""'"",1))"),0.0)</f>
        <v>0</v>
      </c>
      <c r="Z92" s="9">
        <v>0.0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30" t="s">
        <v>317</v>
      </c>
      <c r="AG92" s="15">
        <f>IFERROR(__xludf.DUMMYFUNCTION("SUM(QUERY(Entregas_BD!D:W,""select U where D='""&amp;D92&amp;""'"",1))"),0.0)</f>
        <v>0</v>
      </c>
      <c r="AH92" s="15">
        <f>IFERROR(__xludf.DUMMYFUNCTION("SUM(QUERY(Entregas_BD!D:W,""select S where D='""&amp;D92&amp;""'"",1))"),0.0)</f>
        <v>0</v>
      </c>
      <c r="AI92" s="15">
        <f>IFERROR(__xludf.DUMMYFUNCTION("SUM(QUERY(Entregas_BD!D:W,""select T where D='""&amp;D92&amp;""'"",1))"),0.0)</f>
        <v>0</v>
      </c>
    </row>
    <row r="93" ht="19.5" customHeight="1">
      <c r="A93" s="31"/>
      <c r="B93" s="32"/>
      <c r="C93" s="19">
        <v>92.0</v>
      </c>
      <c r="D93" s="20" t="s">
        <v>318</v>
      </c>
      <c r="E93" s="20" t="s">
        <v>63</v>
      </c>
      <c r="F93" s="20" t="s">
        <v>319</v>
      </c>
      <c r="G93" s="20" t="s">
        <v>320</v>
      </c>
      <c r="H93" s="19" t="s">
        <v>69</v>
      </c>
      <c r="I93" s="21" t="s">
        <v>41</v>
      </c>
      <c r="J93" s="34"/>
      <c r="K93" s="22"/>
      <c r="L93" s="23"/>
      <c r="M93" s="22"/>
      <c r="N93" s="19">
        <f>IFERROR(__xludf.DUMMYFUNCTION("SUM(QUERY(Entregas_BD!D:L,""select G where D='""&amp;D93&amp;""'"",1))"),0.0)</f>
        <v>0</v>
      </c>
      <c r="O93" s="19">
        <f>IFERROR(__xludf.DUMMYFUNCTION("SUM(QUERY(Entregas_BD!D:L,""select H where D='""&amp;D93&amp;""'"",1))"),0.0)</f>
        <v>0</v>
      </c>
      <c r="P93" s="19">
        <f>IFERROR(__xludf.DUMMYFUNCTION("SUM(QUERY(Entregas_BD!D:L,""select I where D='""&amp;D93&amp;""'"",1))"),0.0)</f>
        <v>0</v>
      </c>
      <c r="Q93" s="19">
        <f>IFERROR(__xludf.DUMMYFUNCTION("SUM(QUERY(Entregas_BD!D:L,""select J where D='""&amp;D93&amp;""'"",1))"),0.0)</f>
        <v>0</v>
      </c>
      <c r="R93" s="24">
        <f>IFERROR(__xludf.DUMMYFUNCTION("SUM(QUERY(Entregas_BD!D:L,""select K where D='""&amp;D93&amp;""'"",1))"),0.0)</f>
        <v>0</v>
      </c>
      <c r="S93" s="24">
        <f>IFERROR(__xludf.DUMMYFUNCTION("SUM(QUERY(Entregas_BD!D:L,""select L where D='""&amp;D93&amp;""'"",1))"),0.0)</f>
        <v>0</v>
      </c>
      <c r="T93" s="19">
        <f>IFERROR(__xludf.DUMMYFUNCTION("SUM(QUERY(Entregas_BD!D:AL,""select AG where D='""&amp;D93&amp;""'"",1))"),0.0)</f>
        <v>0</v>
      </c>
      <c r="U93" s="19">
        <f>IFERROR(__xludf.DUMMYFUNCTION("SUM(QUERY(Entregas_BD!D:AL,""select AH where D='""&amp;D93&amp;""'"",1))"),0.0)</f>
        <v>0</v>
      </c>
      <c r="V93" s="19">
        <f>IFERROR(__xludf.DUMMYFUNCTION("SUM(QUERY(Entregas_BD!D:AL,""select AI where D='""&amp;D93&amp;""'"",1))"),0.0)</f>
        <v>0</v>
      </c>
      <c r="W93" s="19">
        <f>IFERROR(__xludf.DUMMYFUNCTION("SUM(QUERY(Entregas_BD!D:AL,""select AJ where D='""&amp;D93&amp;""'"",1))"),0.0)</f>
        <v>0</v>
      </c>
      <c r="X93" s="19">
        <f>IFERROR(__xludf.DUMMYFUNCTION("SUM(QUERY(Entregas_BD!D:AL,""select AL where D='""&amp;D93&amp;""'"",1))"),0.0)</f>
        <v>0</v>
      </c>
      <c r="Y93" s="19">
        <f>IFERROR(__xludf.DUMMYFUNCTION("SUM(QUERY(Entregas_BD!D:AL,""select AK where D='""&amp;D93&amp;""'"",1))"),0.0)</f>
        <v>0</v>
      </c>
      <c r="Z93" s="19">
        <v>0.0</v>
      </c>
      <c r="AA93" s="19">
        <v>0.0</v>
      </c>
      <c r="AB93" s="19">
        <v>0.0</v>
      </c>
      <c r="AC93" s="19">
        <v>0.0</v>
      </c>
      <c r="AD93" s="19">
        <v>0.0</v>
      </c>
      <c r="AE93" s="19">
        <v>0.0</v>
      </c>
      <c r="AF93" s="35" t="s">
        <v>321</v>
      </c>
      <c r="AG93" s="24">
        <f>IFERROR(__xludf.DUMMYFUNCTION("SUM(QUERY(Entregas_BD!D:W,""select U where D='""&amp;D93&amp;""'"",1))"),0.0)</f>
        <v>0</v>
      </c>
      <c r="AH93" s="24">
        <f>IFERROR(__xludf.DUMMYFUNCTION("SUM(QUERY(Entregas_BD!D:W,""select S where D='""&amp;D93&amp;""'"",1))"),0.0)</f>
        <v>0</v>
      </c>
      <c r="AI93" s="24">
        <f>IFERROR(__xludf.DUMMYFUNCTION("SUM(QUERY(Entregas_BD!D:W,""select T where D='""&amp;D93&amp;""'"",1))"),0.0)</f>
        <v>0</v>
      </c>
    </row>
    <row r="94" ht="19.5" customHeight="1">
      <c r="A94" s="7"/>
      <c r="B94" s="8"/>
      <c r="C94" s="9">
        <v>93.0</v>
      </c>
      <c r="D94" s="10" t="s">
        <v>322</v>
      </c>
      <c r="E94" s="10" t="s">
        <v>63</v>
      </c>
      <c r="F94" s="10" t="s">
        <v>319</v>
      </c>
      <c r="G94" s="10" t="s">
        <v>320</v>
      </c>
      <c r="H94" s="9" t="s">
        <v>69</v>
      </c>
      <c r="I94" s="11" t="s">
        <v>41</v>
      </c>
      <c r="J94" s="12"/>
      <c r="K94" s="28"/>
      <c r="L94" s="29"/>
      <c r="M94" s="28"/>
      <c r="N94" s="9">
        <f>IFERROR(__xludf.DUMMYFUNCTION("SUM(QUERY(Entregas_BD!D:L,""select G where D='""&amp;D94&amp;""'"",1))"),0.0)</f>
        <v>0</v>
      </c>
      <c r="O94" s="9">
        <f>IFERROR(__xludf.DUMMYFUNCTION("SUM(QUERY(Entregas_BD!D:L,""select H where D='""&amp;D94&amp;""'"",1))"),0.0)</f>
        <v>0</v>
      </c>
      <c r="P94" s="9">
        <f>IFERROR(__xludf.DUMMYFUNCTION("SUM(QUERY(Entregas_BD!D:L,""select I where D='""&amp;D94&amp;""'"",1))"),0.0)</f>
        <v>0</v>
      </c>
      <c r="Q94" s="9">
        <f>IFERROR(__xludf.DUMMYFUNCTION("SUM(QUERY(Entregas_BD!D:L,""select J where D='""&amp;D94&amp;""'"",1))"),0.0)</f>
        <v>0</v>
      </c>
      <c r="R94" s="15">
        <f>IFERROR(__xludf.DUMMYFUNCTION("SUM(QUERY(Entregas_BD!D:L,""select K where D='""&amp;D94&amp;""'"",1))"),0.0)</f>
        <v>0</v>
      </c>
      <c r="S94" s="15">
        <f>IFERROR(__xludf.DUMMYFUNCTION("SUM(QUERY(Entregas_BD!D:L,""select L where D='""&amp;D94&amp;""'"",1))"),0.0)</f>
        <v>0</v>
      </c>
      <c r="T94" s="9">
        <f>IFERROR(__xludf.DUMMYFUNCTION("SUM(QUERY(Entregas_BD!D:AL,""select AG where D='""&amp;D94&amp;""'"",1))"),0.0)</f>
        <v>0</v>
      </c>
      <c r="U94" s="9">
        <f>IFERROR(__xludf.DUMMYFUNCTION("SUM(QUERY(Entregas_BD!D:AL,""select AH where D='""&amp;D94&amp;""'"",1))"),0.0)</f>
        <v>0</v>
      </c>
      <c r="V94" s="9">
        <f>IFERROR(__xludf.DUMMYFUNCTION("SUM(QUERY(Entregas_BD!D:AL,""select AI where D='""&amp;D94&amp;""'"",1))"),0.0)</f>
        <v>0</v>
      </c>
      <c r="W94" s="9">
        <f>IFERROR(__xludf.DUMMYFUNCTION("SUM(QUERY(Entregas_BD!D:AL,""select AJ where D='""&amp;D94&amp;""'"",1))"),0.0)</f>
        <v>0</v>
      </c>
      <c r="X94" s="9">
        <f>IFERROR(__xludf.DUMMYFUNCTION("SUM(QUERY(Entregas_BD!D:AL,""select AL where D='""&amp;D94&amp;""'"",1))"),0.0)</f>
        <v>0</v>
      </c>
      <c r="Y94" s="9">
        <f>IFERROR(__xludf.DUMMYFUNCTION("SUM(QUERY(Entregas_BD!D:AL,""select AK where D='""&amp;D94&amp;""'"",1))"),0.0)</f>
        <v>0</v>
      </c>
      <c r="Z94" s="9">
        <v>0.0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37" t="s">
        <v>321</v>
      </c>
      <c r="AG94" s="15">
        <f>IFERROR(__xludf.DUMMYFUNCTION("SUM(QUERY(Entregas_BD!D:W,""select U where D='""&amp;D94&amp;""'"",1))"),0.0)</f>
        <v>0</v>
      </c>
      <c r="AH94" s="15">
        <f>IFERROR(__xludf.DUMMYFUNCTION("SUM(QUERY(Entregas_BD!D:W,""select S where D='""&amp;D94&amp;""'"",1))"),0.0)</f>
        <v>0</v>
      </c>
      <c r="AI94" s="15">
        <f>IFERROR(__xludf.DUMMYFUNCTION("SUM(QUERY(Entregas_BD!D:W,""select T where D='""&amp;D94&amp;""'"",1))"),0.0)</f>
        <v>0</v>
      </c>
    </row>
    <row r="95" ht="19.5" customHeight="1">
      <c r="A95" s="31"/>
      <c r="B95" s="32"/>
      <c r="C95" s="19">
        <v>94.0</v>
      </c>
      <c r="D95" s="46" t="s">
        <v>323</v>
      </c>
      <c r="E95" s="20" t="s">
        <v>324</v>
      </c>
      <c r="F95" s="20" t="s">
        <v>325</v>
      </c>
      <c r="G95" s="20" t="s">
        <v>149</v>
      </c>
      <c r="H95" s="19" t="s">
        <v>40</v>
      </c>
      <c r="I95" s="21" t="s">
        <v>41</v>
      </c>
      <c r="J95" s="34"/>
      <c r="K95" s="22"/>
      <c r="L95" s="23"/>
      <c r="M95" s="41"/>
      <c r="N95" s="19">
        <f>IFERROR(__xludf.DUMMYFUNCTION("SUM(QUERY(Entregas_BD!D:L,""select G where D='""&amp;D95&amp;""'"",1))"),0.0)</f>
        <v>0</v>
      </c>
      <c r="O95" s="19">
        <f>IFERROR(__xludf.DUMMYFUNCTION("SUM(QUERY(Entregas_BD!D:L,""select H where D='""&amp;D95&amp;""'"",1))"),0.0)</f>
        <v>0</v>
      </c>
      <c r="P95" s="19">
        <f>IFERROR(__xludf.DUMMYFUNCTION("SUM(QUERY(Entregas_BD!D:L,""select I where D='""&amp;D95&amp;""'"",1))"),0.0)</f>
        <v>0</v>
      </c>
      <c r="Q95" s="19">
        <f>IFERROR(__xludf.DUMMYFUNCTION("SUM(QUERY(Entregas_BD!D:L,""select J where D='""&amp;D95&amp;""'"",1))"),0.0)</f>
        <v>0</v>
      </c>
      <c r="R95" s="24">
        <f>IFERROR(__xludf.DUMMYFUNCTION("SUM(QUERY(Entregas_BD!D:L,""select K where D='""&amp;D95&amp;""'"",1))"),0.0)</f>
        <v>0</v>
      </c>
      <c r="S95" s="24">
        <f>IFERROR(__xludf.DUMMYFUNCTION("SUM(QUERY(Entregas_BD!D:L,""select L where D='""&amp;D95&amp;""'"",1))"),0.0)</f>
        <v>0</v>
      </c>
      <c r="T95" s="19">
        <f>IFERROR(__xludf.DUMMYFUNCTION("SUM(QUERY(Entregas_BD!D:AL,""select AG where D='""&amp;D95&amp;""'"",1))"),50.0)</f>
        <v>50</v>
      </c>
      <c r="U95" s="19">
        <f>IFERROR(__xludf.DUMMYFUNCTION("SUM(QUERY(Entregas_BD!D:AL,""select AH where D='""&amp;D95&amp;""'"",1))"),0.0)</f>
        <v>0</v>
      </c>
      <c r="V95" s="19">
        <f>IFERROR(__xludf.DUMMYFUNCTION("SUM(QUERY(Entregas_BD!D:AL,""select AI where D='""&amp;D95&amp;""'"",1))"),0.0)</f>
        <v>0</v>
      </c>
      <c r="W95" s="19">
        <f>IFERROR(__xludf.DUMMYFUNCTION("SUM(QUERY(Entregas_BD!D:AL,""select AJ where D='""&amp;D95&amp;""'"",1))"),0.0)</f>
        <v>0</v>
      </c>
      <c r="X95" s="19">
        <f>IFERROR(__xludf.DUMMYFUNCTION("SUM(QUERY(Entregas_BD!D:AL,""select AL where D='""&amp;D95&amp;""'"",1))"),0.0)</f>
        <v>0</v>
      </c>
      <c r="Y95" s="19">
        <f>IFERROR(__xludf.DUMMYFUNCTION("SUM(QUERY(Entregas_BD!D:AL,""select AK where D='""&amp;D95&amp;""'"",1))"),0.0)</f>
        <v>0</v>
      </c>
      <c r="Z95" s="19">
        <v>-50.0</v>
      </c>
      <c r="AA95" s="19">
        <v>0.0</v>
      </c>
      <c r="AB95" s="19">
        <v>0.0</v>
      </c>
      <c r="AC95" s="19">
        <v>0.0</v>
      </c>
      <c r="AD95" s="19">
        <v>0.0</v>
      </c>
      <c r="AE95" s="19">
        <v>0.0</v>
      </c>
      <c r="AF95" s="35" t="s">
        <v>326</v>
      </c>
      <c r="AG95" s="24">
        <f>IFERROR(__xludf.DUMMYFUNCTION("SUM(QUERY(Entregas_BD!D:W,""select U where D='""&amp;D95&amp;""'"",1))"),0.0)</f>
        <v>0</v>
      </c>
      <c r="AH95" s="24">
        <f>IFERROR(__xludf.DUMMYFUNCTION("SUM(QUERY(Entregas_BD!D:W,""select S where D='""&amp;D95&amp;""'"",1))"),0.0)</f>
        <v>0</v>
      </c>
      <c r="AI95" s="24">
        <f>IFERROR(__xludf.DUMMYFUNCTION("SUM(QUERY(Entregas_BD!D:W,""select T where D='""&amp;D95&amp;""'"",1))"),0.0)</f>
        <v>0</v>
      </c>
    </row>
    <row r="96" ht="19.5" customHeight="1">
      <c r="A96" s="7"/>
      <c r="B96" s="8"/>
      <c r="C96" s="9">
        <v>95.0</v>
      </c>
      <c r="D96" s="10" t="s">
        <v>327</v>
      </c>
      <c r="E96" s="10" t="s">
        <v>38</v>
      </c>
      <c r="F96" s="10" t="s">
        <v>328</v>
      </c>
      <c r="G96" s="10" t="s">
        <v>329</v>
      </c>
      <c r="H96" s="9" t="s">
        <v>40</v>
      </c>
      <c r="I96" s="11" t="s">
        <v>41</v>
      </c>
      <c r="J96" s="12"/>
      <c r="K96" s="28"/>
      <c r="L96" s="29"/>
      <c r="M96" s="36"/>
      <c r="N96" s="9">
        <f>IFERROR(__xludf.DUMMYFUNCTION("SUM(QUERY(Entregas_BD!D:L,""select G where D='""&amp;D96&amp;""'"",1))"),0.0)</f>
        <v>0</v>
      </c>
      <c r="O96" s="9">
        <f>IFERROR(__xludf.DUMMYFUNCTION("SUM(QUERY(Entregas_BD!D:L,""select H where D='""&amp;D96&amp;""'"",1))"),0.0)</f>
        <v>0</v>
      </c>
      <c r="P96" s="9">
        <f>IFERROR(__xludf.DUMMYFUNCTION("SUM(QUERY(Entregas_BD!D:L,""select I where D='""&amp;D96&amp;""'"",1))"),0.0)</f>
        <v>0</v>
      </c>
      <c r="Q96" s="9">
        <f>IFERROR(__xludf.DUMMYFUNCTION("SUM(QUERY(Entregas_BD!D:L,""select J where D='""&amp;D96&amp;""'"",1))"),0.0)</f>
        <v>0</v>
      </c>
      <c r="R96" s="15">
        <f>IFERROR(__xludf.DUMMYFUNCTION("SUM(QUERY(Entregas_BD!D:L,""select K where D='""&amp;D96&amp;""'"",1))"),0.0)</f>
        <v>0</v>
      </c>
      <c r="S96" s="15">
        <f>IFERROR(__xludf.DUMMYFUNCTION("SUM(QUERY(Entregas_BD!D:L,""select L where D='""&amp;D96&amp;""'"",1))"),0.0)</f>
        <v>0</v>
      </c>
      <c r="T96" s="9">
        <f>IFERROR(__xludf.DUMMYFUNCTION("SUM(QUERY(Entregas_BD!D:AL,""select AG where D='""&amp;D96&amp;""'"",1))"),50.0)</f>
        <v>50</v>
      </c>
      <c r="U96" s="9">
        <f>IFERROR(__xludf.DUMMYFUNCTION("SUM(QUERY(Entregas_BD!D:AL,""select AH where D='""&amp;D96&amp;""'"",1))"),0.0)</f>
        <v>0</v>
      </c>
      <c r="V96" s="9">
        <f>IFERROR(__xludf.DUMMYFUNCTION("SUM(QUERY(Entregas_BD!D:AL,""select AI where D='""&amp;D96&amp;""'"",1))"),0.0)</f>
        <v>0</v>
      </c>
      <c r="W96" s="9">
        <f>IFERROR(__xludf.DUMMYFUNCTION("SUM(QUERY(Entregas_BD!D:AL,""select AJ where D='""&amp;D96&amp;""'"",1))"),0.0)</f>
        <v>0</v>
      </c>
      <c r="X96" s="9">
        <f>IFERROR(__xludf.DUMMYFUNCTION("SUM(QUERY(Entregas_BD!D:AL,""select AL where D='""&amp;D96&amp;""'"",1))"),0.0)</f>
        <v>0</v>
      </c>
      <c r="Y96" s="9">
        <f>IFERROR(__xludf.DUMMYFUNCTION("SUM(QUERY(Entregas_BD!D:AL,""select AK where D='""&amp;D96&amp;""'"",1))"),0.0)</f>
        <v>0</v>
      </c>
      <c r="Z96" s="9">
        <v>-50.0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37" t="s">
        <v>330</v>
      </c>
      <c r="AG96" s="15">
        <f>IFERROR(__xludf.DUMMYFUNCTION("SUM(QUERY(Entregas_BD!D:W,""select U where D='""&amp;D96&amp;""'"",1))"),0.0)</f>
        <v>0</v>
      </c>
      <c r="AH96" s="15">
        <f>IFERROR(__xludf.DUMMYFUNCTION("SUM(QUERY(Entregas_BD!D:W,""select S where D='""&amp;D96&amp;""'"",1))"),0.0)</f>
        <v>0</v>
      </c>
      <c r="AI96" s="15">
        <f>IFERROR(__xludf.DUMMYFUNCTION("SUM(QUERY(Entregas_BD!D:W,""select T where D='""&amp;D96&amp;""'"",1))"),0.0)</f>
        <v>0</v>
      </c>
    </row>
    <row r="97" ht="19.5" customHeight="1">
      <c r="A97" s="31"/>
      <c r="B97" s="32"/>
      <c r="C97" s="19">
        <v>96.0</v>
      </c>
      <c r="D97" s="20" t="s">
        <v>331</v>
      </c>
      <c r="E97" s="20" t="s">
        <v>153</v>
      </c>
      <c r="F97" s="20" t="s">
        <v>332</v>
      </c>
      <c r="G97" s="20" t="s">
        <v>333</v>
      </c>
      <c r="H97" s="34" t="s">
        <v>40</v>
      </c>
      <c r="I97" s="21" t="s">
        <v>41</v>
      </c>
      <c r="J97" s="34"/>
      <c r="K97" s="22"/>
      <c r="L97" s="23"/>
      <c r="M97" s="41"/>
      <c r="N97" s="19">
        <f>IFERROR(__xludf.DUMMYFUNCTION("SUM(QUERY(Entregas_BD!D:L,""select G where D='""&amp;D97&amp;""'"",1))"),0.0)</f>
        <v>0</v>
      </c>
      <c r="O97" s="19">
        <f>IFERROR(__xludf.DUMMYFUNCTION("SUM(QUERY(Entregas_BD!D:L,""select H where D='""&amp;D97&amp;""'"",1))"),0.0)</f>
        <v>0</v>
      </c>
      <c r="P97" s="19">
        <f>IFERROR(__xludf.DUMMYFUNCTION("SUM(QUERY(Entregas_BD!D:L,""select I where D='""&amp;D97&amp;""'"",1))"),0.0)</f>
        <v>0</v>
      </c>
      <c r="Q97" s="19">
        <f>IFERROR(__xludf.DUMMYFUNCTION("SUM(QUERY(Entregas_BD!D:L,""select J where D='""&amp;D97&amp;""'"",1))"),0.0)</f>
        <v>0</v>
      </c>
      <c r="R97" s="24">
        <f>IFERROR(__xludf.DUMMYFUNCTION("SUM(QUERY(Entregas_BD!D:L,""select K where D='""&amp;D97&amp;""'"",1))"),0.0)</f>
        <v>0</v>
      </c>
      <c r="S97" s="24">
        <f>IFERROR(__xludf.DUMMYFUNCTION("SUM(QUERY(Entregas_BD!D:L,""select L where D='""&amp;D97&amp;""'"",1))"),0.0)</f>
        <v>0</v>
      </c>
      <c r="T97" s="19">
        <f>IFERROR(__xludf.DUMMYFUNCTION("SUM(QUERY(Entregas_BD!D:AL,""select AG where D='""&amp;D97&amp;""'"",1))"),0.0)</f>
        <v>0</v>
      </c>
      <c r="U97" s="19">
        <f>IFERROR(__xludf.DUMMYFUNCTION("SUM(QUERY(Entregas_BD!D:AL,""select AH where D='""&amp;D97&amp;""'"",1))"),0.0)</f>
        <v>0</v>
      </c>
      <c r="V97" s="19">
        <f>IFERROR(__xludf.DUMMYFUNCTION("SUM(QUERY(Entregas_BD!D:AL,""select AI where D='""&amp;D97&amp;""'"",1))"),0.0)</f>
        <v>0</v>
      </c>
      <c r="W97" s="19">
        <f>IFERROR(__xludf.DUMMYFUNCTION("SUM(QUERY(Entregas_BD!D:AL,""select AJ where D='""&amp;D97&amp;""'"",1))"),0.0)</f>
        <v>0</v>
      </c>
      <c r="X97" s="19">
        <f>IFERROR(__xludf.DUMMYFUNCTION("SUM(QUERY(Entregas_BD!D:AL,""select AL where D='""&amp;D97&amp;""'"",1))"),0.0)</f>
        <v>0</v>
      </c>
      <c r="Y97" s="19">
        <f>IFERROR(__xludf.DUMMYFUNCTION("SUM(QUERY(Entregas_BD!D:AL,""select AK where D='""&amp;D97&amp;""'"",1))"),0.0)</f>
        <v>0</v>
      </c>
      <c r="Z97" s="19">
        <v>0.0</v>
      </c>
      <c r="AA97" s="19">
        <v>0.0</v>
      </c>
      <c r="AB97" s="19">
        <v>0.0</v>
      </c>
      <c r="AC97" s="19">
        <v>0.0</v>
      </c>
      <c r="AD97" s="19">
        <v>0.0</v>
      </c>
      <c r="AE97" s="19">
        <v>0.0</v>
      </c>
      <c r="AF97" s="35" t="s">
        <v>334</v>
      </c>
      <c r="AG97" s="24">
        <f>IFERROR(__xludf.DUMMYFUNCTION("SUM(QUERY(Entregas_BD!D:W,""select U where D='""&amp;D97&amp;""'"",1))"),0.0)</f>
        <v>0</v>
      </c>
      <c r="AH97" s="24">
        <f>IFERROR(__xludf.DUMMYFUNCTION("SUM(QUERY(Entregas_BD!D:W,""select S where D='""&amp;D97&amp;""'"",1))"),0.0)</f>
        <v>0</v>
      </c>
      <c r="AI97" s="24">
        <f>IFERROR(__xludf.DUMMYFUNCTION("SUM(QUERY(Entregas_BD!D:W,""select T where D='""&amp;D97&amp;""'"",1))"),0.0)</f>
        <v>0</v>
      </c>
    </row>
    <row r="98" ht="19.5" customHeight="1">
      <c r="A98" s="7"/>
      <c r="B98" s="8"/>
      <c r="C98" s="9">
        <v>97.0</v>
      </c>
      <c r="D98" s="10" t="s">
        <v>335</v>
      </c>
      <c r="E98" s="10" t="s">
        <v>58</v>
      </c>
      <c r="F98" s="10" t="s">
        <v>45</v>
      </c>
      <c r="G98" s="10" t="s">
        <v>112</v>
      </c>
      <c r="H98" s="9" t="s">
        <v>69</v>
      </c>
      <c r="I98" s="11" t="s">
        <v>41</v>
      </c>
      <c r="J98" s="9"/>
      <c r="K98" s="28"/>
      <c r="L98" s="29"/>
      <c r="M98" s="28"/>
      <c r="N98" s="9">
        <f>IFERROR(__xludf.DUMMYFUNCTION("SUM(QUERY(Entregas_BD!D:L,""select G where D='""&amp;D98&amp;""'"",1))"),0.0)</f>
        <v>0</v>
      </c>
      <c r="O98" s="9">
        <f>IFERROR(__xludf.DUMMYFUNCTION("SUM(QUERY(Entregas_BD!D:L,""select H where D='""&amp;D98&amp;""'"",1))"),0.0)</f>
        <v>0</v>
      </c>
      <c r="P98" s="9">
        <f>IFERROR(__xludf.DUMMYFUNCTION("SUM(QUERY(Entregas_BD!D:L,""select I where D='""&amp;D98&amp;""'"",1))"),0.0)</f>
        <v>0</v>
      </c>
      <c r="Q98" s="9">
        <f>IFERROR(__xludf.DUMMYFUNCTION("SUM(QUERY(Entregas_BD!D:L,""select J where D='""&amp;D98&amp;""'"",1))"),0.0)</f>
        <v>0</v>
      </c>
      <c r="R98" s="15">
        <f>IFERROR(__xludf.DUMMYFUNCTION("SUM(QUERY(Entregas_BD!D:L,""select K where D='""&amp;D98&amp;""'"",1))"),0.0)</f>
        <v>0</v>
      </c>
      <c r="S98" s="15">
        <f>IFERROR(__xludf.DUMMYFUNCTION("SUM(QUERY(Entregas_BD!D:L,""select L where D='""&amp;D98&amp;""'"",1))"),0.0)</f>
        <v>0</v>
      </c>
      <c r="T98" s="9">
        <f>IFERROR(__xludf.DUMMYFUNCTION("SUM(QUERY(Entregas_BD!D:AL,""select AG where D='""&amp;D98&amp;""'"",1))"),50.0)</f>
        <v>50</v>
      </c>
      <c r="U98" s="9">
        <f>IFERROR(__xludf.DUMMYFUNCTION("SUM(QUERY(Entregas_BD!D:AL,""select AH where D='""&amp;D98&amp;""'"",1))"),0.0)</f>
        <v>0</v>
      </c>
      <c r="V98" s="9">
        <f>IFERROR(__xludf.DUMMYFUNCTION("SUM(QUERY(Entregas_BD!D:AL,""select AI where D='""&amp;D98&amp;""'"",1))"),0.0)</f>
        <v>0</v>
      </c>
      <c r="W98" s="9">
        <f>IFERROR(__xludf.DUMMYFUNCTION("SUM(QUERY(Entregas_BD!D:AL,""select AJ where D='""&amp;D98&amp;""'"",1))"),0.0)</f>
        <v>0</v>
      </c>
      <c r="X98" s="9">
        <f>IFERROR(__xludf.DUMMYFUNCTION("SUM(QUERY(Entregas_BD!D:AL,""select AL where D='""&amp;D98&amp;""'"",1))"),0.0)</f>
        <v>0</v>
      </c>
      <c r="Y98" s="9">
        <f>IFERROR(__xludf.DUMMYFUNCTION("SUM(QUERY(Entregas_BD!D:AL,""select AK where D='""&amp;D98&amp;""'"",1))"),0.0)</f>
        <v>0</v>
      </c>
      <c r="Z98" s="9">
        <v>-50.0</v>
      </c>
      <c r="AA98" s="9">
        <v>0.0</v>
      </c>
      <c r="AB98" s="9">
        <v>0.0</v>
      </c>
      <c r="AC98" s="9">
        <v>0.0</v>
      </c>
      <c r="AD98" s="9">
        <v>0.0</v>
      </c>
      <c r="AE98" s="9">
        <v>0.0</v>
      </c>
      <c r="AF98" s="30" t="s">
        <v>336</v>
      </c>
      <c r="AG98" s="15">
        <f>IFERROR(__xludf.DUMMYFUNCTION("SUM(QUERY(Entregas_BD!D:W,""select U where D='""&amp;D98&amp;""'"",1))"),0.0)</f>
        <v>0</v>
      </c>
      <c r="AH98" s="15">
        <f>IFERROR(__xludf.DUMMYFUNCTION("SUM(QUERY(Entregas_BD!D:W,""select S where D='""&amp;D98&amp;""'"",1))"),0.0)</f>
        <v>0</v>
      </c>
      <c r="AI98" s="15">
        <f>IFERROR(__xludf.DUMMYFUNCTION("SUM(QUERY(Entregas_BD!D:W,""select T where D='""&amp;D98&amp;""'"",1))"),0.0)</f>
        <v>0</v>
      </c>
    </row>
    <row r="99" ht="19.5" customHeight="1">
      <c r="A99" s="31"/>
      <c r="B99" s="32"/>
      <c r="C99" s="19">
        <v>98.0</v>
      </c>
      <c r="D99" s="20" t="s">
        <v>337</v>
      </c>
      <c r="E99" s="20" t="s">
        <v>58</v>
      </c>
      <c r="F99" s="20" t="s">
        <v>45</v>
      </c>
      <c r="G99" s="20" t="s">
        <v>218</v>
      </c>
      <c r="H99" s="19" t="s">
        <v>69</v>
      </c>
      <c r="I99" s="21" t="s">
        <v>41</v>
      </c>
      <c r="J99" s="19"/>
      <c r="K99" s="22"/>
      <c r="L99" s="23"/>
      <c r="M99" s="22"/>
      <c r="N99" s="19">
        <f>IFERROR(__xludf.DUMMYFUNCTION("SUM(QUERY(Entregas_BD!D:L,""select G where D='""&amp;D99&amp;""'"",1))"),0.0)</f>
        <v>0</v>
      </c>
      <c r="O99" s="19">
        <f>IFERROR(__xludf.DUMMYFUNCTION("SUM(QUERY(Entregas_BD!D:L,""select H where D='""&amp;D99&amp;""'"",1))"),0.0)</f>
        <v>0</v>
      </c>
      <c r="P99" s="19">
        <f>IFERROR(__xludf.DUMMYFUNCTION("SUM(QUERY(Entregas_BD!D:L,""select I where D='""&amp;D99&amp;""'"",1))"),0.0)</f>
        <v>0</v>
      </c>
      <c r="Q99" s="19">
        <f>IFERROR(__xludf.DUMMYFUNCTION("SUM(QUERY(Entregas_BD!D:L,""select J where D='""&amp;D99&amp;""'"",1))"),0.0)</f>
        <v>0</v>
      </c>
      <c r="R99" s="24">
        <f>IFERROR(__xludf.DUMMYFUNCTION("SUM(QUERY(Entregas_BD!D:L,""select K where D='""&amp;D99&amp;""'"",1))"),0.0)</f>
        <v>0</v>
      </c>
      <c r="S99" s="24">
        <f>IFERROR(__xludf.DUMMYFUNCTION("SUM(QUERY(Entregas_BD!D:L,""select L where D='""&amp;D99&amp;""'"",1))"),0.0)</f>
        <v>0</v>
      </c>
      <c r="T99" s="19">
        <f>IFERROR(__xludf.DUMMYFUNCTION("SUM(QUERY(Entregas_BD!D:AL,""select AG where D='""&amp;D99&amp;""'"",1))"),140.0)</f>
        <v>140</v>
      </c>
      <c r="U99" s="19">
        <f>IFERROR(__xludf.DUMMYFUNCTION("SUM(QUERY(Entregas_BD!D:AL,""select AH where D='""&amp;D99&amp;""'"",1))"),0.0)</f>
        <v>0</v>
      </c>
      <c r="V99" s="19">
        <f>IFERROR(__xludf.DUMMYFUNCTION("SUM(QUERY(Entregas_BD!D:AL,""select AI where D='""&amp;D99&amp;""'"",1))"),0.0)</f>
        <v>0</v>
      </c>
      <c r="W99" s="19">
        <f>IFERROR(__xludf.DUMMYFUNCTION("SUM(QUERY(Entregas_BD!D:AL,""select AJ where D='""&amp;D99&amp;""'"",1))"),0.0)</f>
        <v>0</v>
      </c>
      <c r="X99" s="19">
        <f>IFERROR(__xludf.DUMMYFUNCTION("SUM(QUERY(Entregas_BD!D:AL,""select AL where D='""&amp;D99&amp;""'"",1))"),0.0)</f>
        <v>0</v>
      </c>
      <c r="Y99" s="19">
        <f>IFERROR(__xludf.DUMMYFUNCTION("SUM(QUERY(Entregas_BD!D:AL,""select AK where D='""&amp;D99&amp;""'"",1))"),0.0)</f>
        <v>0</v>
      </c>
      <c r="Z99" s="19">
        <v>-140.0</v>
      </c>
      <c r="AA99" s="19">
        <v>0.0</v>
      </c>
      <c r="AB99" s="19">
        <v>0.0</v>
      </c>
      <c r="AC99" s="19">
        <v>0.0</v>
      </c>
      <c r="AD99" s="19">
        <v>0.0</v>
      </c>
      <c r="AE99" s="19">
        <v>0.0</v>
      </c>
      <c r="AF99" s="25" t="s">
        <v>338</v>
      </c>
      <c r="AG99" s="24">
        <f>IFERROR(__xludf.DUMMYFUNCTION("SUM(QUERY(Entregas_BD!D:W,""select U where D='""&amp;D99&amp;""'"",1))"),0.0)</f>
        <v>0</v>
      </c>
      <c r="AH99" s="24">
        <f>IFERROR(__xludf.DUMMYFUNCTION("SUM(QUERY(Entregas_BD!D:W,""select S where D='""&amp;D99&amp;""'"",1))"),0.0)</f>
        <v>0</v>
      </c>
      <c r="AI99" s="24">
        <f>IFERROR(__xludf.DUMMYFUNCTION("SUM(QUERY(Entregas_BD!D:W,""select T where D='""&amp;D99&amp;""'"",1))"),0.0)</f>
        <v>0</v>
      </c>
    </row>
    <row r="100" ht="19.5" customHeight="1">
      <c r="A100" s="7"/>
      <c r="B100" s="8"/>
      <c r="C100" s="9">
        <v>99.0</v>
      </c>
      <c r="D100" s="43" t="s">
        <v>339</v>
      </c>
      <c r="E100" s="10" t="s">
        <v>324</v>
      </c>
      <c r="F100" s="10" t="s">
        <v>340</v>
      </c>
      <c r="G100" s="10" t="s">
        <v>341</v>
      </c>
      <c r="H100" s="9" t="s">
        <v>40</v>
      </c>
      <c r="I100" s="11" t="s">
        <v>41</v>
      </c>
      <c r="J100" s="12"/>
      <c r="K100" s="28"/>
      <c r="L100" s="29"/>
      <c r="M100" s="36"/>
      <c r="N100" s="9">
        <f>IFERROR(__xludf.DUMMYFUNCTION("SUM(QUERY(Entregas_BD!D:L,""select G where D='""&amp;D100&amp;""'"",1))"),0.0)</f>
        <v>0</v>
      </c>
      <c r="O100" s="9">
        <f>IFERROR(__xludf.DUMMYFUNCTION("SUM(QUERY(Entregas_BD!D:L,""select H where D='""&amp;D100&amp;""'"",1))"),0.0)</f>
        <v>0</v>
      </c>
      <c r="P100" s="9">
        <f>IFERROR(__xludf.DUMMYFUNCTION("SUM(QUERY(Entregas_BD!D:L,""select I where D='""&amp;D100&amp;""'"",1))"),0.0)</f>
        <v>0</v>
      </c>
      <c r="Q100" s="9">
        <f>IFERROR(__xludf.DUMMYFUNCTION("SUM(QUERY(Entregas_BD!D:L,""select J where D='""&amp;D100&amp;""'"",1))"),0.0)</f>
        <v>0</v>
      </c>
      <c r="R100" s="15">
        <f>IFERROR(__xludf.DUMMYFUNCTION("SUM(QUERY(Entregas_BD!D:L,""select K where D='""&amp;D100&amp;""'"",1))"),0.0)</f>
        <v>0</v>
      </c>
      <c r="S100" s="15">
        <f>IFERROR(__xludf.DUMMYFUNCTION("SUM(QUERY(Entregas_BD!D:L,""select L where D='""&amp;D100&amp;""'"",1))"),0.0)</f>
        <v>0</v>
      </c>
      <c r="T100" s="9">
        <f>IFERROR(__xludf.DUMMYFUNCTION("SUM(QUERY(Entregas_BD!D:AL,""select AG where D='""&amp;D100&amp;""'"",1))"),50.0)</f>
        <v>50</v>
      </c>
      <c r="U100" s="9">
        <f>IFERROR(__xludf.DUMMYFUNCTION("SUM(QUERY(Entregas_BD!D:AL,""select AH where D='""&amp;D100&amp;""'"",1))"),0.0)</f>
        <v>0</v>
      </c>
      <c r="V100" s="9">
        <f>IFERROR(__xludf.DUMMYFUNCTION("SUM(QUERY(Entregas_BD!D:AL,""select AI where D='""&amp;D100&amp;""'"",1))"),0.0)</f>
        <v>0</v>
      </c>
      <c r="W100" s="9">
        <f>IFERROR(__xludf.DUMMYFUNCTION("SUM(QUERY(Entregas_BD!D:AL,""select AJ where D='""&amp;D100&amp;""'"",1))"),0.0)</f>
        <v>0</v>
      </c>
      <c r="X100" s="9">
        <f>IFERROR(__xludf.DUMMYFUNCTION("SUM(QUERY(Entregas_BD!D:AL,""select AL where D='""&amp;D100&amp;""'"",1))"),0.0)</f>
        <v>0</v>
      </c>
      <c r="Y100" s="9">
        <f>IFERROR(__xludf.DUMMYFUNCTION("SUM(QUERY(Entregas_BD!D:AL,""select AK where D='""&amp;D100&amp;""'"",1))"),0.0)</f>
        <v>0</v>
      </c>
      <c r="Z100" s="9">
        <v>-50.0</v>
      </c>
      <c r="AA100" s="9">
        <v>0.0</v>
      </c>
      <c r="AB100" s="9">
        <v>0.0</v>
      </c>
      <c r="AC100" s="9">
        <v>0.0</v>
      </c>
      <c r="AD100" s="9">
        <v>0.0</v>
      </c>
      <c r="AE100" s="9">
        <v>0.0</v>
      </c>
      <c r="AF100" s="30" t="s">
        <v>342</v>
      </c>
      <c r="AG100" s="15">
        <f>IFERROR(__xludf.DUMMYFUNCTION("SUM(QUERY(Entregas_BD!D:W,""select U where D='""&amp;D100&amp;""'"",1))"),0.0)</f>
        <v>0</v>
      </c>
      <c r="AH100" s="15">
        <f>IFERROR(__xludf.DUMMYFUNCTION("SUM(QUERY(Entregas_BD!D:W,""select S where D='""&amp;D100&amp;""'"",1))"),0.0)</f>
        <v>0</v>
      </c>
      <c r="AI100" s="15">
        <f>IFERROR(__xludf.DUMMYFUNCTION("SUM(QUERY(Entregas_BD!D:W,""select T where D='""&amp;D100&amp;""'"",1))"),0.0)</f>
        <v>0</v>
      </c>
    </row>
    <row r="101" ht="19.5" customHeight="1">
      <c r="A101" s="17"/>
      <c r="B101" s="18"/>
      <c r="C101" s="19">
        <v>100.0</v>
      </c>
      <c r="D101" s="20" t="s">
        <v>343</v>
      </c>
      <c r="E101" s="20" t="s">
        <v>44</v>
      </c>
      <c r="F101" s="20" t="s">
        <v>45</v>
      </c>
      <c r="G101" s="20" t="s">
        <v>177</v>
      </c>
      <c r="H101" s="19" t="s">
        <v>69</v>
      </c>
      <c r="I101" s="21" t="s">
        <v>41</v>
      </c>
      <c r="J101" s="19"/>
      <c r="K101" s="22"/>
      <c r="L101" s="23"/>
      <c r="M101" s="22"/>
      <c r="N101" s="19">
        <f>IFERROR(__xludf.DUMMYFUNCTION("SUM(QUERY(Entregas_BD!D:L,""select G where D='""&amp;D101&amp;""'"",1))"),0.0)</f>
        <v>0</v>
      </c>
      <c r="O101" s="19">
        <f>IFERROR(__xludf.DUMMYFUNCTION("SUM(QUERY(Entregas_BD!D:L,""select H where D='""&amp;D101&amp;""'"",1))"),0.0)</f>
        <v>0</v>
      </c>
      <c r="P101" s="19">
        <f>IFERROR(__xludf.DUMMYFUNCTION("SUM(QUERY(Entregas_BD!D:L,""select I where D='""&amp;D101&amp;""'"",1))"),0.0)</f>
        <v>0</v>
      </c>
      <c r="Q101" s="19">
        <f>IFERROR(__xludf.DUMMYFUNCTION("SUM(QUERY(Entregas_BD!D:L,""select J where D='""&amp;D101&amp;""'"",1))"),0.0)</f>
        <v>0</v>
      </c>
      <c r="R101" s="24">
        <f>IFERROR(__xludf.DUMMYFUNCTION("SUM(QUERY(Entregas_BD!D:L,""select K where D='""&amp;D101&amp;""'"",1))"),0.0)</f>
        <v>0</v>
      </c>
      <c r="S101" s="24">
        <f>IFERROR(__xludf.DUMMYFUNCTION("SUM(QUERY(Entregas_BD!D:L,""select L where D='""&amp;D101&amp;""'"",1))"),0.0)</f>
        <v>0</v>
      </c>
      <c r="T101" s="19">
        <f>IFERROR(__xludf.DUMMYFUNCTION("SUM(QUERY(Entregas_BD!D:AL,""select AG where D='""&amp;D101&amp;""'"",1))"),0.0)</f>
        <v>0</v>
      </c>
      <c r="U101" s="19">
        <f>IFERROR(__xludf.DUMMYFUNCTION("SUM(QUERY(Entregas_BD!D:AL,""select AH where D='""&amp;D101&amp;""'"",1))"),0.0)</f>
        <v>0</v>
      </c>
      <c r="V101" s="19">
        <f>IFERROR(__xludf.DUMMYFUNCTION("SUM(QUERY(Entregas_BD!D:AL,""select AI where D='""&amp;D101&amp;""'"",1))"),0.0)</f>
        <v>0</v>
      </c>
      <c r="W101" s="19">
        <f>IFERROR(__xludf.DUMMYFUNCTION("SUM(QUERY(Entregas_BD!D:AL,""select AJ where D='""&amp;D101&amp;""'"",1))"),0.0)</f>
        <v>0</v>
      </c>
      <c r="X101" s="19">
        <f>IFERROR(__xludf.DUMMYFUNCTION("SUM(QUERY(Entregas_BD!D:AL,""select AL where D='""&amp;D101&amp;""'"",1))"),0.0)</f>
        <v>0</v>
      </c>
      <c r="Y101" s="19">
        <f>IFERROR(__xludf.DUMMYFUNCTION("SUM(QUERY(Entregas_BD!D:AL,""select AK where D='""&amp;D101&amp;""'"",1))"),0.0)</f>
        <v>0</v>
      </c>
      <c r="Z101" s="19">
        <v>0.0</v>
      </c>
      <c r="AA101" s="19">
        <v>0.0</v>
      </c>
      <c r="AB101" s="19">
        <v>0.0</v>
      </c>
      <c r="AC101" s="19">
        <v>0.0</v>
      </c>
      <c r="AD101" s="19">
        <v>0.0</v>
      </c>
      <c r="AE101" s="19">
        <v>0.0</v>
      </c>
      <c r="AF101" s="25" t="s">
        <v>344</v>
      </c>
      <c r="AG101" s="24">
        <f>IFERROR(__xludf.DUMMYFUNCTION("SUM(QUERY(Entregas_BD!D:W,""select U where D='""&amp;D101&amp;""'"",1))"),0.0)</f>
        <v>0</v>
      </c>
      <c r="AH101" s="24">
        <f>IFERROR(__xludf.DUMMYFUNCTION("SUM(QUERY(Entregas_BD!D:W,""select S where D='""&amp;D101&amp;""'"",1))"),0.0)</f>
        <v>0</v>
      </c>
      <c r="AI101" s="24">
        <f>IFERROR(__xludf.DUMMYFUNCTION("SUM(QUERY(Entregas_BD!D:W,""select T where D='""&amp;D101&amp;""'"",1))"),0.0)</f>
        <v>0</v>
      </c>
    </row>
    <row r="102" ht="19.5" customHeight="1">
      <c r="A102" s="26"/>
      <c r="B102" s="27"/>
      <c r="C102" s="9">
        <v>101.0</v>
      </c>
      <c r="D102" s="10" t="s">
        <v>345</v>
      </c>
      <c r="E102" s="10" t="s">
        <v>44</v>
      </c>
      <c r="F102" s="10" t="s">
        <v>45</v>
      </c>
      <c r="G102" s="10" t="s">
        <v>177</v>
      </c>
      <c r="H102" s="9" t="s">
        <v>69</v>
      </c>
      <c r="I102" s="11" t="s">
        <v>41</v>
      </c>
      <c r="J102" s="9"/>
      <c r="K102" s="28"/>
      <c r="L102" s="29"/>
      <c r="M102" s="28"/>
      <c r="N102" s="9">
        <f>IFERROR(__xludf.DUMMYFUNCTION("SUM(QUERY(Entregas_BD!D:L,""select G where D='""&amp;D102&amp;""'"",1))"),0.0)</f>
        <v>0</v>
      </c>
      <c r="O102" s="9">
        <f>IFERROR(__xludf.DUMMYFUNCTION("SUM(QUERY(Entregas_BD!D:L,""select H where D='""&amp;D102&amp;""'"",1))"),0.0)</f>
        <v>0</v>
      </c>
      <c r="P102" s="9">
        <f>IFERROR(__xludf.DUMMYFUNCTION("SUM(QUERY(Entregas_BD!D:L,""select I where D='""&amp;D102&amp;""'"",1))"),0.0)</f>
        <v>0</v>
      </c>
      <c r="Q102" s="9">
        <f>IFERROR(__xludf.DUMMYFUNCTION("SUM(QUERY(Entregas_BD!D:L,""select J where D='""&amp;D102&amp;""'"",1))"),0.0)</f>
        <v>0</v>
      </c>
      <c r="R102" s="15">
        <f>IFERROR(__xludf.DUMMYFUNCTION("SUM(QUERY(Entregas_BD!D:L,""select K where D='""&amp;D102&amp;""'"",1))"),0.0)</f>
        <v>0</v>
      </c>
      <c r="S102" s="15">
        <f>IFERROR(__xludf.DUMMYFUNCTION("SUM(QUERY(Entregas_BD!D:L,""select L where D='""&amp;D102&amp;""'"",1))"),0.0)</f>
        <v>0</v>
      </c>
      <c r="T102" s="9">
        <f>IFERROR(__xludf.DUMMYFUNCTION("SUM(QUERY(Entregas_BD!D:AL,""select AG where D='""&amp;D102&amp;""'"",1))"),185.0)</f>
        <v>185</v>
      </c>
      <c r="U102" s="9">
        <f>IFERROR(__xludf.DUMMYFUNCTION("SUM(QUERY(Entregas_BD!D:AL,""select AH where D='""&amp;D102&amp;""'"",1))"),0.0)</f>
        <v>0</v>
      </c>
      <c r="V102" s="9">
        <f>IFERROR(__xludf.DUMMYFUNCTION("SUM(QUERY(Entregas_BD!D:AL,""select AI where D='""&amp;D102&amp;""'"",1))"),0.0)</f>
        <v>0</v>
      </c>
      <c r="W102" s="9">
        <f>IFERROR(__xludf.DUMMYFUNCTION("SUM(QUERY(Entregas_BD!D:AL,""select AJ where D='""&amp;D102&amp;""'"",1))"),0.0)</f>
        <v>0</v>
      </c>
      <c r="X102" s="9">
        <f>IFERROR(__xludf.DUMMYFUNCTION("SUM(QUERY(Entregas_BD!D:AL,""select AL where D='""&amp;D102&amp;""'"",1))"),0.0)</f>
        <v>0</v>
      </c>
      <c r="Y102" s="9">
        <f>IFERROR(__xludf.DUMMYFUNCTION("SUM(QUERY(Entregas_BD!D:AL,""select AK where D='""&amp;D102&amp;""'"",1))"),0.0)</f>
        <v>0</v>
      </c>
      <c r="Z102" s="9">
        <v>-185.0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30" t="s">
        <v>344</v>
      </c>
      <c r="AG102" s="15">
        <f>IFERROR(__xludf.DUMMYFUNCTION("SUM(QUERY(Entregas_BD!D:W,""select U where D='""&amp;D102&amp;""'"",1))"),0.0)</f>
        <v>0</v>
      </c>
      <c r="AH102" s="15">
        <f>IFERROR(__xludf.DUMMYFUNCTION("SUM(QUERY(Entregas_BD!D:W,""select S where D='""&amp;D102&amp;""'"",1))"),0.0)</f>
        <v>0</v>
      </c>
      <c r="AI102" s="15">
        <f>IFERROR(__xludf.DUMMYFUNCTION("SUM(QUERY(Entregas_BD!D:W,""select T where D='""&amp;D102&amp;""'"",1))"),0.0)</f>
        <v>0</v>
      </c>
    </row>
    <row r="103" ht="19.5" customHeight="1">
      <c r="A103" s="31"/>
      <c r="B103" s="32"/>
      <c r="C103" s="19">
        <v>102.0</v>
      </c>
      <c r="D103" s="20" t="s">
        <v>346</v>
      </c>
      <c r="E103" s="20" t="s">
        <v>54</v>
      </c>
      <c r="F103" s="20" t="s">
        <v>45</v>
      </c>
      <c r="G103" s="20" t="s">
        <v>347</v>
      </c>
      <c r="H103" s="19" t="s">
        <v>69</v>
      </c>
      <c r="I103" s="21" t="s">
        <v>41</v>
      </c>
      <c r="J103" s="34"/>
      <c r="K103" s="22"/>
      <c r="L103" s="47"/>
      <c r="M103" s="22"/>
      <c r="N103" s="19">
        <f>IFERROR(__xludf.DUMMYFUNCTION("SUM(QUERY(Entregas_BD!D:L,""select G where D='""&amp;D103&amp;""'"",1))"),0.0)</f>
        <v>0</v>
      </c>
      <c r="O103" s="19">
        <f>IFERROR(__xludf.DUMMYFUNCTION("SUM(QUERY(Entregas_BD!D:L,""select H where D='""&amp;D103&amp;""'"",1))"),0.0)</f>
        <v>0</v>
      </c>
      <c r="P103" s="19">
        <f>IFERROR(__xludf.DUMMYFUNCTION("SUM(QUERY(Entregas_BD!D:L,""select I where D='""&amp;D103&amp;""'"",1))"),0.0)</f>
        <v>0</v>
      </c>
      <c r="Q103" s="19">
        <f>IFERROR(__xludf.DUMMYFUNCTION("SUM(QUERY(Entregas_BD!D:L,""select J where D='""&amp;D103&amp;""'"",1))"),0.0)</f>
        <v>0</v>
      </c>
      <c r="R103" s="24">
        <f>IFERROR(__xludf.DUMMYFUNCTION("SUM(QUERY(Entregas_BD!D:L,""select K where D='""&amp;D103&amp;""'"",1))"),0.0)</f>
        <v>0</v>
      </c>
      <c r="S103" s="24">
        <f>IFERROR(__xludf.DUMMYFUNCTION("SUM(QUERY(Entregas_BD!D:L,""select L where D='""&amp;D103&amp;""'"",1))"),0.0)</f>
        <v>0</v>
      </c>
      <c r="T103" s="19">
        <f>IFERROR(__xludf.DUMMYFUNCTION("SUM(QUERY(Entregas_BD!D:AL,""select AG where D='""&amp;D103&amp;""'"",1))"),500.0)</f>
        <v>500</v>
      </c>
      <c r="U103" s="19">
        <f>IFERROR(__xludf.DUMMYFUNCTION("SUM(QUERY(Entregas_BD!D:AL,""select AH where D='""&amp;D103&amp;""'"",1))"),0.0)</f>
        <v>0</v>
      </c>
      <c r="V103" s="19">
        <f>IFERROR(__xludf.DUMMYFUNCTION("SUM(QUERY(Entregas_BD!D:AL,""select AI where D='""&amp;D103&amp;""'"",1))"),0.0)</f>
        <v>0</v>
      </c>
      <c r="W103" s="19">
        <f>IFERROR(__xludf.DUMMYFUNCTION("SUM(QUERY(Entregas_BD!D:AL,""select AJ where D='""&amp;D103&amp;""'"",1))"),0.0)</f>
        <v>0</v>
      </c>
      <c r="X103" s="19">
        <f>IFERROR(__xludf.DUMMYFUNCTION("SUM(QUERY(Entregas_BD!D:AL,""select AL where D='""&amp;D103&amp;""'"",1))"),0.0)</f>
        <v>0</v>
      </c>
      <c r="Y103" s="19">
        <f>IFERROR(__xludf.DUMMYFUNCTION("SUM(QUERY(Entregas_BD!D:AL,""select AK where D='""&amp;D103&amp;""'"",1))"),0.0)</f>
        <v>0</v>
      </c>
      <c r="Z103" s="19">
        <v>-500.0</v>
      </c>
      <c r="AA103" s="19">
        <v>0.0</v>
      </c>
      <c r="AB103" s="19">
        <v>0.0</v>
      </c>
      <c r="AC103" s="19">
        <v>0.0</v>
      </c>
      <c r="AD103" s="19">
        <v>0.0</v>
      </c>
      <c r="AE103" s="19">
        <v>0.0</v>
      </c>
      <c r="AF103" s="35" t="s">
        <v>348</v>
      </c>
      <c r="AG103" s="24">
        <f>IFERROR(__xludf.DUMMYFUNCTION("SUM(QUERY(Entregas_BD!D:W,""select U where D='""&amp;D103&amp;""'"",1))"),0.0)</f>
        <v>0</v>
      </c>
      <c r="AH103" s="24">
        <f>IFERROR(__xludf.DUMMYFUNCTION("SUM(QUERY(Entregas_BD!D:W,""select S where D='""&amp;D103&amp;""'"",1))"),0.0)</f>
        <v>0</v>
      </c>
      <c r="AI103" s="24">
        <f>IFERROR(__xludf.DUMMYFUNCTION("SUM(QUERY(Entregas_BD!D:W,""select T where D='""&amp;D103&amp;""'"",1))"),0.0)</f>
        <v>0</v>
      </c>
    </row>
    <row r="104" ht="19.5" customHeight="1">
      <c r="A104" s="26"/>
      <c r="B104" s="8"/>
      <c r="C104" s="9">
        <v>103.0</v>
      </c>
      <c r="D104" s="10" t="s">
        <v>349</v>
      </c>
      <c r="E104" s="10" t="s">
        <v>197</v>
      </c>
      <c r="F104" s="10" t="s">
        <v>45</v>
      </c>
      <c r="G104" s="10" t="s">
        <v>350</v>
      </c>
      <c r="H104" s="9" t="s">
        <v>40</v>
      </c>
      <c r="I104" s="11" t="s">
        <v>41</v>
      </c>
      <c r="J104" s="12"/>
      <c r="K104" s="28"/>
      <c r="L104" s="29"/>
      <c r="M104" s="36"/>
      <c r="N104" s="9">
        <f>IFERROR(__xludf.DUMMYFUNCTION("SUM(QUERY(Entregas_BD!D:L,""select G where D='""&amp;D104&amp;""'"",1))"),0.0)</f>
        <v>0</v>
      </c>
      <c r="O104" s="9">
        <f>IFERROR(__xludf.DUMMYFUNCTION("SUM(QUERY(Entregas_BD!D:L,""select H where D='""&amp;D104&amp;""'"",1))"),0.0)</f>
        <v>0</v>
      </c>
      <c r="P104" s="9">
        <f>IFERROR(__xludf.DUMMYFUNCTION("SUM(QUERY(Entregas_BD!D:L,""select I where D='""&amp;D104&amp;""'"",1))"),0.0)</f>
        <v>0</v>
      </c>
      <c r="Q104" s="9">
        <f>IFERROR(__xludf.DUMMYFUNCTION("SUM(QUERY(Entregas_BD!D:L,""select J where D='""&amp;D104&amp;""'"",1))"),0.0)</f>
        <v>0</v>
      </c>
      <c r="R104" s="15">
        <f>IFERROR(__xludf.DUMMYFUNCTION("SUM(QUERY(Entregas_BD!D:L,""select K where D='""&amp;D104&amp;""'"",1))"),0.0)</f>
        <v>0</v>
      </c>
      <c r="S104" s="15">
        <f>IFERROR(__xludf.DUMMYFUNCTION("SUM(QUERY(Entregas_BD!D:L,""select L where D='""&amp;D104&amp;""'"",1))"),0.0)</f>
        <v>0</v>
      </c>
      <c r="T104" s="9">
        <f>IFERROR(__xludf.DUMMYFUNCTION("SUM(QUERY(Entregas_BD!D:AL,""select AG where D='""&amp;D104&amp;""'"",1))"),300.0)</f>
        <v>300</v>
      </c>
      <c r="U104" s="9">
        <f>IFERROR(__xludf.DUMMYFUNCTION("SUM(QUERY(Entregas_BD!D:AL,""select AH where D='""&amp;D104&amp;""'"",1))"),0.0)</f>
        <v>0</v>
      </c>
      <c r="V104" s="9">
        <f>IFERROR(__xludf.DUMMYFUNCTION("SUM(QUERY(Entregas_BD!D:AL,""select AI where D='""&amp;D104&amp;""'"",1))"),0.0)</f>
        <v>0</v>
      </c>
      <c r="W104" s="9">
        <f>IFERROR(__xludf.DUMMYFUNCTION("SUM(QUERY(Entregas_BD!D:AL,""select AJ where D='""&amp;D104&amp;""'"",1))"),0.0)</f>
        <v>0</v>
      </c>
      <c r="X104" s="9">
        <f>IFERROR(__xludf.DUMMYFUNCTION("SUM(QUERY(Entregas_BD!D:AL,""select AL where D='""&amp;D104&amp;""'"",1))"),0.0)</f>
        <v>0</v>
      </c>
      <c r="Y104" s="9">
        <f>IFERROR(__xludf.DUMMYFUNCTION("SUM(QUERY(Entregas_BD!D:AL,""select AK where D='""&amp;D104&amp;""'"",1))"),0.0)</f>
        <v>0</v>
      </c>
      <c r="Z104" s="9">
        <v>-300.0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30" t="s">
        <v>351</v>
      </c>
      <c r="AG104" s="15">
        <f>IFERROR(__xludf.DUMMYFUNCTION("SUM(QUERY(Entregas_BD!D:W,""select U where D='""&amp;D104&amp;""'"",1))"),0.0)</f>
        <v>0</v>
      </c>
      <c r="AH104" s="15">
        <f>IFERROR(__xludf.DUMMYFUNCTION("SUM(QUERY(Entregas_BD!D:W,""select S where D='""&amp;D104&amp;""'"",1))"),0.0)</f>
        <v>0</v>
      </c>
      <c r="AI104" s="15">
        <f>IFERROR(__xludf.DUMMYFUNCTION("SUM(QUERY(Entregas_BD!D:W,""select T where D='""&amp;D104&amp;""'"",1))"),0.0)</f>
        <v>0</v>
      </c>
    </row>
    <row r="105" ht="19.5" customHeight="1">
      <c r="A105" s="31"/>
      <c r="B105" s="32"/>
      <c r="C105" s="19">
        <v>104.0</v>
      </c>
      <c r="D105" s="20" t="s">
        <v>352</v>
      </c>
      <c r="E105" s="20" t="s">
        <v>58</v>
      </c>
      <c r="F105" s="20" t="s">
        <v>45</v>
      </c>
      <c r="G105" s="20" t="s">
        <v>353</v>
      </c>
      <c r="H105" s="19" t="s">
        <v>69</v>
      </c>
      <c r="I105" s="21" t="s">
        <v>41</v>
      </c>
      <c r="J105" s="19"/>
      <c r="K105" s="22"/>
      <c r="L105" s="23"/>
      <c r="M105" s="22"/>
      <c r="N105" s="19">
        <f>IFERROR(__xludf.DUMMYFUNCTION("SUM(QUERY(Entregas_BD!D:L,""select G where D='""&amp;D105&amp;""'"",1))"),0.0)</f>
        <v>0</v>
      </c>
      <c r="O105" s="19">
        <f>IFERROR(__xludf.DUMMYFUNCTION("SUM(QUERY(Entregas_BD!D:L,""select H where D='""&amp;D105&amp;""'"",1))"),0.0)</f>
        <v>0</v>
      </c>
      <c r="P105" s="19">
        <f>IFERROR(__xludf.DUMMYFUNCTION("SUM(QUERY(Entregas_BD!D:L,""select I where D='""&amp;D105&amp;""'"",1))"),0.0)</f>
        <v>0</v>
      </c>
      <c r="Q105" s="19">
        <f>IFERROR(__xludf.DUMMYFUNCTION("SUM(QUERY(Entregas_BD!D:L,""select J where D='""&amp;D105&amp;""'"",1))"),0.0)</f>
        <v>0</v>
      </c>
      <c r="R105" s="24">
        <f>IFERROR(__xludf.DUMMYFUNCTION("SUM(QUERY(Entregas_BD!D:L,""select K where D='""&amp;D105&amp;""'"",1))"),0.0)</f>
        <v>0</v>
      </c>
      <c r="S105" s="24">
        <f>IFERROR(__xludf.DUMMYFUNCTION("SUM(QUERY(Entregas_BD!D:L,""select L where D='""&amp;D105&amp;""'"",1))"),0.0)</f>
        <v>0</v>
      </c>
      <c r="T105" s="19">
        <f>IFERROR(__xludf.DUMMYFUNCTION("SUM(QUERY(Entregas_BD!D:AL,""select AG where D='""&amp;D105&amp;""'"",1))"),50.0)</f>
        <v>50</v>
      </c>
      <c r="U105" s="19">
        <f>IFERROR(__xludf.DUMMYFUNCTION("SUM(QUERY(Entregas_BD!D:AL,""select AH where D='""&amp;D105&amp;""'"",1))"),0.0)</f>
        <v>0</v>
      </c>
      <c r="V105" s="19">
        <f>IFERROR(__xludf.DUMMYFUNCTION("SUM(QUERY(Entregas_BD!D:AL,""select AI where D='""&amp;D105&amp;""'"",1))"),0.0)</f>
        <v>0</v>
      </c>
      <c r="W105" s="19">
        <f>IFERROR(__xludf.DUMMYFUNCTION("SUM(QUERY(Entregas_BD!D:AL,""select AJ where D='""&amp;D105&amp;""'"",1))"),0.0)</f>
        <v>0</v>
      </c>
      <c r="X105" s="19">
        <f>IFERROR(__xludf.DUMMYFUNCTION("SUM(QUERY(Entregas_BD!D:AL,""select AL where D='""&amp;D105&amp;""'"",1))"),0.0)</f>
        <v>0</v>
      </c>
      <c r="Y105" s="19">
        <f>IFERROR(__xludf.DUMMYFUNCTION("SUM(QUERY(Entregas_BD!D:AL,""select AK where D='""&amp;D105&amp;""'"",1))"),0.0)</f>
        <v>0</v>
      </c>
      <c r="Z105" s="19">
        <v>-50.0</v>
      </c>
      <c r="AA105" s="19">
        <v>0.0</v>
      </c>
      <c r="AB105" s="19">
        <v>0.0</v>
      </c>
      <c r="AC105" s="19">
        <v>0.0</v>
      </c>
      <c r="AD105" s="19">
        <v>0.0</v>
      </c>
      <c r="AE105" s="19">
        <v>0.0</v>
      </c>
      <c r="AF105" s="25" t="s">
        <v>354</v>
      </c>
      <c r="AG105" s="24">
        <f>IFERROR(__xludf.DUMMYFUNCTION("SUM(QUERY(Entregas_BD!D:W,""select U where D='""&amp;D105&amp;""'"",1))"),0.0)</f>
        <v>0</v>
      </c>
      <c r="AH105" s="24">
        <f>IFERROR(__xludf.DUMMYFUNCTION("SUM(QUERY(Entregas_BD!D:W,""select S where D='""&amp;D105&amp;""'"",1))"),0.0)</f>
        <v>0</v>
      </c>
      <c r="AI105" s="24">
        <f>IFERROR(__xludf.DUMMYFUNCTION("SUM(QUERY(Entregas_BD!D:W,""select T where D='""&amp;D105&amp;""'"",1))"),0.0)</f>
        <v>0</v>
      </c>
    </row>
    <row r="106" ht="19.5" customHeight="1">
      <c r="A106" s="26"/>
      <c r="B106" s="27"/>
      <c r="C106" s="9">
        <v>105.0</v>
      </c>
      <c r="D106" s="10" t="s">
        <v>355</v>
      </c>
      <c r="E106" s="10" t="s">
        <v>44</v>
      </c>
      <c r="F106" s="10" t="s">
        <v>45</v>
      </c>
      <c r="G106" s="10" t="s">
        <v>356</v>
      </c>
      <c r="H106" s="9" t="s">
        <v>69</v>
      </c>
      <c r="I106" s="11" t="s">
        <v>41</v>
      </c>
      <c r="J106" s="9"/>
      <c r="K106" s="28"/>
      <c r="L106" s="29"/>
      <c r="M106" s="28"/>
      <c r="N106" s="9">
        <f>IFERROR(__xludf.DUMMYFUNCTION("SUM(QUERY(Entregas_BD!D:L,""select G where D='""&amp;D106&amp;""'"",1))"),0.0)</f>
        <v>0</v>
      </c>
      <c r="O106" s="9">
        <f>IFERROR(__xludf.DUMMYFUNCTION("SUM(QUERY(Entregas_BD!D:L,""select H where D='""&amp;D106&amp;""'"",1))"),0.0)</f>
        <v>0</v>
      </c>
      <c r="P106" s="9">
        <f>IFERROR(__xludf.DUMMYFUNCTION("SUM(QUERY(Entregas_BD!D:L,""select I where D='""&amp;D106&amp;""'"",1))"),0.0)</f>
        <v>0</v>
      </c>
      <c r="Q106" s="9">
        <f>IFERROR(__xludf.DUMMYFUNCTION("SUM(QUERY(Entregas_BD!D:L,""select J where D='""&amp;D106&amp;""'"",1))"),0.0)</f>
        <v>0</v>
      </c>
      <c r="R106" s="15">
        <f>IFERROR(__xludf.DUMMYFUNCTION("SUM(QUERY(Entregas_BD!D:L,""select K where D='""&amp;D106&amp;""'"",1))"),0.0)</f>
        <v>0</v>
      </c>
      <c r="S106" s="15">
        <f>IFERROR(__xludf.DUMMYFUNCTION("SUM(QUERY(Entregas_BD!D:L,""select L where D='""&amp;D106&amp;""'"",1))"),0.0)</f>
        <v>0</v>
      </c>
      <c r="T106" s="9">
        <f>IFERROR(__xludf.DUMMYFUNCTION("SUM(QUERY(Entregas_BD!D:AL,""select AG where D='""&amp;D106&amp;""'"",1))"),250.0)</f>
        <v>250</v>
      </c>
      <c r="U106" s="9">
        <f>IFERROR(__xludf.DUMMYFUNCTION("SUM(QUERY(Entregas_BD!D:AL,""select AH where D='""&amp;D106&amp;""'"",1))"),0.0)</f>
        <v>0</v>
      </c>
      <c r="V106" s="9">
        <f>IFERROR(__xludf.DUMMYFUNCTION("SUM(QUERY(Entregas_BD!D:AL,""select AI where D='""&amp;D106&amp;""'"",1))"),0.0)</f>
        <v>0</v>
      </c>
      <c r="W106" s="9">
        <f>IFERROR(__xludf.DUMMYFUNCTION("SUM(QUERY(Entregas_BD!D:AL,""select AJ where D='""&amp;D106&amp;""'"",1))"),0.0)</f>
        <v>0</v>
      </c>
      <c r="X106" s="9">
        <f>IFERROR(__xludf.DUMMYFUNCTION("SUM(QUERY(Entregas_BD!D:AL,""select AL where D='""&amp;D106&amp;""'"",1))"),0.0)</f>
        <v>0</v>
      </c>
      <c r="Y106" s="9">
        <f>IFERROR(__xludf.DUMMYFUNCTION("SUM(QUERY(Entregas_BD!D:AL,""select AK where D='""&amp;D106&amp;""'"",1))"),0.0)</f>
        <v>0</v>
      </c>
      <c r="Z106" s="9">
        <v>-250.0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30" t="s">
        <v>357</v>
      </c>
      <c r="AG106" s="15">
        <f>IFERROR(__xludf.DUMMYFUNCTION("SUM(QUERY(Entregas_BD!D:W,""select U where D='""&amp;D106&amp;""'"",1))"),0.0)</f>
        <v>0</v>
      </c>
      <c r="AH106" s="15">
        <f>IFERROR(__xludf.DUMMYFUNCTION("SUM(QUERY(Entregas_BD!D:W,""select S where D='""&amp;D106&amp;""'"",1))"),0.0)</f>
        <v>0</v>
      </c>
      <c r="AI106" s="15">
        <f>IFERROR(__xludf.DUMMYFUNCTION("SUM(QUERY(Entregas_BD!D:W,""select T where D='""&amp;D106&amp;""'"",1))"),0.0)</f>
        <v>0</v>
      </c>
    </row>
    <row r="107" ht="19.5" customHeight="1">
      <c r="A107" s="17"/>
      <c r="B107" s="18"/>
      <c r="C107" s="19">
        <v>106.0</v>
      </c>
      <c r="D107" s="20" t="s">
        <v>358</v>
      </c>
      <c r="E107" s="20" t="s">
        <v>44</v>
      </c>
      <c r="F107" s="20" t="s">
        <v>45</v>
      </c>
      <c r="G107" s="20" t="s">
        <v>359</v>
      </c>
      <c r="H107" s="19" t="s">
        <v>69</v>
      </c>
      <c r="I107" s="21" t="s">
        <v>41</v>
      </c>
      <c r="J107" s="19"/>
      <c r="K107" s="22"/>
      <c r="L107" s="23"/>
      <c r="M107" s="22"/>
      <c r="N107" s="19">
        <f>IFERROR(__xludf.DUMMYFUNCTION("SUM(QUERY(Entregas_BD!D:L,""select G where D='""&amp;D107&amp;""'"",1))"),0.0)</f>
        <v>0</v>
      </c>
      <c r="O107" s="19">
        <f>IFERROR(__xludf.DUMMYFUNCTION("SUM(QUERY(Entregas_BD!D:L,""select H where D='""&amp;D107&amp;""'"",1))"),0.0)</f>
        <v>0</v>
      </c>
      <c r="P107" s="19">
        <f>IFERROR(__xludf.DUMMYFUNCTION("SUM(QUERY(Entregas_BD!D:L,""select I where D='""&amp;D107&amp;""'"",1))"),0.0)</f>
        <v>0</v>
      </c>
      <c r="Q107" s="19">
        <f>IFERROR(__xludf.DUMMYFUNCTION("SUM(QUERY(Entregas_BD!D:L,""select J where D='""&amp;D107&amp;""'"",1))"),0.0)</f>
        <v>0</v>
      </c>
      <c r="R107" s="24">
        <f>IFERROR(__xludf.DUMMYFUNCTION("SUM(QUERY(Entregas_BD!D:L,""select K where D='""&amp;D107&amp;""'"",1))"),0.0)</f>
        <v>0</v>
      </c>
      <c r="S107" s="24">
        <f>IFERROR(__xludf.DUMMYFUNCTION("SUM(QUERY(Entregas_BD!D:L,""select L where D='""&amp;D107&amp;""'"",1))"),0.0)</f>
        <v>0</v>
      </c>
      <c r="T107" s="19">
        <f>IFERROR(__xludf.DUMMYFUNCTION("SUM(QUERY(Entregas_BD!D:AL,""select AG where D='""&amp;D107&amp;""'"",1))"),50.0)</f>
        <v>50</v>
      </c>
      <c r="U107" s="19">
        <f>IFERROR(__xludf.DUMMYFUNCTION("SUM(QUERY(Entregas_BD!D:AL,""select AH where D='""&amp;D107&amp;""'"",1))"),0.0)</f>
        <v>0</v>
      </c>
      <c r="V107" s="19">
        <f>IFERROR(__xludf.DUMMYFUNCTION("SUM(QUERY(Entregas_BD!D:AL,""select AI where D='""&amp;D107&amp;""'"",1))"),0.0)</f>
        <v>0</v>
      </c>
      <c r="W107" s="19">
        <f>IFERROR(__xludf.DUMMYFUNCTION("SUM(QUERY(Entregas_BD!D:AL,""select AJ where D='""&amp;D107&amp;""'"",1))"),0.0)</f>
        <v>0</v>
      </c>
      <c r="X107" s="19">
        <f>IFERROR(__xludf.DUMMYFUNCTION("SUM(QUERY(Entregas_BD!D:AL,""select AL where D='""&amp;D107&amp;""'"",1))"),0.0)</f>
        <v>0</v>
      </c>
      <c r="Y107" s="19">
        <f>IFERROR(__xludf.DUMMYFUNCTION("SUM(QUERY(Entregas_BD!D:AL,""select AK where D='""&amp;D107&amp;""'"",1))"),0.0)</f>
        <v>0</v>
      </c>
      <c r="Z107" s="19">
        <v>-50.0</v>
      </c>
      <c r="AA107" s="19">
        <v>0.0</v>
      </c>
      <c r="AB107" s="19">
        <v>0.0</v>
      </c>
      <c r="AC107" s="19">
        <v>0.0</v>
      </c>
      <c r="AD107" s="19">
        <v>0.0</v>
      </c>
      <c r="AE107" s="19">
        <v>0.0</v>
      </c>
      <c r="AF107" s="25" t="s">
        <v>360</v>
      </c>
      <c r="AG107" s="24">
        <f>IFERROR(__xludf.DUMMYFUNCTION("SUM(QUERY(Entregas_BD!D:W,""select U where D='""&amp;D107&amp;""'"",1))"),0.0)</f>
        <v>0</v>
      </c>
      <c r="AH107" s="24">
        <f>IFERROR(__xludf.DUMMYFUNCTION("SUM(QUERY(Entregas_BD!D:W,""select S where D='""&amp;D107&amp;""'"",1))"),0.0)</f>
        <v>0</v>
      </c>
      <c r="AI107" s="24">
        <f>IFERROR(__xludf.DUMMYFUNCTION("SUM(QUERY(Entregas_BD!D:W,""select T where D='""&amp;D107&amp;""'"",1))"),0.0)</f>
        <v>0</v>
      </c>
    </row>
    <row r="108" ht="19.5" customHeight="1">
      <c r="A108" s="26"/>
      <c r="B108" s="27"/>
      <c r="C108" s="9">
        <v>107.0</v>
      </c>
      <c r="D108" s="10" t="s">
        <v>361</v>
      </c>
      <c r="E108" s="10" t="s">
        <v>44</v>
      </c>
      <c r="F108" s="10" t="s">
        <v>45</v>
      </c>
      <c r="G108" s="10" t="s">
        <v>362</v>
      </c>
      <c r="H108" s="9" t="s">
        <v>69</v>
      </c>
      <c r="I108" s="11" t="s">
        <v>41</v>
      </c>
      <c r="J108" s="9"/>
      <c r="K108" s="28"/>
      <c r="L108" s="29"/>
      <c r="M108" s="28"/>
      <c r="N108" s="9">
        <f>IFERROR(__xludf.DUMMYFUNCTION("SUM(QUERY(Entregas_BD!D:L,""select G where D='""&amp;D108&amp;""'"",1))"),0.0)</f>
        <v>0</v>
      </c>
      <c r="O108" s="9">
        <f>IFERROR(__xludf.DUMMYFUNCTION("SUM(QUERY(Entregas_BD!D:L,""select H where D='""&amp;D108&amp;""'"",1))"),0.0)</f>
        <v>0</v>
      </c>
      <c r="P108" s="9">
        <f>IFERROR(__xludf.DUMMYFUNCTION("SUM(QUERY(Entregas_BD!D:L,""select I where D='""&amp;D108&amp;""'"",1))"),0.0)</f>
        <v>0</v>
      </c>
      <c r="Q108" s="9">
        <f>IFERROR(__xludf.DUMMYFUNCTION("SUM(QUERY(Entregas_BD!D:L,""select J where D='""&amp;D108&amp;""'"",1))"),0.0)</f>
        <v>0</v>
      </c>
      <c r="R108" s="15">
        <f>IFERROR(__xludf.DUMMYFUNCTION("SUM(QUERY(Entregas_BD!D:L,""select K where D='""&amp;D108&amp;""'"",1))"),0.0)</f>
        <v>0</v>
      </c>
      <c r="S108" s="15">
        <f>IFERROR(__xludf.DUMMYFUNCTION("SUM(QUERY(Entregas_BD!D:L,""select L where D='""&amp;D108&amp;""'"",1))"),0.0)</f>
        <v>0</v>
      </c>
      <c r="T108" s="9">
        <f>IFERROR(__xludf.DUMMYFUNCTION("SUM(QUERY(Entregas_BD!D:AL,""select AG where D='""&amp;D108&amp;""'"",1))"),200.0)</f>
        <v>200</v>
      </c>
      <c r="U108" s="9">
        <f>IFERROR(__xludf.DUMMYFUNCTION("SUM(QUERY(Entregas_BD!D:AL,""select AH where D='""&amp;D108&amp;""'"",1))"),0.0)</f>
        <v>0</v>
      </c>
      <c r="V108" s="9">
        <f>IFERROR(__xludf.DUMMYFUNCTION("SUM(QUERY(Entregas_BD!D:AL,""select AI where D='""&amp;D108&amp;""'"",1))"),0.0)</f>
        <v>0</v>
      </c>
      <c r="W108" s="9">
        <f>IFERROR(__xludf.DUMMYFUNCTION("SUM(QUERY(Entregas_BD!D:AL,""select AJ where D='""&amp;D108&amp;""'"",1))"),0.0)</f>
        <v>0</v>
      </c>
      <c r="X108" s="9">
        <f>IFERROR(__xludf.DUMMYFUNCTION("SUM(QUERY(Entregas_BD!D:AL,""select AL where D='""&amp;D108&amp;""'"",1))"),0.0)</f>
        <v>0</v>
      </c>
      <c r="Y108" s="9">
        <f>IFERROR(__xludf.DUMMYFUNCTION("SUM(QUERY(Entregas_BD!D:AL,""select AK where D='""&amp;D108&amp;""'"",1))"),0.0)</f>
        <v>0</v>
      </c>
      <c r="Z108" s="9">
        <v>-200.0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30" t="s">
        <v>363</v>
      </c>
      <c r="AG108" s="15">
        <f>IFERROR(__xludf.DUMMYFUNCTION("SUM(QUERY(Entregas_BD!D:W,""select U where D='""&amp;D108&amp;""'"",1))"),0.0)</f>
        <v>0</v>
      </c>
      <c r="AH108" s="15">
        <f>IFERROR(__xludf.DUMMYFUNCTION("SUM(QUERY(Entregas_BD!D:W,""select S where D='""&amp;D108&amp;""'"",1))"),0.0)</f>
        <v>0</v>
      </c>
      <c r="AI108" s="15">
        <f>IFERROR(__xludf.DUMMYFUNCTION("SUM(QUERY(Entregas_BD!D:W,""select T where D='""&amp;D108&amp;""'"",1))"),0.0)</f>
        <v>0</v>
      </c>
    </row>
    <row r="109" ht="19.5" customHeight="1">
      <c r="A109" s="31"/>
      <c r="B109" s="32"/>
      <c r="C109" s="19">
        <v>108.0</v>
      </c>
      <c r="D109" s="20" t="s">
        <v>364</v>
      </c>
      <c r="E109" s="20" t="s">
        <v>58</v>
      </c>
      <c r="F109" s="20" t="s">
        <v>45</v>
      </c>
      <c r="G109" s="20" t="s">
        <v>365</v>
      </c>
      <c r="H109" s="19" t="s">
        <v>40</v>
      </c>
      <c r="I109" s="21" t="s">
        <v>41</v>
      </c>
      <c r="J109" s="19"/>
      <c r="K109" s="22"/>
      <c r="L109" s="23"/>
      <c r="M109" s="22"/>
      <c r="N109" s="19">
        <f>IFERROR(__xludf.DUMMYFUNCTION("SUM(QUERY(Entregas_BD!D:L,""select G where D='""&amp;D109&amp;""'"",1))"),0.0)</f>
        <v>0</v>
      </c>
      <c r="O109" s="19">
        <f>IFERROR(__xludf.DUMMYFUNCTION("SUM(QUERY(Entregas_BD!D:L,""select H where D='""&amp;D109&amp;""'"",1))"),0.0)</f>
        <v>0</v>
      </c>
      <c r="P109" s="19">
        <f>IFERROR(__xludf.DUMMYFUNCTION("SUM(QUERY(Entregas_BD!D:L,""select I where D='""&amp;D109&amp;""'"",1))"),0.0)</f>
        <v>0</v>
      </c>
      <c r="Q109" s="19">
        <f>IFERROR(__xludf.DUMMYFUNCTION("SUM(QUERY(Entregas_BD!D:L,""select J where D='""&amp;D109&amp;""'"",1))"),0.0)</f>
        <v>0</v>
      </c>
      <c r="R109" s="24">
        <f>IFERROR(__xludf.DUMMYFUNCTION("SUM(QUERY(Entregas_BD!D:L,""select K where D='""&amp;D109&amp;""'"",1))"),0.0)</f>
        <v>0</v>
      </c>
      <c r="S109" s="24">
        <f>IFERROR(__xludf.DUMMYFUNCTION("SUM(QUERY(Entregas_BD!D:L,""select L where D='""&amp;D109&amp;""'"",1))"),0.0)</f>
        <v>0</v>
      </c>
      <c r="T109" s="19">
        <f>IFERROR(__xludf.DUMMYFUNCTION("SUM(QUERY(Entregas_BD!D:AL,""select AG where D='""&amp;D109&amp;""'"",1))"),0.0)</f>
        <v>0</v>
      </c>
      <c r="U109" s="19">
        <f>IFERROR(__xludf.DUMMYFUNCTION("SUM(QUERY(Entregas_BD!D:AL,""select AH where D='""&amp;D109&amp;""'"",1))"),0.0)</f>
        <v>0</v>
      </c>
      <c r="V109" s="19">
        <f>IFERROR(__xludf.DUMMYFUNCTION("SUM(QUERY(Entregas_BD!D:AL,""select AI where D='""&amp;D109&amp;""'"",1))"),0.0)</f>
        <v>0</v>
      </c>
      <c r="W109" s="19">
        <f>IFERROR(__xludf.DUMMYFUNCTION("SUM(QUERY(Entregas_BD!D:AL,""select AJ where D='""&amp;D109&amp;""'"",1))"),0.0)</f>
        <v>0</v>
      </c>
      <c r="X109" s="19">
        <f>IFERROR(__xludf.DUMMYFUNCTION("SUM(QUERY(Entregas_BD!D:AL,""select AL where D='""&amp;D109&amp;""'"",1))"),0.0)</f>
        <v>0</v>
      </c>
      <c r="Y109" s="19">
        <f>IFERROR(__xludf.DUMMYFUNCTION("SUM(QUERY(Entregas_BD!D:AL,""select AK where D='""&amp;D109&amp;""'"",1))"),0.0)</f>
        <v>0</v>
      </c>
      <c r="Z109" s="19">
        <v>0.0</v>
      </c>
      <c r="AA109" s="19">
        <v>0.0</v>
      </c>
      <c r="AB109" s="19">
        <v>0.0</v>
      </c>
      <c r="AC109" s="19">
        <v>0.0</v>
      </c>
      <c r="AD109" s="19">
        <v>0.0</v>
      </c>
      <c r="AE109" s="19">
        <v>0.0</v>
      </c>
      <c r="AF109" s="35" t="s">
        <v>366</v>
      </c>
      <c r="AG109" s="24">
        <f>IFERROR(__xludf.DUMMYFUNCTION("SUM(QUERY(Entregas_BD!D:W,""select U where D='""&amp;D109&amp;""'"",1))"),0.0)</f>
        <v>0</v>
      </c>
      <c r="AH109" s="24">
        <f>IFERROR(__xludf.DUMMYFUNCTION("SUM(QUERY(Entregas_BD!D:W,""select S where D='""&amp;D109&amp;""'"",1))"),0.0)</f>
        <v>0</v>
      </c>
      <c r="AI109" s="24">
        <f>IFERROR(__xludf.DUMMYFUNCTION("SUM(QUERY(Entregas_BD!D:W,""select T where D='""&amp;D109&amp;""'"",1))"),0.0)</f>
        <v>0</v>
      </c>
    </row>
    <row r="110" ht="19.5" customHeight="1">
      <c r="A110" s="7"/>
      <c r="B110" s="8"/>
      <c r="C110" s="9">
        <v>109.0</v>
      </c>
      <c r="D110" s="10" t="s">
        <v>367</v>
      </c>
      <c r="E110" s="10" t="s">
        <v>58</v>
      </c>
      <c r="F110" s="10" t="s">
        <v>45</v>
      </c>
      <c r="G110" s="10" t="s">
        <v>365</v>
      </c>
      <c r="H110" s="9" t="s">
        <v>40</v>
      </c>
      <c r="I110" s="11" t="s">
        <v>41</v>
      </c>
      <c r="J110" s="9"/>
      <c r="K110" s="28"/>
      <c r="L110" s="29"/>
      <c r="M110" s="28"/>
      <c r="N110" s="9">
        <f>IFERROR(__xludf.DUMMYFUNCTION("SUM(QUERY(Entregas_BD!D:L,""select G where D='""&amp;D110&amp;""'"",1))"),0.0)</f>
        <v>0</v>
      </c>
      <c r="O110" s="9">
        <f>IFERROR(__xludf.DUMMYFUNCTION("SUM(QUERY(Entregas_BD!D:L,""select H where D='""&amp;D110&amp;""'"",1))"),0.0)</f>
        <v>0</v>
      </c>
      <c r="P110" s="9">
        <f>IFERROR(__xludf.DUMMYFUNCTION("SUM(QUERY(Entregas_BD!D:L,""select I where D='""&amp;D110&amp;""'"",1))"),0.0)</f>
        <v>0</v>
      </c>
      <c r="Q110" s="9">
        <f>IFERROR(__xludf.DUMMYFUNCTION("SUM(QUERY(Entregas_BD!D:L,""select J where D='""&amp;D110&amp;""'"",1))"),0.0)</f>
        <v>0</v>
      </c>
      <c r="R110" s="15">
        <f>IFERROR(__xludf.DUMMYFUNCTION("SUM(QUERY(Entregas_BD!D:L,""select K where D='""&amp;D110&amp;""'"",1))"),0.0)</f>
        <v>0</v>
      </c>
      <c r="S110" s="15">
        <f>IFERROR(__xludf.DUMMYFUNCTION("SUM(QUERY(Entregas_BD!D:L,""select L where D='""&amp;D110&amp;""'"",1))"),0.0)</f>
        <v>0</v>
      </c>
      <c r="T110" s="9">
        <f>IFERROR(__xludf.DUMMYFUNCTION("SUM(QUERY(Entregas_BD!D:AL,""select AG where D='""&amp;D110&amp;""'"",1))"),500.0)</f>
        <v>500</v>
      </c>
      <c r="U110" s="9">
        <f>IFERROR(__xludf.DUMMYFUNCTION("SUM(QUERY(Entregas_BD!D:AL,""select AH where D='""&amp;D110&amp;""'"",1))"),0.0)</f>
        <v>0</v>
      </c>
      <c r="V110" s="9">
        <f>IFERROR(__xludf.DUMMYFUNCTION("SUM(QUERY(Entregas_BD!D:AL,""select AI where D='""&amp;D110&amp;""'"",1))"),0.0)</f>
        <v>0</v>
      </c>
      <c r="W110" s="9">
        <f>IFERROR(__xludf.DUMMYFUNCTION("SUM(QUERY(Entregas_BD!D:AL,""select AJ where D='""&amp;D110&amp;""'"",1))"),0.0)</f>
        <v>0</v>
      </c>
      <c r="X110" s="9">
        <f>IFERROR(__xludf.DUMMYFUNCTION("SUM(QUERY(Entregas_BD!D:AL,""select AL where D='""&amp;D110&amp;""'"",1))"),0.0)</f>
        <v>0</v>
      </c>
      <c r="Y110" s="9">
        <f>IFERROR(__xludf.DUMMYFUNCTION("SUM(QUERY(Entregas_BD!D:AL,""select AK where D='""&amp;D110&amp;""'"",1))"),0.0)</f>
        <v>0</v>
      </c>
      <c r="Z110" s="9">
        <v>-500.0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37" t="s">
        <v>366</v>
      </c>
      <c r="AG110" s="15">
        <f>IFERROR(__xludf.DUMMYFUNCTION("SUM(QUERY(Entregas_BD!D:W,""select U where D='""&amp;D110&amp;""'"",1))"),0.0)</f>
        <v>0</v>
      </c>
      <c r="AH110" s="15">
        <f>IFERROR(__xludf.DUMMYFUNCTION("SUM(QUERY(Entregas_BD!D:W,""select S where D='""&amp;D110&amp;""'"",1))"),0.0)</f>
        <v>0</v>
      </c>
      <c r="AI110" s="15">
        <f>IFERROR(__xludf.DUMMYFUNCTION("SUM(QUERY(Entregas_BD!D:W,""select T where D='""&amp;D110&amp;""'"",1))"),0.0)</f>
        <v>0</v>
      </c>
    </row>
    <row r="111" ht="19.5" customHeight="1">
      <c r="A111" s="31"/>
      <c r="B111" s="32"/>
      <c r="C111" s="19">
        <v>110.0</v>
      </c>
      <c r="D111" s="20" t="s">
        <v>368</v>
      </c>
      <c r="E111" s="20" t="s">
        <v>58</v>
      </c>
      <c r="F111" s="20" t="s">
        <v>45</v>
      </c>
      <c r="G111" s="20" t="s">
        <v>369</v>
      </c>
      <c r="H111" s="19" t="s">
        <v>69</v>
      </c>
      <c r="I111" s="21" t="s">
        <v>41</v>
      </c>
      <c r="J111" s="19"/>
      <c r="K111" s="22"/>
      <c r="L111" s="23"/>
      <c r="M111" s="22"/>
      <c r="N111" s="19">
        <f>IFERROR(__xludf.DUMMYFUNCTION("SUM(QUERY(Entregas_BD!D:L,""select G where D='""&amp;D111&amp;""'"",1))"),0.0)</f>
        <v>0</v>
      </c>
      <c r="O111" s="19">
        <f>IFERROR(__xludf.DUMMYFUNCTION("SUM(QUERY(Entregas_BD!D:L,""select H where D='""&amp;D111&amp;""'"",1))"),0.0)</f>
        <v>0</v>
      </c>
      <c r="P111" s="19">
        <f>IFERROR(__xludf.DUMMYFUNCTION("SUM(QUERY(Entregas_BD!D:L,""select I where D='""&amp;D111&amp;""'"",1))"),0.0)</f>
        <v>0</v>
      </c>
      <c r="Q111" s="19">
        <f>IFERROR(__xludf.DUMMYFUNCTION("SUM(QUERY(Entregas_BD!D:L,""select J where D='""&amp;D111&amp;""'"",1))"),0.0)</f>
        <v>0</v>
      </c>
      <c r="R111" s="24">
        <f>IFERROR(__xludf.DUMMYFUNCTION("SUM(QUERY(Entregas_BD!D:L,""select K where D='""&amp;D111&amp;""'"",1))"),0.0)</f>
        <v>0</v>
      </c>
      <c r="S111" s="24">
        <f>IFERROR(__xludf.DUMMYFUNCTION("SUM(QUERY(Entregas_BD!D:L,""select L where D='""&amp;D111&amp;""'"",1))"),0.0)</f>
        <v>0</v>
      </c>
      <c r="T111" s="19">
        <f>IFERROR(__xludf.DUMMYFUNCTION("SUM(QUERY(Entregas_BD!D:AL,""select AG where D='""&amp;D111&amp;""'"",1))"),380.0)</f>
        <v>380</v>
      </c>
      <c r="U111" s="19">
        <f>IFERROR(__xludf.DUMMYFUNCTION("SUM(QUERY(Entregas_BD!D:AL,""select AH where D='""&amp;D111&amp;""'"",1))"),0.0)</f>
        <v>0</v>
      </c>
      <c r="V111" s="19">
        <f>IFERROR(__xludf.DUMMYFUNCTION("SUM(QUERY(Entregas_BD!D:AL,""select AI where D='""&amp;D111&amp;""'"",1))"),0.0)</f>
        <v>0</v>
      </c>
      <c r="W111" s="19">
        <f>IFERROR(__xludf.DUMMYFUNCTION("SUM(QUERY(Entregas_BD!D:AL,""select AJ where D='""&amp;D111&amp;""'"",1))"),0.0)</f>
        <v>0</v>
      </c>
      <c r="X111" s="19">
        <f>IFERROR(__xludf.DUMMYFUNCTION("SUM(QUERY(Entregas_BD!D:AL,""select AL where D='""&amp;D111&amp;""'"",1))"),0.0)</f>
        <v>0</v>
      </c>
      <c r="Y111" s="19">
        <f>IFERROR(__xludf.DUMMYFUNCTION("SUM(QUERY(Entregas_BD!D:AL,""select AK where D='""&amp;D111&amp;""'"",1))"),0.0)</f>
        <v>0</v>
      </c>
      <c r="Z111" s="19">
        <v>-380.0</v>
      </c>
      <c r="AA111" s="19">
        <v>0.0</v>
      </c>
      <c r="AB111" s="19">
        <v>0.0</v>
      </c>
      <c r="AC111" s="19">
        <v>0.0</v>
      </c>
      <c r="AD111" s="19">
        <v>0.0</v>
      </c>
      <c r="AE111" s="19">
        <v>0.0</v>
      </c>
      <c r="AF111" s="35" t="s">
        <v>370</v>
      </c>
      <c r="AG111" s="24">
        <f>IFERROR(__xludf.DUMMYFUNCTION("SUM(QUERY(Entregas_BD!D:W,""select U where D='""&amp;D111&amp;""'"",1))"),0.0)</f>
        <v>0</v>
      </c>
      <c r="AH111" s="24">
        <f>IFERROR(__xludf.DUMMYFUNCTION("SUM(QUERY(Entregas_BD!D:W,""select S where D='""&amp;D111&amp;""'"",1))"),0.0)</f>
        <v>0</v>
      </c>
      <c r="AI111" s="24">
        <f>IFERROR(__xludf.DUMMYFUNCTION("SUM(QUERY(Entregas_BD!D:W,""select T where D='""&amp;D111&amp;""'"",1))"),0.0)</f>
        <v>0</v>
      </c>
    </row>
    <row r="112" ht="19.5" customHeight="1">
      <c r="A112" s="7"/>
      <c r="B112" s="8"/>
      <c r="C112" s="9">
        <v>111.0</v>
      </c>
      <c r="D112" s="10" t="s">
        <v>368</v>
      </c>
      <c r="E112" s="10" t="s">
        <v>58</v>
      </c>
      <c r="F112" s="10" t="s">
        <v>45</v>
      </c>
      <c r="G112" s="10" t="s">
        <v>371</v>
      </c>
      <c r="H112" s="9" t="s">
        <v>69</v>
      </c>
      <c r="I112" s="11" t="s">
        <v>41</v>
      </c>
      <c r="J112" s="9"/>
      <c r="K112" s="28"/>
      <c r="L112" s="29"/>
      <c r="M112" s="28"/>
      <c r="N112" s="9">
        <f>IFERROR(__xludf.DUMMYFUNCTION("SUM(QUERY(Entregas_BD!D:L,""select G where D='""&amp;D112&amp;""'"",1))"),0.0)</f>
        <v>0</v>
      </c>
      <c r="O112" s="9">
        <f>IFERROR(__xludf.DUMMYFUNCTION("SUM(QUERY(Entregas_BD!D:L,""select H where D='""&amp;D112&amp;""'"",1))"),0.0)</f>
        <v>0</v>
      </c>
      <c r="P112" s="9">
        <f>IFERROR(__xludf.DUMMYFUNCTION("SUM(QUERY(Entregas_BD!D:L,""select I where D='""&amp;D112&amp;""'"",1))"),0.0)</f>
        <v>0</v>
      </c>
      <c r="Q112" s="9">
        <f>IFERROR(__xludf.DUMMYFUNCTION("SUM(QUERY(Entregas_BD!D:L,""select J where D='""&amp;D112&amp;""'"",1))"),0.0)</f>
        <v>0</v>
      </c>
      <c r="R112" s="15">
        <f>IFERROR(__xludf.DUMMYFUNCTION("SUM(QUERY(Entregas_BD!D:L,""select K where D='""&amp;D112&amp;""'"",1))"),0.0)</f>
        <v>0</v>
      </c>
      <c r="S112" s="15">
        <f>IFERROR(__xludf.DUMMYFUNCTION("SUM(QUERY(Entregas_BD!D:L,""select L where D='""&amp;D112&amp;""'"",1))"),0.0)</f>
        <v>0</v>
      </c>
      <c r="T112" s="9">
        <f>IFERROR(__xludf.DUMMYFUNCTION("SUM(QUERY(Entregas_BD!D:AL,""select AG where D='""&amp;D112&amp;""'"",1))"),380.0)</f>
        <v>380</v>
      </c>
      <c r="U112" s="9">
        <f>IFERROR(__xludf.DUMMYFUNCTION("SUM(QUERY(Entregas_BD!D:AL,""select AH where D='""&amp;D112&amp;""'"",1))"),0.0)</f>
        <v>0</v>
      </c>
      <c r="V112" s="9">
        <f>IFERROR(__xludf.DUMMYFUNCTION("SUM(QUERY(Entregas_BD!D:AL,""select AI where D='""&amp;D112&amp;""'"",1))"),0.0)</f>
        <v>0</v>
      </c>
      <c r="W112" s="9">
        <f>IFERROR(__xludf.DUMMYFUNCTION("SUM(QUERY(Entregas_BD!D:AL,""select AJ where D='""&amp;D112&amp;""'"",1))"),0.0)</f>
        <v>0</v>
      </c>
      <c r="X112" s="9">
        <f>IFERROR(__xludf.DUMMYFUNCTION("SUM(QUERY(Entregas_BD!D:AL,""select AL where D='""&amp;D112&amp;""'"",1))"),0.0)</f>
        <v>0</v>
      </c>
      <c r="Y112" s="9">
        <f>IFERROR(__xludf.DUMMYFUNCTION("SUM(QUERY(Entregas_BD!D:AL,""select AK where D='""&amp;D112&amp;""'"",1))"),0.0)</f>
        <v>0</v>
      </c>
      <c r="Z112" s="9">
        <v>-380.0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37" t="s">
        <v>370</v>
      </c>
      <c r="AG112" s="15">
        <f>IFERROR(__xludf.DUMMYFUNCTION("SUM(QUERY(Entregas_BD!D:W,""select U where D='""&amp;D112&amp;""'"",1))"),0.0)</f>
        <v>0</v>
      </c>
      <c r="AH112" s="15">
        <f>IFERROR(__xludf.DUMMYFUNCTION("SUM(QUERY(Entregas_BD!D:W,""select S where D='""&amp;D112&amp;""'"",1))"),0.0)</f>
        <v>0</v>
      </c>
      <c r="AI112" s="15">
        <f>IFERROR(__xludf.DUMMYFUNCTION("SUM(QUERY(Entregas_BD!D:W,""select T where D='""&amp;D112&amp;""'"",1))"),0.0)</f>
        <v>0</v>
      </c>
    </row>
    <row r="113" ht="19.5" customHeight="1">
      <c r="A113" s="31"/>
      <c r="B113" s="32"/>
      <c r="C113" s="19">
        <v>112.0</v>
      </c>
      <c r="D113" s="46" t="s">
        <v>372</v>
      </c>
      <c r="E113" s="20" t="s">
        <v>63</v>
      </c>
      <c r="F113" s="20" t="s">
        <v>373</v>
      </c>
      <c r="G113" s="20" t="s">
        <v>149</v>
      </c>
      <c r="H113" s="19" t="s">
        <v>40</v>
      </c>
      <c r="I113" s="21" t="s">
        <v>41</v>
      </c>
      <c r="J113" s="34"/>
      <c r="K113" s="22"/>
      <c r="L113" s="23"/>
      <c r="M113" s="22"/>
      <c r="N113" s="19">
        <f>IFERROR(__xludf.DUMMYFUNCTION("SUM(QUERY(Entregas_BD!D:L,""select G where D='""&amp;D113&amp;""'"",1))"),0.0)</f>
        <v>0</v>
      </c>
      <c r="O113" s="19">
        <f>IFERROR(__xludf.DUMMYFUNCTION("SUM(QUERY(Entregas_BD!D:L,""select H where D='""&amp;D113&amp;""'"",1))"),0.0)</f>
        <v>0</v>
      </c>
      <c r="P113" s="19">
        <f>IFERROR(__xludf.DUMMYFUNCTION("SUM(QUERY(Entregas_BD!D:L,""select I where D='""&amp;D113&amp;""'"",1))"),0.0)</f>
        <v>0</v>
      </c>
      <c r="Q113" s="19">
        <f>IFERROR(__xludf.DUMMYFUNCTION("SUM(QUERY(Entregas_BD!D:L,""select J where D='""&amp;D113&amp;""'"",1))"),0.0)</f>
        <v>0</v>
      </c>
      <c r="R113" s="24">
        <f>IFERROR(__xludf.DUMMYFUNCTION("SUM(QUERY(Entregas_BD!D:L,""select K where D='""&amp;D113&amp;""'"",1))"),0.0)</f>
        <v>0</v>
      </c>
      <c r="S113" s="24">
        <f>IFERROR(__xludf.DUMMYFUNCTION("SUM(QUERY(Entregas_BD!D:L,""select L where D='""&amp;D113&amp;""'"",1))"),0.0)</f>
        <v>0</v>
      </c>
      <c r="T113" s="19">
        <f>IFERROR(__xludf.DUMMYFUNCTION("SUM(QUERY(Entregas_BD!D:AL,""select AG where D='""&amp;D113&amp;""'"",1))"),100.0)</f>
        <v>100</v>
      </c>
      <c r="U113" s="19">
        <f>IFERROR(__xludf.DUMMYFUNCTION("SUM(QUERY(Entregas_BD!D:AL,""select AH where D='""&amp;D113&amp;""'"",1))"),0.0)</f>
        <v>0</v>
      </c>
      <c r="V113" s="19">
        <f>IFERROR(__xludf.DUMMYFUNCTION("SUM(QUERY(Entregas_BD!D:AL,""select AI where D='""&amp;D113&amp;""'"",1))"),0.0)</f>
        <v>0</v>
      </c>
      <c r="W113" s="19">
        <f>IFERROR(__xludf.DUMMYFUNCTION("SUM(QUERY(Entregas_BD!D:AL,""select AJ where D='""&amp;D113&amp;""'"",1))"),0.0)</f>
        <v>0</v>
      </c>
      <c r="X113" s="19">
        <f>IFERROR(__xludf.DUMMYFUNCTION("SUM(QUERY(Entregas_BD!D:AL,""select AL where D='""&amp;D113&amp;""'"",1))"),0.0)</f>
        <v>0</v>
      </c>
      <c r="Y113" s="19">
        <f>IFERROR(__xludf.DUMMYFUNCTION("SUM(QUERY(Entregas_BD!D:AL,""select AK where D='""&amp;D113&amp;""'"",1))"),0.0)</f>
        <v>0</v>
      </c>
      <c r="Z113" s="19">
        <v>-100.0</v>
      </c>
      <c r="AA113" s="19">
        <v>0.0</v>
      </c>
      <c r="AB113" s="19">
        <v>0.0</v>
      </c>
      <c r="AC113" s="19">
        <v>0.0</v>
      </c>
      <c r="AD113" s="19">
        <v>0.0</v>
      </c>
      <c r="AE113" s="19">
        <v>0.0</v>
      </c>
      <c r="AF113" s="35" t="s">
        <v>374</v>
      </c>
      <c r="AG113" s="24">
        <f>IFERROR(__xludf.DUMMYFUNCTION("SUM(QUERY(Entregas_BD!D:W,""select U where D='""&amp;D113&amp;""'"",1))"),0.0)</f>
        <v>0</v>
      </c>
      <c r="AH113" s="24">
        <f>IFERROR(__xludf.DUMMYFUNCTION("SUM(QUERY(Entregas_BD!D:W,""select S where D='""&amp;D113&amp;""'"",1))"),0.0)</f>
        <v>0</v>
      </c>
      <c r="AI113" s="24">
        <f>IFERROR(__xludf.DUMMYFUNCTION("SUM(QUERY(Entregas_BD!D:W,""select T where D='""&amp;D113&amp;""'"",1))"),0.0)</f>
        <v>0</v>
      </c>
    </row>
    <row r="114" ht="19.5" customHeight="1">
      <c r="A114" s="7"/>
      <c r="B114" s="8"/>
      <c r="C114" s="9">
        <v>113.0</v>
      </c>
      <c r="D114" s="10" t="s">
        <v>375</v>
      </c>
      <c r="E114" s="10" t="s">
        <v>72</v>
      </c>
      <c r="F114" s="10" t="s">
        <v>45</v>
      </c>
      <c r="G114" s="10" t="s">
        <v>149</v>
      </c>
      <c r="H114" s="9" t="s">
        <v>69</v>
      </c>
      <c r="I114" s="11" t="s">
        <v>41</v>
      </c>
      <c r="J114" s="12"/>
      <c r="K114" s="28"/>
      <c r="L114" s="29"/>
      <c r="M114" s="28"/>
      <c r="N114" s="9">
        <f>IFERROR(__xludf.DUMMYFUNCTION("SUM(QUERY(Entregas_BD!D:L,""select G where D='""&amp;D114&amp;""'"",1))"),0.0)</f>
        <v>0</v>
      </c>
      <c r="O114" s="9">
        <f>IFERROR(__xludf.DUMMYFUNCTION("SUM(QUERY(Entregas_BD!D:L,""select H where D='""&amp;D114&amp;""'"",1))"),0.0)</f>
        <v>0</v>
      </c>
      <c r="P114" s="9">
        <f>IFERROR(__xludf.DUMMYFUNCTION("SUM(QUERY(Entregas_BD!D:L,""select I where D='""&amp;D114&amp;""'"",1))"),0.0)</f>
        <v>0</v>
      </c>
      <c r="Q114" s="9">
        <f>IFERROR(__xludf.DUMMYFUNCTION("SUM(QUERY(Entregas_BD!D:L,""select J where D='""&amp;D114&amp;""'"",1))"),0.0)</f>
        <v>0</v>
      </c>
      <c r="R114" s="15">
        <f>IFERROR(__xludf.DUMMYFUNCTION("SUM(QUERY(Entregas_BD!D:L,""select K where D='""&amp;D114&amp;""'"",1))"),0.0)</f>
        <v>0</v>
      </c>
      <c r="S114" s="15">
        <f>IFERROR(__xludf.DUMMYFUNCTION("SUM(QUERY(Entregas_BD!D:L,""select L where D='""&amp;D114&amp;""'"",1))"),0.0)</f>
        <v>0</v>
      </c>
      <c r="T114" s="9">
        <f>IFERROR(__xludf.DUMMYFUNCTION("SUM(QUERY(Entregas_BD!D:AL,""select AG where D='""&amp;D114&amp;""'"",1))"),265.0)</f>
        <v>265</v>
      </c>
      <c r="U114" s="9">
        <f>IFERROR(__xludf.DUMMYFUNCTION("SUM(QUERY(Entregas_BD!D:AL,""select AH where D='""&amp;D114&amp;""'"",1))"),0.0)</f>
        <v>0</v>
      </c>
      <c r="V114" s="9">
        <f>IFERROR(__xludf.DUMMYFUNCTION("SUM(QUERY(Entregas_BD!D:AL,""select AI where D='""&amp;D114&amp;""'"",1))"),0.0)</f>
        <v>0</v>
      </c>
      <c r="W114" s="9">
        <f>IFERROR(__xludf.DUMMYFUNCTION("SUM(QUERY(Entregas_BD!D:AL,""select AJ where D='""&amp;D114&amp;""'"",1))"),0.0)</f>
        <v>0</v>
      </c>
      <c r="X114" s="9">
        <f>IFERROR(__xludf.DUMMYFUNCTION("SUM(QUERY(Entregas_BD!D:AL,""select AL where D='""&amp;D114&amp;""'"",1))"),0.0)</f>
        <v>0</v>
      </c>
      <c r="Y114" s="9">
        <f>IFERROR(__xludf.DUMMYFUNCTION("SUM(QUERY(Entregas_BD!D:AL,""select AK where D='""&amp;D114&amp;""'"",1))"),0.0)</f>
        <v>0</v>
      </c>
      <c r="Z114" s="9">
        <v>-265.0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30" t="s">
        <v>376</v>
      </c>
      <c r="AG114" s="15">
        <f>IFERROR(__xludf.DUMMYFUNCTION("SUM(QUERY(Entregas_BD!D:W,""select U where D='""&amp;D114&amp;""'"",1))"),0.0)</f>
        <v>0</v>
      </c>
      <c r="AH114" s="15">
        <f>IFERROR(__xludf.DUMMYFUNCTION("SUM(QUERY(Entregas_BD!D:W,""select S where D='""&amp;D114&amp;""'"",1))"),0.0)</f>
        <v>0</v>
      </c>
      <c r="AI114" s="15">
        <f>IFERROR(__xludf.DUMMYFUNCTION("SUM(QUERY(Entregas_BD!D:W,""select T where D='""&amp;D114&amp;""'"",1))"),0.0)</f>
        <v>0</v>
      </c>
    </row>
    <row r="115" ht="19.5" customHeight="1">
      <c r="A115" s="31"/>
      <c r="B115" s="32"/>
      <c r="C115" s="19">
        <v>114.0</v>
      </c>
      <c r="D115" s="20" t="s">
        <v>377</v>
      </c>
      <c r="E115" s="20" t="s">
        <v>58</v>
      </c>
      <c r="F115" s="20" t="s">
        <v>45</v>
      </c>
      <c r="G115" s="20" t="s">
        <v>378</v>
      </c>
      <c r="H115" s="19" t="s">
        <v>51</v>
      </c>
      <c r="I115" s="21" t="s">
        <v>41</v>
      </c>
      <c r="J115" s="19"/>
      <c r="K115" s="22"/>
      <c r="L115" s="23"/>
      <c r="M115" s="22"/>
      <c r="N115" s="19">
        <f>IFERROR(__xludf.DUMMYFUNCTION("SUM(QUERY(Entregas_BD!D:L,""select G where D='""&amp;D115&amp;""'"",1))"),0.0)</f>
        <v>0</v>
      </c>
      <c r="O115" s="19">
        <f>IFERROR(__xludf.DUMMYFUNCTION("SUM(QUERY(Entregas_BD!D:L,""select H where D='""&amp;D115&amp;""'"",1))"),0.0)</f>
        <v>0</v>
      </c>
      <c r="P115" s="19">
        <f>IFERROR(__xludf.DUMMYFUNCTION("SUM(QUERY(Entregas_BD!D:L,""select I where D='""&amp;D115&amp;""'"",1))"),0.0)</f>
        <v>0</v>
      </c>
      <c r="Q115" s="19">
        <f>IFERROR(__xludf.DUMMYFUNCTION("SUM(QUERY(Entregas_BD!D:L,""select J where D='""&amp;D115&amp;""'"",1))"),0.0)</f>
        <v>0</v>
      </c>
      <c r="R115" s="24">
        <f>IFERROR(__xludf.DUMMYFUNCTION("SUM(QUERY(Entregas_BD!D:L,""select K where D='""&amp;D115&amp;""'"",1))"),0.0)</f>
        <v>0</v>
      </c>
      <c r="S115" s="24">
        <f>IFERROR(__xludf.DUMMYFUNCTION("SUM(QUERY(Entregas_BD!D:L,""select L where D='""&amp;D115&amp;""'"",1))"),0.0)</f>
        <v>0</v>
      </c>
      <c r="T115" s="19">
        <f>IFERROR(__xludf.DUMMYFUNCTION("SUM(QUERY(Entregas_BD!D:AL,""select AG where D='""&amp;D115&amp;""'"",1))"),100.0)</f>
        <v>100</v>
      </c>
      <c r="U115" s="19">
        <f>IFERROR(__xludf.DUMMYFUNCTION("SUM(QUERY(Entregas_BD!D:AL,""select AH where D='""&amp;D115&amp;""'"",1))"),0.0)</f>
        <v>0</v>
      </c>
      <c r="V115" s="19">
        <f>IFERROR(__xludf.DUMMYFUNCTION("SUM(QUERY(Entregas_BD!D:AL,""select AI where D='""&amp;D115&amp;""'"",1))"),0.0)</f>
        <v>0</v>
      </c>
      <c r="W115" s="19">
        <f>IFERROR(__xludf.DUMMYFUNCTION("SUM(QUERY(Entregas_BD!D:AL,""select AJ where D='""&amp;D115&amp;""'"",1))"),0.0)</f>
        <v>0</v>
      </c>
      <c r="X115" s="19">
        <f>IFERROR(__xludf.DUMMYFUNCTION("SUM(QUERY(Entregas_BD!D:AL,""select AL where D='""&amp;D115&amp;""'"",1))"),0.0)</f>
        <v>0</v>
      </c>
      <c r="Y115" s="19">
        <f>IFERROR(__xludf.DUMMYFUNCTION("SUM(QUERY(Entregas_BD!D:AL,""select AK where D='""&amp;D115&amp;""'"",1))"),0.0)</f>
        <v>0</v>
      </c>
      <c r="Z115" s="19">
        <v>-100.0</v>
      </c>
      <c r="AA115" s="19">
        <v>0.0</v>
      </c>
      <c r="AB115" s="19">
        <v>0.0</v>
      </c>
      <c r="AC115" s="19">
        <v>0.0</v>
      </c>
      <c r="AD115" s="19">
        <v>0.0</v>
      </c>
      <c r="AE115" s="19">
        <v>0.0</v>
      </c>
      <c r="AF115" s="35" t="s">
        <v>379</v>
      </c>
      <c r="AG115" s="24">
        <f>IFERROR(__xludf.DUMMYFUNCTION("SUM(QUERY(Entregas_BD!D:W,""select U where D='""&amp;D115&amp;""'"",1))"),0.0)</f>
        <v>0</v>
      </c>
      <c r="AH115" s="24">
        <f>IFERROR(__xludf.DUMMYFUNCTION("SUM(QUERY(Entregas_BD!D:W,""select S where D='""&amp;D115&amp;""'"",1))"),0.0)</f>
        <v>0</v>
      </c>
      <c r="AI115" s="24">
        <f>IFERROR(__xludf.DUMMYFUNCTION("SUM(QUERY(Entregas_BD!D:W,""select T where D='""&amp;D115&amp;""'"",1))"),0.0)</f>
        <v>0</v>
      </c>
    </row>
    <row r="116" ht="19.5" customHeight="1">
      <c r="A116" s="7"/>
      <c r="B116" s="8"/>
      <c r="C116" s="9">
        <v>115.0</v>
      </c>
      <c r="D116" s="10" t="s">
        <v>380</v>
      </c>
      <c r="E116" s="10" t="s">
        <v>153</v>
      </c>
      <c r="F116" s="10" t="s">
        <v>381</v>
      </c>
      <c r="G116" s="10" t="s">
        <v>382</v>
      </c>
      <c r="H116" s="12" t="s">
        <v>40</v>
      </c>
      <c r="I116" s="11" t="s">
        <v>41</v>
      </c>
      <c r="J116" s="12"/>
      <c r="K116" s="28"/>
      <c r="L116" s="29"/>
      <c r="M116" s="36"/>
      <c r="N116" s="9">
        <f>IFERROR(__xludf.DUMMYFUNCTION("SUM(QUERY(Entregas_BD!D:L,""select G where D='""&amp;D116&amp;""'"",1))"),0.0)</f>
        <v>0</v>
      </c>
      <c r="O116" s="9">
        <f>IFERROR(__xludf.DUMMYFUNCTION("SUM(QUERY(Entregas_BD!D:L,""select H where D='""&amp;D116&amp;""'"",1))"),0.0)</f>
        <v>0</v>
      </c>
      <c r="P116" s="9">
        <f>IFERROR(__xludf.DUMMYFUNCTION("SUM(QUERY(Entregas_BD!D:L,""select I where D='""&amp;D116&amp;""'"",1))"),0.0)</f>
        <v>0</v>
      </c>
      <c r="Q116" s="9">
        <f>IFERROR(__xludf.DUMMYFUNCTION("SUM(QUERY(Entregas_BD!D:L,""select J where D='""&amp;D116&amp;""'"",1))"),0.0)</f>
        <v>0</v>
      </c>
      <c r="R116" s="15">
        <f>IFERROR(__xludf.DUMMYFUNCTION("SUM(QUERY(Entregas_BD!D:L,""select K where D='""&amp;D116&amp;""'"",1))"),0.0)</f>
        <v>0</v>
      </c>
      <c r="S116" s="15">
        <f>IFERROR(__xludf.DUMMYFUNCTION("SUM(QUERY(Entregas_BD!D:L,""select L where D='""&amp;D116&amp;""'"",1))"),0.0)</f>
        <v>0</v>
      </c>
      <c r="T116" s="9">
        <f>IFERROR(__xludf.DUMMYFUNCTION("SUM(QUERY(Entregas_BD!D:AL,""select AG where D='""&amp;D116&amp;""'"",1))"),0.0)</f>
        <v>0</v>
      </c>
      <c r="U116" s="9">
        <f>IFERROR(__xludf.DUMMYFUNCTION("SUM(QUERY(Entregas_BD!D:AL,""select AH where D='""&amp;D116&amp;""'"",1))"),0.0)</f>
        <v>0</v>
      </c>
      <c r="V116" s="9">
        <f>IFERROR(__xludf.DUMMYFUNCTION("SUM(QUERY(Entregas_BD!D:AL,""select AI where D='""&amp;D116&amp;""'"",1))"),0.0)</f>
        <v>0</v>
      </c>
      <c r="W116" s="9">
        <f>IFERROR(__xludf.DUMMYFUNCTION("SUM(QUERY(Entregas_BD!D:AL,""select AJ where D='""&amp;D116&amp;""'"",1))"),0.0)</f>
        <v>0</v>
      </c>
      <c r="X116" s="9">
        <f>IFERROR(__xludf.DUMMYFUNCTION("SUM(QUERY(Entregas_BD!D:AL,""select AL where D='""&amp;D116&amp;""'"",1))"),0.0)</f>
        <v>0</v>
      </c>
      <c r="Y116" s="9">
        <f>IFERROR(__xludf.DUMMYFUNCTION("SUM(QUERY(Entregas_BD!D:AL,""select AK where D='""&amp;D116&amp;""'"",1))"),0.0)</f>
        <v>0</v>
      </c>
      <c r="Z116" s="9">
        <v>0.0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37" t="s">
        <v>383</v>
      </c>
      <c r="AG116" s="15">
        <f>IFERROR(__xludf.DUMMYFUNCTION("SUM(QUERY(Entregas_BD!D:W,""select U where D='""&amp;D116&amp;""'"",1))"),0.0)</f>
        <v>0</v>
      </c>
      <c r="AH116" s="15">
        <f>IFERROR(__xludf.DUMMYFUNCTION("SUM(QUERY(Entregas_BD!D:W,""select S where D='""&amp;D116&amp;""'"",1))"),0.0)</f>
        <v>0</v>
      </c>
      <c r="AI116" s="15">
        <f>IFERROR(__xludf.DUMMYFUNCTION("SUM(QUERY(Entregas_BD!D:W,""select T where D='""&amp;D116&amp;""'"",1))"),0.0)</f>
        <v>0</v>
      </c>
    </row>
    <row r="117" ht="19.5" customHeight="1">
      <c r="A117" s="31"/>
      <c r="B117" s="32"/>
      <c r="C117" s="19">
        <v>116.0</v>
      </c>
      <c r="D117" s="20" t="s">
        <v>384</v>
      </c>
      <c r="E117" s="20" t="s">
        <v>63</v>
      </c>
      <c r="F117" s="20" t="s">
        <v>64</v>
      </c>
      <c r="G117" s="20" t="s">
        <v>385</v>
      </c>
      <c r="H117" s="19" t="s">
        <v>51</v>
      </c>
      <c r="I117" s="21" t="s">
        <v>41</v>
      </c>
      <c r="J117" s="34"/>
      <c r="K117" s="22"/>
      <c r="L117" s="23"/>
      <c r="M117" s="22"/>
      <c r="N117" s="19">
        <f>IFERROR(__xludf.DUMMYFUNCTION("SUM(QUERY(Entregas_BD!D:L,""select G where D='""&amp;D117&amp;""'"",1))"),0.0)</f>
        <v>0</v>
      </c>
      <c r="O117" s="19">
        <f>IFERROR(__xludf.DUMMYFUNCTION("SUM(QUERY(Entregas_BD!D:L,""select H where D='""&amp;D117&amp;""'"",1))"),0.0)</f>
        <v>0</v>
      </c>
      <c r="P117" s="19">
        <f>IFERROR(__xludf.DUMMYFUNCTION("SUM(QUERY(Entregas_BD!D:L,""select I where D='""&amp;D117&amp;""'"",1))"),0.0)</f>
        <v>0</v>
      </c>
      <c r="Q117" s="19">
        <f>IFERROR(__xludf.DUMMYFUNCTION("SUM(QUERY(Entregas_BD!D:L,""select J where D='""&amp;D117&amp;""'"",1))"),0.0)</f>
        <v>0</v>
      </c>
      <c r="R117" s="24">
        <f>IFERROR(__xludf.DUMMYFUNCTION("SUM(QUERY(Entregas_BD!D:L,""select K where D='""&amp;D117&amp;""'"",1))"),0.0)</f>
        <v>0</v>
      </c>
      <c r="S117" s="24">
        <f>IFERROR(__xludf.DUMMYFUNCTION("SUM(QUERY(Entregas_BD!D:L,""select L where D='""&amp;D117&amp;""'"",1))"),0.0)</f>
        <v>0</v>
      </c>
      <c r="T117" s="19">
        <f>IFERROR(__xludf.DUMMYFUNCTION("SUM(QUERY(Entregas_BD!D:AL,""select AG where D='""&amp;D117&amp;""'"",1))"),0.0)</f>
        <v>0</v>
      </c>
      <c r="U117" s="19">
        <f>IFERROR(__xludf.DUMMYFUNCTION("SUM(QUERY(Entregas_BD!D:AL,""select AH where D='""&amp;D117&amp;""'"",1))"),0.0)</f>
        <v>0</v>
      </c>
      <c r="V117" s="19">
        <f>IFERROR(__xludf.DUMMYFUNCTION("SUM(QUERY(Entregas_BD!D:AL,""select AI where D='""&amp;D117&amp;""'"",1))"),0.0)</f>
        <v>0</v>
      </c>
      <c r="W117" s="19">
        <f>IFERROR(__xludf.DUMMYFUNCTION("SUM(QUERY(Entregas_BD!D:AL,""select AJ where D='""&amp;D117&amp;""'"",1))"),0.0)</f>
        <v>0</v>
      </c>
      <c r="X117" s="19">
        <f>IFERROR(__xludf.DUMMYFUNCTION("SUM(QUERY(Entregas_BD!D:AL,""select AL where D='""&amp;D117&amp;""'"",1))"),0.0)</f>
        <v>0</v>
      </c>
      <c r="Y117" s="19">
        <f>IFERROR(__xludf.DUMMYFUNCTION("SUM(QUERY(Entregas_BD!D:AL,""select AK where D='""&amp;D117&amp;""'"",1))"),0.0)</f>
        <v>0</v>
      </c>
      <c r="Z117" s="19">
        <v>0.0</v>
      </c>
      <c r="AA117" s="19">
        <v>0.0</v>
      </c>
      <c r="AB117" s="19">
        <v>0.0</v>
      </c>
      <c r="AC117" s="19">
        <v>0.0</v>
      </c>
      <c r="AD117" s="19">
        <v>0.0</v>
      </c>
      <c r="AE117" s="19">
        <v>0.0</v>
      </c>
      <c r="AF117" s="35" t="s">
        <v>386</v>
      </c>
      <c r="AG117" s="24">
        <f>IFERROR(__xludf.DUMMYFUNCTION("SUM(QUERY(Entregas_BD!D:W,""select U where D='""&amp;D117&amp;""'"",1))"),0.0)</f>
        <v>0</v>
      </c>
      <c r="AH117" s="24">
        <f>IFERROR(__xludf.DUMMYFUNCTION("SUM(QUERY(Entregas_BD!D:W,""select S where D='""&amp;D117&amp;""'"",1))"),0.0)</f>
        <v>0</v>
      </c>
      <c r="AI117" s="24">
        <f>IFERROR(__xludf.DUMMYFUNCTION("SUM(QUERY(Entregas_BD!D:W,""select T where D='""&amp;D117&amp;""'"",1))"),0.0)</f>
        <v>0</v>
      </c>
    </row>
    <row r="118" ht="19.5" customHeight="1">
      <c r="A118" s="7"/>
      <c r="B118" s="8"/>
      <c r="C118" s="9">
        <v>117.0</v>
      </c>
      <c r="D118" s="10" t="s">
        <v>387</v>
      </c>
      <c r="E118" s="10" t="s">
        <v>38</v>
      </c>
      <c r="F118" s="10" t="s">
        <v>188</v>
      </c>
      <c r="G118" s="10" t="s">
        <v>72</v>
      </c>
      <c r="H118" s="12" t="s">
        <v>69</v>
      </c>
      <c r="I118" s="11" t="s">
        <v>47</v>
      </c>
      <c r="J118" s="13"/>
      <c r="K118" s="28"/>
      <c r="L118" s="29"/>
      <c r="M118" s="36"/>
      <c r="N118" s="9">
        <f>IFERROR(__xludf.DUMMYFUNCTION("SUM(QUERY(Entregas_BD!D:L,""select G where D='""&amp;D118&amp;""'"",1))"),0.0)</f>
        <v>0</v>
      </c>
      <c r="O118" s="9">
        <f>IFERROR(__xludf.DUMMYFUNCTION("SUM(QUERY(Entregas_BD!D:L,""select H where D='""&amp;D118&amp;""'"",1))"),0.0)</f>
        <v>0</v>
      </c>
      <c r="P118" s="9">
        <f>IFERROR(__xludf.DUMMYFUNCTION("SUM(QUERY(Entregas_BD!D:L,""select I where D='""&amp;D118&amp;""'"",1))"),0.0)</f>
        <v>0</v>
      </c>
      <c r="Q118" s="9">
        <f>IFERROR(__xludf.DUMMYFUNCTION("SUM(QUERY(Entregas_BD!D:L,""select J where D='""&amp;D118&amp;""'"",1))"),0.0)</f>
        <v>0</v>
      </c>
      <c r="R118" s="15">
        <f>IFERROR(__xludf.DUMMYFUNCTION("SUM(QUERY(Entregas_BD!D:L,""select K where D='""&amp;D118&amp;""'"",1))"),0.0)</f>
        <v>0</v>
      </c>
      <c r="S118" s="15">
        <f>IFERROR(__xludf.DUMMYFUNCTION("SUM(QUERY(Entregas_BD!D:L,""select L where D='""&amp;D118&amp;""'"",1))"),0.0)</f>
        <v>0</v>
      </c>
      <c r="T118" s="9">
        <f>IFERROR(__xludf.DUMMYFUNCTION("SUM(QUERY(Entregas_BD!D:AL,""select AG where D='""&amp;D118&amp;""'"",1))"),0.0)</f>
        <v>0</v>
      </c>
      <c r="U118" s="9">
        <f>IFERROR(__xludf.DUMMYFUNCTION("SUM(QUERY(Entregas_BD!D:AL,""select AH where D='""&amp;D118&amp;""'"",1))"),0.0)</f>
        <v>0</v>
      </c>
      <c r="V118" s="9">
        <f>IFERROR(__xludf.DUMMYFUNCTION("SUM(QUERY(Entregas_BD!D:AL,""select AI where D='""&amp;D118&amp;""'"",1))"),0.0)</f>
        <v>0</v>
      </c>
      <c r="W118" s="9">
        <f>IFERROR(__xludf.DUMMYFUNCTION("SUM(QUERY(Entregas_BD!D:AL,""select AJ where D='""&amp;D118&amp;""'"",1))"),0.0)</f>
        <v>0</v>
      </c>
      <c r="X118" s="9">
        <f>IFERROR(__xludf.DUMMYFUNCTION("SUM(QUERY(Entregas_BD!D:AL,""select AL where D='""&amp;D118&amp;""'"",1))"),0.0)</f>
        <v>0</v>
      </c>
      <c r="Y118" s="9">
        <f>IFERROR(__xludf.DUMMYFUNCTION("SUM(QUERY(Entregas_BD!D:AL,""select AK where D='""&amp;D118&amp;""'"",1))"),0.0)</f>
        <v>0</v>
      </c>
      <c r="Z118" s="9">
        <v>0.0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37" t="s">
        <v>388</v>
      </c>
      <c r="AG118" s="15">
        <f>IFERROR(__xludf.DUMMYFUNCTION("SUM(QUERY(Entregas_BD!D:W,""select U where D='""&amp;D118&amp;""'"",1))"),0.0)</f>
        <v>0</v>
      </c>
      <c r="AH118" s="15">
        <f>IFERROR(__xludf.DUMMYFUNCTION("SUM(QUERY(Entregas_BD!D:W,""select S where D='""&amp;D118&amp;""'"",1))"),0.0)</f>
        <v>0</v>
      </c>
      <c r="AI118" s="15">
        <f>IFERROR(__xludf.DUMMYFUNCTION("SUM(QUERY(Entregas_BD!D:W,""select T where D='""&amp;D118&amp;""'"",1))"),0.0)</f>
        <v>0</v>
      </c>
    </row>
    <row r="119" ht="19.5" customHeight="1">
      <c r="A119" s="31"/>
      <c r="B119" s="32"/>
      <c r="C119" s="19">
        <v>118.0</v>
      </c>
      <c r="D119" s="20" t="s">
        <v>389</v>
      </c>
      <c r="E119" s="20" t="s">
        <v>63</v>
      </c>
      <c r="F119" s="20" t="s">
        <v>139</v>
      </c>
      <c r="G119" s="20" t="s">
        <v>204</v>
      </c>
      <c r="H119" s="19" t="s">
        <v>40</v>
      </c>
      <c r="I119" s="21" t="s">
        <v>47</v>
      </c>
      <c r="J119" s="34"/>
      <c r="K119" s="22"/>
      <c r="L119" s="23"/>
      <c r="M119" s="41"/>
      <c r="N119" s="19">
        <f>IFERROR(__xludf.DUMMYFUNCTION("SUM(QUERY(Entregas_BD!D:L,""select G where D='""&amp;D119&amp;""'"",1))"),0.0)</f>
        <v>0</v>
      </c>
      <c r="O119" s="19">
        <f>IFERROR(__xludf.DUMMYFUNCTION("SUM(QUERY(Entregas_BD!D:L,""select H where D='""&amp;D119&amp;""'"",1))"),0.0)</f>
        <v>0</v>
      </c>
      <c r="P119" s="19">
        <f>IFERROR(__xludf.DUMMYFUNCTION("SUM(QUERY(Entregas_BD!D:L,""select I where D='""&amp;D119&amp;""'"",1))"),0.0)</f>
        <v>0</v>
      </c>
      <c r="Q119" s="19">
        <f>IFERROR(__xludf.DUMMYFUNCTION("SUM(QUERY(Entregas_BD!D:L,""select J where D='""&amp;D119&amp;""'"",1))"),0.0)</f>
        <v>0</v>
      </c>
      <c r="R119" s="24">
        <f>IFERROR(__xludf.DUMMYFUNCTION("SUM(QUERY(Entregas_BD!D:L,""select K where D='""&amp;D119&amp;""'"",1))"),0.0)</f>
        <v>0</v>
      </c>
      <c r="S119" s="24">
        <f>IFERROR(__xludf.DUMMYFUNCTION("SUM(QUERY(Entregas_BD!D:L,""select L where D='""&amp;D119&amp;""'"",1))"),0.0)</f>
        <v>0</v>
      </c>
      <c r="T119" s="19">
        <f>IFERROR(__xludf.DUMMYFUNCTION("SUM(QUERY(Entregas_BD!D:AL,""select AG where D='""&amp;D119&amp;""'"",1))"),0.0)</f>
        <v>0</v>
      </c>
      <c r="U119" s="19">
        <f>IFERROR(__xludf.DUMMYFUNCTION("SUM(QUERY(Entregas_BD!D:AL,""select AH where D='""&amp;D119&amp;""'"",1))"),0.0)</f>
        <v>0</v>
      </c>
      <c r="V119" s="19">
        <f>IFERROR(__xludf.DUMMYFUNCTION("SUM(QUERY(Entregas_BD!D:AL,""select AI where D='""&amp;D119&amp;""'"",1))"),0.0)</f>
        <v>0</v>
      </c>
      <c r="W119" s="19">
        <f>IFERROR(__xludf.DUMMYFUNCTION("SUM(QUERY(Entregas_BD!D:AL,""select AJ where D='""&amp;D119&amp;""'"",1))"),0.0)</f>
        <v>0</v>
      </c>
      <c r="X119" s="19">
        <f>IFERROR(__xludf.DUMMYFUNCTION("SUM(QUERY(Entregas_BD!D:AL,""select AL where D='""&amp;D119&amp;""'"",1))"),0.0)</f>
        <v>0</v>
      </c>
      <c r="Y119" s="19">
        <f>IFERROR(__xludf.DUMMYFUNCTION("SUM(QUERY(Entregas_BD!D:AL,""select AK where D='""&amp;D119&amp;""'"",1))"),0.0)</f>
        <v>0</v>
      </c>
      <c r="Z119" s="19">
        <v>0.0</v>
      </c>
      <c r="AA119" s="19">
        <v>0.0</v>
      </c>
      <c r="AB119" s="19">
        <v>0.0</v>
      </c>
      <c r="AC119" s="19">
        <v>0.0</v>
      </c>
      <c r="AD119" s="19">
        <v>0.0</v>
      </c>
      <c r="AE119" s="19">
        <v>0.0</v>
      </c>
      <c r="AF119" s="35" t="s">
        <v>390</v>
      </c>
      <c r="AG119" s="24">
        <f>IFERROR(__xludf.DUMMYFUNCTION("SUM(QUERY(Entregas_BD!D:W,""select U where D='""&amp;D119&amp;""'"",1))"),0.0)</f>
        <v>0</v>
      </c>
      <c r="AH119" s="24">
        <f>IFERROR(__xludf.DUMMYFUNCTION("SUM(QUERY(Entregas_BD!D:W,""select S where D='""&amp;D119&amp;""'"",1))"),0.0)</f>
        <v>0</v>
      </c>
      <c r="AI119" s="24">
        <f>IFERROR(__xludf.DUMMYFUNCTION("SUM(QUERY(Entregas_BD!D:W,""select T where D='""&amp;D119&amp;""'"",1))"),0.0)</f>
        <v>0</v>
      </c>
    </row>
    <row r="120" ht="19.5" customHeight="1">
      <c r="A120" s="7"/>
      <c r="B120" s="8"/>
      <c r="C120" s="9">
        <v>119.0</v>
      </c>
      <c r="D120" s="10" t="s">
        <v>391</v>
      </c>
      <c r="E120" s="10" t="s">
        <v>63</v>
      </c>
      <c r="F120" s="10" t="s">
        <v>139</v>
      </c>
      <c r="G120" s="10" t="s">
        <v>392</v>
      </c>
      <c r="H120" s="9" t="s">
        <v>51</v>
      </c>
      <c r="I120" s="11" t="s">
        <v>47</v>
      </c>
      <c r="J120" s="12"/>
      <c r="K120" s="28"/>
      <c r="L120" s="29"/>
      <c r="M120" s="36"/>
      <c r="N120" s="9">
        <f>IFERROR(__xludf.DUMMYFUNCTION("SUM(QUERY(Entregas_BD!D:L,""select G where D='""&amp;D120&amp;""'"",1))"),0.0)</f>
        <v>0</v>
      </c>
      <c r="O120" s="9">
        <f>IFERROR(__xludf.DUMMYFUNCTION("SUM(QUERY(Entregas_BD!D:L,""select H where D='""&amp;D120&amp;""'"",1))"),0.0)</f>
        <v>0</v>
      </c>
      <c r="P120" s="9">
        <f>IFERROR(__xludf.DUMMYFUNCTION("SUM(QUERY(Entregas_BD!D:L,""select I where D='""&amp;D120&amp;""'"",1))"),0.0)</f>
        <v>0</v>
      </c>
      <c r="Q120" s="9">
        <f>IFERROR(__xludf.DUMMYFUNCTION("SUM(QUERY(Entregas_BD!D:L,""select J where D='""&amp;D120&amp;""'"",1))"),0.0)</f>
        <v>0</v>
      </c>
      <c r="R120" s="15">
        <f>IFERROR(__xludf.DUMMYFUNCTION("SUM(QUERY(Entregas_BD!D:L,""select K where D='""&amp;D120&amp;""'"",1))"),0.0)</f>
        <v>0</v>
      </c>
      <c r="S120" s="15">
        <f>IFERROR(__xludf.DUMMYFUNCTION("SUM(QUERY(Entregas_BD!D:L,""select L where D='""&amp;D120&amp;""'"",1))"),0.0)</f>
        <v>0</v>
      </c>
      <c r="T120" s="9">
        <f>IFERROR(__xludf.DUMMYFUNCTION("SUM(QUERY(Entregas_BD!D:AL,""select AG where D='""&amp;D120&amp;""'"",1))"),0.0)</f>
        <v>0</v>
      </c>
      <c r="U120" s="9">
        <f>IFERROR(__xludf.DUMMYFUNCTION("SUM(QUERY(Entregas_BD!D:AL,""select AH where D='""&amp;D120&amp;""'"",1))"),0.0)</f>
        <v>0</v>
      </c>
      <c r="V120" s="9">
        <f>IFERROR(__xludf.DUMMYFUNCTION("SUM(QUERY(Entregas_BD!D:AL,""select AI where D='""&amp;D120&amp;""'"",1))"),0.0)</f>
        <v>0</v>
      </c>
      <c r="W120" s="9">
        <f>IFERROR(__xludf.DUMMYFUNCTION("SUM(QUERY(Entregas_BD!D:AL,""select AJ where D='""&amp;D120&amp;""'"",1))"),0.0)</f>
        <v>0</v>
      </c>
      <c r="X120" s="9">
        <f>IFERROR(__xludf.DUMMYFUNCTION("SUM(QUERY(Entregas_BD!D:AL,""select AL where D='""&amp;D120&amp;""'"",1))"),0.0)</f>
        <v>0</v>
      </c>
      <c r="Y120" s="9">
        <f>IFERROR(__xludf.DUMMYFUNCTION("SUM(QUERY(Entregas_BD!D:AL,""select AK where D='""&amp;D120&amp;""'"",1))"),0.0)</f>
        <v>0</v>
      </c>
      <c r="Z120" s="9">
        <v>0.0</v>
      </c>
      <c r="AA120" s="9">
        <v>0.0</v>
      </c>
      <c r="AB120" s="9">
        <v>0.0</v>
      </c>
      <c r="AC120" s="9">
        <v>0.0</v>
      </c>
      <c r="AD120" s="9">
        <v>0.0</v>
      </c>
      <c r="AE120" s="9">
        <v>0.0</v>
      </c>
      <c r="AF120" s="30" t="s">
        <v>393</v>
      </c>
      <c r="AG120" s="15">
        <f>IFERROR(__xludf.DUMMYFUNCTION("SUM(QUERY(Entregas_BD!D:W,""select U where D='""&amp;D120&amp;""'"",1))"),0.0)</f>
        <v>0</v>
      </c>
      <c r="AH120" s="15">
        <f>IFERROR(__xludf.DUMMYFUNCTION("SUM(QUERY(Entregas_BD!D:W,""select S where D='""&amp;D120&amp;""'"",1))"),0.0)</f>
        <v>0</v>
      </c>
      <c r="AI120" s="15">
        <f>IFERROR(__xludf.DUMMYFUNCTION("SUM(QUERY(Entregas_BD!D:W,""select T where D='""&amp;D120&amp;""'"",1))"),0.0)</f>
        <v>0</v>
      </c>
    </row>
    <row r="121" ht="19.5" customHeight="1">
      <c r="A121" s="31"/>
      <c r="B121" s="32"/>
      <c r="C121" s="19">
        <v>120.0</v>
      </c>
      <c r="D121" s="20" t="s">
        <v>394</v>
      </c>
      <c r="E121" s="20" t="s">
        <v>58</v>
      </c>
      <c r="F121" s="20" t="s">
        <v>45</v>
      </c>
      <c r="G121" s="20" t="s">
        <v>59</v>
      </c>
      <c r="H121" s="19" t="s">
        <v>51</v>
      </c>
      <c r="I121" s="21" t="s">
        <v>47</v>
      </c>
      <c r="J121" s="19"/>
      <c r="K121" s="22"/>
      <c r="L121" s="23"/>
      <c r="M121" s="22"/>
      <c r="N121" s="19">
        <f>IFERROR(__xludf.DUMMYFUNCTION("SUM(QUERY(Entregas_BD!D:L,""select G where D='""&amp;D121&amp;""'"",1))"),0.0)</f>
        <v>0</v>
      </c>
      <c r="O121" s="19">
        <f>IFERROR(__xludf.DUMMYFUNCTION("SUM(QUERY(Entregas_BD!D:L,""select H where D='""&amp;D121&amp;""'"",1))"),0.0)</f>
        <v>0</v>
      </c>
      <c r="P121" s="19">
        <f>IFERROR(__xludf.DUMMYFUNCTION("SUM(QUERY(Entregas_BD!D:L,""select I where D='""&amp;D121&amp;""'"",1))"),0.0)</f>
        <v>0</v>
      </c>
      <c r="Q121" s="19">
        <f>IFERROR(__xludf.DUMMYFUNCTION("SUM(QUERY(Entregas_BD!D:L,""select J where D='""&amp;D121&amp;""'"",1))"),0.0)</f>
        <v>0</v>
      </c>
      <c r="R121" s="24">
        <f>IFERROR(__xludf.DUMMYFUNCTION("SUM(QUERY(Entregas_BD!D:L,""select K where D='""&amp;D121&amp;""'"",1))"),0.0)</f>
        <v>0</v>
      </c>
      <c r="S121" s="24">
        <f>IFERROR(__xludf.DUMMYFUNCTION("SUM(QUERY(Entregas_BD!D:L,""select L where D='""&amp;D121&amp;""'"",1))"),0.0)</f>
        <v>0</v>
      </c>
      <c r="T121" s="19">
        <f>IFERROR(__xludf.DUMMYFUNCTION("SUM(QUERY(Entregas_BD!D:AL,""select AG where D='""&amp;D121&amp;""'"",1))"),0.0)</f>
        <v>0</v>
      </c>
      <c r="U121" s="19">
        <f>IFERROR(__xludf.DUMMYFUNCTION("SUM(QUERY(Entregas_BD!D:AL,""select AH where D='""&amp;D121&amp;""'"",1))"),0.0)</f>
        <v>0</v>
      </c>
      <c r="V121" s="19">
        <f>IFERROR(__xludf.DUMMYFUNCTION("SUM(QUERY(Entregas_BD!D:AL,""select AI where D='""&amp;D121&amp;""'"",1))"),0.0)</f>
        <v>0</v>
      </c>
      <c r="W121" s="19">
        <f>IFERROR(__xludf.DUMMYFUNCTION("SUM(QUERY(Entregas_BD!D:AL,""select AJ where D='""&amp;D121&amp;""'"",1))"),0.0)</f>
        <v>0</v>
      </c>
      <c r="X121" s="19">
        <f>IFERROR(__xludf.DUMMYFUNCTION("SUM(QUERY(Entregas_BD!D:AL,""select AL where D='""&amp;D121&amp;""'"",1))"),0.0)</f>
        <v>0</v>
      </c>
      <c r="Y121" s="19">
        <f>IFERROR(__xludf.DUMMYFUNCTION("SUM(QUERY(Entregas_BD!D:AL,""select AK where D='""&amp;D121&amp;""'"",1))"),0.0)</f>
        <v>0</v>
      </c>
      <c r="Z121" s="19">
        <v>0.0</v>
      </c>
      <c r="AA121" s="19">
        <v>0.0</v>
      </c>
      <c r="AB121" s="19">
        <v>0.0</v>
      </c>
      <c r="AC121" s="19">
        <v>0.0</v>
      </c>
      <c r="AD121" s="19">
        <v>0.0</v>
      </c>
      <c r="AE121" s="19">
        <v>0.0</v>
      </c>
      <c r="AF121" s="35" t="s">
        <v>395</v>
      </c>
      <c r="AG121" s="24">
        <f>IFERROR(__xludf.DUMMYFUNCTION("SUM(QUERY(Entregas_BD!D:W,""select U where D='""&amp;D121&amp;""'"",1))"),0.0)</f>
        <v>0</v>
      </c>
      <c r="AH121" s="24">
        <f>IFERROR(__xludf.DUMMYFUNCTION("SUM(QUERY(Entregas_BD!D:W,""select S where D='""&amp;D121&amp;""'"",1))"),0.0)</f>
        <v>0</v>
      </c>
      <c r="AI121" s="24">
        <f>IFERROR(__xludf.DUMMYFUNCTION("SUM(QUERY(Entregas_BD!D:W,""select T where D='""&amp;D121&amp;""'"",1))"),0.0)</f>
        <v>0</v>
      </c>
    </row>
    <row r="122" ht="19.5" customHeight="1">
      <c r="A122" s="7"/>
      <c r="B122" s="8"/>
      <c r="C122" s="9">
        <v>121.0</v>
      </c>
      <c r="D122" s="10" t="s">
        <v>396</v>
      </c>
      <c r="E122" s="10" t="s">
        <v>58</v>
      </c>
      <c r="F122" s="10" t="s">
        <v>45</v>
      </c>
      <c r="G122" s="10" t="s">
        <v>59</v>
      </c>
      <c r="H122" s="9" t="s">
        <v>51</v>
      </c>
      <c r="I122" s="11" t="s">
        <v>47</v>
      </c>
      <c r="J122" s="9"/>
      <c r="K122" s="28"/>
      <c r="L122" s="29"/>
      <c r="M122" s="28"/>
      <c r="N122" s="9">
        <f>IFERROR(__xludf.DUMMYFUNCTION("SUM(QUERY(Entregas_BD!D:L,""select G where D='""&amp;D122&amp;""'"",1))"),0.0)</f>
        <v>0</v>
      </c>
      <c r="O122" s="9">
        <f>IFERROR(__xludf.DUMMYFUNCTION("SUM(QUERY(Entregas_BD!D:L,""select H where D='""&amp;D122&amp;""'"",1))"),0.0)</f>
        <v>0</v>
      </c>
      <c r="P122" s="9">
        <f>IFERROR(__xludf.DUMMYFUNCTION("SUM(QUERY(Entregas_BD!D:L,""select I where D='""&amp;D122&amp;""'"",1))"),0.0)</f>
        <v>0</v>
      </c>
      <c r="Q122" s="9">
        <f>IFERROR(__xludf.DUMMYFUNCTION("SUM(QUERY(Entregas_BD!D:L,""select J where D='""&amp;D122&amp;""'"",1))"),0.0)</f>
        <v>0</v>
      </c>
      <c r="R122" s="15">
        <f>IFERROR(__xludf.DUMMYFUNCTION("SUM(QUERY(Entregas_BD!D:L,""select K where D='""&amp;D122&amp;""'"",1))"),0.0)</f>
        <v>0</v>
      </c>
      <c r="S122" s="15">
        <f>IFERROR(__xludf.DUMMYFUNCTION("SUM(QUERY(Entregas_BD!D:L,""select L where D='""&amp;D122&amp;""'"",1))"),0.0)</f>
        <v>0</v>
      </c>
      <c r="T122" s="9">
        <f>IFERROR(__xludf.DUMMYFUNCTION("SUM(QUERY(Entregas_BD!D:AL,""select AG where D='""&amp;D122&amp;""'"",1))"),0.0)</f>
        <v>0</v>
      </c>
      <c r="U122" s="9">
        <f>IFERROR(__xludf.DUMMYFUNCTION("SUM(QUERY(Entregas_BD!D:AL,""select AH where D='""&amp;D122&amp;""'"",1))"),0.0)</f>
        <v>0</v>
      </c>
      <c r="V122" s="9">
        <f>IFERROR(__xludf.DUMMYFUNCTION("SUM(QUERY(Entregas_BD!D:AL,""select AI where D='""&amp;D122&amp;""'"",1))"),0.0)</f>
        <v>0</v>
      </c>
      <c r="W122" s="9">
        <f>IFERROR(__xludf.DUMMYFUNCTION("SUM(QUERY(Entregas_BD!D:AL,""select AJ where D='""&amp;D122&amp;""'"",1))"),0.0)</f>
        <v>0</v>
      </c>
      <c r="X122" s="9">
        <f>IFERROR(__xludf.DUMMYFUNCTION("SUM(QUERY(Entregas_BD!D:AL,""select AL where D='""&amp;D122&amp;""'"",1))"),0.0)</f>
        <v>0</v>
      </c>
      <c r="Y122" s="9">
        <f>IFERROR(__xludf.DUMMYFUNCTION("SUM(QUERY(Entregas_BD!D:AL,""select AK where D='""&amp;D122&amp;""'"",1))"),0.0)</f>
        <v>0</v>
      </c>
      <c r="Z122" s="9">
        <v>0.0</v>
      </c>
      <c r="AA122" s="9">
        <v>0.0</v>
      </c>
      <c r="AB122" s="9">
        <v>0.0</v>
      </c>
      <c r="AC122" s="9">
        <v>0.0</v>
      </c>
      <c r="AD122" s="9">
        <v>0.0</v>
      </c>
      <c r="AE122" s="9">
        <v>0.0</v>
      </c>
      <c r="AF122" s="37" t="s">
        <v>395</v>
      </c>
      <c r="AG122" s="15">
        <f>IFERROR(__xludf.DUMMYFUNCTION("SUM(QUERY(Entregas_BD!D:W,""select U where D='""&amp;D122&amp;""'"",1))"),0.0)</f>
        <v>0</v>
      </c>
      <c r="AH122" s="15">
        <f>IFERROR(__xludf.DUMMYFUNCTION("SUM(QUERY(Entregas_BD!D:W,""select S where D='""&amp;D122&amp;""'"",1))"),0.0)</f>
        <v>0</v>
      </c>
      <c r="AI122" s="15">
        <f>IFERROR(__xludf.DUMMYFUNCTION("SUM(QUERY(Entregas_BD!D:W,""select T where D='""&amp;D122&amp;""'"",1))"),0.0)</f>
        <v>0</v>
      </c>
    </row>
    <row r="123" ht="19.5" customHeight="1">
      <c r="A123" s="31"/>
      <c r="B123" s="32"/>
      <c r="C123" s="19">
        <v>122.0</v>
      </c>
      <c r="D123" s="20" t="s">
        <v>397</v>
      </c>
      <c r="E123" s="20" t="s">
        <v>38</v>
      </c>
      <c r="F123" s="20" t="s">
        <v>328</v>
      </c>
      <c r="G123" s="20" t="s">
        <v>149</v>
      </c>
      <c r="H123" s="19" t="s">
        <v>40</v>
      </c>
      <c r="I123" s="21" t="s">
        <v>47</v>
      </c>
      <c r="J123" s="42"/>
      <c r="K123" s="22"/>
      <c r="L123" s="23"/>
      <c r="M123" s="41"/>
      <c r="N123" s="19">
        <f>IFERROR(__xludf.DUMMYFUNCTION("SUM(QUERY(Entregas_BD!D:L,""select G where D='""&amp;D123&amp;""'"",1))"),0.0)</f>
        <v>0</v>
      </c>
      <c r="O123" s="19">
        <f>IFERROR(__xludf.DUMMYFUNCTION("SUM(QUERY(Entregas_BD!D:L,""select H where D='""&amp;D123&amp;""'"",1))"),0.0)</f>
        <v>0</v>
      </c>
      <c r="P123" s="19">
        <f>IFERROR(__xludf.DUMMYFUNCTION("SUM(QUERY(Entregas_BD!D:L,""select I where D='""&amp;D123&amp;""'"",1))"),0.0)</f>
        <v>0</v>
      </c>
      <c r="Q123" s="19">
        <f>IFERROR(__xludf.DUMMYFUNCTION("SUM(QUERY(Entregas_BD!D:L,""select J where D='""&amp;D123&amp;""'"",1))"),0.0)</f>
        <v>0</v>
      </c>
      <c r="R123" s="24">
        <f>IFERROR(__xludf.DUMMYFUNCTION("SUM(QUERY(Entregas_BD!D:L,""select K where D='""&amp;D123&amp;""'"",1))"),0.0)</f>
        <v>0</v>
      </c>
      <c r="S123" s="24">
        <f>IFERROR(__xludf.DUMMYFUNCTION("SUM(QUERY(Entregas_BD!D:L,""select L where D='""&amp;D123&amp;""'"",1))"),0.0)</f>
        <v>0</v>
      </c>
      <c r="T123" s="19">
        <f>IFERROR(__xludf.DUMMYFUNCTION("SUM(QUERY(Entregas_BD!D:AL,""select AG where D='""&amp;D123&amp;""'"",1))"),0.0)</f>
        <v>0</v>
      </c>
      <c r="U123" s="19">
        <f>IFERROR(__xludf.DUMMYFUNCTION("SUM(QUERY(Entregas_BD!D:AL,""select AH where D='""&amp;D123&amp;""'"",1))"),0.0)</f>
        <v>0</v>
      </c>
      <c r="V123" s="19">
        <f>IFERROR(__xludf.DUMMYFUNCTION("SUM(QUERY(Entregas_BD!D:AL,""select AI where D='""&amp;D123&amp;""'"",1))"),0.0)</f>
        <v>0</v>
      </c>
      <c r="W123" s="19">
        <f>IFERROR(__xludf.DUMMYFUNCTION("SUM(QUERY(Entregas_BD!D:AL,""select AJ where D='""&amp;D123&amp;""'"",1))"),0.0)</f>
        <v>0</v>
      </c>
      <c r="X123" s="19">
        <f>IFERROR(__xludf.DUMMYFUNCTION("SUM(QUERY(Entregas_BD!D:AL,""select AL where D='""&amp;D123&amp;""'"",1))"),0.0)</f>
        <v>0</v>
      </c>
      <c r="Y123" s="19">
        <f>IFERROR(__xludf.DUMMYFUNCTION("SUM(QUERY(Entregas_BD!D:AL,""select AK where D='""&amp;D123&amp;""'"",1))"),0.0)</f>
        <v>0</v>
      </c>
      <c r="Z123" s="19">
        <v>0.0</v>
      </c>
      <c r="AA123" s="19">
        <v>0.0</v>
      </c>
      <c r="AB123" s="19">
        <v>0.0</v>
      </c>
      <c r="AC123" s="19">
        <v>0.0</v>
      </c>
      <c r="AD123" s="19">
        <v>0.0</v>
      </c>
      <c r="AE123" s="19">
        <v>0.0</v>
      </c>
      <c r="AF123" s="35" t="s">
        <v>398</v>
      </c>
      <c r="AG123" s="24">
        <f>IFERROR(__xludf.DUMMYFUNCTION("SUM(QUERY(Entregas_BD!D:W,""select U where D='""&amp;D123&amp;""'"",1))"),0.0)</f>
        <v>0</v>
      </c>
      <c r="AH123" s="24">
        <f>IFERROR(__xludf.DUMMYFUNCTION("SUM(QUERY(Entregas_BD!D:W,""select S where D='""&amp;D123&amp;""'"",1))"),0.0)</f>
        <v>0</v>
      </c>
      <c r="AI123" s="24">
        <f>IFERROR(__xludf.DUMMYFUNCTION("SUM(QUERY(Entregas_BD!D:W,""select T where D='""&amp;D123&amp;""'"",1))"),0.0)</f>
        <v>0</v>
      </c>
    </row>
    <row r="124" ht="19.5" customHeight="1">
      <c r="A124" s="26"/>
      <c r="B124" s="27"/>
      <c r="C124" s="9">
        <v>123.0</v>
      </c>
      <c r="D124" s="10" t="s">
        <v>399</v>
      </c>
      <c r="E124" s="10" t="s">
        <v>44</v>
      </c>
      <c r="F124" s="10" t="s">
        <v>45</v>
      </c>
      <c r="G124" s="10" t="s">
        <v>46</v>
      </c>
      <c r="H124" s="9" t="s">
        <v>40</v>
      </c>
      <c r="I124" s="11" t="s">
        <v>47</v>
      </c>
      <c r="J124" s="9"/>
      <c r="K124" s="28"/>
      <c r="L124" s="29"/>
      <c r="M124" s="28"/>
      <c r="N124" s="9">
        <f>IFERROR(__xludf.DUMMYFUNCTION("SUM(QUERY(Entregas_BD!D:L,""select G where D='""&amp;D124&amp;""'"",1))"),0.0)</f>
        <v>0</v>
      </c>
      <c r="O124" s="9">
        <f>IFERROR(__xludf.DUMMYFUNCTION("SUM(QUERY(Entregas_BD!D:L,""select H where D='""&amp;D124&amp;""'"",1))"),0.0)</f>
        <v>0</v>
      </c>
      <c r="P124" s="9">
        <f>IFERROR(__xludf.DUMMYFUNCTION("SUM(QUERY(Entregas_BD!D:L,""select I where D='""&amp;D124&amp;""'"",1))"),0.0)</f>
        <v>0</v>
      </c>
      <c r="Q124" s="9">
        <f>IFERROR(__xludf.DUMMYFUNCTION("SUM(QUERY(Entregas_BD!D:L,""select J where D='""&amp;D124&amp;""'"",1))"),0.0)</f>
        <v>0</v>
      </c>
      <c r="R124" s="15">
        <f>IFERROR(__xludf.DUMMYFUNCTION("SUM(QUERY(Entregas_BD!D:L,""select K where D='""&amp;D124&amp;""'"",1))"),0.0)</f>
        <v>0</v>
      </c>
      <c r="S124" s="15">
        <f>IFERROR(__xludf.DUMMYFUNCTION("SUM(QUERY(Entregas_BD!D:L,""select L where D='""&amp;D124&amp;""'"",1))"),0.0)</f>
        <v>0</v>
      </c>
      <c r="T124" s="9">
        <f>IFERROR(__xludf.DUMMYFUNCTION("SUM(QUERY(Entregas_BD!D:AL,""select AG where D='""&amp;D124&amp;""'"",1))"),0.0)</f>
        <v>0</v>
      </c>
      <c r="U124" s="9">
        <f>IFERROR(__xludf.DUMMYFUNCTION("SUM(QUERY(Entregas_BD!D:AL,""select AH where D='""&amp;D124&amp;""'"",1))"),0.0)</f>
        <v>0</v>
      </c>
      <c r="V124" s="9">
        <f>IFERROR(__xludf.DUMMYFUNCTION("SUM(QUERY(Entregas_BD!D:AL,""select AI where D='""&amp;D124&amp;""'"",1))"),0.0)</f>
        <v>0</v>
      </c>
      <c r="W124" s="9">
        <f>IFERROR(__xludf.DUMMYFUNCTION("SUM(QUERY(Entregas_BD!D:AL,""select AJ where D='""&amp;D124&amp;""'"",1))"),0.0)</f>
        <v>0</v>
      </c>
      <c r="X124" s="9">
        <f>IFERROR(__xludf.DUMMYFUNCTION("SUM(QUERY(Entregas_BD!D:AL,""select AL where D='""&amp;D124&amp;""'"",1))"),0.0)</f>
        <v>0</v>
      </c>
      <c r="Y124" s="9">
        <f>IFERROR(__xludf.DUMMYFUNCTION("SUM(QUERY(Entregas_BD!D:AL,""select AK where D='""&amp;D124&amp;""'"",1))"),0.0)</f>
        <v>0</v>
      </c>
      <c r="Z124" s="9">
        <v>0.0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37" t="s">
        <v>400</v>
      </c>
      <c r="AG124" s="15">
        <f>IFERROR(__xludf.DUMMYFUNCTION("SUM(QUERY(Entregas_BD!D:W,""select U where D='""&amp;D124&amp;""'"",1))"),0.0)</f>
        <v>0</v>
      </c>
      <c r="AH124" s="15">
        <f>IFERROR(__xludf.DUMMYFUNCTION("SUM(QUERY(Entregas_BD!D:W,""select S where D='""&amp;D124&amp;""'"",1))"),0.0)</f>
        <v>0</v>
      </c>
      <c r="AI124" s="15">
        <f>IFERROR(__xludf.DUMMYFUNCTION("SUM(QUERY(Entregas_BD!D:W,""select T where D='""&amp;D124&amp;""'"",1))"),0.0)</f>
        <v>0</v>
      </c>
    </row>
    <row r="125" ht="19.5" customHeight="1">
      <c r="A125" s="31"/>
      <c r="B125" s="32"/>
      <c r="C125" s="19">
        <v>124.0</v>
      </c>
      <c r="D125" s="20" t="s">
        <v>401</v>
      </c>
      <c r="E125" s="20" t="s">
        <v>153</v>
      </c>
      <c r="F125" s="20" t="s">
        <v>332</v>
      </c>
      <c r="G125" s="20" t="s">
        <v>402</v>
      </c>
      <c r="H125" s="34" t="s">
        <v>40</v>
      </c>
      <c r="I125" s="21" t="s">
        <v>41</v>
      </c>
      <c r="J125" s="34"/>
      <c r="K125" s="22"/>
      <c r="L125" s="23"/>
      <c r="M125" s="41"/>
      <c r="N125" s="19">
        <f>IFERROR(__xludf.DUMMYFUNCTION("SUM(QUERY(Entregas_BD!D:L,""select G where D='""&amp;D125&amp;""'"",1))"),0.0)</f>
        <v>0</v>
      </c>
      <c r="O125" s="19">
        <f>IFERROR(__xludf.DUMMYFUNCTION("SUM(QUERY(Entregas_BD!D:L,""select H where D='""&amp;D125&amp;""'"",1))"),0.0)</f>
        <v>0</v>
      </c>
      <c r="P125" s="19">
        <f>IFERROR(__xludf.DUMMYFUNCTION("SUM(QUERY(Entregas_BD!D:L,""select I where D='""&amp;D125&amp;""'"",1))"),0.0)</f>
        <v>0</v>
      </c>
      <c r="Q125" s="19">
        <f>IFERROR(__xludf.DUMMYFUNCTION("SUM(QUERY(Entregas_BD!D:L,""select J where D='""&amp;D125&amp;""'"",1))"),0.0)</f>
        <v>0</v>
      </c>
      <c r="R125" s="24">
        <f>IFERROR(__xludf.DUMMYFUNCTION("SUM(QUERY(Entregas_BD!D:L,""select K where D='""&amp;D125&amp;""'"",1))"),0.0)</f>
        <v>0</v>
      </c>
      <c r="S125" s="24">
        <f>IFERROR(__xludf.DUMMYFUNCTION("SUM(QUERY(Entregas_BD!D:L,""select L where D='""&amp;D125&amp;""'"",1))"),0.0)</f>
        <v>0</v>
      </c>
      <c r="T125" s="19">
        <f>IFERROR(__xludf.DUMMYFUNCTION("SUM(QUERY(Entregas_BD!D:AL,""select AG where D='""&amp;D125&amp;""'"",1))"),0.0)</f>
        <v>0</v>
      </c>
      <c r="U125" s="19">
        <f>IFERROR(__xludf.DUMMYFUNCTION("SUM(QUERY(Entregas_BD!D:AL,""select AH where D='""&amp;D125&amp;""'"",1))"),0.0)</f>
        <v>0</v>
      </c>
      <c r="V125" s="19">
        <f>IFERROR(__xludf.DUMMYFUNCTION("SUM(QUERY(Entregas_BD!D:AL,""select AI where D='""&amp;D125&amp;""'"",1))"),0.0)</f>
        <v>0</v>
      </c>
      <c r="W125" s="19">
        <f>IFERROR(__xludf.DUMMYFUNCTION("SUM(QUERY(Entregas_BD!D:AL,""select AJ where D='""&amp;D125&amp;""'"",1))"),0.0)</f>
        <v>0</v>
      </c>
      <c r="X125" s="19">
        <f>IFERROR(__xludf.DUMMYFUNCTION("SUM(QUERY(Entregas_BD!D:AL,""select AL where D='""&amp;D125&amp;""'"",1))"),0.0)</f>
        <v>0</v>
      </c>
      <c r="Y125" s="19">
        <f>IFERROR(__xludf.DUMMYFUNCTION("SUM(QUERY(Entregas_BD!D:AL,""select AK where D='""&amp;D125&amp;""'"",1))"),0.0)</f>
        <v>0</v>
      </c>
      <c r="Z125" s="19">
        <v>0.0</v>
      </c>
      <c r="AA125" s="19">
        <v>0.0</v>
      </c>
      <c r="AB125" s="19">
        <v>0.0</v>
      </c>
      <c r="AC125" s="19">
        <v>0.0</v>
      </c>
      <c r="AD125" s="19">
        <v>0.0</v>
      </c>
      <c r="AE125" s="19">
        <v>0.0</v>
      </c>
      <c r="AF125" s="35" t="s">
        <v>403</v>
      </c>
      <c r="AG125" s="24">
        <f>IFERROR(__xludf.DUMMYFUNCTION("SUM(QUERY(Entregas_BD!D:W,""select U where D='""&amp;D125&amp;""'"",1))"),0.0)</f>
        <v>0</v>
      </c>
      <c r="AH125" s="24">
        <f>IFERROR(__xludf.DUMMYFUNCTION("SUM(QUERY(Entregas_BD!D:W,""select S where D='""&amp;D125&amp;""'"",1))"),0.0)</f>
        <v>0</v>
      </c>
      <c r="AI125" s="24">
        <f>IFERROR(__xludf.DUMMYFUNCTION("SUM(QUERY(Entregas_BD!D:W,""select T where D='""&amp;D125&amp;""'"",1))"),0.0)</f>
        <v>0</v>
      </c>
    </row>
    <row r="126" ht="19.5" customHeight="1">
      <c r="A126" s="7"/>
      <c r="B126" s="8"/>
      <c r="C126" s="9">
        <v>125.0</v>
      </c>
      <c r="D126" s="10" t="s">
        <v>404</v>
      </c>
      <c r="E126" s="10" t="s">
        <v>58</v>
      </c>
      <c r="F126" s="10" t="s">
        <v>45</v>
      </c>
      <c r="G126" s="10" t="s">
        <v>59</v>
      </c>
      <c r="H126" s="9" t="s">
        <v>51</v>
      </c>
      <c r="I126" s="11" t="s">
        <v>47</v>
      </c>
      <c r="J126" s="9"/>
      <c r="K126" s="28"/>
      <c r="L126" s="29"/>
      <c r="M126" s="28"/>
      <c r="N126" s="9">
        <f>IFERROR(__xludf.DUMMYFUNCTION("SUM(QUERY(Entregas_BD!D:L,""select G where D='""&amp;D126&amp;""'"",1))"),0.0)</f>
        <v>0</v>
      </c>
      <c r="O126" s="9">
        <f>IFERROR(__xludf.DUMMYFUNCTION("SUM(QUERY(Entregas_BD!D:L,""select H where D='""&amp;D126&amp;""'"",1))"),0.0)</f>
        <v>0</v>
      </c>
      <c r="P126" s="9">
        <f>IFERROR(__xludf.DUMMYFUNCTION("SUM(QUERY(Entregas_BD!D:L,""select I where D='""&amp;D126&amp;""'"",1))"),0.0)</f>
        <v>0</v>
      </c>
      <c r="Q126" s="9">
        <f>IFERROR(__xludf.DUMMYFUNCTION("SUM(QUERY(Entregas_BD!D:L,""select J where D='""&amp;D126&amp;""'"",1))"),0.0)</f>
        <v>0</v>
      </c>
      <c r="R126" s="15">
        <f>IFERROR(__xludf.DUMMYFUNCTION("SUM(QUERY(Entregas_BD!D:L,""select K where D='""&amp;D126&amp;""'"",1))"),0.0)</f>
        <v>0</v>
      </c>
      <c r="S126" s="15">
        <f>IFERROR(__xludf.DUMMYFUNCTION("SUM(QUERY(Entregas_BD!D:L,""select L where D='""&amp;D126&amp;""'"",1))"),0.0)</f>
        <v>0</v>
      </c>
      <c r="T126" s="9">
        <f>IFERROR(__xludf.DUMMYFUNCTION("SUM(QUERY(Entregas_BD!D:AL,""select AG where D='""&amp;D126&amp;""'"",1))"),0.0)</f>
        <v>0</v>
      </c>
      <c r="U126" s="9">
        <f>IFERROR(__xludf.DUMMYFUNCTION("SUM(QUERY(Entregas_BD!D:AL,""select AH where D='""&amp;D126&amp;""'"",1))"),0.0)</f>
        <v>0</v>
      </c>
      <c r="V126" s="9">
        <f>IFERROR(__xludf.DUMMYFUNCTION("SUM(QUERY(Entregas_BD!D:AL,""select AI where D='""&amp;D126&amp;""'"",1))"),0.0)</f>
        <v>0</v>
      </c>
      <c r="W126" s="9">
        <f>IFERROR(__xludf.DUMMYFUNCTION("SUM(QUERY(Entregas_BD!D:AL,""select AJ where D='""&amp;D126&amp;""'"",1))"),0.0)</f>
        <v>0</v>
      </c>
      <c r="X126" s="9">
        <f>IFERROR(__xludf.DUMMYFUNCTION("SUM(QUERY(Entregas_BD!D:AL,""select AL where D='""&amp;D126&amp;""'"",1))"),0.0)</f>
        <v>0</v>
      </c>
      <c r="Y126" s="9">
        <f>IFERROR(__xludf.DUMMYFUNCTION("SUM(QUERY(Entregas_BD!D:AL,""select AK where D='""&amp;D126&amp;""'"",1))"),0.0)</f>
        <v>0</v>
      </c>
      <c r="Z126" s="9">
        <v>0.0</v>
      </c>
      <c r="AA126" s="9">
        <v>0.0</v>
      </c>
      <c r="AB126" s="9">
        <v>0.0</v>
      </c>
      <c r="AC126" s="9">
        <v>0.0</v>
      </c>
      <c r="AD126" s="9">
        <v>0.0</v>
      </c>
      <c r="AE126" s="9">
        <v>0.0</v>
      </c>
      <c r="AF126" s="30" t="s">
        <v>405</v>
      </c>
      <c r="AG126" s="15">
        <f>IFERROR(__xludf.DUMMYFUNCTION("SUM(QUERY(Entregas_BD!D:W,""select U where D='""&amp;D126&amp;""'"",1))"),0.0)</f>
        <v>0</v>
      </c>
      <c r="AH126" s="15">
        <f>IFERROR(__xludf.DUMMYFUNCTION("SUM(QUERY(Entregas_BD!D:W,""select S where D='""&amp;D126&amp;""'"",1))"),0.0)</f>
        <v>0</v>
      </c>
      <c r="AI126" s="15">
        <f>IFERROR(__xludf.DUMMYFUNCTION("SUM(QUERY(Entregas_BD!D:W,""select T where D='""&amp;D126&amp;""'"",1))"),0.0)</f>
        <v>0</v>
      </c>
    </row>
    <row r="127" ht="19.5" customHeight="1">
      <c r="A127" s="31"/>
      <c r="B127" s="32"/>
      <c r="C127" s="19">
        <v>126.0</v>
      </c>
      <c r="D127" s="20" t="s">
        <v>406</v>
      </c>
      <c r="E127" s="20" t="s">
        <v>58</v>
      </c>
      <c r="F127" s="20" t="s">
        <v>45</v>
      </c>
      <c r="G127" s="20" t="s">
        <v>407</v>
      </c>
      <c r="H127" s="19" t="s">
        <v>51</v>
      </c>
      <c r="I127" s="21" t="s">
        <v>47</v>
      </c>
      <c r="J127" s="19"/>
      <c r="K127" s="22"/>
      <c r="L127" s="23"/>
      <c r="M127" s="22"/>
      <c r="N127" s="19">
        <f>IFERROR(__xludf.DUMMYFUNCTION("SUM(QUERY(Entregas_BD!D:L,""select G where D='""&amp;D127&amp;""'"",1))"),0.0)</f>
        <v>0</v>
      </c>
      <c r="O127" s="19">
        <f>IFERROR(__xludf.DUMMYFUNCTION("SUM(QUERY(Entregas_BD!D:L,""select H where D='""&amp;D127&amp;""'"",1))"),0.0)</f>
        <v>0</v>
      </c>
      <c r="P127" s="19">
        <f>IFERROR(__xludf.DUMMYFUNCTION("SUM(QUERY(Entregas_BD!D:L,""select I where D='""&amp;D127&amp;""'"",1))"),0.0)</f>
        <v>0</v>
      </c>
      <c r="Q127" s="19">
        <f>IFERROR(__xludf.DUMMYFUNCTION("SUM(QUERY(Entregas_BD!D:L,""select J where D='""&amp;D127&amp;""'"",1))"),0.0)</f>
        <v>0</v>
      </c>
      <c r="R127" s="24">
        <f>IFERROR(__xludf.DUMMYFUNCTION("SUM(QUERY(Entregas_BD!D:L,""select K where D='""&amp;D127&amp;""'"",1))"),0.0)</f>
        <v>0</v>
      </c>
      <c r="S127" s="24">
        <f>IFERROR(__xludf.DUMMYFUNCTION("SUM(QUERY(Entregas_BD!D:L,""select L where D='""&amp;D127&amp;""'"",1))"),0.0)</f>
        <v>0</v>
      </c>
      <c r="T127" s="19">
        <f>IFERROR(__xludf.DUMMYFUNCTION("SUM(QUERY(Entregas_BD!D:AL,""select AG where D='""&amp;D127&amp;""'"",1))"),0.0)</f>
        <v>0</v>
      </c>
      <c r="U127" s="19">
        <f>IFERROR(__xludf.DUMMYFUNCTION("SUM(QUERY(Entregas_BD!D:AL,""select AH where D='""&amp;D127&amp;""'"",1))"),0.0)</f>
        <v>0</v>
      </c>
      <c r="V127" s="19">
        <f>IFERROR(__xludf.DUMMYFUNCTION("SUM(QUERY(Entregas_BD!D:AL,""select AI where D='""&amp;D127&amp;""'"",1))"),0.0)</f>
        <v>0</v>
      </c>
      <c r="W127" s="19">
        <f>IFERROR(__xludf.DUMMYFUNCTION("SUM(QUERY(Entregas_BD!D:AL,""select AJ where D='""&amp;D127&amp;""'"",1))"),0.0)</f>
        <v>0</v>
      </c>
      <c r="X127" s="19">
        <f>IFERROR(__xludf.DUMMYFUNCTION("SUM(QUERY(Entregas_BD!D:AL,""select AL where D='""&amp;D127&amp;""'"",1))"),0.0)</f>
        <v>0</v>
      </c>
      <c r="Y127" s="19">
        <f>IFERROR(__xludf.DUMMYFUNCTION("SUM(QUERY(Entregas_BD!D:AL,""select AK where D='""&amp;D127&amp;""'"",1))"),0.0)</f>
        <v>0</v>
      </c>
      <c r="Z127" s="19">
        <v>0.0</v>
      </c>
      <c r="AA127" s="19">
        <v>0.0</v>
      </c>
      <c r="AB127" s="19">
        <v>0.0</v>
      </c>
      <c r="AC127" s="19">
        <v>0.0</v>
      </c>
      <c r="AD127" s="19">
        <v>0.0</v>
      </c>
      <c r="AE127" s="19">
        <v>0.0</v>
      </c>
      <c r="AF127" s="35" t="s">
        <v>408</v>
      </c>
      <c r="AG127" s="24">
        <f>IFERROR(__xludf.DUMMYFUNCTION("SUM(QUERY(Entregas_BD!D:W,""select U where D='""&amp;D127&amp;""'"",1))"),0.0)</f>
        <v>0</v>
      </c>
      <c r="AH127" s="24">
        <f>IFERROR(__xludf.DUMMYFUNCTION("SUM(QUERY(Entregas_BD!D:W,""select S where D='""&amp;D127&amp;""'"",1))"),0.0)</f>
        <v>0</v>
      </c>
      <c r="AI127" s="24">
        <f>IFERROR(__xludf.DUMMYFUNCTION("SUM(QUERY(Entregas_BD!D:W,""select T where D='""&amp;D127&amp;""'"",1))"),0.0)</f>
        <v>0</v>
      </c>
    </row>
    <row r="128" ht="19.5" customHeight="1">
      <c r="A128" s="7"/>
      <c r="B128" s="8"/>
      <c r="C128" s="9">
        <v>127.0</v>
      </c>
      <c r="D128" s="10" t="s">
        <v>409</v>
      </c>
      <c r="E128" s="10" t="s">
        <v>58</v>
      </c>
      <c r="F128" s="10" t="s">
        <v>45</v>
      </c>
      <c r="G128" s="10" t="s">
        <v>59</v>
      </c>
      <c r="H128" s="9" t="s">
        <v>51</v>
      </c>
      <c r="I128" s="11" t="s">
        <v>47</v>
      </c>
      <c r="J128" s="9"/>
      <c r="K128" s="28"/>
      <c r="L128" s="29"/>
      <c r="M128" s="28"/>
      <c r="N128" s="9">
        <f>IFERROR(__xludf.DUMMYFUNCTION("SUM(QUERY(Entregas_BD!D:L,""select G where D='""&amp;D128&amp;""'"",1))"),0.0)</f>
        <v>0</v>
      </c>
      <c r="O128" s="9">
        <f>IFERROR(__xludf.DUMMYFUNCTION("SUM(QUERY(Entregas_BD!D:L,""select H where D='""&amp;D128&amp;""'"",1))"),0.0)</f>
        <v>0</v>
      </c>
      <c r="P128" s="9">
        <f>IFERROR(__xludf.DUMMYFUNCTION("SUM(QUERY(Entregas_BD!D:L,""select I where D='""&amp;D128&amp;""'"",1))"),0.0)</f>
        <v>0</v>
      </c>
      <c r="Q128" s="9">
        <f>IFERROR(__xludf.DUMMYFUNCTION("SUM(QUERY(Entregas_BD!D:L,""select J where D='""&amp;D128&amp;""'"",1))"),0.0)</f>
        <v>0</v>
      </c>
      <c r="R128" s="15">
        <f>IFERROR(__xludf.DUMMYFUNCTION("SUM(QUERY(Entregas_BD!D:L,""select K where D='""&amp;D128&amp;""'"",1))"),0.0)</f>
        <v>0</v>
      </c>
      <c r="S128" s="15">
        <f>IFERROR(__xludf.DUMMYFUNCTION("SUM(QUERY(Entregas_BD!D:L,""select L where D='""&amp;D128&amp;""'"",1))"),0.0)</f>
        <v>0</v>
      </c>
      <c r="T128" s="9">
        <f>IFERROR(__xludf.DUMMYFUNCTION("SUM(QUERY(Entregas_BD!D:AL,""select AG where D='""&amp;D128&amp;""'"",1))"),0.0)</f>
        <v>0</v>
      </c>
      <c r="U128" s="9">
        <f>IFERROR(__xludf.DUMMYFUNCTION("SUM(QUERY(Entregas_BD!D:AL,""select AH where D='""&amp;D128&amp;""'"",1))"),0.0)</f>
        <v>0</v>
      </c>
      <c r="V128" s="9">
        <f>IFERROR(__xludf.DUMMYFUNCTION("SUM(QUERY(Entregas_BD!D:AL,""select AI where D='""&amp;D128&amp;""'"",1))"),0.0)</f>
        <v>0</v>
      </c>
      <c r="W128" s="9">
        <f>IFERROR(__xludf.DUMMYFUNCTION("SUM(QUERY(Entregas_BD!D:AL,""select AJ where D='""&amp;D128&amp;""'"",1))"),0.0)</f>
        <v>0</v>
      </c>
      <c r="X128" s="9">
        <f>IFERROR(__xludf.DUMMYFUNCTION("SUM(QUERY(Entregas_BD!D:AL,""select AL where D='""&amp;D128&amp;""'"",1))"),0.0)</f>
        <v>0</v>
      </c>
      <c r="Y128" s="9">
        <f>IFERROR(__xludf.DUMMYFUNCTION("SUM(QUERY(Entregas_BD!D:AL,""select AK where D='""&amp;D128&amp;""'"",1))"),0.0)</f>
        <v>0</v>
      </c>
      <c r="Z128" s="9">
        <v>0.0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37" t="s">
        <v>410</v>
      </c>
      <c r="AG128" s="15">
        <f>IFERROR(__xludf.DUMMYFUNCTION("SUM(QUERY(Entregas_BD!D:W,""select U where D='""&amp;D128&amp;""'"",1))"),0.0)</f>
        <v>0</v>
      </c>
      <c r="AH128" s="15">
        <f>IFERROR(__xludf.DUMMYFUNCTION("SUM(QUERY(Entregas_BD!D:W,""select S where D='""&amp;D128&amp;""'"",1))"),0.0)</f>
        <v>0</v>
      </c>
      <c r="AI128" s="15">
        <f>IFERROR(__xludf.DUMMYFUNCTION("SUM(QUERY(Entregas_BD!D:W,""select T where D='""&amp;D128&amp;""'"",1))"),0.0)</f>
        <v>0</v>
      </c>
    </row>
    <row r="129" ht="19.5" customHeight="1">
      <c r="A129" s="17"/>
      <c r="B129" s="18"/>
      <c r="C129" s="19">
        <v>128.0</v>
      </c>
      <c r="D129" s="20" t="s">
        <v>411</v>
      </c>
      <c r="E129" s="20" t="s">
        <v>44</v>
      </c>
      <c r="F129" s="20" t="s">
        <v>45</v>
      </c>
      <c r="G129" s="20" t="s">
        <v>177</v>
      </c>
      <c r="H129" s="19" t="s">
        <v>40</v>
      </c>
      <c r="I129" s="21" t="s">
        <v>47</v>
      </c>
      <c r="J129" s="19"/>
      <c r="K129" s="22"/>
      <c r="L129" s="23"/>
      <c r="M129" s="22"/>
      <c r="N129" s="19">
        <f>IFERROR(__xludf.DUMMYFUNCTION("SUM(QUERY(Entregas_BD!D:L,""select G where D='""&amp;D129&amp;""'"",1))"),0.0)</f>
        <v>0</v>
      </c>
      <c r="O129" s="19">
        <f>IFERROR(__xludf.DUMMYFUNCTION("SUM(QUERY(Entregas_BD!D:L,""select H where D='""&amp;D129&amp;""'"",1))"),0.0)</f>
        <v>0</v>
      </c>
      <c r="P129" s="19">
        <f>IFERROR(__xludf.DUMMYFUNCTION("SUM(QUERY(Entregas_BD!D:L,""select I where D='""&amp;D129&amp;""'"",1))"),0.0)</f>
        <v>0</v>
      </c>
      <c r="Q129" s="19">
        <f>IFERROR(__xludf.DUMMYFUNCTION("SUM(QUERY(Entregas_BD!D:L,""select J where D='""&amp;D129&amp;""'"",1))"),0.0)</f>
        <v>0</v>
      </c>
      <c r="R129" s="24">
        <f>IFERROR(__xludf.DUMMYFUNCTION("SUM(QUERY(Entregas_BD!D:L,""select K where D='""&amp;D129&amp;""'"",1))"),0.0)</f>
        <v>0</v>
      </c>
      <c r="S129" s="24">
        <f>IFERROR(__xludf.DUMMYFUNCTION("SUM(QUERY(Entregas_BD!D:L,""select L where D='""&amp;D129&amp;""'"",1))"),0.0)</f>
        <v>0</v>
      </c>
      <c r="T129" s="19">
        <f>IFERROR(__xludf.DUMMYFUNCTION("SUM(QUERY(Entregas_BD!D:AL,""select AG where D='""&amp;D129&amp;""'"",1))"),0.0)</f>
        <v>0</v>
      </c>
      <c r="U129" s="19">
        <f>IFERROR(__xludf.DUMMYFUNCTION("SUM(QUERY(Entregas_BD!D:AL,""select AH where D='""&amp;D129&amp;""'"",1))"),0.0)</f>
        <v>0</v>
      </c>
      <c r="V129" s="19">
        <f>IFERROR(__xludf.DUMMYFUNCTION("SUM(QUERY(Entregas_BD!D:AL,""select AI where D='""&amp;D129&amp;""'"",1))"),0.0)</f>
        <v>0</v>
      </c>
      <c r="W129" s="19">
        <f>IFERROR(__xludf.DUMMYFUNCTION("SUM(QUERY(Entregas_BD!D:AL,""select AJ where D='""&amp;D129&amp;""'"",1))"),0.0)</f>
        <v>0</v>
      </c>
      <c r="X129" s="19">
        <f>IFERROR(__xludf.DUMMYFUNCTION("SUM(QUERY(Entregas_BD!D:AL,""select AL where D='""&amp;D129&amp;""'"",1))"),0.0)</f>
        <v>0</v>
      </c>
      <c r="Y129" s="19">
        <f>IFERROR(__xludf.DUMMYFUNCTION("SUM(QUERY(Entregas_BD!D:AL,""select AK where D='""&amp;D129&amp;""'"",1))"),0.0)</f>
        <v>0</v>
      </c>
      <c r="Z129" s="19">
        <v>0.0</v>
      </c>
      <c r="AA129" s="19">
        <v>0.0</v>
      </c>
      <c r="AB129" s="19">
        <v>0.0</v>
      </c>
      <c r="AC129" s="19">
        <v>0.0</v>
      </c>
      <c r="AD129" s="19">
        <v>0.0</v>
      </c>
      <c r="AE129" s="19">
        <v>0.0</v>
      </c>
      <c r="AF129" s="35" t="s">
        <v>412</v>
      </c>
      <c r="AG129" s="24">
        <f>IFERROR(__xludf.DUMMYFUNCTION("SUM(QUERY(Entregas_BD!D:W,""select U where D='""&amp;D129&amp;""'"",1))"),0.0)</f>
        <v>0</v>
      </c>
      <c r="AH129" s="24">
        <f>IFERROR(__xludf.DUMMYFUNCTION("SUM(QUERY(Entregas_BD!D:W,""select S where D='""&amp;D129&amp;""'"",1))"),0.0)</f>
        <v>0</v>
      </c>
      <c r="AI129" s="24">
        <f>IFERROR(__xludf.DUMMYFUNCTION("SUM(QUERY(Entregas_BD!D:W,""select T where D='""&amp;D129&amp;""'"",1))"),0.0)</f>
        <v>0</v>
      </c>
    </row>
    <row r="130" ht="19.5" customHeight="1">
      <c r="A130" s="7"/>
      <c r="B130" s="8"/>
      <c r="C130" s="9">
        <v>129.0</v>
      </c>
      <c r="D130" s="10" t="s">
        <v>413</v>
      </c>
      <c r="E130" s="10" t="s">
        <v>324</v>
      </c>
      <c r="F130" s="10" t="s">
        <v>414</v>
      </c>
      <c r="G130" s="10" t="s">
        <v>415</v>
      </c>
      <c r="H130" s="9" t="s">
        <v>40</v>
      </c>
      <c r="I130" s="11" t="s">
        <v>47</v>
      </c>
      <c r="J130" s="12"/>
      <c r="K130" s="28"/>
      <c r="L130" s="29"/>
      <c r="M130" s="36"/>
      <c r="N130" s="9">
        <f>IFERROR(__xludf.DUMMYFUNCTION("SUM(QUERY(Entregas_BD!D:L,""select G where D='""&amp;D130&amp;""'"",1))"),0.0)</f>
        <v>0</v>
      </c>
      <c r="O130" s="9">
        <f>IFERROR(__xludf.DUMMYFUNCTION("SUM(QUERY(Entregas_BD!D:L,""select H where D='""&amp;D130&amp;""'"",1))"),0.0)</f>
        <v>0</v>
      </c>
      <c r="P130" s="9">
        <f>IFERROR(__xludf.DUMMYFUNCTION("SUM(QUERY(Entregas_BD!D:L,""select I where D='""&amp;D130&amp;""'"",1))"),0.0)</f>
        <v>0</v>
      </c>
      <c r="Q130" s="9">
        <f>IFERROR(__xludf.DUMMYFUNCTION("SUM(QUERY(Entregas_BD!D:L,""select J where D='""&amp;D130&amp;""'"",1))"),0.0)</f>
        <v>0</v>
      </c>
      <c r="R130" s="15">
        <f>IFERROR(__xludf.DUMMYFUNCTION("SUM(QUERY(Entregas_BD!D:L,""select K where D='""&amp;D130&amp;""'"",1))"),0.0)</f>
        <v>0</v>
      </c>
      <c r="S130" s="15">
        <f>IFERROR(__xludf.DUMMYFUNCTION("SUM(QUERY(Entregas_BD!D:L,""select L where D='""&amp;D130&amp;""'"",1))"),0.0)</f>
        <v>0</v>
      </c>
      <c r="T130" s="9">
        <f>IFERROR(__xludf.DUMMYFUNCTION("SUM(QUERY(Entregas_BD!D:AL,""select AG where D='""&amp;D130&amp;""'"",1))"),0.0)</f>
        <v>0</v>
      </c>
      <c r="U130" s="9">
        <f>IFERROR(__xludf.DUMMYFUNCTION("SUM(QUERY(Entregas_BD!D:AL,""select AH where D='""&amp;D130&amp;""'"",1))"),0.0)</f>
        <v>0</v>
      </c>
      <c r="V130" s="9">
        <f>IFERROR(__xludf.DUMMYFUNCTION("SUM(QUERY(Entregas_BD!D:AL,""select AI where D='""&amp;D130&amp;""'"",1))"),0.0)</f>
        <v>0</v>
      </c>
      <c r="W130" s="9">
        <f>IFERROR(__xludf.DUMMYFUNCTION("SUM(QUERY(Entregas_BD!D:AL,""select AJ where D='""&amp;D130&amp;""'"",1))"),0.0)</f>
        <v>0</v>
      </c>
      <c r="X130" s="9">
        <f>IFERROR(__xludf.DUMMYFUNCTION("SUM(QUERY(Entregas_BD!D:AL,""select AL where D='""&amp;D130&amp;""'"",1))"),0.0)</f>
        <v>0</v>
      </c>
      <c r="Y130" s="9">
        <f>IFERROR(__xludf.DUMMYFUNCTION("SUM(QUERY(Entregas_BD!D:AL,""select AK where D='""&amp;D130&amp;""'"",1))"),0.0)</f>
        <v>0</v>
      </c>
      <c r="Z130" s="9">
        <v>0.0</v>
      </c>
      <c r="AA130" s="9">
        <v>0.0</v>
      </c>
      <c r="AB130" s="9">
        <v>0.0</v>
      </c>
      <c r="AC130" s="9">
        <v>0.0</v>
      </c>
      <c r="AD130" s="9">
        <v>0.0</v>
      </c>
      <c r="AE130" s="9">
        <v>0.0</v>
      </c>
      <c r="AF130" s="37" t="s">
        <v>416</v>
      </c>
      <c r="AG130" s="15">
        <f>IFERROR(__xludf.DUMMYFUNCTION("SUM(QUERY(Entregas_BD!D:W,""select U where D='""&amp;D130&amp;""'"",1))"),0.0)</f>
        <v>0</v>
      </c>
      <c r="AH130" s="15">
        <f>IFERROR(__xludf.DUMMYFUNCTION("SUM(QUERY(Entregas_BD!D:W,""select S where D='""&amp;D130&amp;""'"",1))"),0.0)</f>
        <v>0</v>
      </c>
      <c r="AI130" s="15">
        <f>IFERROR(__xludf.DUMMYFUNCTION("SUM(QUERY(Entregas_BD!D:W,""select T where D='""&amp;D130&amp;""'"",1))"),0.0)</f>
        <v>0</v>
      </c>
    </row>
    <row r="131" ht="19.5" customHeight="1">
      <c r="A131" s="17"/>
      <c r="B131" s="18"/>
      <c r="C131" s="19">
        <v>130.0</v>
      </c>
      <c r="D131" s="20" t="s">
        <v>417</v>
      </c>
      <c r="E131" s="20" t="s">
        <v>44</v>
      </c>
      <c r="F131" s="20" t="s">
        <v>45</v>
      </c>
      <c r="G131" s="20" t="s">
        <v>418</v>
      </c>
      <c r="H131" s="19" t="s">
        <v>40</v>
      </c>
      <c r="I131" s="21" t="s">
        <v>47</v>
      </c>
      <c r="J131" s="19"/>
      <c r="K131" s="22"/>
      <c r="L131" s="23"/>
      <c r="M131" s="22"/>
      <c r="N131" s="19">
        <f>IFERROR(__xludf.DUMMYFUNCTION("SUM(QUERY(Entregas_BD!D:L,""select G where D='""&amp;D131&amp;""'"",1))"),0.0)</f>
        <v>0</v>
      </c>
      <c r="O131" s="19">
        <f>IFERROR(__xludf.DUMMYFUNCTION("SUM(QUERY(Entregas_BD!D:L,""select H where D='""&amp;D131&amp;""'"",1))"),0.0)</f>
        <v>0</v>
      </c>
      <c r="P131" s="19">
        <f>IFERROR(__xludf.DUMMYFUNCTION("SUM(QUERY(Entregas_BD!D:L,""select I where D='""&amp;D131&amp;""'"",1))"),0.0)</f>
        <v>0</v>
      </c>
      <c r="Q131" s="19">
        <f>IFERROR(__xludf.DUMMYFUNCTION("SUM(QUERY(Entregas_BD!D:L,""select J where D='""&amp;D131&amp;""'"",1))"),0.0)</f>
        <v>0</v>
      </c>
      <c r="R131" s="24">
        <f>IFERROR(__xludf.DUMMYFUNCTION("SUM(QUERY(Entregas_BD!D:L,""select K where D='""&amp;D131&amp;""'"",1))"),0.0)</f>
        <v>0</v>
      </c>
      <c r="S131" s="24">
        <f>IFERROR(__xludf.DUMMYFUNCTION("SUM(QUERY(Entregas_BD!D:L,""select L where D='""&amp;D131&amp;""'"",1))"),0.0)</f>
        <v>0</v>
      </c>
      <c r="T131" s="19">
        <f>IFERROR(__xludf.DUMMYFUNCTION("SUM(QUERY(Entregas_BD!D:AL,""select AG where D='""&amp;D131&amp;""'"",1))"),0.0)</f>
        <v>0</v>
      </c>
      <c r="U131" s="19">
        <f>IFERROR(__xludf.DUMMYFUNCTION("SUM(QUERY(Entregas_BD!D:AL,""select AH where D='""&amp;D131&amp;""'"",1))"),0.0)</f>
        <v>0</v>
      </c>
      <c r="V131" s="19">
        <f>IFERROR(__xludf.DUMMYFUNCTION("SUM(QUERY(Entregas_BD!D:AL,""select AI where D='""&amp;D131&amp;""'"",1))"),0.0)</f>
        <v>0</v>
      </c>
      <c r="W131" s="19">
        <f>IFERROR(__xludf.DUMMYFUNCTION("SUM(QUERY(Entregas_BD!D:AL,""select AJ where D='""&amp;D131&amp;""'"",1))"),0.0)</f>
        <v>0</v>
      </c>
      <c r="X131" s="19">
        <f>IFERROR(__xludf.DUMMYFUNCTION("SUM(QUERY(Entregas_BD!D:AL,""select AL where D='""&amp;D131&amp;""'"",1))"),0.0)</f>
        <v>0</v>
      </c>
      <c r="Y131" s="19">
        <f>IFERROR(__xludf.DUMMYFUNCTION("SUM(QUERY(Entregas_BD!D:AL,""select AK where D='""&amp;D131&amp;""'"",1))"),0.0)</f>
        <v>0</v>
      </c>
      <c r="Z131" s="19">
        <v>0.0</v>
      </c>
      <c r="AA131" s="19">
        <v>0.0</v>
      </c>
      <c r="AB131" s="19">
        <v>0.0</v>
      </c>
      <c r="AC131" s="19">
        <v>0.0</v>
      </c>
      <c r="AD131" s="19">
        <v>0.0</v>
      </c>
      <c r="AE131" s="19">
        <v>0.0</v>
      </c>
      <c r="AF131" s="35" t="s">
        <v>412</v>
      </c>
      <c r="AG131" s="24">
        <f>IFERROR(__xludf.DUMMYFUNCTION("SUM(QUERY(Entregas_BD!D:W,""select U where D='""&amp;D131&amp;""'"",1))"),0.0)</f>
        <v>0</v>
      </c>
      <c r="AH131" s="24">
        <f>IFERROR(__xludf.DUMMYFUNCTION("SUM(QUERY(Entregas_BD!D:W,""select S where D='""&amp;D131&amp;""'"",1))"),0.0)</f>
        <v>0</v>
      </c>
      <c r="AI131" s="24">
        <f>IFERROR(__xludf.DUMMYFUNCTION("SUM(QUERY(Entregas_BD!D:W,""select T where D='""&amp;D131&amp;""'"",1))"),0.0)</f>
        <v>0</v>
      </c>
    </row>
    <row r="132" ht="19.5" customHeight="1">
      <c r="A132" s="7"/>
      <c r="B132" s="8"/>
      <c r="C132" s="9">
        <v>131.0</v>
      </c>
      <c r="D132" s="10" t="s">
        <v>419</v>
      </c>
      <c r="E132" s="10" t="s">
        <v>58</v>
      </c>
      <c r="F132" s="10" t="s">
        <v>45</v>
      </c>
      <c r="G132" s="10" t="s">
        <v>420</v>
      </c>
      <c r="H132" s="9" t="s">
        <v>40</v>
      </c>
      <c r="I132" s="11" t="s">
        <v>41</v>
      </c>
      <c r="J132" s="9"/>
      <c r="K132" s="28"/>
      <c r="L132" s="29"/>
      <c r="M132" s="28"/>
      <c r="N132" s="9">
        <f>IFERROR(__xludf.DUMMYFUNCTION("SUM(QUERY(Entregas_BD!D:L,""select G where D='""&amp;D132&amp;""'"",1))"),0.0)</f>
        <v>0</v>
      </c>
      <c r="O132" s="9">
        <f>IFERROR(__xludf.DUMMYFUNCTION("SUM(QUERY(Entregas_BD!D:L,""select H where D='""&amp;D132&amp;""'"",1))"),0.0)</f>
        <v>0</v>
      </c>
      <c r="P132" s="9">
        <f>IFERROR(__xludf.DUMMYFUNCTION("SUM(QUERY(Entregas_BD!D:L,""select I where D='""&amp;D132&amp;""'"",1))"),0.0)</f>
        <v>0</v>
      </c>
      <c r="Q132" s="9">
        <f>IFERROR(__xludf.DUMMYFUNCTION("SUM(QUERY(Entregas_BD!D:L,""select J where D='""&amp;D132&amp;""'"",1))"),0.0)</f>
        <v>0</v>
      </c>
      <c r="R132" s="15">
        <f>IFERROR(__xludf.DUMMYFUNCTION("SUM(QUERY(Entregas_BD!D:L,""select K where D='""&amp;D132&amp;""'"",1))"),0.0)</f>
        <v>0</v>
      </c>
      <c r="S132" s="15">
        <f>IFERROR(__xludf.DUMMYFUNCTION("SUM(QUERY(Entregas_BD!D:L,""select L where D='""&amp;D132&amp;""'"",1))"),0.0)</f>
        <v>0</v>
      </c>
      <c r="T132" s="9">
        <f>IFERROR(__xludf.DUMMYFUNCTION("SUM(QUERY(Entregas_BD!D:AL,""select AG where D='""&amp;D132&amp;""'"",1))"),100.0)</f>
        <v>100</v>
      </c>
      <c r="U132" s="9">
        <f>IFERROR(__xludf.DUMMYFUNCTION("SUM(QUERY(Entregas_BD!D:AL,""select AH where D='""&amp;D132&amp;""'"",1))"),0.0)</f>
        <v>0</v>
      </c>
      <c r="V132" s="9">
        <f>IFERROR(__xludf.DUMMYFUNCTION("SUM(QUERY(Entregas_BD!D:AL,""select AI where D='""&amp;D132&amp;""'"",1))"),0.0)</f>
        <v>0</v>
      </c>
      <c r="W132" s="9">
        <f>IFERROR(__xludf.DUMMYFUNCTION("SUM(QUERY(Entregas_BD!D:AL,""select AJ where D='""&amp;D132&amp;""'"",1))"),0.0)</f>
        <v>0</v>
      </c>
      <c r="X132" s="9">
        <f>IFERROR(__xludf.DUMMYFUNCTION("SUM(QUERY(Entregas_BD!D:AL,""select AL where D='""&amp;D132&amp;""'"",1))"),0.0)</f>
        <v>0</v>
      </c>
      <c r="Y132" s="9">
        <f>IFERROR(__xludf.DUMMYFUNCTION("SUM(QUERY(Entregas_BD!D:AL,""select AK where D='""&amp;D132&amp;""'"",1))"),0.0)</f>
        <v>0</v>
      </c>
      <c r="Z132" s="9">
        <v>-100.0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30" t="s">
        <v>421</v>
      </c>
      <c r="AG132" s="15">
        <f>IFERROR(__xludf.DUMMYFUNCTION("SUM(QUERY(Entregas_BD!D:W,""select U where D='""&amp;D132&amp;""'"",1))"),0.0)</f>
        <v>0</v>
      </c>
      <c r="AH132" s="15">
        <f>IFERROR(__xludf.DUMMYFUNCTION("SUM(QUERY(Entregas_BD!D:W,""select S where D='""&amp;D132&amp;""'"",1))"),0.0)</f>
        <v>0</v>
      </c>
      <c r="AI132" s="15">
        <f>IFERROR(__xludf.DUMMYFUNCTION("SUM(QUERY(Entregas_BD!D:W,""select T where D='""&amp;D132&amp;""'"",1))"),0.0)</f>
        <v>0</v>
      </c>
    </row>
    <row r="133" ht="19.5" customHeight="1">
      <c r="A133" s="31"/>
      <c r="B133" s="32"/>
      <c r="C133" s="19">
        <v>132.0</v>
      </c>
      <c r="D133" s="46" t="s">
        <v>422</v>
      </c>
      <c r="E133" s="20" t="s">
        <v>58</v>
      </c>
      <c r="F133" s="20" t="s">
        <v>45</v>
      </c>
      <c r="G133" s="20" t="s">
        <v>59</v>
      </c>
      <c r="H133" s="19" t="s">
        <v>40</v>
      </c>
      <c r="I133" s="21" t="s">
        <v>41</v>
      </c>
      <c r="J133" s="19"/>
      <c r="K133" s="22"/>
      <c r="L133" s="23"/>
      <c r="M133" s="22"/>
      <c r="N133" s="19">
        <f>IFERROR(__xludf.DUMMYFUNCTION("SUM(QUERY(Entregas_BD!D:L,""select G where D='""&amp;D133&amp;""'"",1))"),0.0)</f>
        <v>0</v>
      </c>
      <c r="O133" s="19">
        <f>IFERROR(__xludf.DUMMYFUNCTION("SUM(QUERY(Entregas_BD!D:L,""select H where D='""&amp;D133&amp;""'"",1))"),0.0)</f>
        <v>0</v>
      </c>
      <c r="P133" s="19">
        <f>IFERROR(__xludf.DUMMYFUNCTION("SUM(QUERY(Entregas_BD!D:L,""select I where D='""&amp;D133&amp;""'"",1))"),0.0)</f>
        <v>0</v>
      </c>
      <c r="Q133" s="19">
        <f>IFERROR(__xludf.DUMMYFUNCTION("SUM(QUERY(Entregas_BD!D:L,""select J where D='""&amp;D133&amp;""'"",1))"),0.0)</f>
        <v>0</v>
      </c>
      <c r="R133" s="24">
        <f>IFERROR(__xludf.DUMMYFUNCTION("SUM(QUERY(Entregas_BD!D:L,""select K where D='""&amp;D133&amp;""'"",1))"),0.0)</f>
        <v>0</v>
      </c>
      <c r="S133" s="24">
        <f>IFERROR(__xludf.DUMMYFUNCTION("SUM(QUERY(Entregas_BD!D:L,""select L where D='""&amp;D133&amp;""'"",1))"),0.0)</f>
        <v>0</v>
      </c>
      <c r="T133" s="19">
        <f>IFERROR(__xludf.DUMMYFUNCTION("SUM(QUERY(Entregas_BD!D:AL,""select AG where D='""&amp;D133&amp;""'"",1))"),90.0)</f>
        <v>90</v>
      </c>
      <c r="U133" s="19">
        <f>IFERROR(__xludf.DUMMYFUNCTION("SUM(QUERY(Entregas_BD!D:AL,""select AH where D='""&amp;D133&amp;""'"",1))"),0.0)</f>
        <v>0</v>
      </c>
      <c r="V133" s="19">
        <f>IFERROR(__xludf.DUMMYFUNCTION("SUM(QUERY(Entregas_BD!D:AL,""select AI where D='""&amp;D133&amp;""'"",1))"),0.0)</f>
        <v>0</v>
      </c>
      <c r="W133" s="19">
        <f>IFERROR(__xludf.DUMMYFUNCTION("SUM(QUERY(Entregas_BD!D:AL,""select AJ where D='""&amp;D133&amp;""'"",1))"),0.0)</f>
        <v>0</v>
      </c>
      <c r="X133" s="19">
        <f>IFERROR(__xludf.DUMMYFUNCTION("SUM(QUERY(Entregas_BD!D:AL,""select AL where D='""&amp;D133&amp;""'"",1))"),0.0)</f>
        <v>0</v>
      </c>
      <c r="Y133" s="19">
        <f>IFERROR(__xludf.DUMMYFUNCTION("SUM(QUERY(Entregas_BD!D:AL,""select AK where D='""&amp;D133&amp;""'"",1))"),0.0)</f>
        <v>0</v>
      </c>
      <c r="Z133" s="19">
        <v>-90.0</v>
      </c>
      <c r="AA133" s="19">
        <v>0.0</v>
      </c>
      <c r="AB133" s="19">
        <v>0.0</v>
      </c>
      <c r="AC133" s="19">
        <v>0.0</v>
      </c>
      <c r="AD133" s="19">
        <v>0.0</v>
      </c>
      <c r="AE133" s="19">
        <v>0.0</v>
      </c>
      <c r="AF133" s="25" t="s">
        <v>423</v>
      </c>
      <c r="AG133" s="24">
        <f>IFERROR(__xludf.DUMMYFUNCTION("SUM(QUERY(Entregas_BD!D:W,""select U where D='""&amp;D133&amp;""'"",1))"),0.0)</f>
        <v>0</v>
      </c>
      <c r="AH133" s="24">
        <f>IFERROR(__xludf.DUMMYFUNCTION("SUM(QUERY(Entregas_BD!D:W,""select S where D='""&amp;D133&amp;""'"",1))"),0.0)</f>
        <v>0</v>
      </c>
      <c r="AI133" s="24">
        <f>IFERROR(__xludf.DUMMYFUNCTION("SUM(QUERY(Entregas_BD!D:W,""select T where D='""&amp;D133&amp;""'"",1))"),0.0)</f>
        <v>0</v>
      </c>
    </row>
    <row r="134" ht="19.5" customHeight="1">
      <c r="A134" s="7"/>
      <c r="B134" s="8"/>
      <c r="C134" s="9">
        <v>133.0</v>
      </c>
      <c r="D134" s="43" t="s">
        <v>422</v>
      </c>
      <c r="E134" s="10" t="s">
        <v>58</v>
      </c>
      <c r="F134" s="10" t="s">
        <v>45</v>
      </c>
      <c r="G134" s="10" t="s">
        <v>59</v>
      </c>
      <c r="H134" s="9" t="s">
        <v>40</v>
      </c>
      <c r="I134" s="11" t="s">
        <v>41</v>
      </c>
      <c r="J134" s="9"/>
      <c r="K134" s="28"/>
      <c r="L134" s="29"/>
      <c r="M134" s="28"/>
      <c r="N134" s="9">
        <f>IFERROR(__xludf.DUMMYFUNCTION("SUM(QUERY(Entregas_BD!D:L,""select G where D='""&amp;D134&amp;""'"",1))"),0.0)</f>
        <v>0</v>
      </c>
      <c r="O134" s="9">
        <f>IFERROR(__xludf.DUMMYFUNCTION("SUM(QUERY(Entregas_BD!D:L,""select H where D='""&amp;D134&amp;""'"",1))"),0.0)</f>
        <v>0</v>
      </c>
      <c r="P134" s="9">
        <f>IFERROR(__xludf.DUMMYFUNCTION("SUM(QUERY(Entregas_BD!D:L,""select I where D='""&amp;D134&amp;""'"",1))"),0.0)</f>
        <v>0</v>
      </c>
      <c r="Q134" s="9">
        <f>IFERROR(__xludf.DUMMYFUNCTION("SUM(QUERY(Entregas_BD!D:L,""select J where D='""&amp;D134&amp;""'"",1))"),0.0)</f>
        <v>0</v>
      </c>
      <c r="R134" s="15">
        <f>IFERROR(__xludf.DUMMYFUNCTION("SUM(QUERY(Entregas_BD!D:L,""select K where D='""&amp;D134&amp;""'"",1))"),0.0)</f>
        <v>0</v>
      </c>
      <c r="S134" s="15">
        <f>IFERROR(__xludf.DUMMYFUNCTION("SUM(QUERY(Entregas_BD!D:L,""select L where D='""&amp;D134&amp;""'"",1))"),0.0)</f>
        <v>0</v>
      </c>
      <c r="T134" s="9">
        <f>IFERROR(__xludf.DUMMYFUNCTION("SUM(QUERY(Entregas_BD!D:AL,""select AG where D='""&amp;D134&amp;""'"",1))"),90.0)</f>
        <v>90</v>
      </c>
      <c r="U134" s="9">
        <f>IFERROR(__xludf.DUMMYFUNCTION("SUM(QUERY(Entregas_BD!D:AL,""select AH where D='""&amp;D134&amp;""'"",1))"),0.0)</f>
        <v>0</v>
      </c>
      <c r="V134" s="9">
        <f>IFERROR(__xludf.DUMMYFUNCTION("SUM(QUERY(Entregas_BD!D:AL,""select AI where D='""&amp;D134&amp;""'"",1))"),0.0)</f>
        <v>0</v>
      </c>
      <c r="W134" s="9">
        <f>IFERROR(__xludf.DUMMYFUNCTION("SUM(QUERY(Entregas_BD!D:AL,""select AJ where D='""&amp;D134&amp;""'"",1))"),0.0)</f>
        <v>0</v>
      </c>
      <c r="X134" s="9">
        <f>IFERROR(__xludf.DUMMYFUNCTION("SUM(QUERY(Entregas_BD!D:AL,""select AL where D='""&amp;D134&amp;""'"",1))"),0.0)</f>
        <v>0</v>
      </c>
      <c r="Y134" s="9">
        <f>IFERROR(__xludf.DUMMYFUNCTION("SUM(QUERY(Entregas_BD!D:AL,""select AK where D='""&amp;D134&amp;""'"",1))"),0.0)</f>
        <v>0</v>
      </c>
      <c r="Z134" s="9">
        <v>-90.0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30" t="s">
        <v>423</v>
      </c>
      <c r="AG134" s="15">
        <f>IFERROR(__xludf.DUMMYFUNCTION("SUM(QUERY(Entregas_BD!D:W,""select U where D='""&amp;D134&amp;""'"",1))"),0.0)</f>
        <v>0</v>
      </c>
      <c r="AH134" s="15">
        <f>IFERROR(__xludf.DUMMYFUNCTION("SUM(QUERY(Entregas_BD!D:W,""select S where D='""&amp;D134&amp;""'"",1))"),0.0)</f>
        <v>0</v>
      </c>
      <c r="AI134" s="15">
        <f>IFERROR(__xludf.DUMMYFUNCTION("SUM(QUERY(Entregas_BD!D:W,""select T where D='""&amp;D134&amp;""'"",1))"),0.0)</f>
        <v>0</v>
      </c>
    </row>
    <row r="135" ht="19.5" customHeight="1">
      <c r="A135" s="31"/>
      <c r="B135" s="32"/>
      <c r="C135" s="19">
        <v>134.0</v>
      </c>
      <c r="D135" s="46" t="s">
        <v>422</v>
      </c>
      <c r="E135" s="20" t="s">
        <v>58</v>
      </c>
      <c r="F135" s="20" t="s">
        <v>45</v>
      </c>
      <c r="G135" s="20" t="s">
        <v>59</v>
      </c>
      <c r="H135" s="19" t="s">
        <v>40</v>
      </c>
      <c r="I135" s="21" t="s">
        <v>41</v>
      </c>
      <c r="J135" s="19"/>
      <c r="K135" s="22"/>
      <c r="L135" s="23"/>
      <c r="M135" s="22"/>
      <c r="N135" s="19">
        <f>IFERROR(__xludf.DUMMYFUNCTION("SUM(QUERY(Entregas_BD!D:L,""select G where D='""&amp;D135&amp;""'"",1))"),0.0)</f>
        <v>0</v>
      </c>
      <c r="O135" s="19">
        <f>IFERROR(__xludf.DUMMYFUNCTION("SUM(QUERY(Entregas_BD!D:L,""select H where D='""&amp;D135&amp;""'"",1))"),0.0)</f>
        <v>0</v>
      </c>
      <c r="P135" s="19">
        <f>IFERROR(__xludf.DUMMYFUNCTION("SUM(QUERY(Entregas_BD!D:L,""select I where D='""&amp;D135&amp;""'"",1))"),0.0)</f>
        <v>0</v>
      </c>
      <c r="Q135" s="19">
        <f>IFERROR(__xludf.DUMMYFUNCTION("SUM(QUERY(Entregas_BD!D:L,""select J where D='""&amp;D135&amp;""'"",1))"),0.0)</f>
        <v>0</v>
      </c>
      <c r="R135" s="24">
        <f>IFERROR(__xludf.DUMMYFUNCTION("SUM(QUERY(Entregas_BD!D:L,""select K where D='""&amp;D135&amp;""'"",1))"),0.0)</f>
        <v>0</v>
      </c>
      <c r="S135" s="24">
        <f>IFERROR(__xludf.DUMMYFUNCTION("SUM(QUERY(Entregas_BD!D:L,""select L where D='""&amp;D135&amp;""'"",1))"),0.0)</f>
        <v>0</v>
      </c>
      <c r="T135" s="19">
        <f>IFERROR(__xludf.DUMMYFUNCTION("SUM(QUERY(Entregas_BD!D:AL,""select AG where D='""&amp;D135&amp;""'"",1))"),90.0)</f>
        <v>90</v>
      </c>
      <c r="U135" s="19">
        <f>IFERROR(__xludf.DUMMYFUNCTION("SUM(QUERY(Entregas_BD!D:AL,""select AH where D='""&amp;D135&amp;""'"",1))"),0.0)</f>
        <v>0</v>
      </c>
      <c r="V135" s="19">
        <f>IFERROR(__xludf.DUMMYFUNCTION("SUM(QUERY(Entregas_BD!D:AL,""select AI where D='""&amp;D135&amp;""'"",1))"),0.0)</f>
        <v>0</v>
      </c>
      <c r="W135" s="19">
        <f>IFERROR(__xludf.DUMMYFUNCTION("SUM(QUERY(Entregas_BD!D:AL,""select AJ where D='""&amp;D135&amp;""'"",1))"),0.0)</f>
        <v>0</v>
      </c>
      <c r="X135" s="19">
        <f>IFERROR(__xludf.DUMMYFUNCTION("SUM(QUERY(Entregas_BD!D:AL,""select AL where D='""&amp;D135&amp;""'"",1))"),0.0)</f>
        <v>0</v>
      </c>
      <c r="Y135" s="19">
        <f>IFERROR(__xludf.DUMMYFUNCTION("SUM(QUERY(Entregas_BD!D:AL,""select AK where D='""&amp;D135&amp;""'"",1))"),0.0)</f>
        <v>0</v>
      </c>
      <c r="Z135" s="19">
        <v>-90.0</v>
      </c>
      <c r="AA135" s="19">
        <v>0.0</v>
      </c>
      <c r="AB135" s="19">
        <v>0.0</v>
      </c>
      <c r="AC135" s="19">
        <v>0.0</v>
      </c>
      <c r="AD135" s="19">
        <v>0.0</v>
      </c>
      <c r="AE135" s="19">
        <v>0.0</v>
      </c>
      <c r="AF135" s="25" t="s">
        <v>423</v>
      </c>
      <c r="AG135" s="24">
        <f>IFERROR(__xludf.DUMMYFUNCTION("SUM(QUERY(Entregas_BD!D:W,""select U where D='""&amp;D135&amp;""'"",1))"),0.0)</f>
        <v>0</v>
      </c>
      <c r="AH135" s="24">
        <f>IFERROR(__xludf.DUMMYFUNCTION("SUM(QUERY(Entregas_BD!D:W,""select S where D='""&amp;D135&amp;""'"",1))"),0.0)</f>
        <v>0</v>
      </c>
      <c r="AI135" s="24">
        <f>IFERROR(__xludf.DUMMYFUNCTION("SUM(QUERY(Entregas_BD!D:W,""select T where D='""&amp;D135&amp;""'"",1))"),0.0)</f>
        <v>0</v>
      </c>
    </row>
    <row r="136" ht="19.5" customHeight="1">
      <c r="A136" s="7"/>
      <c r="B136" s="8"/>
      <c r="C136" s="9">
        <v>135.0</v>
      </c>
      <c r="D136" s="10" t="s">
        <v>424</v>
      </c>
      <c r="E136" s="10" t="s">
        <v>58</v>
      </c>
      <c r="F136" s="10" t="s">
        <v>45</v>
      </c>
      <c r="G136" s="10" t="s">
        <v>218</v>
      </c>
      <c r="H136" s="9" t="s">
        <v>40</v>
      </c>
      <c r="I136" s="11" t="s">
        <v>41</v>
      </c>
      <c r="J136" s="9"/>
      <c r="K136" s="28"/>
      <c r="L136" s="29"/>
      <c r="M136" s="28"/>
      <c r="N136" s="9">
        <f>IFERROR(__xludf.DUMMYFUNCTION("SUM(QUERY(Entregas_BD!D:L,""select G where D='""&amp;D136&amp;""'"",1))"),0.0)</f>
        <v>0</v>
      </c>
      <c r="O136" s="9">
        <f>IFERROR(__xludf.DUMMYFUNCTION("SUM(QUERY(Entregas_BD!D:L,""select H where D='""&amp;D136&amp;""'"",1))"),0.0)</f>
        <v>0</v>
      </c>
      <c r="P136" s="9">
        <f>IFERROR(__xludf.DUMMYFUNCTION("SUM(QUERY(Entregas_BD!D:L,""select I where D='""&amp;D136&amp;""'"",1))"),0.0)</f>
        <v>0</v>
      </c>
      <c r="Q136" s="9">
        <f>IFERROR(__xludf.DUMMYFUNCTION("SUM(QUERY(Entregas_BD!D:L,""select J where D='""&amp;D136&amp;""'"",1))"),0.0)</f>
        <v>0</v>
      </c>
      <c r="R136" s="15">
        <f>IFERROR(__xludf.DUMMYFUNCTION("SUM(QUERY(Entregas_BD!D:L,""select K where D='""&amp;D136&amp;""'"",1))"),0.0)</f>
        <v>0</v>
      </c>
      <c r="S136" s="15">
        <f>IFERROR(__xludf.DUMMYFUNCTION("SUM(QUERY(Entregas_BD!D:L,""select L where D='""&amp;D136&amp;""'"",1))"),0.0)</f>
        <v>0</v>
      </c>
      <c r="T136" s="9">
        <f>IFERROR(__xludf.DUMMYFUNCTION("SUM(QUERY(Entregas_BD!D:AL,""select AG where D='""&amp;D136&amp;""'"",1))"),100.0)</f>
        <v>100</v>
      </c>
      <c r="U136" s="9">
        <f>IFERROR(__xludf.DUMMYFUNCTION("SUM(QUERY(Entregas_BD!D:AL,""select AH where D='""&amp;D136&amp;""'"",1))"),0.0)</f>
        <v>0</v>
      </c>
      <c r="V136" s="9">
        <f>IFERROR(__xludf.DUMMYFUNCTION("SUM(QUERY(Entregas_BD!D:AL,""select AI where D='""&amp;D136&amp;""'"",1))"),0.0)</f>
        <v>0</v>
      </c>
      <c r="W136" s="9">
        <f>IFERROR(__xludf.DUMMYFUNCTION("SUM(QUERY(Entregas_BD!D:AL,""select AJ where D='""&amp;D136&amp;""'"",1))"),0.0)</f>
        <v>0</v>
      </c>
      <c r="X136" s="9">
        <f>IFERROR(__xludf.DUMMYFUNCTION("SUM(QUERY(Entregas_BD!D:AL,""select AL where D='""&amp;D136&amp;""'"",1))"),0.0)</f>
        <v>0</v>
      </c>
      <c r="Y136" s="9">
        <f>IFERROR(__xludf.DUMMYFUNCTION("SUM(QUERY(Entregas_BD!D:AL,""select AK where D='""&amp;D136&amp;""'"",1))"),0.0)</f>
        <v>0</v>
      </c>
      <c r="Z136" s="9">
        <v>-100.0</v>
      </c>
      <c r="AA136" s="9">
        <v>0.0</v>
      </c>
      <c r="AB136" s="9">
        <v>0.0</v>
      </c>
      <c r="AC136" s="9">
        <v>0.0</v>
      </c>
      <c r="AD136" s="9">
        <v>0.0</v>
      </c>
      <c r="AE136" s="9">
        <v>0.0</v>
      </c>
      <c r="AF136" s="30" t="s">
        <v>425</v>
      </c>
      <c r="AG136" s="15">
        <f>IFERROR(__xludf.DUMMYFUNCTION("SUM(QUERY(Entregas_BD!D:W,""select U where D='""&amp;D136&amp;""'"",1))"),0.0)</f>
        <v>0</v>
      </c>
      <c r="AH136" s="15">
        <f>IFERROR(__xludf.DUMMYFUNCTION("SUM(QUERY(Entregas_BD!D:W,""select S where D='""&amp;D136&amp;""'"",1))"),0.0)</f>
        <v>0</v>
      </c>
      <c r="AI136" s="15">
        <f>IFERROR(__xludf.DUMMYFUNCTION("SUM(QUERY(Entregas_BD!D:W,""select T where D='""&amp;D136&amp;""'"",1))"),0.0)</f>
        <v>0</v>
      </c>
    </row>
    <row r="137" ht="19.5" customHeight="1">
      <c r="A137" s="31"/>
      <c r="B137" s="32"/>
      <c r="C137" s="19">
        <v>136.0</v>
      </c>
      <c r="D137" s="20" t="s">
        <v>424</v>
      </c>
      <c r="E137" s="20" t="s">
        <v>58</v>
      </c>
      <c r="F137" s="20" t="s">
        <v>45</v>
      </c>
      <c r="G137" s="20" t="s">
        <v>218</v>
      </c>
      <c r="H137" s="19" t="s">
        <v>40</v>
      </c>
      <c r="I137" s="21" t="s">
        <v>41</v>
      </c>
      <c r="J137" s="19"/>
      <c r="K137" s="22"/>
      <c r="L137" s="23"/>
      <c r="M137" s="22"/>
      <c r="N137" s="19">
        <f>IFERROR(__xludf.DUMMYFUNCTION("SUM(QUERY(Entregas_BD!D:L,""select G where D='""&amp;D137&amp;""'"",1))"),0.0)</f>
        <v>0</v>
      </c>
      <c r="O137" s="19">
        <f>IFERROR(__xludf.DUMMYFUNCTION("SUM(QUERY(Entregas_BD!D:L,""select H where D='""&amp;D137&amp;""'"",1))"),0.0)</f>
        <v>0</v>
      </c>
      <c r="P137" s="19">
        <f>IFERROR(__xludf.DUMMYFUNCTION("SUM(QUERY(Entregas_BD!D:L,""select I where D='""&amp;D137&amp;""'"",1))"),0.0)</f>
        <v>0</v>
      </c>
      <c r="Q137" s="19">
        <f>IFERROR(__xludf.DUMMYFUNCTION("SUM(QUERY(Entregas_BD!D:L,""select J where D='""&amp;D137&amp;""'"",1))"),0.0)</f>
        <v>0</v>
      </c>
      <c r="R137" s="24">
        <f>IFERROR(__xludf.DUMMYFUNCTION("SUM(QUERY(Entregas_BD!D:L,""select K where D='""&amp;D137&amp;""'"",1))"),0.0)</f>
        <v>0</v>
      </c>
      <c r="S137" s="24">
        <f>IFERROR(__xludf.DUMMYFUNCTION("SUM(QUERY(Entregas_BD!D:L,""select L where D='""&amp;D137&amp;""'"",1))"),0.0)</f>
        <v>0</v>
      </c>
      <c r="T137" s="19">
        <f>IFERROR(__xludf.DUMMYFUNCTION("SUM(QUERY(Entregas_BD!D:AL,""select AG where D='""&amp;D137&amp;""'"",1))"),100.0)</f>
        <v>100</v>
      </c>
      <c r="U137" s="19">
        <f>IFERROR(__xludf.DUMMYFUNCTION("SUM(QUERY(Entregas_BD!D:AL,""select AH where D='""&amp;D137&amp;""'"",1))"),0.0)</f>
        <v>0</v>
      </c>
      <c r="V137" s="19">
        <f>IFERROR(__xludf.DUMMYFUNCTION("SUM(QUERY(Entregas_BD!D:AL,""select AI where D='""&amp;D137&amp;""'"",1))"),0.0)</f>
        <v>0</v>
      </c>
      <c r="W137" s="19">
        <f>IFERROR(__xludf.DUMMYFUNCTION("SUM(QUERY(Entregas_BD!D:AL,""select AJ where D='""&amp;D137&amp;""'"",1))"),0.0)</f>
        <v>0</v>
      </c>
      <c r="X137" s="19">
        <f>IFERROR(__xludf.DUMMYFUNCTION("SUM(QUERY(Entregas_BD!D:AL,""select AL where D='""&amp;D137&amp;""'"",1))"),0.0)</f>
        <v>0</v>
      </c>
      <c r="Y137" s="19">
        <f>IFERROR(__xludf.DUMMYFUNCTION("SUM(QUERY(Entregas_BD!D:AL,""select AK where D='""&amp;D137&amp;""'"",1))"),0.0)</f>
        <v>0</v>
      </c>
      <c r="Z137" s="19">
        <v>-100.0</v>
      </c>
      <c r="AA137" s="19">
        <v>0.0</v>
      </c>
      <c r="AB137" s="19">
        <v>0.0</v>
      </c>
      <c r="AC137" s="19">
        <v>0.0</v>
      </c>
      <c r="AD137" s="19">
        <v>0.0</v>
      </c>
      <c r="AE137" s="19">
        <v>0.0</v>
      </c>
      <c r="AF137" s="35" t="s">
        <v>425</v>
      </c>
      <c r="AG137" s="24">
        <f>IFERROR(__xludf.DUMMYFUNCTION("SUM(QUERY(Entregas_BD!D:W,""select U where D='""&amp;D137&amp;""'"",1))"),0.0)</f>
        <v>0</v>
      </c>
      <c r="AH137" s="24">
        <f>IFERROR(__xludf.DUMMYFUNCTION("SUM(QUERY(Entregas_BD!D:W,""select S where D='""&amp;D137&amp;""'"",1))"),0.0)</f>
        <v>0</v>
      </c>
      <c r="AI137" s="24">
        <f>IFERROR(__xludf.DUMMYFUNCTION("SUM(QUERY(Entregas_BD!D:W,""select T where D='""&amp;D137&amp;""'"",1))"),0.0)</f>
        <v>0</v>
      </c>
    </row>
    <row r="138" ht="19.5" customHeight="1">
      <c r="A138" s="7"/>
      <c r="B138" s="8"/>
      <c r="C138" s="9">
        <v>137.0</v>
      </c>
      <c r="D138" s="10" t="s">
        <v>426</v>
      </c>
      <c r="E138" s="10" t="s">
        <v>153</v>
      </c>
      <c r="F138" s="10" t="s">
        <v>381</v>
      </c>
      <c r="G138" s="10" t="s">
        <v>427</v>
      </c>
      <c r="H138" s="12" t="s">
        <v>40</v>
      </c>
      <c r="I138" s="11" t="s">
        <v>41</v>
      </c>
      <c r="J138" s="12"/>
      <c r="K138" s="28"/>
      <c r="L138" s="29"/>
      <c r="M138" s="36"/>
      <c r="N138" s="9">
        <f>IFERROR(__xludf.DUMMYFUNCTION("SUM(QUERY(Entregas_BD!D:L,""select G where D='""&amp;D138&amp;""'"",1))"),0.0)</f>
        <v>0</v>
      </c>
      <c r="O138" s="9">
        <f>IFERROR(__xludf.DUMMYFUNCTION("SUM(QUERY(Entregas_BD!D:L,""select H where D='""&amp;D138&amp;""'"",1))"),0.0)</f>
        <v>0</v>
      </c>
      <c r="P138" s="9">
        <f>IFERROR(__xludf.DUMMYFUNCTION("SUM(QUERY(Entregas_BD!D:L,""select I where D='""&amp;D138&amp;""'"",1))"),0.0)</f>
        <v>0</v>
      </c>
      <c r="Q138" s="9">
        <f>IFERROR(__xludf.DUMMYFUNCTION("SUM(QUERY(Entregas_BD!D:L,""select J where D='""&amp;D138&amp;""'"",1))"),0.0)</f>
        <v>0</v>
      </c>
      <c r="R138" s="15">
        <f>IFERROR(__xludf.DUMMYFUNCTION("SUM(QUERY(Entregas_BD!D:L,""select K where D='""&amp;D138&amp;""'"",1))"),0.0)</f>
        <v>0</v>
      </c>
      <c r="S138" s="15">
        <f>IFERROR(__xludf.DUMMYFUNCTION("SUM(QUERY(Entregas_BD!D:L,""select L where D='""&amp;D138&amp;""'"",1))"),0.0)</f>
        <v>0</v>
      </c>
      <c r="T138" s="9">
        <f>IFERROR(__xludf.DUMMYFUNCTION("SUM(QUERY(Entregas_BD!D:AL,""select AG where D='""&amp;D138&amp;""'"",1))"),0.0)</f>
        <v>0</v>
      </c>
      <c r="U138" s="9">
        <f>IFERROR(__xludf.DUMMYFUNCTION("SUM(QUERY(Entregas_BD!D:AL,""select AH where D='""&amp;D138&amp;""'"",1))"),0.0)</f>
        <v>0</v>
      </c>
      <c r="V138" s="9">
        <f>IFERROR(__xludf.DUMMYFUNCTION("SUM(QUERY(Entregas_BD!D:AL,""select AI where D='""&amp;D138&amp;""'"",1))"),0.0)</f>
        <v>0</v>
      </c>
      <c r="W138" s="9">
        <f>IFERROR(__xludf.DUMMYFUNCTION("SUM(QUERY(Entregas_BD!D:AL,""select AJ where D='""&amp;D138&amp;""'"",1))"),0.0)</f>
        <v>0</v>
      </c>
      <c r="X138" s="9">
        <f>IFERROR(__xludf.DUMMYFUNCTION("SUM(QUERY(Entregas_BD!D:AL,""select AL where D='""&amp;D138&amp;""'"",1))"),0.0)</f>
        <v>0</v>
      </c>
      <c r="Y138" s="9">
        <f>IFERROR(__xludf.DUMMYFUNCTION("SUM(QUERY(Entregas_BD!D:AL,""select AK where D='""&amp;D138&amp;""'"",1))"),0.0)</f>
        <v>0</v>
      </c>
      <c r="Z138" s="9">
        <v>0.0</v>
      </c>
      <c r="AA138" s="9">
        <v>0.0</v>
      </c>
      <c r="AB138" s="9">
        <v>0.0</v>
      </c>
      <c r="AC138" s="9">
        <v>0.0</v>
      </c>
      <c r="AD138" s="9">
        <v>0.0</v>
      </c>
      <c r="AE138" s="9">
        <v>0.0</v>
      </c>
      <c r="AF138" s="30" t="s">
        <v>428</v>
      </c>
      <c r="AG138" s="15">
        <f>IFERROR(__xludf.DUMMYFUNCTION("SUM(QUERY(Entregas_BD!D:W,""select U where D='""&amp;D138&amp;""'"",1))"),0.0)</f>
        <v>0</v>
      </c>
      <c r="AH138" s="15">
        <f>IFERROR(__xludf.DUMMYFUNCTION("SUM(QUERY(Entregas_BD!D:W,""select S where D='""&amp;D138&amp;""'"",1))"),0.0)</f>
        <v>0</v>
      </c>
      <c r="AI138" s="15">
        <f>IFERROR(__xludf.DUMMYFUNCTION("SUM(QUERY(Entregas_BD!D:W,""select T where D='""&amp;D138&amp;""'"",1))"),0.0)</f>
        <v>0</v>
      </c>
    </row>
    <row r="139" ht="19.5" customHeight="1">
      <c r="A139" s="31"/>
      <c r="B139" s="32"/>
      <c r="C139" s="19">
        <v>138.0</v>
      </c>
      <c r="D139" s="20" t="s">
        <v>429</v>
      </c>
      <c r="E139" s="20" t="s">
        <v>54</v>
      </c>
      <c r="F139" s="20" t="s">
        <v>45</v>
      </c>
      <c r="G139" s="20" t="s">
        <v>430</v>
      </c>
      <c r="H139" s="19" t="s">
        <v>40</v>
      </c>
      <c r="I139" s="21" t="s">
        <v>41</v>
      </c>
      <c r="J139" s="34"/>
      <c r="K139" s="22"/>
      <c r="L139" s="23"/>
      <c r="M139" s="22"/>
      <c r="N139" s="19">
        <f>IFERROR(__xludf.DUMMYFUNCTION("SUM(QUERY(Entregas_BD!D:L,""select G where D='""&amp;D139&amp;""'"",1))"),0.0)</f>
        <v>0</v>
      </c>
      <c r="O139" s="19">
        <f>IFERROR(__xludf.DUMMYFUNCTION("SUM(QUERY(Entregas_BD!D:L,""select H where D='""&amp;D139&amp;""'"",1))"),0.0)</f>
        <v>0</v>
      </c>
      <c r="P139" s="19">
        <f>IFERROR(__xludf.DUMMYFUNCTION("SUM(QUERY(Entregas_BD!D:L,""select I where D='""&amp;D139&amp;""'"",1))"),0.0)</f>
        <v>0</v>
      </c>
      <c r="Q139" s="19">
        <f>IFERROR(__xludf.DUMMYFUNCTION("SUM(QUERY(Entregas_BD!D:L,""select J where D='""&amp;D139&amp;""'"",1))"),0.0)</f>
        <v>0</v>
      </c>
      <c r="R139" s="24">
        <f>IFERROR(__xludf.DUMMYFUNCTION("SUM(QUERY(Entregas_BD!D:L,""select K where D='""&amp;D139&amp;""'"",1))"),0.0)</f>
        <v>0</v>
      </c>
      <c r="S139" s="24">
        <f>IFERROR(__xludf.DUMMYFUNCTION("SUM(QUERY(Entregas_BD!D:L,""select L where D='""&amp;D139&amp;""'"",1))"),0.0)</f>
        <v>0</v>
      </c>
      <c r="T139" s="19">
        <f>IFERROR(__xludf.DUMMYFUNCTION("SUM(QUERY(Entregas_BD!D:AL,""select AG where D='""&amp;D139&amp;""'"",1))"),0.0)</f>
        <v>0</v>
      </c>
      <c r="U139" s="19">
        <f>IFERROR(__xludf.DUMMYFUNCTION("SUM(QUERY(Entregas_BD!D:AL,""select AH where D='""&amp;D139&amp;""'"",1))"),0.0)</f>
        <v>0</v>
      </c>
      <c r="V139" s="19">
        <f>IFERROR(__xludf.DUMMYFUNCTION("SUM(QUERY(Entregas_BD!D:AL,""select AI where D='""&amp;D139&amp;""'"",1))"),0.0)</f>
        <v>0</v>
      </c>
      <c r="W139" s="19">
        <f>IFERROR(__xludf.DUMMYFUNCTION("SUM(QUERY(Entregas_BD!D:AL,""select AJ where D='""&amp;D139&amp;""'"",1))"),0.0)</f>
        <v>0</v>
      </c>
      <c r="X139" s="19">
        <f>IFERROR(__xludf.DUMMYFUNCTION("SUM(QUERY(Entregas_BD!D:AL,""select AL where D='""&amp;D139&amp;""'"",1))"),0.0)</f>
        <v>0</v>
      </c>
      <c r="Y139" s="19">
        <f>IFERROR(__xludf.DUMMYFUNCTION("SUM(QUERY(Entregas_BD!D:AL,""select AK where D='""&amp;D139&amp;""'"",1))"),0.0)</f>
        <v>0</v>
      </c>
      <c r="Z139" s="19">
        <v>0.0</v>
      </c>
      <c r="AA139" s="19">
        <v>0.0</v>
      </c>
      <c r="AB139" s="19">
        <v>0.0</v>
      </c>
      <c r="AC139" s="19">
        <v>0.0</v>
      </c>
      <c r="AD139" s="19">
        <v>0.0</v>
      </c>
      <c r="AE139" s="19">
        <v>0.0</v>
      </c>
      <c r="AF139" s="25" t="s">
        <v>431</v>
      </c>
      <c r="AG139" s="24">
        <f>IFERROR(__xludf.DUMMYFUNCTION("SUM(QUERY(Entregas_BD!D:W,""select U where D='""&amp;D139&amp;""'"",1))"),0.0)</f>
        <v>0</v>
      </c>
      <c r="AH139" s="24">
        <f>IFERROR(__xludf.DUMMYFUNCTION("SUM(QUERY(Entregas_BD!D:W,""select S where D='""&amp;D139&amp;""'"",1))"),0.0)</f>
        <v>0</v>
      </c>
      <c r="AI139" s="24">
        <f>IFERROR(__xludf.DUMMYFUNCTION("SUM(QUERY(Entregas_BD!D:W,""select T where D='""&amp;D139&amp;""'"",1))"),0.0)</f>
        <v>0</v>
      </c>
    </row>
    <row r="140" ht="19.5" customHeight="1">
      <c r="A140" s="7"/>
      <c r="B140" s="8"/>
      <c r="C140" s="9">
        <v>139.0</v>
      </c>
      <c r="D140" s="10" t="s">
        <v>432</v>
      </c>
      <c r="E140" s="10" t="s">
        <v>153</v>
      </c>
      <c r="F140" s="10" t="s">
        <v>433</v>
      </c>
      <c r="G140" s="10" t="s">
        <v>434</v>
      </c>
      <c r="H140" s="12" t="s">
        <v>40</v>
      </c>
      <c r="I140" s="11" t="s">
        <v>41</v>
      </c>
      <c r="J140" s="12"/>
      <c r="K140" s="28"/>
      <c r="L140" s="29"/>
      <c r="M140" s="36"/>
      <c r="N140" s="9">
        <f>IFERROR(__xludf.DUMMYFUNCTION("SUM(QUERY(Entregas_BD!D:L,""select G where D='""&amp;D140&amp;""'"",1))"),0.0)</f>
        <v>0</v>
      </c>
      <c r="O140" s="9">
        <f>IFERROR(__xludf.DUMMYFUNCTION("SUM(QUERY(Entregas_BD!D:L,""select H where D='""&amp;D140&amp;""'"",1))"),0.0)</f>
        <v>0</v>
      </c>
      <c r="P140" s="9">
        <f>IFERROR(__xludf.DUMMYFUNCTION("SUM(QUERY(Entregas_BD!D:L,""select I where D='""&amp;D140&amp;""'"",1))"),0.0)</f>
        <v>0</v>
      </c>
      <c r="Q140" s="9">
        <f>IFERROR(__xludf.DUMMYFUNCTION("SUM(QUERY(Entregas_BD!D:L,""select J where D='""&amp;D140&amp;""'"",1))"),0.0)</f>
        <v>0</v>
      </c>
      <c r="R140" s="15">
        <f>IFERROR(__xludf.DUMMYFUNCTION("SUM(QUERY(Entregas_BD!D:L,""select K where D='""&amp;D140&amp;""'"",1))"),0.0)</f>
        <v>0</v>
      </c>
      <c r="S140" s="15">
        <f>IFERROR(__xludf.DUMMYFUNCTION("SUM(QUERY(Entregas_BD!D:L,""select L where D='""&amp;D140&amp;""'"",1))"),0.0)</f>
        <v>0</v>
      </c>
      <c r="T140" s="9">
        <f>IFERROR(__xludf.DUMMYFUNCTION("SUM(QUERY(Entregas_BD!D:AL,""select AG where D='""&amp;D140&amp;""'"",1))"),0.0)</f>
        <v>0</v>
      </c>
      <c r="U140" s="9">
        <f>IFERROR(__xludf.DUMMYFUNCTION("SUM(QUERY(Entregas_BD!D:AL,""select AH where D='""&amp;D140&amp;""'"",1))"),0.0)</f>
        <v>0</v>
      </c>
      <c r="V140" s="9">
        <f>IFERROR(__xludf.DUMMYFUNCTION("SUM(QUERY(Entregas_BD!D:AL,""select AI where D='""&amp;D140&amp;""'"",1))"),0.0)</f>
        <v>0</v>
      </c>
      <c r="W140" s="9">
        <f>IFERROR(__xludf.DUMMYFUNCTION("SUM(QUERY(Entregas_BD!D:AL,""select AJ where D='""&amp;D140&amp;""'"",1))"),0.0)</f>
        <v>0</v>
      </c>
      <c r="X140" s="9">
        <f>IFERROR(__xludf.DUMMYFUNCTION("SUM(QUERY(Entregas_BD!D:AL,""select AL where D='""&amp;D140&amp;""'"",1))"),0.0)</f>
        <v>0</v>
      </c>
      <c r="Y140" s="9">
        <f>IFERROR(__xludf.DUMMYFUNCTION("SUM(QUERY(Entregas_BD!D:AL,""select AK where D='""&amp;D140&amp;""'"",1))"),0.0)</f>
        <v>0</v>
      </c>
      <c r="Z140" s="9">
        <v>0.0</v>
      </c>
      <c r="AA140" s="9">
        <v>0.0</v>
      </c>
      <c r="AB140" s="9">
        <v>0.0</v>
      </c>
      <c r="AC140" s="9">
        <v>0.0</v>
      </c>
      <c r="AD140" s="9">
        <v>0.0</v>
      </c>
      <c r="AE140" s="9">
        <v>0.0</v>
      </c>
      <c r="AF140" s="37" t="s">
        <v>435</v>
      </c>
      <c r="AG140" s="15">
        <f>IFERROR(__xludf.DUMMYFUNCTION("SUM(QUERY(Entregas_BD!D:W,""select U where D='""&amp;D140&amp;""'"",1))"),0.0)</f>
        <v>0</v>
      </c>
      <c r="AH140" s="15">
        <f>IFERROR(__xludf.DUMMYFUNCTION("SUM(QUERY(Entregas_BD!D:W,""select S where D='""&amp;D140&amp;""'"",1))"),0.0)</f>
        <v>0</v>
      </c>
      <c r="AI140" s="15">
        <f>IFERROR(__xludf.DUMMYFUNCTION("SUM(QUERY(Entregas_BD!D:W,""select T where D='""&amp;D140&amp;""'"",1))"),0.0)</f>
        <v>0</v>
      </c>
    </row>
    <row r="141" ht="19.5" customHeight="1">
      <c r="A141" s="31"/>
      <c r="B141" s="32"/>
      <c r="C141" s="19">
        <v>140.0</v>
      </c>
      <c r="D141" s="20" t="s">
        <v>436</v>
      </c>
      <c r="E141" s="20" t="s">
        <v>58</v>
      </c>
      <c r="F141" s="20" t="s">
        <v>45</v>
      </c>
      <c r="G141" s="20" t="s">
        <v>437</v>
      </c>
      <c r="H141" s="19" t="s">
        <v>51</v>
      </c>
      <c r="I141" s="21" t="s">
        <v>47</v>
      </c>
      <c r="J141" s="19"/>
      <c r="K141" s="22"/>
      <c r="L141" s="23"/>
      <c r="M141" s="22"/>
      <c r="N141" s="19">
        <f>IFERROR(__xludf.DUMMYFUNCTION("SUM(QUERY(Entregas_BD!D:L,""select G where D='""&amp;D141&amp;""'"",1))"),0.0)</f>
        <v>0</v>
      </c>
      <c r="O141" s="19">
        <f>IFERROR(__xludf.DUMMYFUNCTION("SUM(QUERY(Entregas_BD!D:L,""select H where D='""&amp;D141&amp;""'"",1))"),0.0)</f>
        <v>0</v>
      </c>
      <c r="P141" s="19">
        <f>IFERROR(__xludf.DUMMYFUNCTION("SUM(QUERY(Entregas_BD!D:L,""select I where D='""&amp;D141&amp;""'"",1))"),0.0)</f>
        <v>0</v>
      </c>
      <c r="Q141" s="19">
        <f>IFERROR(__xludf.DUMMYFUNCTION("SUM(QUERY(Entregas_BD!D:L,""select J where D='""&amp;D141&amp;""'"",1))"),0.0)</f>
        <v>0</v>
      </c>
      <c r="R141" s="24">
        <f>IFERROR(__xludf.DUMMYFUNCTION("SUM(QUERY(Entregas_BD!D:L,""select K where D='""&amp;D141&amp;""'"",1))"),0.0)</f>
        <v>0</v>
      </c>
      <c r="S141" s="24">
        <f>IFERROR(__xludf.DUMMYFUNCTION("SUM(QUERY(Entregas_BD!D:L,""select L where D='""&amp;D141&amp;""'"",1))"),0.0)</f>
        <v>0</v>
      </c>
      <c r="T141" s="19">
        <f>IFERROR(__xludf.DUMMYFUNCTION("SUM(QUERY(Entregas_BD!D:AL,""select AG where D='""&amp;D141&amp;""'"",1))"),0.0)</f>
        <v>0</v>
      </c>
      <c r="U141" s="19">
        <f>IFERROR(__xludf.DUMMYFUNCTION("SUM(QUERY(Entregas_BD!D:AL,""select AH where D='""&amp;D141&amp;""'"",1))"),0.0)</f>
        <v>0</v>
      </c>
      <c r="V141" s="19">
        <f>IFERROR(__xludf.DUMMYFUNCTION("SUM(QUERY(Entregas_BD!D:AL,""select AI where D='""&amp;D141&amp;""'"",1))"),0.0)</f>
        <v>0</v>
      </c>
      <c r="W141" s="19">
        <f>IFERROR(__xludf.DUMMYFUNCTION("SUM(QUERY(Entregas_BD!D:AL,""select AJ where D='""&amp;D141&amp;""'"",1))"),0.0)</f>
        <v>0</v>
      </c>
      <c r="X141" s="19">
        <f>IFERROR(__xludf.DUMMYFUNCTION("SUM(QUERY(Entregas_BD!D:AL,""select AL where D='""&amp;D141&amp;""'"",1))"),0.0)</f>
        <v>0</v>
      </c>
      <c r="Y141" s="19">
        <f>IFERROR(__xludf.DUMMYFUNCTION("SUM(QUERY(Entregas_BD!D:AL,""select AK where D='""&amp;D141&amp;""'"",1))"),0.0)</f>
        <v>0</v>
      </c>
      <c r="Z141" s="19">
        <v>0.0</v>
      </c>
      <c r="AA141" s="19">
        <v>0.0</v>
      </c>
      <c r="AB141" s="19">
        <v>0.0</v>
      </c>
      <c r="AC141" s="19">
        <v>0.0</v>
      </c>
      <c r="AD141" s="19">
        <v>0.0</v>
      </c>
      <c r="AE141" s="19">
        <v>0.0</v>
      </c>
      <c r="AF141" s="35" t="s">
        <v>438</v>
      </c>
      <c r="AG141" s="24">
        <f>IFERROR(__xludf.DUMMYFUNCTION("SUM(QUERY(Entregas_BD!D:W,""select U where D='""&amp;D141&amp;""'"",1))"),0.0)</f>
        <v>0</v>
      </c>
      <c r="AH141" s="24">
        <f>IFERROR(__xludf.DUMMYFUNCTION("SUM(QUERY(Entregas_BD!D:W,""select S where D='""&amp;D141&amp;""'"",1))"),0.0)</f>
        <v>0</v>
      </c>
      <c r="AI141" s="24">
        <f>IFERROR(__xludf.DUMMYFUNCTION("SUM(QUERY(Entregas_BD!D:W,""select T where D='""&amp;D141&amp;""'"",1))"),0.0)</f>
        <v>0</v>
      </c>
    </row>
    <row r="142" ht="19.5" customHeight="1">
      <c r="A142" s="7"/>
      <c r="B142" s="8"/>
      <c r="C142" s="9">
        <v>141.0</v>
      </c>
      <c r="D142" s="10" t="s">
        <v>439</v>
      </c>
      <c r="E142" s="10" t="s">
        <v>54</v>
      </c>
      <c r="F142" s="10" t="s">
        <v>45</v>
      </c>
      <c r="G142" s="10" t="s">
        <v>440</v>
      </c>
      <c r="H142" s="9" t="s">
        <v>51</v>
      </c>
      <c r="I142" s="11" t="s">
        <v>41</v>
      </c>
      <c r="J142" s="12"/>
      <c r="K142" s="28"/>
      <c r="L142" s="29"/>
      <c r="M142" s="28"/>
      <c r="N142" s="9">
        <f>IFERROR(__xludf.DUMMYFUNCTION("SUM(QUERY(Entregas_BD!D:L,""select G where D='""&amp;D142&amp;""'"",1))"),0.0)</f>
        <v>0</v>
      </c>
      <c r="O142" s="9">
        <f>IFERROR(__xludf.DUMMYFUNCTION("SUM(QUERY(Entregas_BD!D:L,""select H where D='""&amp;D142&amp;""'"",1))"),0.0)</f>
        <v>0</v>
      </c>
      <c r="P142" s="9">
        <f>IFERROR(__xludf.DUMMYFUNCTION("SUM(QUERY(Entregas_BD!D:L,""select I where D='""&amp;D142&amp;""'"",1))"),0.0)</f>
        <v>0</v>
      </c>
      <c r="Q142" s="9">
        <f>IFERROR(__xludf.DUMMYFUNCTION("SUM(QUERY(Entregas_BD!D:L,""select J where D='""&amp;D142&amp;""'"",1))"),0.0)</f>
        <v>0</v>
      </c>
      <c r="R142" s="15">
        <f>IFERROR(__xludf.DUMMYFUNCTION("SUM(QUERY(Entregas_BD!D:L,""select K where D='""&amp;D142&amp;""'"",1))"),0.0)</f>
        <v>0</v>
      </c>
      <c r="S142" s="15">
        <f>IFERROR(__xludf.DUMMYFUNCTION("SUM(QUERY(Entregas_BD!D:L,""select L where D='""&amp;D142&amp;""'"",1))"),0.0)</f>
        <v>0</v>
      </c>
      <c r="T142" s="9">
        <f>IFERROR(__xludf.DUMMYFUNCTION("SUM(QUERY(Entregas_BD!D:AL,""select AG where D='""&amp;D142&amp;""'"",1))"),0.0)</f>
        <v>0</v>
      </c>
      <c r="U142" s="9">
        <f>IFERROR(__xludf.DUMMYFUNCTION("SUM(QUERY(Entregas_BD!D:AL,""select AH where D='""&amp;D142&amp;""'"",1))"),0.0)</f>
        <v>0</v>
      </c>
      <c r="V142" s="9">
        <f>IFERROR(__xludf.DUMMYFUNCTION("SUM(QUERY(Entregas_BD!D:AL,""select AI where D='""&amp;D142&amp;""'"",1))"),0.0)</f>
        <v>0</v>
      </c>
      <c r="W142" s="9">
        <f>IFERROR(__xludf.DUMMYFUNCTION("SUM(QUERY(Entregas_BD!D:AL,""select AJ where D='""&amp;D142&amp;""'"",1))"),0.0)</f>
        <v>0</v>
      </c>
      <c r="X142" s="9">
        <f>IFERROR(__xludf.DUMMYFUNCTION("SUM(QUERY(Entregas_BD!D:AL,""select AL where D='""&amp;D142&amp;""'"",1))"),0.0)</f>
        <v>0</v>
      </c>
      <c r="Y142" s="9">
        <f>IFERROR(__xludf.DUMMYFUNCTION("SUM(QUERY(Entregas_BD!D:AL,""select AK where D='""&amp;D142&amp;""'"",1))"),0.0)</f>
        <v>0</v>
      </c>
      <c r="Z142" s="9">
        <v>0.0</v>
      </c>
      <c r="AA142" s="9">
        <v>0.0</v>
      </c>
      <c r="AB142" s="9">
        <v>0.0</v>
      </c>
      <c r="AC142" s="9">
        <v>0.0</v>
      </c>
      <c r="AD142" s="9">
        <v>0.0</v>
      </c>
      <c r="AE142" s="9">
        <v>0.0</v>
      </c>
      <c r="AF142" s="30" t="s">
        <v>441</v>
      </c>
      <c r="AG142" s="15">
        <f>IFERROR(__xludf.DUMMYFUNCTION("SUM(QUERY(Entregas_BD!D:W,""select U where D='""&amp;D142&amp;""'"",1))"),0.0)</f>
        <v>0</v>
      </c>
      <c r="AH142" s="15">
        <f>IFERROR(__xludf.DUMMYFUNCTION("SUM(QUERY(Entregas_BD!D:W,""select S where D='""&amp;D142&amp;""'"",1))"),0.0)</f>
        <v>0</v>
      </c>
      <c r="AI142" s="15">
        <f>IFERROR(__xludf.DUMMYFUNCTION("SUM(QUERY(Entregas_BD!D:W,""select T where D='""&amp;D142&amp;""'"",1))"),0.0)</f>
        <v>0</v>
      </c>
    </row>
    <row r="143" ht="19.5" customHeight="1">
      <c r="A143" s="31"/>
      <c r="B143" s="32"/>
      <c r="C143" s="19">
        <v>142.0</v>
      </c>
      <c r="D143" s="20" t="s">
        <v>442</v>
      </c>
      <c r="E143" s="20" t="s">
        <v>54</v>
      </c>
      <c r="F143" s="20" t="s">
        <v>45</v>
      </c>
      <c r="G143" s="20" t="s">
        <v>440</v>
      </c>
      <c r="H143" s="19" t="s">
        <v>51</v>
      </c>
      <c r="I143" s="21" t="s">
        <v>41</v>
      </c>
      <c r="J143" s="48"/>
      <c r="K143" s="22"/>
      <c r="L143" s="23"/>
      <c r="M143" s="22"/>
      <c r="N143" s="19">
        <f>IFERROR(__xludf.DUMMYFUNCTION("SUM(QUERY(Entregas_BD!D:L,""select G where D='""&amp;D143&amp;""'"",1))"),0.0)</f>
        <v>0</v>
      </c>
      <c r="O143" s="19">
        <f>IFERROR(__xludf.DUMMYFUNCTION("SUM(QUERY(Entregas_BD!D:L,""select H where D='""&amp;D143&amp;""'"",1))"),0.0)</f>
        <v>0</v>
      </c>
      <c r="P143" s="19">
        <f>IFERROR(__xludf.DUMMYFUNCTION("SUM(QUERY(Entregas_BD!D:L,""select I where D='""&amp;D143&amp;""'"",1))"),0.0)</f>
        <v>0</v>
      </c>
      <c r="Q143" s="19">
        <f>IFERROR(__xludf.DUMMYFUNCTION("SUM(QUERY(Entregas_BD!D:L,""select J where D='""&amp;D143&amp;""'"",1))"),0.0)</f>
        <v>0</v>
      </c>
      <c r="R143" s="24">
        <f>IFERROR(__xludf.DUMMYFUNCTION("SUM(QUERY(Entregas_BD!D:L,""select K where D='""&amp;D143&amp;""'"",1))"),0.0)</f>
        <v>0</v>
      </c>
      <c r="S143" s="24">
        <f>IFERROR(__xludf.DUMMYFUNCTION("SUM(QUERY(Entregas_BD!D:L,""select L where D='""&amp;D143&amp;""'"",1))"),0.0)</f>
        <v>0</v>
      </c>
      <c r="T143" s="19">
        <f>IFERROR(__xludf.DUMMYFUNCTION("SUM(QUERY(Entregas_BD!D:AL,""select AG where D='""&amp;D143&amp;""'"",1))"),0.0)</f>
        <v>0</v>
      </c>
      <c r="U143" s="19">
        <f>IFERROR(__xludf.DUMMYFUNCTION("SUM(QUERY(Entregas_BD!D:AL,""select AH where D='""&amp;D143&amp;""'"",1))"),0.0)</f>
        <v>0</v>
      </c>
      <c r="V143" s="19">
        <f>IFERROR(__xludf.DUMMYFUNCTION("SUM(QUERY(Entregas_BD!D:AL,""select AI where D='""&amp;D143&amp;""'"",1))"),0.0)</f>
        <v>0</v>
      </c>
      <c r="W143" s="19">
        <f>IFERROR(__xludf.DUMMYFUNCTION("SUM(QUERY(Entregas_BD!D:AL,""select AJ where D='""&amp;D143&amp;""'"",1))"),0.0)</f>
        <v>0</v>
      </c>
      <c r="X143" s="19">
        <f>IFERROR(__xludf.DUMMYFUNCTION("SUM(QUERY(Entregas_BD!D:AL,""select AL where D='""&amp;D143&amp;""'"",1))"),0.0)</f>
        <v>0</v>
      </c>
      <c r="Y143" s="19">
        <f>IFERROR(__xludf.DUMMYFUNCTION("SUM(QUERY(Entregas_BD!D:AL,""select AK where D='""&amp;D143&amp;""'"",1))"),0.0)</f>
        <v>0</v>
      </c>
      <c r="Z143" s="19">
        <v>0.0</v>
      </c>
      <c r="AA143" s="19">
        <v>0.0</v>
      </c>
      <c r="AB143" s="19">
        <v>0.0</v>
      </c>
      <c r="AC143" s="19">
        <v>0.0</v>
      </c>
      <c r="AD143" s="19">
        <v>0.0</v>
      </c>
      <c r="AE143" s="19">
        <v>0.0</v>
      </c>
      <c r="AF143" s="35" t="s">
        <v>443</v>
      </c>
      <c r="AG143" s="24">
        <f>IFERROR(__xludf.DUMMYFUNCTION("SUM(QUERY(Entregas_BD!D:W,""select U where D='""&amp;D143&amp;""'"",1))"),0.0)</f>
        <v>0</v>
      </c>
      <c r="AH143" s="24">
        <f>IFERROR(__xludf.DUMMYFUNCTION("SUM(QUERY(Entregas_BD!D:W,""select S where D='""&amp;D143&amp;""'"",1))"),0.0)</f>
        <v>0</v>
      </c>
      <c r="AI143" s="24">
        <f>IFERROR(__xludf.DUMMYFUNCTION("SUM(QUERY(Entregas_BD!D:W,""select T where D='""&amp;D143&amp;""'"",1))"),0.0)</f>
        <v>0</v>
      </c>
    </row>
    <row r="144" ht="19.5" customHeight="1">
      <c r="A144" s="7"/>
      <c r="B144" s="8"/>
      <c r="C144" s="9">
        <v>143.0</v>
      </c>
      <c r="D144" s="10" t="s">
        <v>444</v>
      </c>
      <c r="E144" s="10" t="s">
        <v>58</v>
      </c>
      <c r="F144" s="10" t="s">
        <v>45</v>
      </c>
      <c r="G144" s="10" t="s">
        <v>353</v>
      </c>
      <c r="H144" s="9" t="s">
        <v>40</v>
      </c>
      <c r="I144" s="11" t="s">
        <v>41</v>
      </c>
      <c r="J144" s="9"/>
      <c r="K144" s="28"/>
      <c r="L144" s="29"/>
      <c r="M144" s="28"/>
      <c r="N144" s="9">
        <f>IFERROR(__xludf.DUMMYFUNCTION("SUM(QUERY(Entregas_BD!D:L,""select G where D='""&amp;D144&amp;""'"",1))"),0.0)</f>
        <v>0</v>
      </c>
      <c r="O144" s="9">
        <f>IFERROR(__xludf.DUMMYFUNCTION("SUM(QUERY(Entregas_BD!D:L,""select H where D='""&amp;D144&amp;""'"",1))"),0.0)</f>
        <v>0</v>
      </c>
      <c r="P144" s="9">
        <f>IFERROR(__xludf.DUMMYFUNCTION("SUM(QUERY(Entregas_BD!D:L,""select I where D='""&amp;D144&amp;""'"",1))"),0.0)</f>
        <v>0</v>
      </c>
      <c r="Q144" s="9">
        <f>IFERROR(__xludf.DUMMYFUNCTION("SUM(QUERY(Entregas_BD!D:L,""select J where D='""&amp;D144&amp;""'"",1))"),0.0)</f>
        <v>0</v>
      </c>
      <c r="R144" s="15">
        <f>IFERROR(__xludf.DUMMYFUNCTION("SUM(QUERY(Entregas_BD!D:L,""select K where D='""&amp;D144&amp;""'"",1))"),0.0)</f>
        <v>0</v>
      </c>
      <c r="S144" s="15">
        <f>IFERROR(__xludf.DUMMYFUNCTION("SUM(QUERY(Entregas_BD!D:L,""select L where D='""&amp;D144&amp;""'"",1))"),0.0)</f>
        <v>0</v>
      </c>
      <c r="T144" s="9">
        <f>IFERROR(__xludf.DUMMYFUNCTION("SUM(QUERY(Entregas_BD!D:AL,""select AG where D='""&amp;D144&amp;""'"",1))"),0.0)</f>
        <v>0</v>
      </c>
      <c r="U144" s="9">
        <f>IFERROR(__xludf.DUMMYFUNCTION("SUM(QUERY(Entregas_BD!D:AL,""select AH where D='""&amp;D144&amp;""'"",1))"),0.0)</f>
        <v>0</v>
      </c>
      <c r="V144" s="9">
        <f>IFERROR(__xludf.DUMMYFUNCTION("SUM(QUERY(Entregas_BD!D:AL,""select AI where D='""&amp;D144&amp;""'"",1))"),0.0)</f>
        <v>0</v>
      </c>
      <c r="W144" s="9">
        <f>IFERROR(__xludf.DUMMYFUNCTION("SUM(QUERY(Entregas_BD!D:AL,""select AJ where D='""&amp;D144&amp;""'"",1))"),0.0)</f>
        <v>0</v>
      </c>
      <c r="X144" s="9">
        <f>IFERROR(__xludf.DUMMYFUNCTION("SUM(QUERY(Entregas_BD!D:AL,""select AL where D='""&amp;D144&amp;""'"",1))"),0.0)</f>
        <v>0</v>
      </c>
      <c r="Y144" s="9">
        <f>IFERROR(__xludf.DUMMYFUNCTION("SUM(QUERY(Entregas_BD!D:AL,""select AK where D='""&amp;D144&amp;""'"",1))"),0.0)</f>
        <v>0</v>
      </c>
      <c r="Z144" s="9">
        <v>0.0</v>
      </c>
      <c r="AA144" s="9">
        <v>0.0</v>
      </c>
      <c r="AB144" s="9">
        <v>0.0</v>
      </c>
      <c r="AC144" s="9">
        <v>0.0</v>
      </c>
      <c r="AD144" s="9">
        <v>0.0</v>
      </c>
      <c r="AE144" s="9">
        <v>0.0</v>
      </c>
      <c r="AF144" s="37" t="s">
        <v>445</v>
      </c>
      <c r="AG144" s="15">
        <f>IFERROR(__xludf.DUMMYFUNCTION("SUM(QUERY(Entregas_BD!D:W,""select U where D='""&amp;D144&amp;""'"",1))"),0.0)</f>
        <v>0</v>
      </c>
      <c r="AH144" s="15">
        <f>IFERROR(__xludf.DUMMYFUNCTION("SUM(QUERY(Entregas_BD!D:W,""select S where D='""&amp;D144&amp;""'"",1))"),0.0)</f>
        <v>0</v>
      </c>
      <c r="AI144" s="15">
        <f>IFERROR(__xludf.DUMMYFUNCTION("SUM(QUERY(Entregas_BD!D:W,""select T where D='""&amp;D144&amp;""'"",1))"),0.0)</f>
        <v>0</v>
      </c>
    </row>
    <row r="145" ht="19.5" customHeight="1">
      <c r="A145" s="31"/>
      <c r="B145" s="32"/>
      <c r="C145" s="19">
        <v>144.0</v>
      </c>
      <c r="D145" s="20" t="s">
        <v>446</v>
      </c>
      <c r="E145" s="20" t="s">
        <v>54</v>
      </c>
      <c r="F145" s="20" t="s">
        <v>45</v>
      </c>
      <c r="G145" s="20" t="s">
        <v>55</v>
      </c>
      <c r="H145" s="19" t="s">
        <v>51</v>
      </c>
      <c r="I145" s="21" t="s">
        <v>41</v>
      </c>
      <c r="J145" s="34"/>
      <c r="K145" s="22"/>
      <c r="L145" s="23"/>
      <c r="M145" s="22"/>
      <c r="N145" s="19">
        <f>IFERROR(__xludf.DUMMYFUNCTION("SUM(QUERY(Entregas_BD!D:L,""select G where D='""&amp;D145&amp;""'"",1))"),0.0)</f>
        <v>0</v>
      </c>
      <c r="O145" s="19">
        <f>IFERROR(__xludf.DUMMYFUNCTION("SUM(QUERY(Entregas_BD!D:L,""select H where D='""&amp;D145&amp;""'"",1))"),0.0)</f>
        <v>0</v>
      </c>
      <c r="P145" s="19">
        <f>IFERROR(__xludf.DUMMYFUNCTION("SUM(QUERY(Entregas_BD!D:L,""select I where D='""&amp;D145&amp;""'"",1))"),0.0)</f>
        <v>0</v>
      </c>
      <c r="Q145" s="19">
        <f>IFERROR(__xludf.DUMMYFUNCTION("SUM(QUERY(Entregas_BD!D:L,""select J where D='""&amp;D145&amp;""'"",1))"),0.0)</f>
        <v>0</v>
      </c>
      <c r="R145" s="24">
        <f>IFERROR(__xludf.DUMMYFUNCTION("SUM(QUERY(Entregas_BD!D:L,""select K where D='""&amp;D145&amp;""'"",1))"),0.0)</f>
        <v>0</v>
      </c>
      <c r="S145" s="24">
        <f>IFERROR(__xludf.DUMMYFUNCTION("SUM(QUERY(Entregas_BD!D:L,""select L where D='""&amp;D145&amp;""'"",1))"),0.0)</f>
        <v>0</v>
      </c>
      <c r="T145" s="19">
        <f>IFERROR(__xludf.DUMMYFUNCTION("SUM(QUERY(Entregas_BD!D:AL,""select AG where D='""&amp;D145&amp;""'"",1))"),100.0)</f>
        <v>100</v>
      </c>
      <c r="U145" s="19">
        <f>IFERROR(__xludf.DUMMYFUNCTION("SUM(QUERY(Entregas_BD!D:AL,""select AH where D='""&amp;D145&amp;""'"",1))"),0.0)</f>
        <v>0</v>
      </c>
      <c r="V145" s="19">
        <f>IFERROR(__xludf.DUMMYFUNCTION("SUM(QUERY(Entregas_BD!D:AL,""select AI where D='""&amp;D145&amp;""'"",1))"),0.0)</f>
        <v>0</v>
      </c>
      <c r="W145" s="19">
        <f>IFERROR(__xludf.DUMMYFUNCTION("SUM(QUERY(Entregas_BD!D:AL,""select AJ where D='""&amp;D145&amp;""'"",1))"),0.0)</f>
        <v>0</v>
      </c>
      <c r="X145" s="19">
        <f>IFERROR(__xludf.DUMMYFUNCTION("SUM(QUERY(Entregas_BD!D:AL,""select AL where D='""&amp;D145&amp;""'"",1))"),0.0)</f>
        <v>0</v>
      </c>
      <c r="Y145" s="19">
        <f>IFERROR(__xludf.DUMMYFUNCTION("SUM(QUERY(Entregas_BD!D:AL,""select AK where D='""&amp;D145&amp;""'"",1))"),0.0)</f>
        <v>0</v>
      </c>
      <c r="Z145" s="19">
        <v>-100.0</v>
      </c>
      <c r="AA145" s="19">
        <v>0.0</v>
      </c>
      <c r="AB145" s="19">
        <v>0.0</v>
      </c>
      <c r="AC145" s="19">
        <v>0.0</v>
      </c>
      <c r="AD145" s="19">
        <v>0.0</v>
      </c>
      <c r="AE145" s="19">
        <v>0.0</v>
      </c>
      <c r="AF145" s="35" t="s">
        <v>447</v>
      </c>
      <c r="AG145" s="24">
        <f>IFERROR(__xludf.DUMMYFUNCTION("SUM(QUERY(Entregas_BD!D:W,""select U where D='""&amp;D145&amp;""'"",1))"),0.0)</f>
        <v>0</v>
      </c>
      <c r="AH145" s="24">
        <f>IFERROR(__xludf.DUMMYFUNCTION("SUM(QUERY(Entregas_BD!D:W,""select S where D='""&amp;D145&amp;""'"",1))"),0.0)</f>
        <v>0</v>
      </c>
      <c r="AI145" s="24">
        <f>IFERROR(__xludf.DUMMYFUNCTION("SUM(QUERY(Entregas_BD!D:W,""select T where D='""&amp;D145&amp;""'"",1))"),0.0)</f>
        <v>0</v>
      </c>
    </row>
    <row r="146" ht="19.5" customHeight="1">
      <c r="A146" s="26"/>
      <c r="B146" s="27"/>
      <c r="C146" s="9">
        <v>145.0</v>
      </c>
      <c r="D146" s="49" t="s">
        <v>448</v>
      </c>
      <c r="E146" s="10" t="s">
        <v>44</v>
      </c>
      <c r="F146" s="10" t="s">
        <v>45</v>
      </c>
      <c r="G146" s="10" t="s">
        <v>449</v>
      </c>
      <c r="H146" s="9" t="s">
        <v>51</v>
      </c>
      <c r="I146" s="11" t="s">
        <v>41</v>
      </c>
      <c r="J146" s="9"/>
      <c r="K146" s="28"/>
      <c r="L146" s="29"/>
      <c r="M146" s="28"/>
      <c r="N146" s="9">
        <f>IFERROR(__xludf.DUMMYFUNCTION("SUM(QUERY(Entregas_BD!D:L,""select G where D='""&amp;D146&amp;""'"",1))"),0.0)</f>
        <v>0</v>
      </c>
      <c r="O146" s="9">
        <f>IFERROR(__xludf.DUMMYFUNCTION("SUM(QUERY(Entregas_BD!D:L,""select H where D='""&amp;D146&amp;""'"",1))"),0.0)</f>
        <v>0</v>
      </c>
      <c r="P146" s="9">
        <f>IFERROR(__xludf.DUMMYFUNCTION("SUM(QUERY(Entregas_BD!D:L,""select I where D='""&amp;D146&amp;""'"",1))"),0.0)</f>
        <v>0</v>
      </c>
      <c r="Q146" s="9">
        <f>IFERROR(__xludf.DUMMYFUNCTION("SUM(QUERY(Entregas_BD!D:L,""select J where D='""&amp;D146&amp;""'"",1))"),0.0)</f>
        <v>0</v>
      </c>
      <c r="R146" s="15">
        <f>IFERROR(__xludf.DUMMYFUNCTION("SUM(QUERY(Entregas_BD!D:L,""select K where D='""&amp;D146&amp;""'"",1))"),0.0)</f>
        <v>0</v>
      </c>
      <c r="S146" s="15">
        <f>IFERROR(__xludf.DUMMYFUNCTION("SUM(QUERY(Entregas_BD!D:L,""select L where D='""&amp;D146&amp;""'"",1))"),0.0)</f>
        <v>0</v>
      </c>
      <c r="T146" s="9">
        <f>IFERROR(__xludf.DUMMYFUNCTION("SUM(QUERY(Entregas_BD!D:AL,""select AG where D='""&amp;D146&amp;""'"",1))"),50.0)</f>
        <v>50</v>
      </c>
      <c r="U146" s="9">
        <f>IFERROR(__xludf.DUMMYFUNCTION("SUM(QUERY(Entregas_BD!D:AL,""select AH where D='""&amp;D146&amp;""'"",1))"),0.0)</f>
        <v>0</v>
      </c>
      <c r="V146" s="9">
        <f>IFERROR(__xludf.DUMMYFUNCTION("SUM(QUERY(Entregas_BD!D:AL,""select AI where D='""&amp;D146&amp;""'"",1))"),0.0)</f>
        <v>0</v>
      </c>
      <c r="W146" s="9">
        <f>IFERROR(__xludf.DUMMYFUNCTION("SUM(QUERY(Entregas_BD!D:AL,""select AJ where D='""&amp;D146&amp;""'"",1))"),0.0)</f>
        <v>0</v>
      </c>
      <c r="X146" s="9">
        <f>IFERROR(__xludf.DUMMYFUNCTION("SUM(QUERY(Entregas_BD!D:AL,""select AL where D='""&amp;D146&amp;""'"",1))"),0.0)</f>
        <v>0</v>
      </c>
      <c r="Y146" s="9">
        <f>IFERROR(__xludf.DUMMYFUNCTION("SUM(QUERY(Entregas_BD!D:AL,""select AK where D='""&amp;D146&amp;""'"",1))"),0.0)</f>
        <v>0</v>
      </c>
      <c r="Z146" s="9">
        <v>-50.0</v>
      </c>
      <c r="AA146" s="9">
        <v>0.0</v>
      </c>
      <c r="AB146" s="9">
        <v>0.0</v>
      </c>
      <c r="AC146" s="9">
        <v>0.0</v>
      </c>
      <c r="AD146" s="9">
        <v>0.0</v>
      </c>
      <c r="AE146" s="9">
        <v>0.0</v>
      </c>
      <c r="AF146" s="37" t="s">
        <v>450</v>
      </c>
      <c r="AG146" s="15">
        <f>IFERROR(__xludf.DUMMYFUNCTION("SUM(QUERY(Entregas_BD!D:W,""select U where D='""&amp;D146&amp;""'"",1))"),0.0)</f>
        <v>0</v>
      </c>
      <c r="AH146" s="15">
        <f>IFERROR(__xludf.DUMMYFUNCTION("SUM(QUERY(Entregas_BD!D:W,""select S where D='""&amp;D146&amp;""'"",1))"),0.0)</f>
        <v>0</v>
      </c>
      <c r="AI146" s="15">
        <f>IFERROR(__xludf.DUMMYFUNCTION("SUM(QUERY(Entregas_BD!D:W,""select T where D='""&amp;D146&amp;""'"",1))"),0.0)</f>
        <v>0</v>
      </c>
    </row>
    <row r="147" ht="19.5" customHeight="1">
      <c r="A147" s="31"/>
      <c r="B147" s="32"/>
      <c r="C147" s="19">
        <v>146.0</v>
      </c>
      <c r="D147" s="20" t="s">
        <v>451</v>
      </c>
      <c r="E147" s="20" t="s">
        <v>72</v>
      </c>
      <c r="F147" s="20" t="s">
        <v>45</v>
      </c>
      <c r="G147" s="20" t="s">
        <v>452</v>
      </c>
      <c r="H147" s="19" t="s">
        <v>51</v>
      </c>
      <c r="I147" s="21" t="s">
        <v>41</v>
      </c>
      <c r="J147" s="34"/>
      <c r="K147" s="22"/>
      <c r="L147" s="23"/>
      <c r="M147" s="22"/>
      <c r="N147" s="19">
        <f>IFERROR(__xludf.DUMMYFUNCTION("SUM(QUERY(Entregas_BD!D:L,""select G where D='""&amp;D147&amp;""'"",1))"),0.0)</f>
        <v>0</v>
      </c>
      <c r="O147" s="19">
        <f>IFERROR(__xludf.DUMMYFUNCTION("SUM(QUERY(Entregas_BD!D:L,""select H where D='""&amp;D147&amp;""'"",1))"),0.0)</f>
        <v>0</v>
      </c>
      <c r="P147" s="19">
        <f>IFERROR(__xludf.DUMMYFUNCTION("SUM(QUERY(Entregas_BD!D:L,""select I where D='""&amp;D147&amp;""'"",1))"),0.0)</f>
        <v>0</v>
      </c>
      <c r="Q147" s="19">
        <f>IFERROR(__xludf.DUMMYFUNCTION("SUM(QUERY(Entregas_BD!D:L,""select J where D='""&amp;D147&amp;""'"",1))"),0.0)</f>
        <v>0</v>
      </c>
      <c r="R147" s="24">
        <f>IFERROR(__xludf.DUMMYFUNCTION("SUM(QUERY(Entregas_BD!D:L,""select K where D='""&amp;D147&amp;""'"",1))"),0.0)</f>
        <v>0</v>
      </c>
      <c r="S147" s="24">
        <f>IFERROR(__xludf.DUMMYFUNCTION("SUM(QUERY(Entregas_BD!D:L,""select L where D='""&amp;D147&amp;""'"",1))"),0.0)</f>
        <v>0</v>
      </c>
      <c r="T147" s="19">
        <f>IFERROR(__xludf.DUMMYFUNCTION("SUM(QUERY(Entregas_BD!D:AL,""select AG where D='""&amp;D147&amp;""'"",1))"),50.0)</f>
        <v>50</v>
      </c>
      <c r="U147" s="19">
        <f>IFERROR(__xludf.DUMMYFUNCTION("SUM(QUERY(Entregas_BD!D:AL,""select AH where D='""&amp;D147&amp;""'"",1))"),0.0)</f>
        <v>0</v>
      </c>
      <c r="V147" s="19">
        <f>IFERROR(__xludf.DUMMYFUNCTION("SUM(QUERY(Entregas_BD!D:AL,""select AI where D='""&amp;D147&amp;""'"",1))"),0.0)</f>
        <v>0</v>
      </c>
      <c r="W147" s="19">
        <f>IFERROR(__xludf.DUMMYFUNCTION("SUM(QUERY(Entregas_BD!D:AL,""select AJ where D='""&amp;D147&amp;""'"",1))"),0.0)</f>
        <v>0</v>
      </c>
      <c r="X147" s="19">
        <f>IFERROR(__xludf.DUMMYFUNCTION("SUM(QUERY(Entregas_BD!D:AL,""select AL where D='""&amp;D147&amp;""'"",1))"),0.0)</f>
        <v>0</v>
      </c>
      <c r="Y147" s="19">
        <f>IFERROR(__xludf.DUMMYFUNCTION("SUM(QUERY(Entregas_BD!D:AL,""select AK where D='""&amp;D147&amp;""'"",1))"),0.0)</f>
        <v>0</v>
      </c>
      <c r="Z147" s="19">
        <v>-50.0</v>
      </c>
      <c r="AA147" s="19">
        <v>0.0</v>
      </c>
      <c r="AB147" s="19">
        <v>0.0</v>
      </c>
      <c r="AC147" s="19">
        <v>0.0</v>
      </c>
      <c r="AD147" s="19">
        <v>0.0</v>
      </c>
      <c r="AE147" s="19">
        <v>0.0</v>
      </c>
      <c r="AF147" s="35" t="s">
        <v>453</v>
      </c>
      <c r="AG147" s="24">
        <f>IFERROR(__xludf.DUMMYFUNCTION("SUM(QUERY(Entregas_BD!D:W,""select U where D='""&amp;D147&amp;""'"",1))"),0.0)</f>
        <v>0</v>
      </c>
      <c r="AH147" s="24">
        <f>IFERROR(__xludf.DUMMYFUNCTION("SUM(QUERY(Entregas_BD!D:W,""select S where D='""&amp;D147&amp;""'"",1))"),0.0)</f>
        <v>0</v>
      </c>
      <c r="AI147" s="24">
        <f>IFERROR(__xludf.DUMMYFUNCTION("SUM(QUERY(Entregas_BD!D:W,""select T where D='""&amp;D147&amp;""'"",1))"),0.0)</f>
        <v>0</v>
      </c>
    </row>
    <row r="148" ht="19.5" customHeight="1">
      <c r="A148" s="7"/>
      <c r="B148" s="8"/>
      <c r="C148" s="9">
        <v>147.0</v>
      </c>
      <c r="D148" s="43" t="s">
        <v>454</v>
      </c>
      <c r="E148" s="10" t="s">
        <v>63</v>
      </c>
      <c r="F148" s="10" t="s">
        <v>64</v>
      </c>
      <c r="G148" s="10" t="s">
        <v>455</v>
      </c>
      <c r="H148" s="9" t="s">
        <v>40</v>
      </c>
      <c r="I148" s="11" t="s">
        <v>41</v>
      </c>
      <c r="J148" s="12"/>
      <c r="K148" s="28"/>
      <c r="L148" s="29"/>
      <c r="M148" s="28"/>
      <c r="N148" s="9">
        <f>IFERROR(__xludf.DUMMYFUNCTION("SUM(QUERY(Entregas_BD!D:L,""select G where D='""&amp;D148&amp;""'"",1))"),0.0)</f>
        <v>0</v>
      </c>
      <c r="O148" s="9">
        <f>IFERROR(__xludf.DUMMYFUNCTION("SUM(QUERY(Entregas_BD!D:L,""select H where D='""&amp;D148&amp;""'"",1))"),0.0)</f>
        <v>0</v>
      </c>
      <c r="P148" s="9">
        <f>IFERROR(__xludf.DUMMYFUNCTION("SUM(QUERY(Entregas_BD!D:L,""select I where D='""&amp;D148&amp;""'"",1))"),0.0)</f>
        <v>0</v>
      </c>
      <c r="Q148" s="9">
        <f>IFERROR(__xludf.DUMMYFUNCTION("SUM(QUERY(Entregas_BD!D:L,""select J where D='""&amp;D148&amp;""'"",1))"),0.0)</f>
        <v>0</v>
      </c>
      <c r="R148" s="15">
        <f>IFERROR(__xludf.DUMMYFUNCTION("SUM(QUERY(Entregas_BD!D:L,""select K where D='""&amp;D148&amp;""'"",1))"),0.0)</f>
        <v>0</v>
      </c>
      <c r="S148" s="15">
        <f>IFERROR(__xludf.DUMMYFUNCTION("SUM(QUERY(Entregas_BD!D:L,""select L where D='""&amp;D148&amp;""'"",1))"),0.0)</f>
        <v>0</v>
      </c>
      <c r="T148" s="9">
        <f>IFERROR(__xludf.DUMMYFUNCTION("SUM(QUERY(Entregas_BD!D:AL,""select AG where D='""&amp;D148&amp;""'"",1))"),150.0)</f>
        <v>150</v>
      </c>
      <c r="U148" s="9">
        <f>IFERROR(__xludf.DUMMYFUNCTION("SUM(QUERY(Entregas_BD!D:AL,""select AH where D='""&amp;D148&amp;""'"",1))"),0.0)</f>
        <v>0</v>
      </c>
      <c r="V148" s="9">
        <f>IFERROR(__xludf.DUMMYFUNCTION("SUM(QUERY(Entregas_BD!D:AL,""select AI where D='""&amp;D148&amp;""'"",1))"),0.0)</f>
        <v>0</v>
      </c>
      <c r="W148" s="9">
        <f>IFERROR(__xludf.DUMMYFUNCTION("SUM(QUERY(Entregas_BD!D:AL,""select AJ where D='""&amp;D148&amp;""'"",1))"),0.0)</f>
        <v>0</v>
      </c>
      <c r="X148" s="9">
        <f>IFERROR(__xludf.DUMMYFUNCTION("SUM(QUERY(Entregas_BD!D:AL,""select AL where D='""&amp;D148&amp;""'"",1))"),0.0)</f>
        <v>0</v>
      </c>
      <c r="Y148" s="9">
        <f>IFERROR(__xludf.DUMMYFUNCTION("SUM(QUERY(Entregas_BD!D:AL,""select AK where D='""&amp;D148&amp;""'"",1))"),0.0)</f>
        <v>0</v>
      </c>
      <c r="Z148" s="9">
        <v>-150.0</v>
      </c>
      <c r="AA148" s="9">
        <v>0.0</v>
      </c>
      <c r="AB148" s="9">
        <v>0.0</v>
      </c>
      <c r="AC148" s="9">
        <v>0.0</v>
      </c>
      <c r="AD148" s="9">
        <v>0.0</v>
      </c>
      <c r="AE148" s="9">
        <v>0.0</v>
      </c>
      <c r="AF148" s="30" t="s">
        <v>456</v>
      </c>
      <c r="AG148" s="15">
        <f>IFERROR(__xludf.DUMMYFUNCTION("SUM(QUERY(Entregas_BD!D:W,""select U where D='""&amp;D148&amp;""'"",1))"),0.0)</f>
        <v>0</v>
      </c>
      <c r="AH148" s="15">
        <f>IFERROR(__xludf.DUMMYFUNCTION("SUM(QUERY(Entregas_BD!D:W,""select S where D='""&amp;D148&amp;""'"",1))"),0.0)</f>
        <v>0</v>
      </c>
      <c r="AI148" s="15">
        <f>IFERROR(__xludf.DUMMYFUNCTION("SUM(QUERY(Entregas_BD!D:W,""select T where D='""&amp;D148&amp;""'"",1))"),0.0)</f>
        <v>0</v>
      </c>
    </row>
    <row r="149" ht="19.5" customHeight="1">
      <c r="A149" s="31"/>
      <c r="B149" s="32"/>
      <c r="C149" s="19">
        <v>148.0</v>
      </c>
      <c r="D149" s="20" t="s">
        <v>457</v>
      </c>
      <c r="E149" s="20" t="s">
        <v>72</v>
      </c>
      <c r="F149" s="20" t="s">
        <v>45</v>
      </c>
      <c r="G149" s="20" t="s">
        <v>76</v>
      </c>
      <c r="H149" s="19" t="s">
        <v>40</v>
      </c>
      <c r="I149" s="21" t="s">
        <v>41</v>
      </c>
      <c r="J149" s="34"/>
      <c r="K149" s="22"/>
      <c r="L149" s="23"/>
      <c r="M149" s="22"/>
      <c r="N149" s="19">
        <f>IFERROR(__xludf.DUMMYFUNCTION("SUM(QUERY(Entregas_BD!D:L,""select G where D='""&amp;D149&amp;""'"",1))"),0.0)</f>
        <v>0</v>
      </c>
      <c r="O149" s="19">
        <f>IFERROR(__xludf.DUMMYFUNCTION("SUM(QUERY(Entregas_BD!D:L,""select H where D='""&amp;D149&amp;""'"",1))"),0.0)</f>
        <v>0</v>
      </c>
      <c r="P149" s="19">
        <f>IFERROR(__xludf.DUMMYFUNCTION("SUM(QUERY(Entregas_BD!D:L,""select I where D='""&amp;D149&amp;""'"",1))"),0.0)</f>
        <v>0</v>
      </c>
      <c r="Q149" s="19">
        <f>IFERROR(__xludf.DUMMYFUNCTION("SUM(QUERY(Entregas_BD!D:L,""select J where D='""&amp;D149&amp;""'"",1))"),0.0)</f>
        <v>0</v>
      </c>
      <c r="R149" s="24">
        <f>IFERROR(__xludf.DUMMYFUNCTION("SUM(QUERY(Entregas_BD!D:L,""select K where D='""&amp;D149&amp;""'"",1))"),0.0)</f>
        <v>0</v>
      </c>
      <c r="S149" s="24">
        <f>IFERROR(__xludf.DUMMYFUNCTION("SUM(QUERY(Entregas_BD!D:L,""select L where D='""&amp;D149&amp;""'"",1))"),0.0)</f>
        <v>0</v>
      </c>
      <c r="T149" s="19">
        <f>IFERROR(__xludf.DUMMYFUNCTION("SUM(QUERY(Entregas_BD!D:AL,""select AG where D='""&amp;D149&amp;""'"",1))"),50.0)</f>
        <v>50</v>
      </c>
      <c r="U149" s="19">
        <f>IFERROR(__xludf.DUMMYFUNCTION("SUM(QUERY(Entregas_BD!D:AL,""select AH where D='""&amp;D149&amp;""'"",1))"),0.0)</f>
        <v>0</v>
      </c>
      <c r="V149" s="19">
        <f>IFERROR(__xludf.DUMMYFUNCTION("SUM(QUERY(Entregas_BD!D:AL,""select AI where D='""&amp;D149&amp;""'"",1))"),0.0)</f>
        <v>0</v>
      </c>
      <c r="W149" s="19">
        <f>IFERROR(__xludf.DUMMYFUNCTION("SUM(QUERY(Entregas_BD!D:AL,""select AJ where D='""&amp;D149&amp;""'"",1))"),0.0)</f>
        <v>0</v>
      </c>
      <c r="X149" s="19">
        <f>IFERROR(__xludf.DUMMYFUNCTION("SUM(QUERY(Entregas_BD!D:AL,""select AL where D='""&amp;D149&amp;""'"",1))"),0.0)</f>
        <v>0</v>
      </c>
      <c r="Y149" s="19">
        <f>IFERROR(__xludf.DUMMYFUNCTION("SUM(QUERY(Entregas_BD!D:AL,""select AK where D='""&amp;D149&amp;""'"",1))"),0.0)</f>
        <v>0</v>
      </c>
      <c r="Z149" s="19">
        <v>-50.0</v>
      </c>
      <c r="AA149" s="19">
        <v>0.0</v>
      </c>
      <c r="AB149" s="19">
        <v>0.0</v>
      </c>
      <c r="AC149" s="19">
        <v>0.0</v>
      </c>
      <c r="AD149" s="19">
        <v>0.0</v>
      </c>
      <c r="AE149" s="19">
        <v>0.0</v>
      </c>
      <c r="AF149" s="35" t="s">
        <v>458</v>
      </c>
      <c r="AG149" s="24">
        <f>IFERROR(__xludf.DUMMYFUNCTION("SUM(QUERY(Entregas_BD!D:W,""select U where D='""&amp;D149&amp;""'"",1))"),0.0)</f>
        <v>0</v>
      </c>
      <c r="AH149" s="24">
        <f>IFERROR(__xludf.DUMMYFUNCTION("SUM(QUERY(Entregas_BD!D:W,""select S where D='""&amp;D149&amp;""'"",1))"),0.0)</f>
        <v>0</v>
      </c>
      <c r="AI149" s="24">
        <f>IFERROR(__xludf.DUMMYFUNCTION("SUM(QUERY(Entregas_BD!D:W,""select T where D='""&amp;D149&amp;""'"",1))"),0.0)</f>
        <v>0</v>
      </c>
    </row>
    <row r="150" ht="19.5" customHeight="1">
      <c r="A150" s="7"/>
      <c r="B150" s="8"/>
      <c r="C150" s="9">
        <v>149.0</v>
      </c>
      <c r="D150" s="10" t="s">
        <v>459</v>
      </c>
      <c r="E150" s="10" t="s">
        <v>153</v>
      </c>
      <c r="F150" s="10" t="s">
        <v>460</v>
      </c>
      <c r="G150" s="10" t="s">
        <v>461</v>
      </c>
      <c r="H150" s="12" t="s">
        <v>40</v>
      </c>
      <c r="I150" s="11" t="s">
        <v>41</v>
      </c>
      <c r="J150" s="12"/>
      <c r="K150" s="28"/>
      <c r="L150" s="29"/>
      <c r="M150" s="36"/>
      <c r="N150" s="9">
        <f>IFERROR(__xludf.DUMMYFUNCTION("SUM(QUERY(Entregas_BD!D:L,""select G where D='""&amp;D150&amp;""'"",1))"),0.0)</f>
        <v>0</v>
      </c>
      <c r="O150" s="9">
        <f>IFERROR(__xludf.DUMMYFUNCTION("SUM(QUERY(Entregas_BD!D:L,""select H where D='""&amp;D150&amp;""'"",1))"),0.0)</f>
        <v>0</v>
      </c>
      <c r="P150" s="9">
        <f>IFERROR(__xludf.DUMMYFUNCTION("SUM(QUERY(Entregas_BD!D:L,""select I where D='""&amp;D150&amp;""'"",1))"),0.0)</f>
        <v>0</v>
      </c>
      <c r="Q150" s="9">
        <f>IFERROR(__xludf.DUMMYFUNCTION("SUM(QUERY(Entregas_BD!D:L,""select J where D='""&amp;D150&amp;""'"",1))"),0.0)</f>
        <v>0</v>
      </c>
      <c r="R150" s="15">
        <f>IFERROR(__xludf.DUMMYFUNCTION("SUM(QUERY(Entregas_BD!D:L,""select K where D='""&amp;D150&amp;""'"",1))"),0.0)</f>
        <v>0</v>
      </c>
      <c r="S150" s="15">
        <f>IFERROR(__xludf.DUMMYFUNCTION("SUM(QUERY(Entregas_BD!D:L,""select L where D='""&amp;D150&amp;""'"",1))"),0.0)</f>
        <v>0</v>
      </c>
      <c r="T150" s="9">
        <f>IFERROR(__xludf.DUMMYFUNCTION("SUM(QUERY(Entregas_BD!D:AL,""select AG where D='""&amp;D150&amp;""'"",1))"),0.0)</f>
        <v>0</v>
      </c>
      <c r="U150" s="9">
        <f>IFERROR(__xludf.DUMMYFUNCTION("SUM(QUERY(Entregas_BD!D:AL,""select AH where D='""&amp;D150&amp;""'"",1))"),0.0)</f>
        <v>0</v>
      </c>
      <c r="V150" s="9">
        <f>IFERROR(__xludf.DUMMYFUNCTION("SUM(QUERY(Entregas_BD!D:AL,""select AI where D='""&amp;D150&amp;""'"",1))"),0.0)</f>
        <v>0</v>
      </c>
      <c r="W150" s="9">
        <f>IFERROR(__xludf.DUMMYFUNCTION("SUM(QUERY(Entregas_BD!D:AL,""select AJ where D='""&amp;D150&amp;""'"",1))"),0.0)</f>
        <v>0</v>
      </c>
      <c r="X150" s="9">
        <f>IFERROR(__xludf.DUMMYFUNCTION("SUM(QUERY(Entregas_BD!D:AL,""select AL where D='""&amp;D150&amp;""'"",1))"),0.0)</f>
        <v>0</v>
      </c>
      <c r="Y150" s="9">
        <f>IFERROR(__xludf.DUMMYFUNCTION("SUM(QUERY(Entregas_BD!D:AL,""select AK where D='""&amp;D150&amp;""'"",1))"),0.0)</f>
        <v>0</v>
      </c>
      <c r="Z150" s="9">
        <v>0.0</v>
      </c>
      <c r="AA150" s="9">
        <v>0.0</v>
      </c>
      <c r="AB150" s="9">
        <v>0.0</v>
      </c>
      <c r="AC150" s="9">
        <v>0.0</v>
      </c>
      <c r="AD150" s="9">
        <v>0.0</v>
      </c>
      <c r="AE150" s="9">
        <v>0.0</v>
      </c>
      <c r="AF150" s="37" t="s">
        <v>462</v>
      </c>
      <c r="AG150" s="15">
        <f>IFERROR(__xludf.DUMMYFUNCTION("SUM(QUERY(Entregas_BD!D:W,""select U where D='""&amp;D150&amp;""'"",1))"),0.0)</f>
        <v>0</v>
      </c>
      <c r="AH150" s="15">
        <f>IFERROR(__xludf.DUMMYFUNCTION("SUM(QUERY(Entregas_BD!D:W,""select S where D='""&amp;D150&amp;""'"",1))"),0.0)</f>
        <v>0</v>
      </c>
      <c r="AI150" s="15">
        <f>IFERROR(__xludf.DUMMYFUNCTION("SUM(QUERY(Entregas_BD!D:W,""select T where D='""&amp;D150&amp;""'"",1))"),0.0)</f>
        <v>0</v>
      </c>
    </row>
    <row r="151" ht="19.5" customHeight="1">
      <c r="A151" s="31"/>
      <c r="B151" s="32"/>
      <c r="C151" s="19">
        <v>150.0</v>
      </c>
      <c r="D151" s="20" t="s">
        <v>463</v>
      </c>
      <c r="E151" s="20" t="s">
        <v>464</v>
      </c>
      <c r="F151" s="20" t="s">
        <v>465</v>
      </c>
      <c r="G151" s="20" t="s">
        <v>466</v>
      </c>
      <c r="H151" s="34" t="s">
        <v>40</v>
      </c>
      <c r="I151" s="21" t="s">
        <v>41</v>
      </c>
      <c r="J151" s="34"/>
      <c r="K151" s="22"/>
      <c r="L151" s="23"/>
      <c r="M151" s="41"/>
      <c r="N151" s="19">
        <f>IFERROR(__xludf.DUMMYFUNCTION("SUM(QUERY(Entregas_BD!D:L,""select G where D='""&amp;D151&amp;""'"",1))"),0.0)</f>
        <v>0</v>
      </c>
      <c r="O151" s="19">
        <f>IFERROR(__xludf.DUMMYFUNCTION("SUM(QUERY(Entregas_BD!D:L,""select H where D='""&amp;D151&amp;""'"",1))"),0.0)</f>
        <v>0</v>
      </c>
      <c r="P151" s="19">
        <f>IFERROR(__xludf.DUMMYFUNCTION("SUM(QUERY(Entregas_BD!D:L,""select I where D='""&amp;D151&amp;""'"",1))"),0.0)</f>
        <v>0</v>
      </c>
      <c r="Q151" s="19">
        <f>IFERROR(__xludf.DUMMYFUNCTION("SUM(QUERY(Entregas_BD!D:L,""select J where D='""&amp;D151&amp;""'"",1))"),0.0)</f>
        <v>0</v>
      </c>
      <c r="R151" s="24">
        <f>IFERROR(__xludf.DUMMYFUNCTION("SUM(QUERY(Entregas_BD!D:L,""select K where D='""&amp;D151&amp;""'"",1))"),0.0)</f>
        <v>0</v>
      </c>
      <c r="S151" s="24">
        <f>IFERROR(__xludf.DUMMYFUNCTION("SUM(QUERY(Entregas_BD!D:L,""select L where D='""&amp;D151&amp;""'"",1))"),0.0)</f>
        <v>0</v>
      </c>
      <c r="T151" s="19">
        <f>IFERROR(__xludf.DUMMYFUNCTION("SUM(QUERY(Entregas_BD!D:AL,""select AG where D='""&amp;D151&amp;""'"",1))"),0.0)</f>
        <v>0</v>
      </c>
      <c r="U151" s="19">
        <f>IFERROR(__xludf.DUMMYFUNCTION("SUM(QUERY(Entregas_BD!D:AL,""select AH where D='""&amp;D151&amp;""'"",1))"),0.0)</f>
        <v>0</v>
      </c>
      <c r="V151" s="19">
        <f>IFERROR(__xludf.DUMMYFUNCTION("SUM(QUERY(Entregas_BD!D:AL,""select AI where D='""&amp;D151&amp;""'"",1))"),0.0)</f>
        <v>0</v>
      </c>
      <c r="W151" s="19">
        <f>IFERROR(__xludf.DUMMYFUNCTION("SUM(QUERY(Entregas_BD!D:AL,""select AJ where D='""&amp;D151&amp;""'"",1))"),0.0)</f>
        <v>0</v>
      </c>
      <c r="X151" s="19">
        <f>IFERROR(__xludf.DUMMYFUNCTION("SUM(QUERY(Entregas_BD!D:AL,""select AL where D='""&amp;D151&amp;""'"",1))"),0.0)</f>
        <v>0</v>
      </c>
      <c r="Y151" s="19">
        <f>IFERROR(__xludf.DUMMYFUNCTION("SUM(QUERY(Entregas_BD!D:AL,""select AK where D='""&amp;D151&amp;""'"",1))"),0.0)</f>
        <v>0</v>
      </c>
      <c r="Z151" s="19">
        <v>0.0</v>
      </c>
      <c r="AA151" s="19">
        <v>0.0</v>
      </c>
      <c r="AB151" s="19">
        <v>0.0</v>
      </c>
      <c r="AC151" s="19">
        <v>0.0</v>
      </c>
      <c r="AD151" s="19">
        <v>0.0</v>
      </c>
      <c r="AE151" s="19">
        <v>0.0</v>
      </c>
      <c r="AF151" s="35" t="s">
        <v>467</v>
      </c>
      <c r="AG151" s="24">
        <f>IFERROR(__xludf.DUMMYFUNCTION("SUM(QUERY(Entregas_BD!D:W,""select U where D='""&amp;D151&amp;""'"",1))"),0.0)</f>
        <v>0</v>
      </c>
      <c r="AH151" s="24">
        <f>IFERROR(__xludf.DUMMYFUNCTION("SUM(QUERY(Entregas_BD!D:W,""select S where D='""&amp;D151&amp;""'"",1))"),0.0)</f>
        <v>0</v>
      </c>
      <c r="AI151" s="24">
        <f>IFERROR(__xludf.DUMMYFUNCTION("SUM(QUERY(Entregas_BD!D:W,""select T where D='""&amp;D151&amp;""'"",1))"),0.0)</f>
        <v>0</v>
      </c>
    </row>
    <row r="152" ht="19.5" customHeight="1">
      <c r="A152" s="7"/>
      <c r="B152" s="8"/>
      <c r="C152" s="9">
        <v>151.0</v>
      </c>
      <c r="D152" s="10" t="s">
        <v>468</v>
      </c>
      <c r="E152" s="10" t="s">
        <v>54</v>
      </c>
      <c r="F152" s="10" t="s">
        <v>45</v>
      </c>
      <c r="G152" s="10" t="s">
        <v>430</v>
      </c>
      <c r="H152" s="9" t="s">
        <v>40</v>
      </c>
      <c r="I152" s="11" t="s">
        <v>41</v>
      </c>
      <c r="J152" s="12"/>
      <c r="K152" s="28"/>
      <c r="L152" s="29"/>
      <c r="M152" s="28"/>
      <c r="N152" s="9">
        <f>IFERROR(__xludf.DUMMYFUNCTION("SUM(QUERY(Entregas_BD!D:L,""select G where D='""&amp;D152&amp;""'"",1))"),0.0)</f>
        <v>0</v>
      </c>
      <c r="O152" s="9">
        <f>IFERROR(__xludf.DUMMYFUNCTION("SUM(QUERY(Entregas_BD!D:L,""select H where D='""&amp;D152&amp;""'"",1))"),0.0)</f>
        <v>0</v>
      </c>
      <c r="P152" s="9">
        <f>IFERROR(__xludf.DUMMYFUNCTION("SUM(QUERY(Entregas_BD!D:L,""select I where D='""&amp;D152&amp;""'"",1))"),0.0)</f>
        <v>0</v>
      </c>
      <c r="Q152" s="9">
        <f>IFERROR(__xludf.DUMMYFUNCTION("SUM(QUERY(Entregas_BD!D:L,""select J where D='""&amp;D152&amp;""'"",1))"),0.0)</f>
        <v>0</v>
      </c>
      <c r="R152" s="15">
        <f>IFERROR(__xludf.DUMMYFUNCTION("SUM(QUERY(Entregas_BD!D:L,""select K where D='""&amp;D152&amp;""'"",1))"),0.0)</f>
        <v>0</v>
      </c>
      <c r="S152" s="15">
        <f>IFERROR(__xludf.DUMMYFUNCTION("SUM(QUERY(Entregas_BD!D:L,""select L where D='""&amp;D152&amp;""'"",1))"),0.0)</f>
        <v>0</v>
      </c>
      <c r="T152" s="9">
        <f>IFERROR(__xludf.DUMMYFUNCTION("SUM(QUERY(Entregas_BD!D:AL,""select AG where D='""&amp;D152&amp;""'"",1))"),200.0)</f>
        <v>200</v>
      </c>
      <c r="U152" s="9">
        <f>IFERROR(__xludf.DUMMYFUNCTION("SUM(QUERY(Entregas_BD!D:AL,""select AH where D='""&amp;D152&amp;""'"",1))"),0.0)</f>
        <v>0</v>
      </c>
      <c r="V152" s="9">
        <f>IFERROR(__xludf.DUMMYFUNCTION("SUM(QUERY(Entregas_BD!D:AL,""select AI where D='""&amp;D152&amp;""'"",1))"),0.0)</f>
        <v>0</v>
      </c>
      <c r="W152" s="9">
        <f>IFERROR(__xludf.DUMMYFUNCTION("SUM(QUERY(Entregas_BD!D:AL,""select AJ where D='""&amp;D152&amp;""'"",1))"),0.0)</f>
        <v>0</v>
      </c>
      <c r="X152" s="9">
        <f>IFERROR(__xludf.DUMMYFUNCTION("SUM(QUERY(Entregas_BD!D:AL,""select AL where D='""&amp;D152&amp;""'"",1))"),0.0)</f>
        <v>0</v>
      </c>
      <c r="Y152" s="9">
        <f>IFERROR(__xludf.DUMMYFUNCTION("SUM(QUERY(Entregas_BD!D:AL,""select AK where D='""&amp;D152&amp;""'"",1))"),0.0)</f>
        <v>0</v>
      </c>
      <c r="Z152" s="9">
        <v>-200.0</v>
      </c>
      <c r="AA152" s="9">
        <v>0.0</v>
      </c>
      <c r="AB152" s="9">
        <v>0.0</v>
      </c>
      <c r="AC152" s="9">
        <v>0.0</v>
      </c>
      <c r="AD152" s="9">
        <v>0.0</v>
      </c>
      <c r="AE152" s="9">
        <v>0.0</v>
      </c>
      <c r="AF152" s="37" t="s">
        <v>431</v>
      </c>
      <c r="AG152" s="15">
        <f>IFERROR(__xludf.DUMMYFUNCTION("SUM(QUERY(Entregas_BD!D:W,""select U where D='""&amp;D152&amp;""'"",1))"),0.0)</f>
        <v>0</v>
      </c>
      <c r="AH152" s="15">
        <f>IFERROR(__xludf.DUMMYFUNCTION("SUM(QUERY(Entregas_BD!D:W,""select S where D='""&amp;D152&amp;""'"",1))"),0.0)</f>
        <v>0</v>
      </c>
      <c r="AI152" s="15">
        <f>IFERROR(__xludf.DUMMYFUNCTION("SUM(QUERY(Entregas_BD!D:W,""select T where D='""&amp;D152&amp;""'"",1))"),0.0)</f>
        <v>0</v>
      </c>
    </row>
    <row r="153" ht="19.5" customHeight="1">
      <c r="A153" s="31"/>
      <c r="B153" s="32"/>
      <c r="C153" s="19">
        <v>152.0</v>
      </c>
      <c r="D153" s="20" t="s">
        <v>469</v>
      </c>
      <c r="E153" s="20" t="s">
        <v>54</v>
      </c>
      <c r="F153" s="20" t="s">
        <v>45</v>
      </c>
      <c r="G153" s="20" t="s">
        <v>470</v>
      </c>
      <c r="H153" s="19" t="s">
        <v>51</v>
      </c>
      <c r="I153" s="21" t="s">
        <v>41</v>
      </c>
      <c r="J153" s="48"/>
      <c r="K153" s="22"/>
      <c r="L153" s="23"/>
      <c r="M153" s="22"/>
      <c r="N153" s="19">
        <f>IFERROR(__xludf.DUMMYFUNCTION("SUM(QUERY(Entregas_BD!D:L,""select G where D='""&amp;D153&amp;""'"",1))"),0.0)</f>
        <v>0</v>
      </c>
      <c r="O153" s="19">
        <f>IFERROR(__xludf.DUMMYFUNCTION("SUM(QUERY(Entregas_BD!D:L,""select H where D='""&amp;D153&amp;""'"",1))"),0.0)</f>
        <v>0</v>
      </c>
      <c r="P153" s="19">
        <f>IFERROR(__xludf.DUMMYFUNCTION("SUM(QUERY(Entregas_BD!D:L,""select I where D='""&amp;D153&amp;""'"",1))"),0.0)</f>
        <v>0</v>
      </c>
      <c r="Q153" s="19">
        <f>IFERROR(__xludf.DUMMYFUNCTION("SUM(QUERY(Entregas_BD!D:L,""select J where D='""&amp;D153&amp;""'"",1))"),0.0)</f>
        <v>0</v>
      </c>
      <c r="R153" s="24">
        <f>IFERROR(__xludf.DUMMYFUNCTION("SUM(QUERY(Entregas_BD!D:L,""select K where D='""&amp;D153&amp;""'"",1))"),0.0)</f>
        <v>0</v>
      </c>
      <c r="S153" s="24">
        <f>IFERROR(__xludf.DUMMYFUNCTION("SUM(QUERY(Entregas_BD!D:L,""select L where D='""&amp;D153&amp;""'"",1))"),0.0)</f>
        <v>0</v>
      </c>
      <c r="T153" s="19">
        <f>IFERROR(__xludf.DUMMYFUNCTION("SUM(QUERY(Entregas_BD!D:AL,""select AG where D='""&amp;D153&amp;""'"",1))"),0.0)</f>
        <v>0</v>
      </c>
      <c r="U153" s="19">
        <f>IFERROR(__xludf.DUMMYFUNCTION("SUM(QUERY(Entregas_BD!D:AL,""select AH where D='""&amp;D153&amp;""'"",1))"),0.0)</f>
        <v>0</v>
      </c>
      <c r="V153" s="19">
        <f>IFERROR(__xludf.DUMMYFUNCTION("SUM(QUERY(Entregas_BD!D:AL,""select AI where D='""&amp;D153&amp;""'"",1))"),0.0)</f>
        <v>0</v>
      </c>
      <c r="W153" s="19">
        <f>IFERROR(__xludf.DUMMYFUNCTION("SUM(QUERY(Entregas_BD!D:AL,""select AJ where D='""&amp;D153&amp;""'"",1))"),0.0)</f>
        <v>0</v>
      </c>
      <c r="X153" s="19">
        <f>IFERROR(__xludf.DUMMYFUNCTION("SUM(QUERY(Entregas_BD!D:AL,""select AL where D='""&amp;D153&amp;""'"",1))"),0.0)</f>
        <v>0</v>
      </c>
      <c r="Y153" s="19">
        <f>IFERROR(__xludf.DUMMYFUNCTION("SUM(QUERY(Entregas_BD!D:AL,""select AK where D='""&amp;D153&amp;""'"",1))"),0.0)</f>
        <v>0</v>
      </c>
      <c r="Z153" s="19">
        <v>0.0</v>
      </c>
      <c r="AA153" s="19">
        <v>0.0</v>
      </c>
      <c r="AB153" s="19">
        <v>0.0</v>
      </c>
      <c r="AC153" s="19">
        <v>0.0</v>
      </c>
      <c r="AD153" s="19">
        <v>0.0</v>
      </c>
      <c r="AE153" s="19">
        <v>0.0</v>
      </c>
      <c r="AF153" s="35" t="s">
        <v>471</v>
      </c>
      <c r="AG153" s="24">
        <f>IFERROR(__xludf.DUMMYFUNCTION("SUM(QUERY(Entregas_BD!D:W,""select U where D='""&amp;D153&amp;""'"",1))"),0.0)</f>
        <v>0</v>
      </c>
      <c r="AH153" s="24">
        <f>IFERROR(__xludf.DUMMYFUNCTION("SUM(QUERY(Entregas_BD!D:W,""select S where D='""&amp;D153&amp;""'"",1))"),0.0)</f>
        <v>0</v>
      </c>
      <c r="AI153" s="24">
        <f>IFERROR(__xludf.DUMMYFUNCTION("SUM(QUERY(Entregas_BD!D:W,""select T where D='""&amp;D153&amp;""'"",1))"),0.0)</f>
        <v>0</v>
      </c>
    </row>
    <row r="154" ht="19.5" customHeight="1">
      <c r="A154" s="7"/>
      <c r="B154" s="8"/>
      <c r="C154" s="9">
        <v>153.0</v>
      </c>
      <c r="D154" s="10" t="s">
        <v>472</v>
      </c>
      <c r="E154" s="10" t="s">
        <v>54</v>
      </c>
      <c r="F154" s="10" t="s">
        <v>45</v>
      </c>
      <c r="G154" s="10" t="s">
        <v>430</v>
      </c>
      <c r="H154" s="9" t="s">
        <v>40</v>
      </c>
      <c r="I154" s="11" t="s">
        <v>41</v>
      </c>
      <c r="J154" s="12"/>
      <c r="K154" s="28"/>
      <c r="L154" s="29"/>
      <c r="M154" s="28"/>
      <c r="N154" s="9">
        <f>IFERROR(__xludf.DUMMYFUNCTION("SUM(QUERY(Entregas_BD!D:L,""select G where D='""&amp;D154&amp;""'"",1))"),0.0)</f>
        <v>0</v>
      </c>
      <c r="O154" s="9">
        <f>IFERROR(__xludf.DUMMYFUNCTION("SUM(QUERY(Entregas_BD!D:L,""select H where D='""&amp;D154&amp;""'"",1))"),0.0)</f>
        <v>0</v>
      </c>
      <c r="P154" s="9">
        <f>IFERROR(__xludf.DUMMYFUNCTION("SUM(QUERY(Entregas_BD!D:L,""select I where D='""&amp;D154&amp;""'"",1))"),0.0)</f>
        <v>0</v>
      </c>
      <c r="Q154" s="9">
        <f>IFERROR(__xludf.DUMMYFUNCTION("SUM(QUERY(Entregas_BD!D:L,""select J where D='""&amp;D154&amp;""'"",1))"),0.0)</f>
        <v>0</v>
      </c>
      <c r="R154" s="15">
        <f>IFERROR(__xludf.DUMMYFUNCTION("SUM(QUERY(Entregas_BD!D:L,""select K where D='""&amp;D154&amp;""'"",1))"),0.0)</f>
        <v>0</v>
      </c>
      <c r="S154" s="15">
        <f>IFERROR(__xludf.DUMMYFUNCTION("SUM(QUERY(Entregas_BD!D:L,""select L where D='""&amp;D154&amp;""'"",1))"),0.0)</f>
        <v>0</v>
      </c>
      <c r="T154" s="9">
        <f>IFERROR(__xludf.DUMMYFUNCTION("SUM(QUERY(Entregas_BD!D:AL,""select AG where D='""&amp;D154&amp;""'"",1))"),0.0)</f>
        <v>0</v>
      </c>
      <c r="U154" s="9">
        <f>IFERROR(__xludf.DUMMYFUNCTION("SUM(QUERY(Entregas_BD!D:AL,""select AH where D='""&amp;D154&amp;""'"",1))"),0.0)</f>
        <v>0</v>
      </c>
      <c r="V154" s="9">
        <f>IFERROR(__xludf.DUMMYFUNCTION("SUM(QUERY(Entregas_BD!D:AL,""select AI where D='""&amp;D154&amp;""'"",1))"),0.0)</f>
        <v>0</v>
      </c>
      <c r="W154" s="9">
        <f>IFERROR(__xludf.DUMMYFUNCTION("SUM(QUERY(Entregas_BD!D:AL,""select AJ where D='""&amp;D154&amp;""'"",1))"),0.0)</f>
        <v>0</v>
      </c>
      <c r="X154" s="9">
        <f>IFERROR(__xludf.DUMMYFUNCTION("SUM(QUERY(Entregas_BD!D:AL,""select AL where D='""&amp;D154&amp;""'"",1))"),0.0)</f>
        <v>0</v>
      </c>
      <c r="Y154" s="9">
        <f>IFERROR(__xludf.DUMMYFUNCTION("SUM(QUERY(Entregas_BD!D:AL,""select AK where D='""&amp;D154&amp;""'"",1))"),0.0)</f>
        <v>0</v>
      </c>
      <c r="Z154" s="9">
        <v>0.0</v>
      </c>
      <c r="AA154" s="9">
        <v>0.0</v>
      </c>
      <c r="AB154" s="9">
        <v>0.0</v>
      </c>
      <c r="AC154" s="9">
        <v>0.0</v>
      </c>
      <c r="AD154" s="9">
        <v>0.0</v>
      </c>
      <c r="AE154" s="9">
        <v>0.0</v>
      </c>
      <c r="AF154" s="30" t="s">
        <v>431</v>
      </c>
      <c r="AG154" s="15">
        <f>IFERROR(__xludf.DUMMYFUNCTION("SUM(QUERY(Entregas_BD!D:W,""select U where D='""&amp;D154&amp;""'"",1))"),0.0)</f>
        <v>0</v>
      </c>
      <c r="AH154" s="15">
        <f>IFERROR(__xludf.DUMMYFUNCTION("SUM(QUERY(Entregas_BD!D:W,""select S where D='""&amp;D154&amp;""'"",1))"),0.0)</f>
        <v>0</v>
      </c>
      <c r="AI154" s="15">
        <f>IFERROR(__xludf.DUMMYFUNCTION("SUM(QUERY(Entregas_BD!D:W,""select T where D='""&amp;D154&amp;""'"",1))"),0.0)</f>
        <v>0</v>
      </c>
    </row>
    <row r="155" ht="19.5" customHeight="1">
      <c r="A155" s="31"/>
      <c r="B155" s="32"/>
      <c r="C155" s="19">
        <v>154.0</v>
      </c>
      <c r="D155" s="20" t="s">
        <v>473</v>
      </c>
      <c r="E155" s="20" t="s">
        <v>153</v>
      </c>
      <c r="F155" s="50"/>
      <c r="G155" s="50"/>
      <c r="H155" s="34" t="s">
        <v>159</v>
      </c>
      <c r="I155" s="21" t="s">
        <v>41</v>
      </c>
      <c r="J155" s="34"/>
      <c r="K155" s="22"/>
      <c r="L155" s="23"/>
      <c r="M155" s="41"/>
      <c r="N155" s="19">
        <f>IFERROR(__xludf.DUMMYFUNCTION("SUM(QUERY(Entregas_BD!D:L,""select G where D='""&amp;D155&amp;""'"",1))"),0.0)</f>
        <v>0</v>
      </c>
      <c r="O155" s="19">
        <f>IFERROR(__xludf.DUMMYFUNCTION("SUM(QUERY(Entregas_BD!D:L,""select H where D='""&amp;D155&amp;""'"",1))"),0.0)</f>
        <v>0</v>
      </c>
      <c r="P155" s="19">
        <f>IFERROR(__xludf.DUMMYFUNCTION("SUM(QUERY(Entregas_BD!D:L,""select I where D='""&amp;D155&amp;""'"",1))"),0.0)</f>
        <v>0</v>
      </c>
      <c r="Q155" s="19">
        <f>IFERROR(__xludf.DUMMYFUNCTION("SUM(QUERY(Entregas_BD!D:L,""select J where D='""&amp;D155&amp;""'"",1))"),0.0)</f>
        <v>0</v>
      </c>
      <c r="R155" s="24">
        <f>IFERROR(__xludf.DUMMYFUNCTION("SUM(QUERY(Entregas_BD!D:L,""select K where D='""&amp;D155&amp;""'"",1))"),0.0)</f>
        <v>0</v>
      </c>
      <c r="S155" s="24">
        <f>IFERROR(__xludf.DUMMYFUNCTION("SUM(QUERY(Entregas_BD!D:L,""select L where D='""&amp;D155&amp;""'"",1))"),0.0)</f>
        <v>0</v>
      </c>
      <c r="T155" s="19">
        <f>IFERROR(__xludf.DUMMYFUNCTION("SUM(QUERY(Entregas_BD!D:AL,""select AG where D='""&amp;D155&amp;""'"",1))"),0.0)</f>
        <v>0</v>
      </c>
      <c r="U155" s="19">
        <f>IFERROR(__xludf.DUMMYFUNCTION("SUM(QUERY(Entregas_BD!D:AL,""select AH where D='""&amp;D155&amp;""'"",1))"),0.0)</f>
        <v>0</v>
      </c>
      <c r="V155" s="19">
        <f>IFERROR(__xludf.DUMMYFUNCTION("SUM(QUERY(Entregas_BD!D:AL,""select AI where D='""&amp;D155&amp;""'"",1))"),0.0)</f>
        <v>0</v>
      </c>
      <c r="W155" s="19">
        <f>IFERROR(__xludf.DUMMYFUNCTION("SUM(QUERY(Entregas_BD!D:AL,""select AJ where D='""&amp;D155&amp;""'"",1))"),0.0)</f>
        <v>0</v>
      </c>
      <c r="X155" s="19">
        <f>IFERROR(__xludf.DUMMYFUNCTION("SUM(QUERY(Entregas_BD!D:AL,""select AL where D='""&amp;D155&amp;""'"",1))"),0.0)</f>
        <v>0</v>
      </c>
      <c r="Y155" s="19">
        <f>IFERROR(__xludf.DUMMYFUNCTION("SUM(QUERY(Entregas_BD!D:AL,""select AK where D='""&amp;D155&amp;""'"",1))"),0.0)</f>
        <v>0</v>
      </c>
      <c r="Z155" s="19">
        <v>0.0</v>
      </c>
      <c r="AA155" s="19">
        <v>0.0</v>
      </c>
      <c r="AB155" s="19">
        <v>0.0</v>
      </c>
      <c r="AC155" s="19">
        <v>0.0</v>
      </c>
      <c r="AD155" s="19">
        <v>0.0</v>
      </c>
      <c r="AE155" s="19">
        <v>0.0</v>
      </c>
      <c r="AF155" s="51"/>
      <c r="AG155" s="24">
        <f>IFERROR(__xludf.DUMMYFUNCTION("SUM(QUERY(Entregas_BD!D:W,""select U where D='""&amp;D155&amp;""'"",1))"),0.0)</f>
        <v>0</v>
      </c>
      <c r="AH155" s="24">
        <f>IFERROR(__xludf.DUMMYFUNCTION("SUM(QUERY(Entregas_BD!D:W,""select S where D='""&amp;D155&amp;""'"",1))"),0.0)</f>
        <v>0</v>
      </c>
      <c r="AI155" s="24">
        <f>IFERROR(__xludf.DUMMYFUNCTION("SUM(QUERY(Entregas_BD!D:W,""select T where D='""&amp;D155&amp;""'"",1))"),0.0)</f>
        <v>0</v>
      </c>
    </row>
    <row r="156" ht="19.5" customHeight="1">
      <c r="A156" s="7"/>
      <c r="B156" s="8"/>
      <c r="C156" s="9">
        <v>155.0</v>
      </c>
      <c r="D156" s="10" t="s">
        <v>474</v>
      </c>
      <c r="E156" s="10" t="s">
        <v>153</v>
      </c>
      <c r="F156" s="10" t="s">
        <v>475</v>
      </c>
      <c r="G156" s="10" t="s">
        <v>476</v>
      </c>
      <c r="H156" s="12" t="s">
        <v>40</v>
      </c>
      <c r="I156" s="11" t="s">
        <v>41</v>
      </c>
      <c r="J156" s="12"/>
      <c r="K156" s="28"/>
      <c r="L156" s="29"/>
      <c r="M156" s="36"/>
      <c r="N156" s="9">
        <f>IFERROR(__xludf.DUMMYFUNCTION("SUM(QUERY(Entregas_BD!D:L,""select G where D='""&amp;D156&amp;""'"",1))"),0.0)</f>
        <v>0</v>
      </c>
      <c r="O156" s="9">
        <f>IFERROR(__xludf.DUMMYFUNCTION("SUM(QUERY(Entregas_BD!D:L,""select H where D='""&amp;D156&amp;""'"",1))"),0.0)</f>
        <v>0</v>
      </c>
      <c r="P156" s="9">
        <f>IFERROR(__xludf.DUMMYFUNCTION("SUM(QUERY(Entregas_BD!D:L,""select I where D='""&amp;D156&amp;""'"",1))"),0.0)</f>
        <v>0</v>
      </c>
      <c r="Q156" s="9">
        <f>IFERROR(__xludf.DUMMYFUNCTION("SUM(QUERY(Entregas_BD!D:L,""select J where D='""&amp;D156&amp;""'"",1))"),0.0)</f>
        <v>0</v>
      </c>
      <c r="R156" s="15">
        <f>IFERROR(__xludf.DUMMYFUNCTION("SUM(QUERY(Entregas_BD!D:L,""select K where D='""&amp;D156&amp;""'"",1))"),0.0)</f>
        <v>0</v>
      </c>
      <c r="S156" s="15">
        <f>IFERROR(__xludf.DUMMYFUNCTION("SUM(QUERY(Entregas_BD!D:L,""select L where D='""&amp;D156&amp;""'"",1))"),0.0)</f>
        <v>0</v>
      </c>
      <c r="T156" s="9">
        <f>IFERROR(__xludf.DUMMYFUNCTION("SUM(QUERY(Entregas_BD!D:AL,""select AG where D='""&amp;D156&amp;""'"",1))"),0.0)</f>
        <v>0</v>
      </c>
      <c r="U156" s="9">
        <f>IFERROR(__xludf.DUMMYFUNCTION("SUM(QUERY(Entregas_BD!D:AL,""select AH where D='""&amp;D156&amp;""'"",1))"),0.0)</f>
        <v>0</v>
      </c>
      <c r="V156" s="9">
        <f>IFERROR(__xludf.DUMMYFUNCTION("SUM(QUERY(Entregas_BD!D:AL,""select AI where D='""&amp;D156&amp;""'"",1))"),0.0)</f>
        <v>0</v>
      </c>
      <c r="W156" s="9">
        <f>IFERROR(__xludf.DUMMYFUNCTION("SUM(QUERY(Entregas_BD!D:AL,""select AJ where D='""&amp;D156&amp;""'"",1))"),0.0)</f>
        <v>0</v>
      </c>
      <c r="X156" s="9">
        <f>IFERROR(__xludf.DUMMYFUNCTION("SUM(QUERY(Entregas_BD!D:AL,""select AL where D='""&amp;D156&amp;""'"",1))"),0.0)</f>
        <v>0</v>
      </c>
      <c r="Y156" s="9">
        <f>IFERROR(__xludf.DUMMYFUNCTION("SUM(QUERY(Entregas_BD!D:AL,""select AK where D='""&amp;D156&amp;""'"",1))"),0.0)</f>
        <v>0</v>
      </c>
      <c r="Z156" s="9">
        <v>0.0</v>
      </c>
      <c r="AA156" s="9">
        <v>0.0</v>
      </c>
      <c r="AB156" s="9">
        <v>0.0</v>
      </c>
      <c r="AC156" s="9">
        <v>0.0</v>
      </c>
      <c r="AD156" s="9">
        <v>0.0</v>
      </c>
      <c r="AE156" s="9">
        <v>0.0</v>
      </c>
      <c r="AF156" s="28"/>
      <c r="AG156" s="15">
        <f>IFERROR(__xludf.DUMMYFUNCTION("SUM(QUERY(Entregas_BD!D:W,""select U where D='""&amp;D156&amp;""'"",1))"),0.0)</f>
        <v>0</v>
      </c>
      <c r="AH156" s="15">
        <f>IFERROR(__xludf.DUMMYFUNCTION("SUM(QUERY(Entregas_BD!D:W,""select S where D='""&amp;D156&amp;""'"",1))"),0.0)</f>
        <v>0</v>
      </c>
      <c r="AI156" s="15">
        <f>IFERROR(__xludf.DUMMYFUNCTION("SUM(QUERY(Entregas_BD!D:W,""select T where D='""&amp;D156&amp;""'"",1))"),0.0)</f>
        <v>0</v>
      </c>
    </row>
    <row r="157" ht="19.5" customHeight="1">
      <c r="A157" s="31"/>
      <c r="B157" s="32"/>
      <c r="C157" s="19">
        <v>156.0</v>
      </c>
      <c r="D157" s="20" t="s">
        <v>477</v>
      </c>
      <c r="E157" s="20" t="s">
        <v>72</v>
      </c>
      <c r="F157" s="20" t="s">
        <v>45</v>
      </c>
      <c r="G157" s="20" t="s">
        <v>72</v>
      </c>
      <c r="H157" s="19" t="s">
        <v>51</v>
      </c>
      <c r="I157" s="21" t="s">
        <v>41</v>
      </c>
      <c r="J157" s="34"/>
      <c r="K157" s="22"/>
      <c r="L157" s="23"/>
      <c r="M157" s="22"/>
      <c r="N157" s="19">
        <f>IFERROR(__xludf.DUMMYFUNCTION("SUM(QUERY(Entregas_BD!D:L,""select G where D='""&amp;D157&amp;""'"",1))"),0.0)</f>
        <v>0</v>
      </c>
      <c r="O157" s="19">
        <f>IFERROR(__xludf.DUMMYFUNCTION("SUM(QUERY(Entregas_BD!D:L,""select H where D='""&amp;D157&amp;""'"",1))"),0.0)</f>
        <v>0</v>
      </c>
      <c r="P157" s="19">
        <f>IFERROR(__xludf.DUMMYFUNCTION("SUM(QUERY(Entregas_BD!D:L,""select I where D='""&amp;D157&amp;""'"",1))"),0.0)</f>
        <v>0</v>
      </c>
      <c r="Q157" s="19">
        <f>IFERROR(__xludf.DUMMYFUNCTION("SUM(QUERY(Entregas_BD!D:L,""select J where D='""&amp;D157&amp;""'"",1))"),0.0)</f>
        <v>0</v>
      </c>
      <c r="R157" s="24">
        <f>IFERROR(__xludf.DUMMYFUNCTION("SUM(QUERY(Entregas_BD!D:L,""select K where D='""&amp;D157&amp;""'"",1))"),0.0)</f>
        <v>0</v>
      </c>
      <c r="S157" s="24">
        <f>IFERROR(__xludf.DUMMYFUNCTION("SUM(QUERY(Entregas_BD!D:L,""select L where D='""&amp;D157&amp;""'"",1))"),0.0)</f>
        <v>0</v>
      </c>
      <c r="T157" s="19">
        <f>IFERROR(__xludf.DUMMYFUNCTION("SUM(QUERY(Entregas_BD!D:AL,""select AG where D='""&amp;D157&amp;""'"",1))"),0.0)</f>
        <v>0</v>
      </c>
      <c r="U157" s="19">
        <f>IFERROR(__xludf.DUMMYFUNCTION("SUM(QUERY(Entregas_BD!D:AL,""select AH where D='""&amp;D157&amp;""'"",1))"),0.0)</f>
        <v>0</v>
      </c>
      <c r="V157" s="19">
        <f>IFERROR(__xludf.DUMMYFUNCTION("SUM(QUERY(Entregas_BD!D:AL,""select AI where D='""&amp;D157&amp;""'"",1))"),0.0)</f>
        <v>0</v>
      </c>
      <c r="W157" s="19">
        <f>IFERROR(__xludf.DUMMYFUNCTION("SUM(QUERY(Entregas_BD!D:AL,""select AJ where D='""&amp;D157&amp;""'"",1))"),0.0)</f>
        <v>0</v>
      </c>
      <c r="X157" s="19">
        <f>IFERROR(__xludf.DUMMYFUNCTION("SUM(QUERY(Entregas_BD!D:AL,""select AL where D='""&amp;D157&amp;""'"",1))"),0.0)</f>
        <v>0</v>
      </c>
      <c r="Y157" s="19">
        <f>IFERROR(__xludf.DUMMYFUNCTION("SUM(QUERY(Entregas_BD!D:AL,""select AK where D='""&amp;D157&amp;""'"",1))"),0.0)</f>
        <v>0</v>
      </c>
      <c r="Z157" s="19">
        <v>0.0</v>
      </c>
      <c r="AA157" s="19">
        <v>0.0</v>
      </c>
      <c r="AB157" s="19">
        <v>0.0</v>
      </c>
      <c r="AC157" s="19">
        <v>0.0</v>
      </c>
      <c r="AD157" s="19">
        <v>0.0</v>
      </c>
      <c r="AE157" s="19">
        <v>0.0</v>
      </c>
      <c r="AF157" s="51"/>
      <c r="AG157" s="24">
        <f>IFERROR(__xludf.DUMMYFUNCTION("SUM(QUERY(Entregas_BD!D:W,""select U where D='""&amp;D157&amp;""'"",1))"),0.0)</f>
        <v>0</v>
      </c>
      <c r="AH157" s="24">
        <f>IFERROR(__xludf.DUMMYFUNCTION("SUM(QUERY(Entregas_BD!D:W,""select S where D='""&amp;D157&amp;""'"",1))"),0.0)</f>
        <v>0</v>
      </c>
      <c r="AI157" s="24">
        <f>IFERROR(__xludf.DUMMYFUNCTION("SUM(QUERY(Entregas_BD!D:W,""select T where D='""&amp;D157&amp;""'"",1))"),0.0)</f>
        <v>0</v>
      </c>
    </row>
    <row r="158" ht="19.5" customHeight="1">
      <c r="A158" s="7"/>
      <c r="B158" s="8"/>
      <c r="C158" s="9">
        <v>157.0</v>
      </c>
      <c r="D158" s="10" t="s">
        <v>478</v>
      </c>
      <c r="E158" s="10" t="s">
        <v>479</v>
      </c>
      <c r="F158" s="10" t="s">
        <v>39</v>
      </c>
      <c r="G158" s="10" t="s">
        <v>480</v>
      </c>
      <c r="H158" s="12" t="s">
        <v>69</v>
      </c>
      <c r="I158" s="11" t="s">
        <v>47</v>
      </c>
      <c r="J158" s="13"/>
      <c r="K158" s="28"/>
      <c r="L158" s="29"/>
      <c r="M158" s="36"/>
      <c r="N158" s="9">
        <f>IFERROR(__xludf.DUMMYFUNCTION("SUM(QUERY(Entregas_BD!D:L,""select G where D='""&amp;D158&amp;""'"",1))"),0.0)</f>
        <v>0</v>
      </c>
      <c r="O158" s="9">
        <f>IFERROR(__xludf.DUMMYFUNCTION("SUM(QUERY(Entregas_BD!D:L,""select H where D='""&amp;D158&amp;""'"",1))"),0.0)</f>
        <v>0</v>
      </c>
      <c r="P158" s="9">
        <f>IFERROR(__xludf.DUMMYFUNCTION("SUM(QUERY(Entregas_BD!D:L,""select I where D='""&amp;D158&amp;""'"",1))"),0.0)</f>
        <v>0</v>
      </c>
      <c r="Q158" s="9">
        <f>IFERROR(__xludf.DUMMYFUNCTION("SUM(QUERY(Entregas_BD!D:L,""select J where D='""&amp;D158&amp;""'"",1))"),0.0)</f>
        <v>0</v>
      </c>
      <c r="R158" s="15">
        <f>IFERROR(__xludf.DUMMYFUNCTION("SUM(QUERY(Entregas_BD!D:L,""select K where D='""&amp;D158&amp;""'"",1))"),0.0)</f>
        <v>0</v>
      </c>
      <c r="S158" s="15">
        <f>IFERROR(__xludf.DUMMYFUNCTION("SUM(QUERY(Entregas_BD!D:L,""select L where D='""&amp;D158&amp;""'"",1))"),0.0)</f>
        <v>0</v>
      </c>
      <c r="T158" s="9">
        <f>IFERROR(__xludf.DUMMYFUNCTION("SUM(QUERY(Entregas_BD!D:AL,""select AG where D='""&amp;D158&amp;""'"",1))"),0.0)</f>
        <v>0</v>
      </c>
      <c r="U158" s="9">
        <f>IFERROR(__xludf.DUMMYFUNCTION("SUM(QUERY(Entregas_BD!D:AL,""select AH where D='""&amp;D158&amp;""'"",1))"),0.0)</f>
        <v>0</v>
      </c>
      <c r="V158" s="9">
        <f>IFERROR(__xludf.DUMMYFUNCTION("SUM(QUERY(Entregas_BD!D:AL,""select AI where D='""&amp;D158&amp;""'"",1))"),0.0)</f>
        <v>0</v>
      </c>
      <c r="W158" s="9">
        <f>IFERROR(__xludf.DUMMYFUNCTION("SUM(QUERY(Entregas_BD!D:AL,""select AJ where D='""&amp;D158&amp;""'"",1))"),0.0)</f>
        <v>0</v>
      </c>
      <c r="X158" s="9">
        <f>IFERROR(__xludf.DUMMYFUNCTION("SUM(QUERY(Entregas_BD!D:AL,""select AL where D='""&amp;D158&amp;""'"",1))"),0.0)</f>
        <v>0</v>
      </c>
      <c r="Y158" s="9">
        <f>IFERROR(__xludf.DUMMYFUNCTION("SUM(QUERY(Entregas_BD!D:AL,""select AK where D='""&amp;D158&amp;""'"",1))"),0.0)</f>
        <v>0</v>
      </c>
      <c r="Z158" s="9">
        <v>0.0</v>
      </c>
      <c r="AA158" s="9">
        <v>0.0</v>
      </c>
      <c r="AB158" s="9">
        <v>0.0</v>
      </c>
      <c r="AC158" s="9">
        <v>0.0</v>
      </c>
      <c r="AD158" s="9">
        <v>0.0</v>
      </c>
      <c r="AE158" s="9">
        <v>0.0</v>
      </c>
      <c r="AF158" s="28"/>
      <c r="AG158" s="15">
        <f>IFERROR(__xludf.DUMMYFUNCTION("SUM(QUERY(Entregas_BD!D:W,""select U where D='""&amp;D158&amp;""'"",1))"),0.0)</f>
        <v>0</v>
      </c>
      <c r="AH158" s="15">
        <f>IFERROR(__xludf.DUMMYFUNCTION("SUM(QUERY(Entregas_BD!D:W,""select S where D='""&amp;D158&amp;""'"",1))"),0.0)</f>
        <v>0</v>
      </c>
      <c r="AI158" s="15">
        <f>IFERROR(__xludf.DUMMYFUNCTION("SUM(QUERY(Entregas_BD!D:W,""select T where D='""&amp;D158&amp;""'"",1))"),0.0)</f>
        <v>0</v>
      </c>
    </row>
    <row r="159" ht="19.5" customHeight="1">
      <c r="A159" s="17"/>
      <c r="B159" s="18"/>
      <c r="C159" s="19">
        <v>158.0</v>
      </c>
      <c r="D159" s="20" t="s">
        <v>481</v>
      </c>
      <c r="E159" s="20" t="s">
        <v>44</v>
      </c>
      <c r="F159" s="20" t="s">
        <v>45</v>
      </c>
      <c r="G159" s="20" t="s">
        <v>112</v>
      </c>
      <c r="H159" s="19" t="s">
        <v>51</v>
      </c>
      <c r="I159" s="21" t="s">
        <v>41</v>
      </c>
      <c r="J159" s="19"/>
      <c r="K159" s="22"/>
      <c r="L159" s="23"/>
      <c r="M159" s="22"/>
      <c r="N159" s="19">
        <f>IFERROR(__xludf.DUMMYFUNCTION("SUM(QUERY(Entregas_BD!D:L,""select G where D='""&amp;D159&amp;""'"",1))"),0.0)</f>
        <v>0</v>
      </c>
      <c r="O159" s="19">
        <f>IFERROR(__xludf.DUMMYFUNCTION("SUM(QUERY(Entregas_BD!D:L,""select H where D='""&amp;D159&amp;""'"",1))"),0.0)</f>
        <v>0</v>
      </c>
      <c r="P159" s="19">
        <f>IFERROR(__xludf.DUMMYFUNCTION("SUM(QUERY(Entregas_BD!D:L,""select I where D='""&amp;D159&amp;""'"",1))"),0.0)</f>
        <v>0</v>
      </c>
      <c r="Q159" s="19">
        <f>IFERROR(__xludf.DUMMYFUNCTION("SUM(QUERY(Entregas_BD!D:L,""select J where D='""&amp;D159&amp;""'"",1))"),0.0)</f>
        <v>0</v>
      </c>
      <c r="R159" s="24">
        <f>IFERROR(__xludf.DUMMYFUNCTION("SUM(QUERY(Entregas_BD!D:L,""select K where D='""&amp;D159&amp;""'"",1))"),0.0)</f>
        <v>0</v>
      </c>
      <c r="S159" s="24">
        <f>IFERROR(__xludf.DUMMYFUNCTION("SUM(QUERY(Entregas_BD!D:L,""select L where D='""&amp;D159&amp;""'"",1))"),0.0)</f>
        <v>0</v>
      </c>
      <c r="T159" s="19">
        <f>IFERROR(__xludf.DUMMYFUNCTION("SUM(QUERY(Entregas_BD!D:AL,""select AG where D='""&amp;D159&amp;""'"",1))"),0.0)</f>
        <v>0</v>
      </c>
      <c r="U159" s="19">
        <f>IFERROR(__xludf.DUMMYFUNCTION("SUM(QUERY(Entregas_BD!D:AL,""select AH where D='""&amp;D159&amp;""'"",1))"),0.0)</f>
        <v>0</v>
      </c>
      <c r="V159" s="19">
        <f>IFERROR(__xludf.DUMMYFUNCTION("SUM(QUERY(Entregas_BD!D:AL,""select AI where D='""&amp;D159&amp;""'"",1))"),0.0)</f>
        <v>0</v>
      </c>
      <c r="W159" s="19">
        <f>IFERROR(__xludf.DUMMYFUNCTION("SUM(QUERY(Entregas_BD!D:AL,""select AJ where D='""&amp;D159&amp;""'"",1))"),0.0)</f>
        <v>0</v>
      </c>
      <c r="X159" s="19">
        <f>IFERROR(__xludf.DUMMYFUNCTION("SUM(QUERY(Entregas_BD!D:AL,""select AL where D='""&amp;D159&amp;""'"",1))"),0.0)</f>
        <v>0</v>
      </c>
      <c r="Y159" s="19">
        <f>IFERROR(__xludf.DUMMYFUNCTION("SUM(QUERY(Entregas_BD!D:AL,""select AK where D='""&amp;D159&amp;""'"",1))"),0.0)</f>
        <v>0</v>
      </c>
      <c r="Z159" s="19">
        <v>0.0</v>
      </c>
      <c r="AA159" s="19">
        <v>0.0</v>
      </c>
      <c r="AB159" s="19">
        <v>0.0</v>
      </c>
      <c r="AC159" s="19">
        <v>0.0</v>
      </c>
      <c r="AD159" s="19">
        <v>0.0</v>
      </c>
      <c r="AE159" s="19">
        <v>0.0</v>
      </c>
      <c r="AF159" s="51"/>
      <c r="AG159" s="24">
        <f>IFERROR(__xludf.DUMMYFUNCTION("SUM(QUERY(Entregas_BD!D:W,""select U where D='""&amp;D159&amp;""'"",1))"),0.0)</f>
        <v>0</v>
      </c>
      <c r="AH159" s="24">
        <f>IFERROR(__xludf.DUMMYFUNCTION("SUM(QUERY(Entregas_BD!D:W,""select S where D='""&amp;D159&amp;""'"",1))"),0.0)</f>
        <v>0</v>
      </c>
      <c r="AI159" s="24">
        <f>IFERROR(__xludf.DUMMYFUNCTION("SUM(QUERY(Entregas_BD!D:W,""select T where D='""&amp;D159&amp;""'"",1))"),0.0)</f>
        <v>0</v>
      </c>
    </row>
    <row r="160" ht="19.5" customHeight="1">
      <c r="A160" s="7"/>
      <c r="B160" s="8"/>
      <c r="C160" s="9">
        <v>159.0</v>
      </c>
      <c r="D160" s="10" t="s">
        <v>482</v>
      </c>
      <c r="E160" s="10" t="s">
        <v>58</v>
      </c>
      <c r="F160" s="10" t="s">
        <v>45</v>
      </c>
      <c r="G160" s="10" t="s">
        <v>59</v>
      </c>
      <c r="H160" s="9" t="s">
        <v>51</v>
      </c>
      <c r="I160" s="11" t="s">
        <v>47</v>
      </c>
      <c r="J160" s="9"/>
      <c r="K160" s="28"/>
      <c r="L160" s="29"/>
      <c r="M160" s="28"/>
      <c r="N160" s="9">
        <f>IFERROR(__xludf.DUMMYFUNCTION("SUM(QUERY(Entregas_BD!D:L,""select G where D='""&amp;D160&amp;""'"",1))"),0.0)</f>
        <v>0</v>
      </c>
      <c r="O160" s="9">
        <f>IFERROR(__xludf.DUMMYFUNCTION("SUM(QUERY(Entregas_BD!D:L,""select H where D='""&amp;D160&amp;""'"",1))"),0.0)</f>
        <v>0</v>
      </c>
      <c r="P160" s="9">
        <f>IFERROR(__xludf.DUMMYFUNCTION("SUM(QUERY(Entregas_BD!D:L,""select I where D='""&amp;D160&amp;""'"",1))"),0.0)</f>
        <v>0</v>
      </c>
      <c r="Q160" s="9">
        <f>IFERROR(__xludf.DUMMYFUNCTION("SUM(QUERY(Entregas_BD!D:L,""select J where D='""&amp;D160&amp;""'"",1))"),0.0)</f>
        <v>0</v>
      </c>
      <c r="R160" s="15">
        <f>IFERROR(__xludf.DUMMYFUNCTION("SUM(QUERY(Entregas_BD!D:L,""select K where D='""&amp;D160&amp;""'"",1))"),0.0)</f>
        <v>0</v>
      </c>
      <c r="S160" s="15">
        <f>IFERROR(__xludf.DUMMYFUNCTION("SUM(QUERY(Entregas_BD!D:L,""select L where D='""&amp;D160&amp;""'"",1))"),0.0)</f>
        <v>0</v>
      </c>
      <c r="T160" s="9">
        <f>IFERROR(__xludf.DUMMYFUNCTION("SUM(QUERY(Entregas_BD!D:AL,""select AG where D='""&amp;D160&amp;""'"",1))"),0.0)</f>
        <v>0</v>
      </c>
      <c r="U160" s="9">
        <f>IFERROR(__xludf.DUMMYFUNCTION("SUM(QUERY(Entregas_BD!D:AL,""select AH where D='""&amp;D160&amp;""'"",1))"),0.0)</f>
        <v>0</v>
      </c>
      <c r="V160" s="9">
        <f>IFERROR(__xludf.DUMMYFUNCTION("SUM(QUERY(Entregas_BD!D:AL,""select AI where D='""&amp;D160&amp;""'"",1))"),0.0)</f>
        <v>0</v>
      </c>
      <c r="W160" s="9">
        <f>IFERROR(__xludf.DUMMYFUNCTION("SUM(QUERY(Entregas_BD!D:AL,""select AJ where D='""&amp;D160&amp;""'"",1))"),0.0)</f>
        <v>0</v>
      </c>
      <c r="X160" s="9">
        <f>IFERROR(__xludf.DUMMYFUNCTION("SUM(QUERY(Entregas_BD!D:AL,""select AL where D='""&amp;D160&amp;""'"",1))"),0.0)</f>
        <v>0</v>
      </c>
      <c r="Y160" s="9">
        <f>IFERROR(__xludf.DUMMYFUNCTION("SUM(QUERY(Entregas_BD!D:AL,""select AK where D='""&amp;D160&amp;""'"",1))"),0.0)</f>
        <v>0</v>
      </c>
      <c r="Z160" s="9">
        <v>0.0</v>
      </c>
      <c r="AA160" s="9">
        <v>0.0</v>
      </c>
      <c r="AB160" s="9">
        <v>0.0</v>
      </c>
      <c r="AC160" s="9">
        <v>0.0</v>
      </c>
      <c r="AD160" s="9">
        <v>0.0</v>
      </c>
      <c r="AE160" s="9">
        <v>0.0</v>
      </c>
      <c r="AF160" s="52"/>
      <c r="AG160" s="15">
        <f>IFERROR(__xludf.DUMMYFUNCTION("SUM(QUERY(Entregas_BD!D:W,""select U where D='""&amp;D160&amp;""'"",1))"),0.0)</f>
        <v>0</v>
      </c>
      <c r="AH160" s="15">
        <f>IFERROR(__xludf.DUMMYFUNCTION("SUM(QUERY(Entregas_BD!D:W,""select S where D='""&amp;D160&amp;""'"",1))"),0.0)</f>
        <v>0</v>
      </c>
      <c r="AI160" s="15">
        <f>IFERROR(__xludf.DUMMYFUNCTION("SUM(QUERY(Entregas_BD!D:W,""select T where D='""&amp;D160&amp;""'"",1))"),0.0)</f>
        <v>0</v>
      </c>
    </row>
    <row r="161" ht="19.5" customHeight="1">
      <c r="A161" s="31"/>
      <c r="B161" s="32"/>
      <c r="C161" s="19">
        <v>160.0</v>
      </c>
      <c r="D161" s="20" t="s">
        <v>483</v>
      </c>
      <c r="E161" s="20" t="s">
        <v>58</v>
      </c>
      <c r="F161" s="20" t="s">
        <v>45</v>
      </c>
      <c r="G161" s="20" t="s">
        <v>136</v>
      </c>
      <c r="H161" s="19" t="s">
        <v>51</v>
      </c>
      <c r="I161" s="21" t="s">
        <v>47</v>
      </c>
      <c r="J161" s="19"/>
      <c r="K161" s="22"/>
      <c r="L161" s="23"/>
      <c r="M161" s="22"/>
      <c r="N161" s="19">
        <f>IFERROR(__xludf.DUMMYFUNCTION("SUM(QUERY(Entregas_BD!D:L,""select G where D='""&amp;D161&amp;""'"",1))"),0.0)</f>
        <v>0</v>
      </c>
      <c r="O161" s="19">
        <f>IFERROR(__xludf.DUMMYFUNCTION("SUM(QUERY(Entregas_BD!D:L,""select H where D='""&amp;D161&amp;""'"",1))"),0.0)</f>
        <v>0</v>
      </c>
      <c r="P161" s="19">
        <f>IFERROR(__xludf.DUMMYFUNCTION("SUM(QUERY(Entregas_BD!D:L,""select I where D='""&amp;D161&amp;""'"",1))"),0.0)</f>
        <v>0</v>
      </c>
      <c r="Q161" s="19">
        <f>IFERROR(__xludf.DUMMYFUNCTION("SUM(QUERY(Entregas_BD!D:L,""select J where D='""&amp;D161&amp;""'"",1))"),0.0)</f>
        <v>0</v>
      </c>
      <c r="R161" s="24">
        <f>IFERROR(__xludf.DUMMYFUNCTION("SUM(QUERY(Entregas_BD!D:L,""select K where D='""&amp;D161&amp;""'"",1))"),0.0)</f>
        <v>0</v>
      </c>
      <c r="S161" s="24">
        <f>IFERROR(__xludf.DUMMYFUNCTION("SUM(QUERY(Entregas_BD!D:L,""select L where D='""&amp;D161&amp;""'"",1))"),0.0)</f>
        <v>0</v>
      </c>
      <c r="T161" s="19">
        <f>IFERROR(__xludf.DUMMYFUNCTION("SUM(QUERY(Entregas_BD!D:AL,""select AG where D='""&amp;D161&amp;""'"",1))"),0.0)</f>
        <v>0</v>
      </c>
      <c r="U161" s="19">
        <f>IFERROR(__xludf.DUMMYFUNCTION("SUM(QUERY(Entregas_BD!D:AL,""select AH where D='""&amp;D161&amp;""'"",1))"),0.0)</f>
        <v>0</v>
      </c>
      <c r="V161" s="19">
        <f>IFERROR(__xludf.DUMMYFUNCTION("SUM(QUERY(Entregas_BD!D:AL,""select AI where D='""&amp;D161&amp;""'"",1))"),0.0)</f>
        <v>0</v>
      </c>
      <c r="W161" s="19">
        <f>IFERROR(__xludf.DUMMYFUNCTION("SUM(QUERY(Entregas_BD!D:AL,""select AJ where D='""&amp;D161&amp;""'"",1))"),0.0)</f>
        <v>0</v>
      </c>
      <c r="X161" s="19">
        <f>IFERROR(__xludf.DUMMYFUNCTION("SUM(QUERY(Entregas_BD!D:AL,""select AL where D='""&amp;D161&amp;""'"",1))"),0.0)</f>
        <v>0</v>
      </c>
      <c r="Y161" s="19">
        <f>IFERROR(__xludf.DUMMYFUNCTION("SUM(QUERY(Entregas_BD!D:AL,""select AK where D='""&amp;D161&amp;""'"",1))"),0.0)</f>
        <v>0</v>
      </c>
      <c r="Z161" s="19">
        <v>0.0</v>
      </c>
      <c r="AA161" s="19">
        <v>0.0</v>
      </c>
      <c r="AB161" s="19">
        <v>0.0</v>
      </c>
      <c r="AC161" s="19">
        <v>0.0</v>
      </c>
      <c r="AD161" s="19">
        <v>0.0</v>
      </c>
      <c r="AE161" s="19">
        <v>0.0</v>
      </c>
      <c r="AF161" s="51"/>
      <c r="AG161" s="24">
        <f>IFERROR(__xludf.DUMMYFUNCTION("SUM(QUERY(Entregas_BD!D:W,""select U where D='""&amp;D161&amp;""'"",1))"),0.0)</f>
        <v>0</v>
      </c>
      <c r="AH161" s="24">
        <f>IFERROR(__xludf.DUMMYFUNCTION("SUM(QUERY(Entregas_BD!D:W,""select S where D='""&amp;D161&amp;""'"",1))"),0.0)</f>
        <v>0</v>
      </c>
      <c r="AI161" s="24">
        <f>IFERROR(__xludf.DUMMYFUNCTION("SUM(QUERY(Entregas_BD!D:W,""select T where D='""&amp;D161&amp;""'"",1))"),0.0)</f>
        <v>0</v>
      </c>
    </row>
    <row r="162" ht="19.5" customHeight="1">
      <c r="A162" s="7"/>
      <c r="B162" s="8"/>
      <c r="C162" s="9">
        <v>161.0</v>
      </c>
      <c r="D162" s="10" t="s">
        <v>484</v>
      </c>
      <c r="E162" s="10" t="s">
        <v>54</v>
      </c>
      <c r="F162" s="10" t="s">
        <v>45</v>
      </c>
      <c r="G162" s="10" t="s">
        <v>430</v>
      </c>
      <c r="H162" s="9" t="s">
        <v>51</v>
      </c>
      <c r="I162" s="11" t="s">
        <v>41</v>
      </c>
      <c r="J162" s="12"/>
      <c r="K162" s="28"/>
      <c r="L162" s="29"/>
      <c r="M162" s="28"/>
      <c r="N162" s="9">
        <f>IFERROR(__xludf.DUMMYFUNCTION("SUM(QUERY(Entregas_BD!D:L,""select G where D='""&amp;D162&amp;""'"",1))"),0.0)</f>
        <v>0</v>
      </c>
      <c r="O162" s="9">
        <f>IFERROR(__xludf.DUMMYFUNCTION("SUM(QUERY(Entregas_BD!D:L,""select H where D='""&amp;D162&amp;""'"",1))"),0.0)</f>
        <v>0</v>
      </c>
      <c r="P162" s="9">
        <f>IFERROR(__xludf.DUMMYFUNCTION("SUM(QUERY(Entregas_BD!D:L,""select I where D='""&amp;D162&amp;""'"",1))"),0.0)</f>
        <v>0</v>
      </c>
      <c r="Q162" s="9">
        <f>IFERROR(__xludf.DUMMYFUNCTION("SUM(QUERY(Entregas_BD!D:L,""select J where D='""&amp;D162&amp;""'"",1))"),0.0)</f>
        <v>0</v>
      </c>
      <c r="R162" s="15">
        <f>IFERROR(__xludf.DUMMYFUNCTION("SUM(QUERY(Entregas_BD!D:L,""select K where D='""&amp;D162&amp;""'"",1))"),0.0)</f>
        <v>0</v>
      </c>
      <c r="S162" s="15">
        <f>IFERROR(__xludf.DUMMYFUNCTION("SUM(QUERY(Entregas_BD!D:L,""select L where D='""&amp;D162&amp;""'"",1))"),0.0)</f>
        <v>0</v>
      </c>
      <c r="T162" s="9">
        <f>IFERROR(__xludf.DUMMYFUNCTION("SUM(QUERY(Entregas_BD!D:AL,""select AG where D='""&amp;D162&amp;""'"",1))"),0.0)</f>
        <v>0</v>
      </c>
      <c r="U162" s="9">
        <f>IFERROR(__xludf.DUMMYFUNCTION("SUM(QUERY(Entregas_BD!D:AL,""select AH where D='""&amp;D162&amp;""'"",1))"),0.0)</f>
        <v>0</v>
      </c>
      <c r="V162" s="9">
        <f>IFERROR(__xludf.DUMMYFUNCTION("SUM(QUERY(Entregas_BD!D:AL,""select AI where D='""&amp;D162&amp;""'"",1))"),0.0)</f>
        <v>0</v>
      </c>
      <c r="W162" s="9">
        <f>IFERROR(__xludf.DUMMYFUNCTION("SUM(QUERY(Entregas_BD!D:AL,""select AJ where D='""&amp;D162&amp;""'"",1))"),0.0)</f>
        <v>0</v>
      </c>
      <c r="X162" s="9">
        <f>IFERROR(__xludf.DUMMYFUNCTION("SUM(QUERY(Entregas_BD!D:AL,""select AL where D='""&amp;D162&amp;""'"",1))"),0.0)</f>
        <v>0</v>
      </c>
      <c r="Y162" s="9">
        <f>IFERROR(__xludf.DUMMYFUNCTION("SUM(QUERY(Entregas_BD!D:AL,""select AK where D='""&amp;D162&amp;""'"",1))"),0.0)</f>
        <v>0</v>
      </c>
      <c r="Z162" s="9">
        <v>0.0</v>
      </c>
      <c r="AA162" s="9">
        <v>0.0</v>
      </c>
      <c r="AB162" s="9">
        <v>0.0</v>
      </c>
      <c r="AC162" s="9">
        <v>0.0</v>
      </c>
      <c r="AD162" s="9">
        <v>0.0</v>
      </c>
      <c r="AE162" s="9">
        <v>0.0</v>
      </c>
      <c r="AF162" s="28"/>
      <c r="AG162" s="15">
        <f>IFERROR(__xludf.DUMMYFUNCTION("SUM(QUERY(Entregas_BD!D:W,""select U where D='""&amp;D162&amp;""'"",1))"),0.0)</f>
        <v>0</v>
      </c>
      <c r="AH162" s="15">
        <f>IFERROR(__xludf.DUMMYFUNCTION("SUM(QUERY(Entregas_BD!D:W,""select S where D='""&amp;D162&amp;""'"",1))"),0.0)</f>
        <v>0</v>
      </c>
      <c r="AI162" s="15">
        <f>IFERROR(__xludf.DUMMYFUNCTION("SUM(QUERY(Entregas_BD!D:W,""select T where D='""&amp;D162&amp;""'"",1))"),0.0)</f>
        <v>0</v>
      </c>
    </row>
    <row r="163" ht="19.5" customHeight="1">
      <c r="A163" s="31"/>
      <c r="B163" s="32"/>
      <c r="C163" s="19">
        <v>162.0</v>
      </c>
      <c r="D163" s="20" t="s">
        <v>485</v>
      </c>
      <c r="E163" s="20" t="s">
        <v>153</v>
      </c>
      <c r="F163" s="20" t="s">
        <v>486</v>
      </c>
      <c r="G163" s="20" t="s">
        <v>486</v>
      </c>
      <c r="H163" s="34" t="s">
        <v>40</v>
      </c>
      <c r="I163" s="21" t="s">
        <v>41</v>
      </c>
      <c r="J163" s="34"/>
      <c r="K163" s="22"/>
      <c r="L163" s="23"/>
      <c r="M163" s="41"/>
      <c r="N163" s="19">
        <f>IFERROR(__xludf.DUMMYFUNCTION("SUM(QUERY(Entregas_BD!D:L,""select G where D='""&amp;D163&amp;""'"",1))"),0.0)</f>
        <v>0</v>
      </c>
      <c r="O163" s="19">
        <f>IFERROR(__xludf.DUMMYFUNCTION("SUM(QUERY(Entregas_BD!D:L,""select H where D='""&amp;D163&amp;""'"",1))"),0.0)</f>
        <v>0</v>
      </c>
      <c r="P163" s="19">
        <f>IFERROR(__xludf.DUMMYFUNCTION("SUM(QUERY(Entregas_BD!D:L,""select I where D='""&amp;D163&amp;""'"",1))"),0.0)</f>
        <v>0</v>
      </c>
      <c r="Q163" s="19">
        <f>IFERROR(__xludf.DUMMYFUNCTION("SUM(QUERY(Entregas_BD!D:L,""select J where D='""&amp;D163&amp;""'"",1))"),0.0)</f>
        <v>0</v>
      </c>
      <c r="R163" s="24">
        <f>IFERROR(__xludf.DUMMYFUNCTION("SUM(QUERY(Entregas_BD!D:L,""select K where D='""&amp;D163&amp;""'"",1))"),0.0)</f>
        <v>0</v>
      </c>
      <c r="S163" s="24">
        <f>IFERROR(__xludf.DUMMYFUNCTION("SUM(QUERY(Entregas_BD!D:L,""select L where D='""&amp;D163&amp;""'"",1))"),0.0)</f>
        <v>0</v>
      </c>
      <c r="T163" s="19">
        <f>IFERROR(__xludf.DUMMYFUNCTION("SUM(QUERY(Entregas_BD!D:AL,""select AG where D='""&amp;D163&amp;""'"",1))"),0.0)</f>
        <v>0</v>
      </c>
      <c r="U163" s="19">
        <f>IFERROR(__xludf.DUMMYFUNCTION("SUM(QUERY(Entregas_BD!D:AL,""select AH where D='""&amp;D163&amp;""'"",1))"),0.0)</f>
        <v>0</v>
      </c>
      <c r="V163" s="19">
        <f>IFERROR(__xludf.DUMMYFUNCTION("SUM(QUERY(Entregas_BD!D:AL,""select AI where D='""&amp;D163&amp;""'"",1))"),0.0)</f>
        <v>0</v>
      </c>
      <c r="W163" s="19">
        <f>IFERROR(__xludf.DUMMYFUNCTION("SUM(QUERY(Entregas_BD!D:AL,""select AJ where D='""&amp;D163&amp;""'"",1))"),0.0)</f>
        <v>0</v>
      </c>
      <c r="X163" s="19">
        <f>IFERROR(__xludf.DUMMYFUNCTION("SUM(QUERY(Entregas_BD!D:AL,""select AL where D='""&amp;D163&amp;""'"",1))"),0.0)</f>
        <v>0</v>
      </c>
      <c r="Y163" s="19">
        <f>IFERROR(__xludf.DUMMYFUNCTION("SUM(QUERY(Entregas_BD!D:AL,""select AK where D='""&amp;D163&amp;""'"",1))"),0.0)</f>
        <v>0</v>
      </c>
      <c r="Z163" s="19">
        <v>0.0</v>
      </c>
      <c r="AA163" s="19">
        <v>0.0</v>
      </c>
      <c r="AB163" s="19">
        <v>0.0</v>
      </c>
      <c r="AC163" s="19">
        <v>0.0</v>
      </c>
      <c r="AD163" s="19">
        <v>0.0</v>
      </c>
      <c r="AE163" s="19">
        <v>0.0</v>
      </c>
      <c r="AF163" s="51"/>
      <c r="AG163" s="24">
        <f>IFERROR(__xludf.DUMMYFUNCTION("SUM(QUERY(Entregas_BD!D:W,""select U where D='""&amp;D163&amp;""'"",1))"),0.0)</f>
        <v>0</v>
      </c>
      <c r="AH163" s="24">
        <f>IFERROR(__xludf.DUMMYFUNCTION("SUM(QUERY(Entregas_BD!D:W,""select S where D='""&amp;D163&amp;""'"",1))"),0.0)</f>
        <v>0</v>
      </c>
      <c r="AI163" s="24">
        <f>IFERROR(__xludf.DUMMYFUNCTION("SUM(QUERY(Entregas_BD!D:W,""select T where D='""&amp;D163&amp;""'"",1))"),0.0)</f>
        <v>0</v>
      </c>
    </row>
    <row r="164" ht="19.5" customHeight="1">
      <c r="A164" s="7"/>
      <c r="B164" s="8"/>
      <c r="C164" s="9">
        <v>163.0</v>
      </c>
      <c r="D164" s="10" t="s">
        <v>487</v>
      </c>
      <c r="E164" s="10" t="s">
        <v>72</v>
      </c>
      <c r="F164" s="10" t="s">
        <v>45</v>
      </c>
      <c r="G164" s="10" t="s">
        <v>149</v>
      </c>
      <c r="H164" s="9" t="s">
        <v>51</v>
      </c>
      <c r="I164" s="11" t="s">
        <v>41</v>
      </c>
      <c r="J164" s="12"/>
      <c r="K164" s="28"/>
      <c r="L164" s="29"/>
      <c r="M164" s="28"/>
      <c r="N164" s="9">
        <f>IFERROR(__xludf.DUMMYFUNCTION("SUM(QUERY(Entregas_BD!D:L,""select G where D='""&amp;D164&amp;""'"",1))"),0.0)</f>
        <v>0</v>
      </c>
      <c r="O164" s="9">
        <f>IFERROR(__xludf.DUMMYFUNCTION("SUM(QUERY(Entregas_BD!D:L,""select H where D='""&amp;D164&amp;""'"",1))"),0.0)</f>
        <v>0</v>
      </c>
      <c r="P164" s="9">
        <f>IFERROR(__xludf.DUMMYFUNCTION("SUM(QUERY(Entregas_BD!D:L,""select I where D='""&amp;D164&amp;""'"",1))"),0.0)</f>
        <v>0</v>
      </c>
      <c r="Q164" s="9">
        <f>IFERROR(__xludf.DUMMYFUNCTION("SUM(QUERY(Entregas_BD!D:L,""select J where D='""&amp;D164&amp;""'"",1))"),0.0)</f>
        <v>0</v>
      </c>
      <c r="R164" s="15">
        <f>IFERROR(__xludf.DUMMYFUNCTION("SUM(QUERY(Entregas_BD!D:L,""select K where D='""&amp;D164&amp;""'"",1))"),0.0)</f>
        <v>0</v>
      </c>
      <c r="S164" s="15">
        <f>IFERROR(__xludf.DUMMYFUNCTION("SUM(QUERY(Entregas_BD!D:L,""select L where D='""&amp;D164&amp;""'"",1))"),0.0)</f>
        <v>0</v>
      </c>
      <c r="T164" s="9">
        <f>IFERROR(__xludf.DUMMYFUNCTION("SUM(QUERY(Entregas_BD!D:AL,""select AG where D='""&amp;D164&amp;""'"",1))"),0.0)</f>
        <v>0</v>
      </c>
      <c r="U164" s="9">
        <f>IFERROR(__xludf.DUMMYFUNCTION("SUM(QUERY(Entregas_BD!D:AL,""select AH where D='""&amp;D164&amp;""'"",1))"),0.0)</f>
        <v>0</v>
      </c>
      <c r="V164" s="9">
        <f>IFERROR(__xludf.DUMMYFUNCTION("SUM(QUERY(Entregas_BD!D:AL,""select AI where D='""&amp;D164&amp;""'"",1))"),0.0)</f>
        <v>0</v>
      </c>
      <c r="W164" s="9">
        <f>IFERROR(__xludf.DUMMYFUNCTION("SUM(QUERY(Entregas_BD!D:AL,""select AJ where D='""&amp;D164&amp;""'"",1))"),0.0)</f>
        <v>0</v>
      </c>
      <c r="X164" s="9">
        <f>IFERROR(__xludf.DUMMYFUNCTION("SUM(QUERY(Entregas_BD!D:AL,""select AL where D='""&amp;D164&amp;""'"",1))"),0.0)</f>
        <v>0</v>
      </c>
      <c r="Y164" s="9">
        <f>IFERROR(__xludf.DUMMYFUNCTION("SUM(QUERY(Entregas_BD!D:AL,""select AK where D='""&amp;D164&amp;""'"",1))"),0.0)</f>
        <v>0</v>
      </c>
      <c r="Z164" s="9">
        <v>0.0</v>
      </c>
      <c r="AA164" s="9">
        <v>0.0</v>
      </c>
      <c r="AB164" s="9">
        <v>0.0</v>
      </c>
      <c r="AC164" s="9">
        <v>0.0</v>
      </c>
      <c r="AD164" s="9">
        <v>0.0</v>
      </c>
      <c r="AE164" s="9">
        <v>0.0</v>
      </c>
      <c r="AF164" s="28"/>
      <c r="AG164" s="15">
        <f>IFERROR(__xludf.DUMMYFUNCTION("SUM(QUERY(Entregas_BD!D:W,""select U where D='""&amp;D164&amp;""'"",1))"),0.0)</f>
        <v>0</v>
      </c>
      <c r="AH164" s="15">
        <f>IFERROR(__xludf.DUMMYFUNCTION("SUM(QUERY(Entregas_BD!D:W,""select S where D='""&amp;D164&amp;""'"",1))"),0.0)</f>
        <v>0</v>
      </c>
      <c r="AI164" s="15">
        <f>IFERROR(__xludf.DUMMYFUNCTION("SUM(QUERY(Entregas_BD!D:W,""select T where D='""&amp;D164&amp;""'"",1))"),0.0)</f>
        <v>0</v>
      </c>
    </row>
    <row r="165" ht="19.5" customHeight="1">
      <c r="A165" s="31"/>
      <c r="B165" s="32"/>
      <c r="C165" s="19">
        <v>164.0</v>
      </c>
      <c r="D165" s="20" t="s">
        <v>488</v>
      </c>
      <c r="E165" s="20" t="s">
        <v>197</v>
      </c>
      <c r="F165" s="50"/>
      <c r="G165" s="20" t="s">
        <v>489</v>
      </c>
      <c r="H165" s="19" t="s">
        <v>51</v>
      </c>
      <c r="I165" s="21" t="s">
        <v>47</v>
      </c>
      <c r="J165" s="34"/>
      <c r="K165" s="22"/>
      <c r="L165" s="23"/>
      <c r="M165" s="41"/>
      <c r="N165" s="19">
        <f>IFERROR(__xludf.DUMMYFUNCTION("SUM(QUERY(Entregas_BD!D:L,""select G where D='""&amp;D165&amp;""'"",1))"),0.0)</f>
        <v>0</v>
      </c>
      <c r="O165" s="19">
        <f>IFERROR(__xludf.DUMMYFUNCTION("SUM(QUERY(Entregas_BD!D:L,""select H where D='""&amp;D165&amp;""'"",1))"),0.0)</f>
        <v>0</v>
      </c>
      <c r="P165" s="19">
        <f>IFERROR(__xludf.DUMMYFUNCTION("SUM(QUERY(Entregas_BD!D:L,""select I where D='""&amp;D165&amp;""'"",1))"),0.0)</f>
        <v>0</v>
      </c>
      <c r="Q165" s="19">
        <f>IFERROR(__xludf.DUMMYFUNCTION("SUM(QUERY(Entregas_BD!D:L,""select J where D='""&amp;D165&amp;""'"",1))"),0.0)</f>
        <v>0</v>
      </c>
      <c r="R165" s="24">
        <f>IFERROR(__xludf.DUMMYFUNCTION("SUM(QUERY(Entregas_BD!D:L,""select K where D='""&amp;D165&amp;""'"",1))"),0.0)</f>
        <v>0</v>
      </c>
      <c r="S165" s="24">
        <f>IFERROR(__xludf.DUMMYFUNCTION("SUM(QUERY(Entregas_BD!D:L,""select L where D='""&amp;D165&amp;""'"",1))"),0.0)</f>
        <v>0</v>
      </c>
      <c r="T165" s="19">
        <f>IFERROR(__xludf.DUMMYFUNCTION("SUM(QUERY(Entregas_BD!D:AL,""select AG where D='""&amp;D165&amp;""'"",1))"),0.0)</f>
        <v>0</v>
      </c>
      <c r="U165" s="19">
        <f>IFERROR(__xludf.DUMMYFUNCTION("SUM(QUERY(Entregas_BD!D:AL,""select AH where D='""&amp;D165&amp;""'"",1))"),0.0)</f>
        <v>0</v>
      </c>
      <c r="V165" s="19">
        <f>IFERROR(__xludf.DUMMYFUNCTION("SUM(QUERY(Entregas_BD!D:AL,""select AI where D='""&amp;D165&amp;""'"",1))"),0.0)</f>
        <v>0</v>
      </c>
      <c r="W165" s="19">
        <f>IFERROR(__xludf.DUMMYFUNCTION("SUM(QUERY(Entregas_BD!D:AL,""select AJ where D='""&amp;D165&amp;""'"",1))"),0.0)</f>
        <v>0</v>
      </c>
      <c r="X165" s="19">
        <f>IFERROR(__xludf.DUMMYFUNCTION("SUM(QUERY(Entregas_BD!D:AL,""select AL where D='""&amp;D165&amp;""'"",1))"),0.0)</f>
        <v>0</v>
      </c>
      <c r="Y165" s="19">
        <f>IFERROR(__xludf.DUMMYFUNCTION("SUM(QUERY(Entregas_BD!D:AL,""select AK where D='""&amp;D165&amp;""'"",1))"),0.0)</f>
        <v>0</v>
      </c>
      <c r="Z165" s="19">
        <v>0.0</v>
      </c>
      <c r="AA165" s="19">
        <v>0.0</v>
      </c>
      <c r="AB165" s="19">
        <v>0.0</v>
      </c>
      <c r="AC165" s="19">
        <v>0.0</v>
      </c>
      <c r="AD165" s="19">
        <v>0.0</v>
      </c>
      <c r="AE165" s="19">
        <v>0.0</v>
      </c>
      <c r="AF165" s="51"/>
      <c r="AG165" s="24">
        <f>IFERROR(__xludf.DUMMYFUNCTION("SUM(QUERY(Entregas_BD!D:W,""select U where D='""&amp;D165&amp;""'"",1))"),0.0)</f>
        <v>0</v>
      </c>
      <c r="AH165" s="24">
        <f>IFERROR(__xludf.DUMMYFUNCTION("SUM(QUERY(Entregas_BD!D:W,""select S where D='""&amp;D165&amp;""'"",1))"),0.0)</f>
        <v>0</v>
      </c>
      <c r="AI165" s="24">
        <f>IFERROR(__xludf.DUMMYFUNCTION("SUM(QUERY(Entregas_BD!D:W,""select T where D='""&amp;D165&amp;""'"",1))"),0.0)</f>
        <v>0</v>
      </c>
    </row>
    <row r="166" ht="19.5" customHeight="1">
      <c r="A166" s="7"/>
      <c r="B166" s="8"/>
      <c r="C166" s="9">
        <v>165.0</v>
      </c>
      <c r="D166" s="10" t="s">
        <v>490</v>
      </c>
      <c r="E166" s="10" t="s">
        <v>63</v>
      </c>
      <c r="F166" s="10" t="s">
        <v>491</v>
      </c>
      <c r="G166" s="10" t="s">
        <v>492</v>
      </c>
      <c r="H166" s="9" t="s">
        <v>69</v>
      </c>
      <c r="I166" s="11" t="s">
        <v>41</v>
      </c>
      <c r="J166" s="12"/>
      <c r="K166" s="28"/>
      <c r="L166" s="29"/>
      <c r="M166" s="28"/>
      <c r="N166" s="9">
        <f>IFERROR(__xludf.DUMMYFUNCTION("SUM(QUERY(Entregas_BD!D:L,""select G where D='""&amp;D166&amp;""'"",1))"),0.0)</f>
        <v>0</v>
      </c>
      <c r="O166" s="9">
        <f>IFERROR(__xludf.DUMMYFUNCTION("SUM(QUERY(Entregas_BD!D:L,""select H where D='""&amp;D166&amp;""'"",1))"),0.0)</f>
        <v>0</v>
      </c>
      <c r="P166" s="9">
        <f>IFERROR(__xludf.DUMMYFUNCTION("SUM(QUERY(Entregas_BD!D:L,""select I where D='""&amp;D166&amp;""'"",1))"),0.0)</f>
        <v>0</v>
      </c>
      <c r="Q166" s="9">
        <f>IFERROR(__xludf.DUMMYFUNCTION("SUM(QUERY(Entregas_BD!D:L,""select J where D='""&amp;D166&amp;""'"",1))"),0.0)</f>
        <v>0</v>
      </c>
      <c r="R166" s="15">
        <f>IFERROR(__xludf.DUMMYFUNCTION("SUM(QUERY(Entregas_BD!D:L,""select K where D='""&amp;D166&amp;""'"",1))"),0.0)</f>
        <v>0</v>
      </c>
      <c r="S166" s="15">
        <f>IFERROR(__xludf.DUMMYFUNCTION("SUM(QUERY(Entregas_BD!D:L,""select L where D='""&amp;D166&amp;""'"",1))"),0.0)</f>
        <v>0</v>
      </c>
      <c r="T166" s="9">
        <f>IFERROR(__xludf.DUMMYFUNCTION("SUM(QUERY(Entregas_BD!D:AL,""select AG where D='""&amp;D166&amp;""'"",1))"),0.0)</f>
        <v>0</v>
      </c>
      <c r="U166" s="9">
        <f>IFERROR(__xludf.DUMMYFUNCTION("SUM(QUERY(Entregas_BD!D:AL,""select AH where D='""&amp;D166&amp;""'"",1))"),0.0)</f>
        <v>0</v>
      </c>
      <c r="V166" s="9">
        <f>IFERROR(__xludf.DUMMYFUNCTION("SUM(QUERY(Entregas_BD!D:AL,""select AI where D='""&amp;D166&amp;""'"",1))"),0.0)</f>
        <v>0</v>
      </c>
      <c r="W166" s="9">
        <f>IFERROR(__xludf.DUMMYFUNCTION("SUM(QUERY(Entregas_BD!D:AL,""select AJ where D='""&amp;D166&amp;""'"",1))"),0.0)</f>
        <v>0</v>
      </c>
      <c r="X166" s="9">
        <f>IFERROR(__xludf.DUMMYFUNCTION("SUM(QUERY(Entregas_BD!D:AL,""select AL where D='""&amp;D166&amp;""'"",1))"),0.0)</f>
        <v>0</v>
      </c>
      <c r="Y166" s="9">
        <f>IFERROR(__xludf.DUMMYFUNCTION("SUM(QUERY(Entregas_BD!D:AL,""select AK where D='""&amp;D166&amp;""'"",1))"),0.0)</f>
        <v>0</v>
      </c>
      <c r="Z166" s="9">
        <v>0.0</v>
      </c>
      <c r="AA166" s="9">
        <v>0.0</v>
      </c>
      <c r="AB166" s="9">
        <v>0.0</v>
      </c>
      <c r="AC166" s="9">
        <v>0.0</v>
      </c>
      <c r="AD166" s="9">
        <v>0.0</v>
      </c>
      <c r="AE166" s="9">
        <v>0.0</v>
      </c>
      <c r="AF166" s="52"/>
      <c r="AG166" s="15">
        <f>IFERROR(__xludf.DUMMYFUNCTION("SUM(QUERY(Entregas_BD!D:W,""select U where D='""&amp;D166&amp;""'"",1))"),0.0)</f>
        <v>0</v>
      </c>
      <c r="AH166" s="15">
        <f>IFERROR(__xludf.DUMMYFUNCTION("SUM(QUERY(Entregas_BD!D:W,""select S where D='""&amp;D166&amp;""'"",1))"),0.0)</f>
        <v>0</v>
      </c>
      <c r="AI166" s="15">
        <f>IFERROR(__xludf.DUMMYFUNCTION("SUM(QUERY(Entregas_BD!D:W,""select T where D='""&amp;D166&amp;""'"",1))"),0.0)</f>
        <v>0</v>
      </c>
    </row>
    <row r="167" ht="19.5" customHeight="1">
      <c r="A167" s="31"/>
      <c r="B167" s="32"/>
      <c r="C167" s="19">
        <v>166.0</v>
      </c>
      <c r="D167" s="20" t="s">
        <v>493</v>
      </c>
      <c r="E167" s="20" t="s">
        <v>197</v>
      </c>
      <c r="F167" s="20" t="s">
        <v>494</v>
      </c>
      <c r="G167" s="20" t="s">
        <v>495</v>
      </c>
      <c r="H167" s="19" t="s">
        <v>51</v>
      </c>
      <c r="I167" s="21" t="s">
        <v>47</v>
      </c>
      <c r="J167" s="34"/>
      <c r="K167" s="22"/>
      <c r="L167" s="23"/>
      <c r="M167" s="41"/>
      <c r="N167" s="19">
        <f>IFERROR(__xludf.DUMMYFUNCTION("SUM(QUERY(Entregas_BD!D:L,""select G where D='""&amp;D167&amp;""'"",1))"),0.0)</f>
        <v>0</v>
      </c>
      <c r="O167" s="19">
        <f>IFERROR(__xludf.DUMMYFUNCTION("SUM(QUERY(Entregas_BD!D:L,""select H where D='""&amp;D167&amp;""'"",1))"),0.0)</f>
        <v>0</v>
      </c>
      <c r="P167" s="19">
        <f>IFERROR(__xludf.DUMMYFUNCTION("SUM(QUERY(Entregas_BD!D:L,""select I where D='""&amp;D167&amp;""'"",1))"),0.0)</f>
        <v>0</v>
      </c>
      <c r="Q167" s="19">
        <f>IFERROR(__xludf.DUMMYFUNCTION("SUM(QUERY(Entregas_BD!D:L,""select J where D='""&amp;D167&amp;""'"",1))"),0.0)</f>
        <v>0</v>
      </c>
      <c r="R167" s="24">
        <f>IFERROR(__xludf.DUMMYFUNCTION("SUM(QUERY(Entregas_BD!D:L,""select K where D='""&amp;D167&amp;""'"",1))"),0.0)</f>
        <v>0</v>
      </c>
      <c r="S167" s="24">
        <f>IFERROR(__xludf.DUMMYFUNCTION("SUM(QUERY(Entregas_BD!D:L,""select L where D='""&amp;D167&amp;""'"",1))"),0.0)</f>
        <v>0</v>
      </c>
      <c r="T167" s="19">
        <f>IFERROR(__xludf.DUMMYFUNCTION("SUM(QUERY(Entregas_BD!D:AL,""select AG where D='""&amp;D167&amp;""'"",1))"),0.0)</f>
        <v>0</v>
      </c>
      <c r="U167" s="19">
        <f>IFERROR(__xludf.DUMMYFUNCTION("SUM(QUERY(Entregas_BD!D:AL,""select AH where D='""&amp;D167&amp;""'"",1))"),0.0)</f>
        <v>0</v>
      </c>
      <c r="V167" s="19">
        <f>IFERROR(__xludf.DUMMYFUNCTION("SUM(QUERY(Entregas_BD!D:AL,""select AI where D='""&amp;D167&amp;""'"",1))"),0.0)</f>
        <v>0</v>
      </c>
      <c r="W167" s="19">
        <f>IFERROR(__xludf.DUMMYFUNCTION("SUM(QUERY(Entregas_BD!D:AL,""select AJ where D='""&amp;D167&amp;""'"",1))"),0.0)</f>
        <v>0</v>
      </c>
      <c r="X167" s="19">
        <f>IFERROR(__xludf.DUMMYFUNCTION("SUM(QUERY(Entregas_BD!D:AL,""select AL where D='""&amp;D167&amp;""'"",1))"),0.0)</f>
        <v>0</v>
      </c>
      <c r="Y167" s="19">
        <f>IFERROR(__xludf.DUMMYFUNCTION("SUM(QUERY(Entregas_BD!D:AL,""select AK where D='""&amp;D167&amp;""'"",1))"),0.0)</f>
        <v>0</v>
      </c>
      <c r="Z167" s="19">
        <v>0.0</v>
      </c>
      <c r="AA167" s="19">
        <v>0.0</v>
      </c>
      <c r="AB167" s="19">
        <v>0.0</v>
      </c>
      <c r="AC167" s="19">
        <v>0.0</v>
      </c>
      <c r="AD167" s="19">
        <v>0.0</v>
      </c>
      <c r="AE167" s="19">
        <v>0.0</v>
      </c>
      <c r="AF167" s="51"/>
      <c r="AG167" s="24">
        <f>IFERROR(__xludf.DUMMYFUNCTION("SUM(QUERY(Entregas_BD!D:W,""select U where D='""&amp;D167&amp;""'"",1))"),0.0)</f>
        <v>0</v>
      </c>
      <c r="AH167" s="24">
        <f>IFERROR(__xludf.DUMMYFUNCTION("SUM(QUERY(Entregas_BD!D:W,""select S where D='""&amp;D167&amp;""'"",1))"),0.0)</f>
        <v>0</v>
      </c>
      <c r="AI167" s="24">
        <f>IFERROR(__xludf.DUMMYFUNCTION("SUM(QUERY(Entregas_BD!D:W,""select T where D='""&amp;D167&amp;""'"",1))"),0.0)</f>
        <v>0</v>
      </c>
    </row>
    <row r="168" ht="19.5" customHeight="1">
      <c r="A168" s="7"/>
      <c r="B168" s="8"/>
      <c r="C168" s="9">
        <v>167.0</v>
      </c>
      <c r="D168" s="10" t="s">
        <v>496</v>
      </c>
      <c r="E168" s="10" t="s">
        <v>58</v>
      </c>
      <c r="F168" s="10" t="s">
        <v>45</v>
      </c>
      <c r="G168" s="10" t="s">
        <v>497</v>
      </c>
      <c r="H168" s="9" t="s">
        <v>51</v>
      </c>
      <c r="I168" s="11" t="s">
        <v>47</v>
      </c>
      <c r="J168" s="9"/>
      <c r="K168" s="28"/>
      <c r="L168" s="29"/>
      <c r="M168" s="28"/>
      <c r="N168" s="9">
        <f>IFERROR(__xludf.DUMMYFUNCTION("SUM(QUERY(Entregas_BD!D:L,""select G where D='""&amp;D168&amp;""'"",1))"),0.0)</f>
        <v>0</v>
      </c>
      <c r="O168" s="9">
        <f>IFERROR(__xludf.DUMMYFUNCTION("SUM(QUERY(Entregas_BD!D:L,""select H where D='""&amp;D168&amp;""'"",1))"),0.0)</f>
        <v>0</v>
      </c>
      <c r="P168" s="9">
        <f>IFERROR(__xludf.DUMMYFUNCTION("SUM(QUERY(Entregas_BD!D:L,""select I where D='""&amp;D168&amp;""'"",1))"),0.0)</f>
        <v>0</v>
      </c>
      <c r="Q168" s="9">
        <f>IFERROR(__xludf.DUMMYFUNCTION("SUM(QUERY(Entregas_BD!D:L,""select J where D='""&amp;D168&amp;""'"",1))"),0.0)</f>
        <v>0</v>
      </c>
      <c r="R168" s="15">
        <f>IFERROR(__xludf.DUMMYFUNCTION("SUM(QUERY(Entregas_BD!D:L,""select K where D='""&amp;D168&amp;""'"",1))"),0.0)</f>
        <v>0</v>
      </c>
      <c r="S168" s="15">
        <f>IFERROR(__xludf.DUMMYFUNCTION("SUM(QUERY(Entregas_BD!D:L,""select L where D='""&amp;D168&amp;""'"",1))"),0.0)</f>
        <v>0</v>
      </c>
      <c r="T168" s="9">
        <f>IFERROR(__xludf.DUMMYFUNCTION("SUM(QUERY(Entregas_BD!D:AL,""select AG where D='""&amp;D168&amp;""'"",1))"),0.0)</f>
        <v>0</v>
      </c>
      <c r="U168" s="9">
        <f>IFERROR(__xludf.DUMMYFUNCTION("SUM(QUERY(Entregas_BD!D:AL,""select AH where D='""&amp;D168&amp;""'"",1))"),0.0)</f>
        <v>0</v>
      </c>
      <c r="V168" s="9">
        <f>IFERROR(__xludf.DUMMYFUNCTION("SUM(QUERY(Entregas_BD!D:AL,""select AI where D='""&amp;D168&amp;""'"",1))"),0.0)</f>
        <v>0</v>
      </c>
      <c r="W168" s="9">
        <f>IFERROR(__xludf.DUMMYFUNCTION("SUM(QUERY(Entregas_BD!D:AL,""select AJ where D='""&amp;D168&amp;""'"",1))"),0.0)</f>
        <v>0</v>
      </c>
      <c r="X168" s="9">
        <f>IFERROR(__xludf.DUMMYFUNCTION("SUM(QUERY(Entregas_BD!D:AL,""select AL where D='""&amp;D168&amp;""'"",1))"),0.0)</f>
        <v>0</v>
      </c>
      <c r="Y168" s="9">
        <f>IFERROR(__xludf.DUMMYFUNCTION("SUM(QUERY(Entregas_BD!D:AL,""select AK where D='""&amp;D168&amp;""'"",1))"),0.0)</f>
        <v>0</v>
      </c>
      <c r="Z168" s="9">
        <v>0.0</v>
      </c>
      <c r="AA168" s="9">
        <v>0.0</v>
      </c>
      <c r="AB168" s="9">
        <v>0.0</v>
      </c>
      <c r="AC168" s="9">
        <v>0.0</v>
      </c>
      <c r="AD168" s="9">
        <v>0.0</v>
      </c>
      <c r="AE168" s="9">
        <v>0.0</v>
      </c>
      <c r="AF168" s="28"/>
      <c r="AG168" s="15">
        <f>IFERROR(__xludf.DUMMYFUNCTION("SUM(QUERY(Entregas_BD!D:W,""select U where D='""&amp;D168&amp;""'"",1))"),0.0)</f>
        <v>0</v>
      </c>
      <c r="AH168" s="15">
        <f>IFERROR(__xludf.DUMMYFUNCTION("SUM(QUERY(Entregas_BD!D:W,""select S where D='""&amp;D168&amp;""'"",1))"),0.0)</f>
        <v>0</v>
      </c>
      <c r="AI168" s="15">
        <f>IFERROR(__xludf.DUMMYFUNCTION("SUM(QUERY(Entregas_BD!D:W,""select T where D='""&amp;D168&amp;""'"",1))"),0.0)</f>
        <v>0</v>
      </c>
    </row>
    <row r="169" ht="19.5" customHeight="1">
      <c r="A169" s="31"/>
      <c r="B169" s="32"/>
      <c r="C169" s="19">
        <v>168.0</v>
      </c>
      <c r="D169" s="20" t="s">
        <v>498</v>
      </c>
      <c r="E169" s="20" t="s">
        <v>54</v>
      </c>
      <c r="F169" s="20" t="s">
        <v>45</v>
      </c>
      <c r="G169" s="20" t="s">
        <v>499</v>
      </c>
      <c r="H169" s="19" t="s">
        <v>51</v>
      </c>
      <c r="I169" s="21" t="s">
        <v>47</v>
      </c>
      <c r="J169" s="34"/>
      <c r="K169" s="22"/>
      <c r="L169" s="23"/>
      <c r="M169" s="22"/>
      <c r="N169" s="19">
        <f>IFERROR(__xludf.DUMMYFUNCTION("SUM(QUERY(Entregas_BD!D:L,""select G where D='""&amp;D169&amp;""'"",1))"),0.0)</f>
        <v>0</v>
      </c>
      <c r="O169" s="19">
        <f>IFERROR(__xludf.DUMMYFUNCTION("SUM(QUERY(Entregas_BD!D:L,""select H where D='""&amp;D169&amp;""'"",1))"),0.0)</f>
        <v>0</v>
      </c>
      <c r="P169" s="19">
        <f>IFERROR(__xludf.DUMMYFUNCTION("SUM(QUERY(Entregas_BD!D:L,""select I where D='""&amp;D169&amp;""'"",1))"),0.0)</f>
        <v>0</v>
      </c>
      <c r="Q169" s="19">
        <f>IFERROR(__xludf.DUMMYFUNCTION("SUM(QUERY(Entregas_BD!D:L,""select J where D='""&amp;D169&amp;""'"",1))"),0.0)</f>
        <v>0</v>
      </c>
      <c r="R169" s="24">
        <f>IFERROR(__xludf.DUMMYFUNCTION("SUM(QUERY(Entregas_BD!D:L,""select K where D='""&amp;D169&amp;""'"",1))"),0.0)</f>
        <v>0</v>
      </c>
      <c r="S169" s="24">
        <f>IFERROR(__xludf.DUMMYFUNCTION("SUM(QUERY(Entregas_BD!D:L,""select L where D='""&amp;D169&amp;""'"",1))"),0.0)</f>
        <v>0</v>
      </c>
      <c r="T169" s="19">
        <f>IFERROR(__xludf.DUMMYFUNCTION("SUM(QUERY(Entregas_BD!D:AL,""select AG where D='""&amp;D169&amp;""'"",1))"),0.0)</f>
        <v>0</v>
      </c>
      <c r="U169" s="19">
        <f>IFERROR(__xludf.DUMMYFUNCTION("SUM(QUERY(Entregas_BD!D:AL,""select AH where D='""&amp;D169&amp;""'"",1))"),0.0)</f>
        <v>0</v>
      </c>
      <c r="V169" s="19">
        <f>IFERROR(__xludf.DUMMYFUNCTION("SUM(QUERY(Entregas_BD!D:AL,""select AI where D='""&amp;D169&amp;""'"",1))"),0.0)</f>
        <v>0</v>
      </c>
      <c r="W169" s="19">
        <f>IFERROR(__xludf.DUMMYFUNCTION("SUM(QUERY(Entregas_BD!D:AL,""select AJ where D='""&amp;D169&amp;""'"",1))"),0.0)</f>
        <v>0</v>
      </c>
      <c r="X169" s="19">
        <f>IFERROR(__xludf.DUMMYFUNCTION("SUM(QUERY(Entregas_BD!D:AL,""select AL where D='""&amp;D169&amp;""'"",1))"),0.0)</f>
        <v>0</v>
      </c>
      <c r="Y169" s="19">
        <f>IFERROR(__xludf.DUMMYFUNCTION("SUM(QUERY(Entregas_BD!D:AL,""select AK where D='""&amp;D169&amp;""'"",1))"),0.0)</f>
        <v>0</v>
      </c>
      <c r="Z169" s="19">
        <v>0.0</v>
      </c>
      <c r="AA169" s="19">
        <v>0.0</v>
      </c>
      <c r="AB169" s="19">
        <v>0.0</v>
      </c>
      <c r="AC169" s="19">
        <v>0.0</v>
      </c>
      <c r="AD169" s="19">
        <v>0.0</v>
      </c>
      <c r="AE169" s="19">
        <v>0.0</v>
      </c>
      <c r="AF169" s="22"/>
      <c r="AG169" s="24">
        <f>IFERROR(__xludf.DUMMYFUNCTION("SUM(QUERY(Entregas_BD!D:W,""select U where D='""&amp;D169&amp;""'"",1))"),0.0)</f>
        <v>0</v>
      </c>
      <c r="AH169" s="24">
        <f>IFERROR(__xludf.DUMMYFUNCTION("SUM(QUERY(Entregas_BD!D:W,""select S where D='""&amp;D169&amp;""'"",1))"),0.0)</f>
        <v>0</v>
      </c>
      <c r="AI169" s="24">
        <f>IFERROR(__xludf.DUMMYFUNCTION("SUM(QUERY(Entregas_BD!D:W,""select T where D='""&amp;D169&amp;""'"",1))"),0.0)</f>
        <v>0</v>
      </c>
    </row>
    <row r="170" ht="19.5" customHeight="1">
      <c r="A170" s="7"/>
      <c r="B170" s="8"/>
      <c r="C170" s="9">
        <v>169.0</v>
      </c>
      <c r="D170" s="53" t="s">
        <v>500</v>
      </c>
      <c r="E170" s="10" t="s">
        <v>58</v>
      </c>
      <c r="F170" s="10" t="s">
        <v>45</v>
      </c>
      <c r="G170" s="10" t="s">
        <v>501</v>
      </c>
      <c r="H170" s="9" t="s">
        <v>51</v>
      </c>
      <c r="I170" s="11" t="s">
        <v>41</v>
      </c>
      <c r="J170" s="9"/>
      <c r="K170" s="28"/>
      <c r="L170" s="29"/>
      <c r="M170" s="28"/>
      <c r="N170" s="9">
        <f>IFERROR(__xludf.DUMMYFUNCTION("SUM(QUERY(Entregas_BD!D:L,""select G where D='""&amp;D170&amp;""'"",1))"),0.0)</f>
        <v>0</v>
      </c>
      <c r="O170" s="9">
        <f>IFERROR(__xludf.DUMMYFUNCTION("SUM(QUERY(Entregas_BD!D:L,""select H where D='""&amp;D170&amp;""'"",1))"),0.0)</f>
        <v>0</v>
      </c>
      <c r="P170" s="9">
        <f>IFERROR(__xludf.DUMMYFUNCTION("SUM(QUERY(Entregas_BD!D:L,""select I where D='""&amp;D170&amp;""'"",1))"),0.0)</f>
        <v>0</v>
      </c>
      <c r="Q170" s="9">
        <f>IFERROR(__xludf.DUMMYFUNCTION("SUM(QUERY(Entregas_BD!D:L,""select J where D='""&amp;D170&amp;""'"",1))"),0.0)</f>
        <v>0</v>
      </c>
      <c r="R170" s="15">
        <f>IFERROR(__xludf.DUMMYFUNCTION("SUM(QUERY(Entregas_BD!D:L,""select K where D='""&amp;D170&amp;""'"",1))"),0.0)</f>
        <v>0</v>
      </c>
      <c r="S170" s="15">
        <f>IFERROR(__xludf.DUMMYFUNCTION("SUM(QUERY(Entregas_BD!D:L,""select L where D='""&amp;D170&amp;""'"",1))"),0.0)</f>
        <v>0</v>
      </c>
      <c r="T170" s="9">
        <f>IFERROR(__xludf.DUMMYFUNCTION("SUM(QUERY(Entregas_BD!D:AL,""select AG where D='""&amp;D170&amp;""'"",1))"),6.0)</f>
        <v>6</v>
      </c>
      <c r="U170" s="9">
        <f>IFERROR(__xludf.DUMMYFUNCTION("SUM(QUERY(Entregas_BD!D:AL,""select AH where D='""&amp;D170&amp;""'"",1))"),0.0)</f>
        <v>0</v>
      </c>
      <c r="V170" s="9">
        <f>IFERROR(__xludf.DUMMYFUNCTION("SUM(QUERY(Entregas_BD!D:AL,""select AI where D='""&amp;D170&amp;""'"",1))"),0.0)</f>
        <v>0</v>
      </c>
      <c r="W170" s="9">
        <f>IFERROR(__xludf.DUMMYFUNCTION("SUM(QUERY(Entregas_BD!D:AL,""select AJ where D='""&amp;D170&amp;""'"",1))"),0.0)</f>
        <v>0</v>
      </c>
      <c r="X170" s="9">
        <f>IFERROR(__xludf.DUMMYFUNCTION("SUM(QUERY(Entregas_BD!D:AL,""select AL where D='""&amp;D170&amp;""'"",1))"),0.0)</f>
        <v>0</v>
      </c>
      <c r="Y170" s="9">
        <f>IFERROR(__xludf.DUMMYFUNCTION("SUM(QUERY(Entregas_BD!D:AL,""select AK where D='""&amp;D170&amp;""'"",1))"),0.0)</f>
        <v>0</v>
      </c>
      <c r="Z170" s="9">
        <v>-6.0</v>
      </c>
      <c r="AA170" s="9">
        <v>0.0</v>
      </c>
      <c r="AB170" s="9">
        <v>0.0</v>
      </c>
      <c r="AC170" s="9">
        <v>0.0</v>
      </c>
      <c r="AD170" s="9">
        <v>0.0</v>
      </c>
      <c r="AE170" s="9">
        <v>0.0</v>
      </c>
      <c r="AF170" s="52"/>
      <c r="AG170" s="15">
        <f>IFERROR(__xludf.DUMMYFUNCTION("SUM(QUERY(Entregas_BD!D:W,""select U where D='""&amp;D170&amp;""'"",1))"),0.0)</f>
        <v>0</v>
      </c>
      <c r="AH170" s="15">
        <f>IFERROR(__xludf.DUMMYFUNCTION("SUM(QUERY(Entregas_BD!D:W,""select S where D='""&amp;D170&amp;""'"",1))"),0.0)</f>
        <v>0</v>
      </c>
      <c r="AI170" s="15">
        <f>IFERROR(__xludf.DUMMYFUNCTION("SUM(QUERY(Entregas_BD!D:W,""select T where D='""&amp;D170&amp;""'"",1))"),0.0)</f>
        <v>0</v>
      </c>
    </row>
    <row r="171" ht="19.5" customHeight="1">
      <c r="A171" s="31"/>
      <c r="B171" s="32"/>
      <c r="C171" s="19">
        <v>170.0</v>
      </c>
      <c r="D171" s="20" t="s">
        <v>502</v>
      </c>
      <c r="E171" s="20" t="s">
        <v>58</v>
      </c>
      <c r="F171" s="20" t="s">
        <v>45</v>
      </c>
      <c r="G171" s="20" t="s">
        <v>59</v>
      </c>
      <c r="H171" s="19" t="s">
        <v>51</v>
      </c>
      <c r="I171" s="21" t="s">
        <v>41</v>
      </c>
      <c r="J171" s="19"/>
      <c r="K171" s="22"/>
      <c r="L171" s="23"/>
      <c r="M171" s="22"/>
      <c r="N171" s="19">
        <f>IFERROR(__xludf.DUMMYFUNCTION("SUM(QUERY(Entregas_BD!D:L,""select G where D='""&amp;D171&amp;""'"",1))"),0.0)</f>
        <v>0</v>
      </c>
      <c r="O171" s="19">
        <f>IFERROR(__xludf.DUMMYFUNCTION("SUM(QUERY(Entregas_BD!D:L,""select H where D='""&amp;D171&amp;""'"",1))"),0.0)</f>
        <v>0</v>
      </c>
      <c r="P171" s="19">
        <f>IFERROR(__xludf.DUMMYFUNCTION("SUM(QUERY(Entregas_BD!D:L,""select I where D='""&amp;D171&amp;""'"",1))"),0.0)</f>
        <v>0</v>
      </c>
      <c r="Q171" s="19">
        <f>IFERROR(__xludf.DUMMYFUNCTION("SUM(QUERY(Entregas_BD!D:L,""select J where D='""&amp;D171&amp;""'"",1))"),0.0)</f>
        <v>0</v>
      </c>
      <c r="R171" s="24">
        <f>IFERROR(__xludf.DUMMYFUNCTION("SUM(QUERY(Entregas_BD!D:L,""select K where D='""&amp;D171&amp;""'"",1))"),0.0)</f>
        <v>0</v>
      </c>
      <c r="S171" s="24">
        <f>IFERROR(__xludf.DUMMYFUNCTION("SUM(QUERY(Entregas_BD!D:L,""select L where D='""&amp;D171&amp;""'"",1))"),0.0)</f>
        <v>0</v>
      </c>
      <c r="T171" s="19">
        <f>IFERROR(__xludf.DUMMYFUNCTION("SUM(QUERY(Entregas_BD!D:AL,""select AG where D='""&amp;D171&amp;""'"",1))"),0.0)</f>
        <v>0</v>
      </c>
      <c r="U171" s="19">
        <f>IFERROR(__xludf.DUMMYFUNCTION("SUM(QUERY(Entregas_BD!D:AL,""select AH where D='""&amp;D171&amp;""'"",1))"),0.0)</f>
        <v>0</v>
      </c>
      <c r="V171" s="19">
        <f>IFERROR(__xludf.DUMMYFUNCTION("SUM(QUERY(Entregas_BD!D:AL,""select AI where D='""&amp;D171&amp;""'"",1))"),0.0)</f>
        <v>0</v>
      </c>
      <c r="W171" s="19">
        <f>IFERROR(__xludf.DUMMYFUNCTION("SUM(QUERY(Entregas_BD!D:AL,""select AJ where D='""&amp;D171&amp;""'"",1))"),0.0)</f>
        <v>0</v>
      </c>
      <c r="X171" s="19">
        <f>IFERROR(__xludf.DUMMYFUNCTION("SUM(QUERY(Entregas_BD!D:AL,""select AL where D='""&amp;D171&amp;""'"",1))"),0.0)</f>
        <v>0</v>
      </c>
      <c r="Y171" s="19">
        <f>IFERROR(__xludf.DUMMYFUNCTION("SUM(QUERY(Entregas_BD!D:AL,""select AK where D='""&amp;D171&amp;""'"",1))"),0.0)</f>
        <v>0</v>
      </c>
      <c r="Z171" s="19">
        <v>0.0</v>
      </c>
      <c r="AA171" s="19">
        <v>0.0</v>
      </c>
      <c r="AB171" s="19">
        <v>0.0</v>
      </c>
      <c r="AC171" s="19">
        <v>0.0</v>
      </c>
      <c r="AD171" s="19">
        <v>0.0</v>
      </c>
      <c r="AE171" s="19">
        <v>0.0</v>
      </c>
      <c r="AF171" s="51"/>
      <c r="AG171" s="24">
        <f>IFERROR(__xludf.DUMMYFUNCTION("SUM(QUERY(Entregas_BD!D:W,""select U where D='""&amp;D171&amp;""'"",1))"),0.0)</f>
        <v>0</v>
      </c>
      <c r="AH171" s="24">
        <f>IFERROR(__xludf.DUMMYFUNCTION("SUM(QUERY(Entregas_BD!D:W,""select S where D='""&amp;D171&amp;""'"",1))"),0.0)</f>
        <v>0</v>
      </c>
      <c r="AI171" s="24">
        <f>IFERROR(__xludf.DUMMYFUNCTION("SUM(QUERY(Entregas_BD!D:W,""select T where D='""&amp;D171&amp;""'"",1))"),0.0)</f>
        <v>0</v>
      </c>
    </row>
    <row r="172" ht="19.5" customHeight="1">
      <c r="A172" s="7"/>
      <c r="B172" s="8"/>
      <c r="C172" s="9">
        <v>171.0</v>
      </c>
      <c r="D172" s="54" t="s">
        <v>503</v>
      </c>
      <c r="E172" s="10" t="s">
        <v>63</v>
      </c>
      <c r="F172" s="10" t="s">
        <v>185</v>
      </c>
      <c r="G172" s="55" t="s">
        <v>504</v>
      </c>
      <c r="H172" s="9" t="s">
        <v>51</v>
      </c>
      <c r="I172" s="11" t="s">
        <v>41</v>
      </c>
      <c r="J172" s="12"/>
      <c r="K172" s="28"/>
      <c r="L172" s="29"/>
      <c r="M172" s="28"/>
      <c r="N172" s="9">
        <f>IFERROR(__xludf.DUMMYFUNCTION("SUM(QUERY(Entregas_BD!D:L,""select G where D='""&amp;D172&amp;""'"",1))"),0.0)</f>
        <v>0</v>
      </c>
      <c r="O172" s="9">
        <f>IFERROR(__xludf.DUMMYFUNCTION("SUM(QUERY(Entregas_BD!D:L,""select H where D='""&amp;D172&amp;""'"",1))"),0.0)</f>
        <v>0</v>
      </c>
      <c r="P172" s="9">
        <f>IFERROR(__xludf.DUMMYFUNCTION("SUM(QUERY(Entregas_BD!D:L,""select I where D='""&amp;D172&amp;""'"",1))"),0.0)</f>
        <v>0</v>
      </c>
      <c r="Q172" s="9">
        <f>IFERROR(__xludf.DUMMYFUNCTION("SUM(QUERY(Entregas_BD!D:L,""select J where D='""&amp;D172&amp;""'"",1))"),0.0)</f>
        <v>0</v>
      </c>
      <c r="R172" s="15">
        <f>IFERROR(__xludf.DUMMYFUNCTION("SUM(QUERY(Entregas_BD!D:L,""select K where D='""&amp;D172&amp;""'"",1))"),0.0)</f>
        <v>0</v>
      </c>
      <c r="S172" s="15">
        <f>IFERROR(__xludf.DUMMYFUNCTION("SUM(QUERY(Entregas_BD!D:L,""select L where D='""&amp;D172&amp;""'"",1))"),0.0)</f>
        <v>0</v>
      </c>
      <c r="T172" s="9">
        <f>IFERROR(__xludf.DUMMYFUNCTION("SUM(QUERY(Entregas_BD!D:AL,""select AG where D='""&amp;D172&amp;""'"",1))"),100.0)</f>
        <v>100</v>
      </c>
      <c r="U172" s="9">
        <f>IFERROR(__xludf.DUMMYFUNCTION("SUM(QUERY(Entregas_BD!D:AL,""select AH where D='""&amp;D172&amp;""'"",1))"),0.0)</f>
        <v>0</v>
      </c>
      <c r="V172" s="9">
        <f>IFERROR(__xludf.DUMMYFUNCTION("SUM(QUERY(Entregas_BD!D:AL,""select AI where D='""&amp;D172&amp;""'"",1))"),0.0)</f>
        <v>0</v>
      </c>
      <c r="W172" s="9">
        <f>IFERROR(__xludf.DUMMYFUNCTION("SUM(QUERY(Entregas_BD!D:AL,""select AJ where D='""&amp;D172&amp;""'"",1))"),50.0)</f>
        <v>50</v>
      </c>
      <c r="X172" s="9">
        <f>IFERROR(__xludf.DUMMYFUNCTION("SUM(QUERY(Entregas_BD!D:AL,""select AL where D='""&amp;D172&amp;""'"",1))"),0.0)</f>
        <v>0</v>
      </c>
      <c r="Y172" s="9">
        <f>IFERROR(__xludf.DUMMYFUNCTION("SUM(QUERY(Entregas_BD!D:AL,""select AK where D='""&amp;D172&amp;""'"",1))"),0.0)</f>
        <v>0</v>
      </c>
      <c r="Z172" s="9">
        <v>-100.0</v>
      </c>
      <c r="AA172" s="9">
        <v>0.0</v>
      </c>
      <c r="AB172" s="9">
        <v>0.0</v>
      </c>
      <c r="AC172" s="9">
        <v>-50.0</v>
      </c>
      <c r="AD172" s="9">
        <v>0.0</v>
      </c>
      <c r="AE172" s="9">
        <v>0.0</v>
      </c>
      <c r="AF172" s="52"/>
      <c r="AG172" s="15">
        <f>IFERROR(__xludf.DUMMYFUNCTION("SUM(QUERY(Entregas_BD!D:W,""select U where D='""&amp;D172&amp;""'"",1))"),0.0)</f>
        <v>0</v>
      </c>
      <c r="AH172" s="15">
        <f>IFERROR(__xludf.DUMMYFUNCTION("SUM(QUERY(Entregas_BD!D:W,""select S where D='""&amp;D172&amp;""'"",1))"),0.0)</f>
        <v>0</v>
      </c>
      <c r="AI172" s="15">
        <f>IFERROR(__xludf.DUMMYFUNCTION("SUM(QUERY(Entregas_BD!D:W,""select T where D='""&amp;D172&amp;""'"",1))"),0.0)</f>
        <v>0</v>
      </c>
    </row>
    <row r="173" ht="19.5" customHeight="1">
      <c r="A173" s="31"/>
      <c r="B173" s="32"/>
      <c r="C173" s="19">
        <v>172.0</v>
      </c>
      <c r="D173" s="20" t="s">
        <v>505</v>
      </c>
      <c r="E173" s="20" t="s">
        <v>153</v>
      </c>
      <c r="F173" s="20" t="s">
        <v>506</v>
      </c>
      <c r="G173" s="20" t="s">
        <v>507</v>
      </c>
      <c r="H173" s="34" t="s">
        <v>40</v>
      </c>
      <c r="I173" s="21" t="s">
        <v>41</v>
      </c>
      <c r="J173" s="34"/>
      <c r="K173" s="22"/>
      <c r="L173" s="23"/>
      <c r="M173" s="41"/>
      <c r="N173" s="19">
        <f>IFERROR(__xludf.DUMMYFUNCTION("SUM(QUERY(Entregas_BD!D:L,""select G where D='""&amp;D173&amp;""'"",1))"),0.0)</f>
        <v>0</v>
      </c>
      <c r="O173" s="19">
        <f>IFERROR(__xludf.DUMMYFUNCTION("SUM(QUERY(Entregas_BD!D:L,""select H where D='""&amp;D173&amp;""'"",1))"),0.0)</f>
        <v>0</v>
      </c>
      <c r="P173" s="19">
        <f>IFERROR(__xludf.DUMMYFUNCTION("SUM(QUERY(Entregas_BD!D:L,""select I where D='""&amp;D173&amp;""'"",1))"),0.0)</f>
        <v>0</v>
      </c>
      <c r="Q173" s="19">
        <f>IFERROR(__xludf.DUMMYFUNCTION("SUM(QUERY(Entregas_BD!D:L,""select J where D='""&amp;D173&amp;""'"",1))"),0.0)</f>
        <v>0</v>
      </c>
      <c r="R173" s="24">
        <f>IFERROR(__xludf.DUMMYFUNCTION("SUM(QUERY(Entregas_BD!D:L,""select K where D='""&amp;D173&amp;""'"",1))"),0.0)</f>
        <v>0</v>
      </c>
      <c r="S173" s="24">
        <f>IFERROR(__xludf.DUMMYFUNCTION("SUM(QUERY(Entregas_BD!D:L,""select L where D='""&amp;D173&amp;""'"",1))"),0.0)</f>
        <v>0</v>
      </c>
      <c r="T173" s="19">
        <f>IFERROR(__xludf.DUMMYFUNCTION("SUM(QUERY(Entregas_BD!D:AL,""select AG where D='""&amp;D173&amp;""'"",1))"),0.0)</f>
        <v>0</v>
      </c>
      <c r="U173" s="19">
        <f>IFERROR(__xludf.DUMMYFUNCTION("SUM(QUERY(Entregas_BD!D:AL,""select AH where D='""&amp;D173&amp;""'"",1))"),0.0)</f>
        <v>0</v>
      </c>
      <c r="V173" s="19">
        <f>IFERROR(__xludf.DUMMYFUNCTION("SUM(QUERY(Entregas_BD!D:AL,""select AI where D='""&amp;D173&amp;""'"",1))"),0.0)</f>
        <v>0</v>
      </c>
      <c r="W173" s="19">
        <f>IFERROR(__xludf.DUMMYFUNCTION("SUM(QUERY(Entregas_BD!D:AL,""select AJ where D='""&amp;D173&amp;""'"",1))"),0.0)</f>
        <v>0</v>
      </c>
      <c r="X173" s="19">
        <f>IFERROR(__xludf.DUMMYFUNCTION("SUM(QUERY(Entregas_BD!D:AL,""select AL where D='""&amp;D173&amp;""'"",1))"),0.0)</f>
        <v>0</v>
      </c>
      <c r="Y173" s="19">
        <f>IFERROR(__xludf.DUMMYFUNCTION("SUM(QUERY(Entregas_BD!D:AL,""select AK where D='""&amp;D173&amp;""'"",1))"),0.0)</f>
        <v>0</v>
      </c>
      <c r="Z173" s="19">
        <v>0.0</v>
      </c>
      <c r="AA173" s="19">
        <v>0.0</v>
      </c>
      <c r="AB173" s="19">
        <v>0.0</v>
      </c>
      <c r="AC173" s="19">
        <v>0.0</v>
      </c>
      <c r="AD173" s="19">
        <v>0.0</v>
      </c>
      <c r="AE173" s="19">
        <v>0.0</v>
      </c>
      <c r="AF173" s="22"/>
      <c r="AG173" s="24">
        <f>IFERROR(__xludf.DUMMYFUNCTION("SUM(QUERY(Entregas_BD!D:W,""select U where D='""&amp;D173&amp;""'"",1))"),0.0)</f>
        <v>0</v>
      </c>
      <c r="AH173" s="24">
        <f>IFERROR(__xludf.DUMMYFUNCTION("SUM(QUERY(Entregas_BD!D:W,""select S where D='""&amp;D173&amp;""'"",1))"),0.0)</f>
        <v>0</v>
      </c>
      <c r="AI173" s="24">
        <f>IFERROR(__xludf.DUMMYFUNCTION("SUM(QUERY(Entregas_BD!D:W,""select T where D='""&amp;D173&amp;""'"",1))"),0.0)</f>
        <v>0</v>
      </c>
    </row>
    <row r="174" ht="19.5" customHeight="1">
      <c r="A174" s="7"/>
      <c r="B174" s="8"/>
      <c r="C174" s="9">
        <v>173.0</v>
      </c>
      <c r="D174" s="10" t="s">
        <v>508</v>
      </c>
      <c r="E174" s="10" t="s">
        <v>197</v>
      </c>
      <c r="F174" s="10" t="s">
        <v>243</v>
      </c>
      <c r="G174" s="10" t="s">
        <v>509</v>
      </c>
      <c r="H174" s="9" t="s">
        <v>51</v>
      </c>
      <c r="I174" s="11" t="s">
        <v>47</v>
      </c>
      <c r="J174" s="12"/>
      <c r="K174" s="28"/>
      <c r="L174" s="29"/>
      <c r="M174" s="36"/>
      <c r="N174" s="9">
        <f>IFERROR(__xludf.DUMMYFUNCTION("SUM(QUERY(Entregas_BD!D:L,""select G where D='""&amp;D174&amp;""'"",1))"),0.0)</f>
        <v>0</v>
      </c>
      <c r="O174" s="9">
        <f>IFERROR(__xludf.DUMMYFUNCTION("SUM(QUERY(Entregas_BD!D:L,""select H where D='""&amp;D174&amp;""'"",1))"),0.0)</f>
        <v>0</v>
      </c>
      <c r="P174" s="9">
        <f>IFERROR(__xludf.DUMMYFUNCTION("SUM(QUERY(Entregas_BD!D:L,""select I where D='""&amp;D174&amp;""'"",1))"),0.0)</f>
        <v>0</v>
      </c>
      <c r="Q174" s="9">
        <f>IFERROR(__xludf.DUMMYFUNCTION("SUM(QUERY(Entregas_BD!D:L,""select J where D='""&amp;D174&amp;""'"",1))"),0.0)</f>
        <v>0</v>
      </c>
      <c r="R174" s="15">
        <f>IFERROR(__xludf.DUMMYFUNCTION("SUM(QUERY(Entregas_BD!D:L,""select K where D='""&amp;D174&amp;""'"",1))"),0.0)</f>
        <v>0</v>
      </c>
      <c r="S174" s="15">
        <f>IFERROR(__xludf.DUMMYFUNCTION("SUM(QUERY(Entregas_BD!D:L,""select L where D='""&amp;D174&amp;""'"",1))"),0.0)</f>
        <v>0</v>
      </c>
      <c r="T174" s="9">
        <f>IFERROR(__xludf.DUMMYFUNCTION("SUM(QUERY(Entregas_BD!D:AL,""select AG where D='""&amp;D174&amp;""'"",1))"),0.0)</f>
        <v>0</v>
      </c>
      <c r="U174" s="9">
        <f>IFERROR(__xludf.DUMMYFUNCTION("SUM(QUERY(Entregas_BD!D:AL,""select AH where D='""&amp;D174&amp;""'"",1))"),0.0)</f>
        <v>0</v>
      </c>
      <c r="V174" s="9">
        <f>IFERROR(__xludf.DUMMYFUNCTION("SUM(QUERY(Entregas_BD!D:AL,""select AI where D='""&amp;D174&amp;""'"",1))"),0.0)</f>
        <v>0</v>
      </c>
      <c r="W174" s="9">
        <f>IFERROR(__xludf.DUMMYFUNCTION("SUM(QUERY(Entregas_BD!D:AL,""select AJ where D='""&amp;D174&amp;""'"",1))"),0.0)</f>
        <v>0</v>
      </c>
      <c r="X174" s="9">
        <f>IFERROR(__xludf.DUMMYFUNCTION("SUM(QUERY(Entregas_BD!D:AL,""select AL where D='""&amp;D174&amp;""'"",1))"),0.0)</f>
        <v>0</v>
      </c>
      <c r="Y174" s="9">
        <f>IFERROR(__xludf.DUMMYFUNCTION("SUM(QUERY(Entregas_BD!D:AL,""select AK where D='""&amp;D174&amp;""'"",1))"),0.0)</f>
        <v>0</v>
      </c>
      <c r="Z174" s="9">
        <v>0.0</v>
      </c>
      <c r="AA174" s="9">
        <v>0.0</v>
      </c>
      <c r="AB174" s="9">
        <v>0.0</v>
      </c>
      <c r="AC174" s="9">
        <v>0.0</v>
      </c>
      <c r="AD174" s="9">
        <v>0.0</v>
      </c>
      <c r="AE174" s="9">
        <v>0.0</v>
      </c>
      <c r="AF174" s="52"/>
      <c r="AG174" s="15">
        <f>IFERROR(__xludf.DUMMYFUNCTION("SUM(QUERY(Entregas_BD!D:W,""select U where D='""&amp;D174&amp;""'"",1))"),0.0)</f>
        <v>0</v>
      </c>
      <c r="AH174" s="15">
        <f>IFERROR(__xludf.DUMMYFUNCTION("SUM(QUERY(Entregas_BD!D:W,""select S where D='""&amp;D174&amp;""'"",1))"),0.0)</f>
        <v>0</v>
      </c>
      <c r="AI174" s="15">
        <f>IFERROR(__xludf.DUMMYFUNCTION("SUM(QUERY(Entregas_BD!D:W,""select T where D='""&amp;D174&amp;""'"",1))"),0.0)</f>
        <v>0</v>
      </c>
    </row>
    <row r="175" ht="19.5" customHeight="1">
      <c r="A175" s="31"/>
      <c r="B175" s="32"/>
      <c r="C175" s="19">
        <v>174.0</v>
      </c>
      <c r="D175" s="20" t="s">
        <v>510</v>
      </c>
      <c r="E175" s="20" t="s">
        <v>72</v>
      </c>
      <c r="F175" s="20" t="s">
        <v>45</v>
      </c>
      <c r="G175" s="20" t="s">
        <v>511</v>
      </c>
      <c r="H175" s="19" t="s">
        <v>51</v>
      </c>
      <c r="I175" s="21" t="s">
        <v>41</v>
      </c>
      <c r="J175" s="34"/>
      <c r="K175" s="22"/>
      <c r="L175" s="23"/>
      <c r="M175" s="22"/>
      <c r="N175" s="19">
        <f>IFERROR(__xludf.DUMMYFUNCTION("SUM(QUERY(Entregas_BD!D:L,""select G where D='""&amp;D175&amp;""'"",1))"),0.0)</f>
        <v>0</v>
      </c>
      <c r="O175" s="19">
        <f>IFERROR(__xludf.DUMMYFUNCTION("SUM(QUERY(Entregas_BD!D:L,""select H where D='""&amp;D175&amp;""'"",1))"),0.0)</f>
        <v>0</v>
      </c>
      <c r="P175" s="19">
        <f>IFERROR(__xludf.DUMMYFUNCTION("SUM(QUERY(Entregas_BD!D:L,""select I where D='""&amp;D175&amp;""'"",1))"),0.0)</f>
        <v>0</v>
      </c>
      <c r="Q175" s="19">
        <f>IFERROR(__xludf.DUMMYFUNCTION("SUM(QUERY(Entregas_BD!D:L,""select J where D='""&amp;D175&amp;""'"",1))"),0.0)</f>
        <v>0</v>
      </c>
      <c r="R175" s="24">
        <f>IFERROR(__xludf.DUMMYFUNCTION("SUM(QUERY(Entregas_BD!D:L,""select K where D='""&amp;D175&amp;""'"",1))"),0.0)</f>
        <v>0</v>
      </c>
      <c r="S175" s="24">
        <f>IFERROR(__xludf.DUMMYFUNCTION("SUM(QUERY(Entregas_BD!D:L,""select L where D='""&amp;D175&amp;""'"",1))"),0.0)</f>
        <v>0</v>
      </c>
      <c r="T175" s="19">
        <f>IFERROR(__xludf.DUMMYFUNCTION("SUM(QUERY(Entregas_BD!D:AL,""select AG where D='""&amp;D175&amp;""'"",1))"),0.0)</f>
        <v>0</v>
      </c>
      <c r="U175" s="19">
        <f>IFERROR(__xludf.DUMMYFUNCTION("SUM(QUERY(Entregas_BD!D:AL,""select AH where D='""&amp;D175&amp;""'"",1))"),0.0)</f>
        <v>0</v>
      </c>
      <c r="V175" s="19">
        <f>IFERROR(__xludf.DUMMYFUNCTION("SUM(QUERY(Entregas_BD!D:AL,""select AI where D='""&amp;D175&amp;""'"",1))"),0.0)</f>
        <v>0</v>
      </c>
      <c r="W175" s="19">
        <f>IFERROR(__xludf.DUMMYFUNCTION("SUM(QUERY(Entregas_BD!D:AL,""select AJ where D='""&amp;D175&amp;""'"",1))"),0.0)</f>
        <v>0</v>
      </c>
      <c r="X175" s="19">
        <f>IFERROR(__xludf.DUMMYFUNCTION("SUM(QUERY(Entregas_BD!D:AL,""select AL where D='""&amp;D175&amp;""'"",1))"),0.0)</f>
        <v>0</v>
      </c>
      <c r="Y175" s="19">
        <f>IFERROR(__xludf.DUMMYFUNCTION("SUM(QUERY(Entregas_BD!D:AL,""select AK where D='""&amp;D175&amp;""'"",1))"),0.0)</f>
        <v>0</v>
      </c>
      <c r="Z175" s="19">
        <v>0.0</v>
      </c>
      <c r="AA175" s="19">
        <v>0.0</v>
      </c>
      <c r="AB175" s="19">
        <v>0.0</v>
      </c>
      <c r="AC175" s="19">
        <v>0.0</v>
      </c>
      <c r="AD175" s="19">
        <v>0.0</v>
      </c>
      <c r="AE175" s="19">
        <v>0.0</v>
      </c>
      <c r="AF175" s="22"/>
      <c r="AG175" s="24">
        <f>IFERROR(__xludf.DUMMYFUNCTION("SUM(QUERY(Entregas_BD!D:W,""select U where D='""&amp;D175&amp;""'"",1))"),0.0)</f>
        <v>0</v>
      </c>
      <c r="AH175" s="24">
        <f>IFERROR(__xludf.DUMMYFUNCTION("SUM(QUERY(Entregas_BD!D:W,""select S where D='""&amp;D175&amp;""'"",1))"),0.0)</f>
        <v>0</v>
      </c>
      <c r="AI175" s="24">
        <f>IFERROR(__xludf.DUMMYFUNCTION("SUM(QUERY(Entregas_BD!D:W,""select T where D='""&amp;D175&amp;""'"",1))"),0.0)</f>
        <v>0</v>
      </c>
    </row>
    <row r="176" ht="19.5" customHeight="1">
      <c r="A176" s="7"/>
      <c r="B176" s="8"/>
      <c r="C176" s="9">
        <v>175.0</v>
      </c>
      <c r="D176" s="10" t="s">
        <v>512</v>
      </c>
      <c r="E176" s="10" t="s">
        <v>58</v>
      </c>
      <c r="F176" s="10" t="s">
        <v>45</v>
      </c>
      <c r="G176" s="10" t="s">
        <v>112</v>
      </c>
      <c r="H176" s="9" t="s">
        <v>51</v>
      </c>
      <c r="I176" s="11" t="s">
        <v>47</v>
      </c>
      <c r="J176" s="9"/>
      <c r="K176" s="28"/>
      <c r="L176" s="29"/>
      <c r="M176" s="28"/>
      <c r="N176" s="9">
        <f>IFERROR(__xludf.DUMMYFUNCTION("SUM(QUERY(Entregas_BD!D:L,""select G where D='""&amp;D176&amp;""'"",1))"),0.0)</f>
        <v>0</v>
      </c>
      <c r="O176" s="9">
        <f>IFERROR(__xludf.DUMMYFUNCTION("SUM(QUERY(Entregas_BD!D:L,""select H where D='""&amp;D176&amp;""'"",1))"),0.0)</f>
        <v>0</v>
      </c>
      <c r="P176" s="9">
        <f>IFERROR(__xludf.DUMMYFUNCTION("SUM(QUERY(Entregas_BD!D:L,""select I where D='""&amp;D176&amp;""'"",1))"),0.0)</f>
        <v>0</v>
      </c>
      <c r="Q176" s="9">
        <f>IFERROR(__xludf.DUMMYFUNCTION("SUM(QUERY(Entregas_BD!D:L,""select J where D='""&amp;D176&amp;""'"",1))"),0.0)</f>
        <v>0</v>
      </c>
      <c r="R176" s="15">
        <f>IFERROR(__xludf.DUMMYFUNCTION("SUM(QUERY(Entregas_BD!D:L,""select K where D='""&amp;D176&amp;""'"",1))"),0.0)</f>
        <v>0</v>
      </c>
      <c r="S176" s="15">
        <f>IFERROR(__xludf.DUMMYFUNCTION("SUM(QUERY(Entregas_BD!D:L,""select L where D='""&amp;D176&amp;""'"",1))"),0.0)</f>
        <v>0</v>
      </c>
      <c r="T176" s="9">
        <f>IFERROR(__xludf.DUMMYFUNCTION("SUM(QUERY(Entregas_BD!D:AL,""select AG where D='""&amp;D176&amp;""'"",1))"),0.0)</f>
        <v>0</v>
      </c>
      <c r="U176" s="9">
        <f>IFERROR(__xludf.DUMMYFUNCTION("SUM(QUERY(Entregas_BD!D:AL,""select AH where D='""&amp;D176&amp;""'"",1))"),0.0)</f>
        <v>0</v>
      </c>
      <c r="V176" s="9">
        <f>IFERROR(__xludf.DUMMYFUNCTION("SUM(QUERY(Entregas_BD!D:AL,""select AI where D='""&amp;D176&amp;""'"",1))"),0.0)</f>
        <v>0</v>
      </c>
      <c r="W176" s="9">
        <f>IFERROR(__xludf.DUMMYFUNCTION("SUM(QUERY(Entregas_BD!D:AL,""select AJ where D='""&amp;D176&amp;""'"",1))"),0.0)</f>
        <v>0</v>
      </c>
      <c r="X176" s="9">
        <f>IFERROR(__xludf.DUMMYFUNCTION("SUM(QUERY(Entregas_BD!D:AL,""select AL where D='""&amp;D176&amp;""'"",1))"),0.0)</f>
        <v>0</v>
      </c>
      <c r="Y176" s="9">
        <f>IFERROR(__xludf.DUMMYFUNCTION("SUM(QUERY(Entregas_BD!D:AL,""select AK where D='""&amp;D176&amp;""'"",1))"),0.0)</f>
        <v>0</v>
      </c>
      <c r="Z176" s="9">
        <v>0.0</v>
      </c>
      <c r="AA176" s="9">
        <v>0.0</v>
      </c>
      <c r="AB176" s="9">
        <v>0.0</v>
      </c>
      <c r="AC176" s="9">
        <v>0.0</v>
      </c>
      <c r="AD176" s="9">
        <v>0.0</v>
      </c>
      <c r="AE176" s="9">
        <v>0.0</v>
      </c>
      <c r="AF176" s="52"/>
      <c r="AG176" s="15">
        <f>IFERROR(__xludf.DUMMYFUNCTION("SUM(QUERY(Entregas_BD!D:W,""select U where D='""&amp;D176&amp;""'"",1))"),0.0)</f>
        <v>0</v>
      </c>
      <c r="AH176" s="15">
        <f>IFERROR(__xludf.DUMMYFUNCTION("SUM(QUERY(Entregas_BD!D:W,""select S where D='""&amp;D176&amp;""'"",1))"),0.0)</f>
        <v>0</v>
      </c>
      <c r="AI176" s="15">
        <f>IFERROR(__xludf.DUMMYFUNCTION("SUM(QUERY(Entregas_BD!D:W,""select T where D='""&amp;D176&amp;""'"",1))"),0.0)</f>
        <v>0</v>
      </c>
    </row>
    <row r="177" ht="19.5" customHeight="1">
      <c r="A177" s="31"/>
      <c r="B177" s="32"/>
      <c r="C177" s="19">
        <v>176.0</v>
      </c>
      <c r="D177" s="20" t="s">
        <v>513</v>
      </c>
      <c r="E177" s="20" t="s">
        <v>63</v>
      </c>
      <c r="F177" s="20" t="s">
        <v>139</v>
      </c>
      <c r="G177" s="20" t="s">
        <v>139</v>
      </c>
      <c r="H177" s="19" t="s">
        <v>51</v>
      </c>
      <c r="I177" s="21" t="s">
        <v>47</v>
      </c>
      <c r="J177" s="34"/>
      <c r="K177" s="22"/>
      <c r="L177" s="23"/>
      <c r="M177" s="41"/>
      <c r="N177" s="19">
        <f>IFERROR(__xludf.DUMMYFUNCTION("SUM(QUERY(Entregas_BD!D:L,""select G where D='""&amp;D177&amp;""'"",1))"),0.0)</f>
        <v>0</v>
      </c>
      <c r="O177" s="19">
        <f>IFERROR(__xludf.DUMMYFUNCTION("SUM(QUERY(Entregas_BD!D:L,""select H where D='""&amp;D177&amp;""'"",1))"),0.0)</f>
        <v>0</v>
      </c>
      <c r="P177" s="19">
        <f>IFERROR(__xludf.DUMMYFUNCTION("SUM(QUERY(Entregas_BD!D:L,""select I where D='""&amp;D177&amp;""'"",1))"),0.0)</f>
        <v>0</v>
      </c>
      <c r="Q177" s="19">
        <f>IFERROR(__xludf.DUMMYFUNCTION("SUM(QUERY(Entregas_BD!D:L,""select J where D='""&amp;D177&amp;""'"",1))"),0.0)</f>
        <v>0</v>
      </c>
      <c r="R177" s="24">
        <f>IFERROR(__xludf.DUMMYFUNCTION("SUM(QUERY(Entregas_BD!D:L,""select K where D='""&amp;D177&amp;""'"",1))"),0.0)</f>
        <v>0</v>
      </c>
      <c r="S177" s="24">
        <f>IFERROR(__xludf.DUMMYFUNCTION("SUM(QUERY(Entregas_BD!D:L,""select L where D='""&amp;D177&amp;""'"",1))"),0.0)</f>
        <v>0</v>
      </c>
      <c r="T177" s="19">
        <f>IFERROR(__xludf.DUMMYFUNCTION("SUM(QUERY(Entregas_BD!D:AL,""select AG where D='""&amp;D177&amp;""'"",1))"),0.0)</f>
        <v>0</v>
      </c>
      <c r="U177" s="19">
        <f>IFERROR(__xludf.DUMMYFUNCTION("SUM(QUERY(Entregas_BD!D:AL,""select AH where D='""&amp;D177&amp;""'"",1))"),0.0)</f>
        <v>0</v>
      </c>
      <c r="V177" s="19">
        <f>IFERROR(__xludf.DUMMYFUNCTION("SUM(QUERY(Entregas_BD!D:AL,""select AI where D='""&amp;D177&amp;""'"",1))"),0.0)</f>
        <v>0</v>
      </c>
      <c r="W177" s="19">
        <f>IFERROR(__xludf.DUMMYFUNCTION("SUM(QUERY(Entregas_BD!D:AL,""select AJ where D='""&amp;D177&amp;""'"",1))"),0.0)</f>
        <v>0</v>
      </c>
      <c r="X177" s="19">
        <f>IFERROR(__xludf.DUMMYFUNCTION("SUM(QUERY(Entregas_BD!D:AL,""select AL where D='""&amp;D177&amp;""'"",1))"),0.0)</f>
        <v>0</v>
      </c>
      <c r="Y177" s="19">
        <f>IFERROR(__xludf.DUMMYFUNCTION("SUM(QUERY(Entregas_BD!D:AL,""select AK where D='""&amp;D177&amp;""'"",1))"),0.0)</f>
        <v>0</v>
      </c>
      <c r="Z177" s="19">
        <v>0.0</v>
      </c>
      <c r="AA177" s="19">
        <v>0.0</v>
      </c>
      <c r="AB177" s="19">
        <v>0.0</v>
      </c>
      <c r="AC177" s="19">
        <v>0.0</v>
      </c>
      <c r="AD177" s="19">
        <v>0.0</v>
      </c>
      <c r="AE177" s="19">
        <v>0.0</v>
      </c>
      <c r="AF177" s="51"/>
      <c r="AG177" s="24">
        <f>IFERROR(__xludf.DUMMYFUNCTION("SUM(QUERY(Entregas_BD!D:W,""select U where D='""&amp;D177&amp;""'"",1))"),0.0)</f>
        <v>0</v>
      </c>
      <c r="AH177" s="24">
        <f>IFERROR(__xludf.DUMMYFUNCTION("SUM(QUERY(Entregas_BD!D:W,""select S where D='""&amp;D177&amp;""'"",1))"),0.0)</f>
        <v>0</v>
      </c>
      <c r="AI177" s="24">
        <f>IFERROR(__xludf.DUMMYFUNCTION("SUM(QUERY(Entregas_BD!D:W,""select T where D='""&amp;D177&amp;""'"",1))"),0.0)</f>
        <v>0</v>
      </c>
    </row>
    <row r="178" ht="19.5" customHeight="1">
      <c r="A178" s="7"/>
      <c r="B178" s="8"/>
      <c r="C178" s="9">
        <v>177.0</v>
      </c>
      <c r="D178" s="10" t="s">
        <v>514</v>
      </c>
      <c r="E178" s="10" t="s">
        <v>197</v>
      </c>
      <c r="F178" s="10" t="s">
        <v>243</v>
      </c>
      <c r="G178" s="10" t="s">
        <v>515</v>
      </c>
      <c r="H178" s="9" t="s">
        <v>51</v>
      </c>
      <c r="I178" s="11" t="s">
        <v>41</v>
      </c>
      <c r="J178" s="12"/>
      <c r="K178" s="28"/>
      <c r="L178" s="29"/>
      <c r="M178" s="36"/>
      <c r="N178" s="9">
        <f>IFERROR(__xludf.DUMMYFUNCTION("SUM(QUERY(Entregas_BD!D:L,""select G where D='""&amp;D178&amp;""'"",1))"),0.0)</f>
        <v>0</v>
      </c>
      <c r="O178" s="9">
        <f>IFERROR(__xludf.DUMMYFUNCTION("SUM(QUERY(Entregas_BD!D:L,""select H where D='""&amp;D178&amp;""'"",1))"),0.0)</f>
        <v>0</v>
      </c>
      <c r="P178" s="9">
        <f>IFERROR(__xludf.DUMMYFUNCTION("SUM(QUERY(Entregas_BD!D:L,""select I where D='""&amp;D178&amp;""'"",1))"),0.0)</f>
        <v>0</v>
      </c>
      <c r="Q178" s="9">
        <f>IFERROR(__xludf.DUMMYFUNCTION("SUM(QUERY(Entregas_BD!D:L,""select J where D='""&amp;D178&amp;""'"",1))"),0.0)</f>
        <v>0</v>
      </c>
      <c r="R178" s="15">
        <f>IFERROR(__xludf.DUMMYFUNCTION("SUM(QUERY(Entregas_BD!D:L,""select K where D='""&amp;D178&amp;""'"",1))"),0.0)</f>
        <v>0</v>
      </c>
      <c r="S178" s="15">
        <f>IFERROR(__xludf.DUMMYFUNCTION("SUM(QUERY(Entregas_BD!D:L,""select L where D='""&amp;D178&amp;""'"",1))"),0.0)</f>
        <v>0</v>
      </c>
      <c r="T178" s="9">
        <f>IFERROR(__xludf.DUMMYFUNCTION("SUM(QUERY(Entregas_BD!D:AL,""select AG where D='""&amp;D178&amp;""'"",1))"),120.0)</f>
        <v>120</v>
      </c>
      <c r="U178" s="9">
        <f>IFERROR(__xludf.DUMMYFUNCTION("SUM(QUERY(Entregas_BD!D:AL,""select AH where D='""&amp;D178&amp;""'"",1))"),0.0)</f>
        <v>0</v>
      </c>
      <c r="V178" s="9">
        <f>IFERROR(__xludf.DUMMYFUNCTION("SUM(QUERY(Entregas_BD!D:AL,""select AI where D='""&amp;D178&amp;""'"",1))"),0.0)</f>
        <v>0</v>
      </c>
      <c r="W178" s="9">
        <f>IFERROR(__xludf.DUMMYFUNCTION("SUM(QUERY(Entregas_BD!D:AL,""select AJ where D='""&amp;D178&amp;""'"",1))"),0.0)</f>
        <v>0</v>
      </c>
      <c r="X178" s="9">
        <f>IFERROR(__xludf.DUMMYFUNCTION("SUM(QUERY(Entregas_BD!D:AL,""select AL where D='""&amp;D178&amp;""'"",1))"),0.0)</f>
        <v>0</v>
      </c>
      <c r="Y178" s="9">
        <f>IFERROR(__xludf.DUMMYFUNCTION("SUM(QUERY(Entregas_BD!D:AL,""select AK where D='""&amp;D178&amp;""'"",1))"),0.0)</f>
        <v>0</v>
      </c>
      <c r="Z178" s="9">
        <v>-120.0</v>
      </c>
      <c r="AA178" s="9">
        <v>0.0</v>
      </c>
      <c r="AB178" s="9">
        <v>0.0</v>
      </c>
      <c r="AC178" s="9">
        <v>0.0</v>
      </c>
      <c r="AD178" s="9">
        <v>0.0</v>
      </c>
      <c r="AE178" s="9">
        <v>0.0</v>
      </c>
      <c r="AF178" s="52"/>
      <c r="AG178" s="15">
        <f>IFERROR(__xludf.DUMMYFUNCTION("SUM(QUERY(Entregas_BD!D:W,""select U where D='""&amp;D178&amp;""'"",1))"),0.0)</f>
        <v>0</v>
      </c>
      <c r="AH178" s="15">
        <f>IFERROR(__xludf.DUMMYFUNCTION("SUM(QUERY(Entregas_BD!D:W,""select S where D='""&amp;D178&amp;""'"",1))"),0.0)</f>
        <v>0</v>
      </c>
      <c r="AI178" s="15">
        <f>IFERROR(__xludf.DUMMYFUNCTION("SUM(QUERY(Entregas_BD!D:W,""select T where D='""&amp;D178&amp;""'"",1))"),0.0)</f>
        <v>0</v>
      </c>
    </row>
    <row r="179" ht="19.5" customHeight="1">
      <c r="A179" s="31"/>
      <c r="B179" s="32"/>
      <c r="C179" s="19">
        <v>178.0</v>
      </c>
      <c r="D179" s="33" t="s">
        <v>516</v>
      </c>
      <c r="E179" s="20" t="s">
        <v>197</v>
      </c>
      <c r="F179" s="20" t="s">
        <v>198</v>
      </c>
      <c r="G179" s="20" t="s">
        <v>517</v>
      </c>
      <c r="H179" s="19" t="s">
        <v>51</v>
      </c>
      <c r="I179" s="21" t="s">
        <v>41</v>
      </c>
      <c r="J179" s="34"/>
      <c r="K179" s="22"/>
      <c r="L179" s="23"/>
      <c r="M179" s="41"/>
      <c r="N179" s="19">
        <f>IFERROR(__xludf.DUMMYFUNCTION("SUM(QUERY(Entregas_BD!D:L,""select G where D='""&amp;D179&amp;""'"",1))"),0.0)</f>
        <v>0</v>
      </c>
      <c r="O179" s="19">
        <f>IFERROR(__xludf.DUMMYFUNCTION("SUM(QUERY(Entregas_BD!D:L,""select H where D='""&amp;D179&amp;""'"",1))"),0.0)</f>
        <v>0</v>
      </c>
      <c r="P179" s="19">
        <f>IFERROR(__xludf.DUMMYFUNCTION("SUM(QUERY(Entregas_BD!D:L,""select I where D='""&amp;D179&amp;""'"",1))"),0.0)</f>
        <v>0</v>
      </c>
      <c r="Q179" s="19">
        <f>IFERROR(__xludf.DUMMYFUNCTION("SUM(QUERY(Entregas_BD!D:L,""select J where D='""&amp;D179&amp;""'"",1))"),0.0)</f>
        <v>0</v>
      </c>
      <c r="R179" s="24">
        <f>IFERROR(__xludf.DUMMYFUNCTION("SUM(QUERY(Entregas_BD!D:L,""select K where D='""&amp;D179&amp;""'"",1))"),0.0)</f>
        <v>0</v>
      </c>
      <c r="S179" s="24">
        <f>IFERROR(__xludf.DUMMYFUNCTION("SUM(QUERY(Entregas_BD!D:L,""select L where D='""&amp;D179&amp;""'"",1))"),0.0)</f>
        <v>0</v>
      </c>
      <c r="T179" s="19">
        <f>IFERROR(__xludf.DUMMYFUNCTION("SUM(QUERY(Entregas_BD!D:AL,""select AG where D='""&amp;D179&amp;""'"",1))"),120.0)</f>
        <v>120</v>
      </c>
      <c r="U179" s="19">
        <f>IFERROR(__xludf.DUMMYFUNCTION("SUM(QUERY(Entregas_BD!D:AL,""select AH where D='""&amp;D179&amp;""'"",1))"),0.0)</f>
        <v>0</v>
      </c>
      <c r="V179" s="19">
        <f>IFERROR(__xludf.DUMMYFUNCTION("SUM(QUERY(Entregas_BD!D:AL,""select AI where D='""&amp;D179&amp;""'"",1))"),0.0)</f>
        <v>0</v>
      </c>
      <c r="W179" s="19">
        <f>IFERROR(__xludf.DUMMYFUNCTION("SUM(QUERY(Entregas_BD!D:AL,""select AJ where D='""&amp;D179&amp;""'"",1))"),0.0)</f>
        <v>0</v>
      </c>
      <c r="X179" s="19">
        <f>IFERROR(__xludf.DUMMYFUNCTION("SUM(QUERY(Entregas_BD!D:AL,""select AL where D='""&amp;D179&amp;""'"",1))"),0.0)</f>
        <v>0</v>
      </c>
      <c r="Y179" s="19">
        <f>IFERROR(__xludf.DUMMYFUNCTION("SUM(QUERY(Entregas_BD!D:AL,""select AK where D='""&amp;D179&amp;""'"",1))"),0.0)</f>
        <v>0</v>
      </c>
      <c r="Z179" s="19">
        <v>-120.0</v>
      </c>
      <c r="AA179" s="19">
        <v>0.0</v>
      </c>
      <c r="AB179" s="19">
        <v>0.0</v>
      </c>
      <c r="AC179" s="19">
        <v>0.0</v>
      </c>
      <c r="AD179" s="19">
        <v>0.0</v>
      </c>
      <c r="AE179" s="19">
        <v>0.0</v>
      </c>
      <c r="AF179" s="22"/>
      <c r="AG179" s="24">
        <f>IFERROR(__xludf.DUMMYFUNCTION("SUM(QUERY(Entregas_BD!D:W,""select U where D='""&amp;D179&amp;""'"",1))"),0.0)</f>
        <v>0</v>
      </c>
      <c r="AH179" s="24">
        <f>IFERROR(__xludf.DUMMYFUNCTION("SUM(QUERY(Entregas_BD!D:W,""select S where D='""&amp;D179&amp;""'"",1))"),0.0)</f>
        <v>0</v>
      </c>
      <c r="AI179" s="24">
        <f>IFERROR(__xludf.DUMMYFUNCTION("SUM(QUERY(Entregas_BD!D:W,""select T where D='""&amp;D179&amp;""'"",1))"),0.0)</f>
        <v>0</v>
      </c>
    </row>
    <row r="180" ht="19.5" customHeight="1">
      <c r="A180" s="7"/>
      <c r="B180" s="8"/>
      <c r="C180" s="9">
        <v>179.0</v>
      </c>
      <c r="D180" s="10" t="s">
        <v>518</v>
      </c>
      <c r="E180" s="10" t="s">
        <v>153</v>
      </c>
      <c r="F180" s="10" t="s">
        <v>519</v>
      </c>
      <c r="G180" s="10" t="s">
        <v>520</v>
      </c>
      <c r="H180" s="12" t="s">
        <v>40</v>
      </c>
      <c r="I180" s="11" t="s">
        <v>41</v>
      </c>
      <c r="J180" s="12"/>
      <c r="K180" s="28"/>
      <c r="L180" s="29"/>
      <c r="M180" s="36"/>
      <c r="N180" s="9">
        <f>IFERROR(__xludf.DUMMYFUNCTION("SUM(QUERY(Entregas_BD!D:L,""select G where D='""&amp;D180&amp;""'"",1))"),0.0)</f>
        <v>0</v>
      </c>
      <c r="O180" s="9">
        <f>IFERROR(__xludf.DUMMYFUNCTION("SUM(QUERY(Entregas_BD!D:L,""select H where D='""&amp;D180&amp;""'"",1))"),0.0)</f>
        <v>0</v>
      </c>
      <c r="P180" s="9">
        <f>IFERROR(__xludf.DUMMYFUNCTION("SUM(QUERY(Entregas_BD!D:L,""select I where D='""&amp;D180&amp;""'"",1))"),0.0)</f>
        <v>0</v>
      </c>
      <c r="Q180" s="9">
        <f>IFERROR(__xludf.DUMMYFUNCTION("SUM(QUERY(Entregas_BD!D:L,""select J where D='""&amp;D180&amp;""'"",1))"),0.0)</f>
        <v>0</v>
      </c>
      <c r="R180" s="15">
        <f>IFERROR(__xludf.DUMMYFUNCTION("SUM(QUERY(Entregas_BD!D:L,""select K where D='""&amp;D180&amp;""'"",1))"),0.0)</f>
        <v>0</v>
      </c>
      <c r="S180" s="15">
        <f>IFERROR(__xludf.DUMMYFUNCTION("SUM(QUERY(Entregas_BD!D:L,""select L where D='""&amp;D180&amp;""'"",1))"),0.0)</f>
        <v>0</v>
      </c>
      <c r="T180" s="9">
        <f>IFERROR(__xludf.DUMMYFUNCTION("SUM(QUERY(Entregas_BD!D:AL,""select AG where D='""&amp;D180&amp;""'"",1))"),0.0)</f>
        <v>0</v>
      </c>
      <c r="U180" s="9">
        <f>IFERROR(__xludf.DUMMYFUNCTION("SUM(QUERY(Entregas_BD!D:AL,""select AH where D='""&amp;D180&amp;""'"",1))"),0.0)</f>
        <v>0</v>
      </c>
      <c r="V180" s="9">
        <f>IFERROR(__xludf.DUMMYFUNCTION("SUM(QUERY(Entregas_BD!D:AL,""select AI where D='""&amp;D180&amp;""'"",1))"),0.0)</f>
        <v>0</v>
      </c>
      <c r="W180" s="9">
        <f>IFERROR(__xludf.DUMMYFUNCTION("SUM(QUERY(Entregas_BD!D:AL,""select AJ where D='""&amp;D180&amp;""'"",1))"),0.0)</f>
        <v>0</v>
      </c>
      <c r="X180" s="9">
        <f>IFERROR(__xludf.DUMMYFUNCTION("SUM(QUERY(Entregas_BD!D:AL,""select AL where D='""&amp;D180&amp;""'"",1))"),0.0)</f>
        <v>0</v>
      </c>
      <c r="Y180" s="9">
        <f>IFERROR(__xludf.DUMMYFUNCTION("SUM(QUERY(Entregas_BD!D:AL,""select AK where D='""&amp;D180&amp;""'"",1))"),0.0)</f>
        <v>0</v>
      </c>
      <c r="Z180" s="9">
        <v>0.0</v>
      </c>
      <c r="AA180" s="9">
        <v>0.0</v>
      </c>
      <c r="AB180" s="9">
        <v>0.0</v>
      </c>
      <c r="AC180" s="9">
        <v>0.0</v>
      </c>
      <c r="AD180" s="9">
        <v>0.0</v>
      </c>
      <c r="AE180" s="9">
        <v>0.0</v>
      </c>
      <c r="AF180" s="52"/>
      <c r="AG180" s="15">
        <f>IFERROR(__xludf.DUMMYFUNCTION("SUM(QUERY(Entregas_BD!D:W,""select U where D='""&amp;D180&amp;""'"",1))"),0.0)</f>
        <v>0</v>
      </c>
      <c r="AH180" s="15">
        <f>IFERROR(__xludf.DUMMYFUNCTION("SUM(QUERY(Entregas_BD!D:W,""select S where D='""&amp;D180&amp;""'"",1))"),0.0)</f>
        <v>0</v>
      </c>
      <c r="AI180" s="15">
        <f>IFERROR(__xludf.DUMMYFUNCTION("SUM(QUERY(Entregas_BD!D:W,""select T where D='""&amp;D180&amp;""'"",1))"),0.0)</f>
        <v>0</v>
      </c>
    </row>
    <row r="181" ht="19.5" customHeight="1">
      <c r="A181" s="31"/>
      <c r="B181" s="32"/>
      <c r="C181" s="19">
        <v>180.0</v>
      </c>
      <c r="D181" s="20" t="s">
        <v>521</v>
      </c>
      <c r="E181" s="20" t="s">
        <v>153</v>
      </c>
      <c r="F181" s="20" t="s">
        <v>522</v>
      </c>
      <c r="G181" s="20" t="s">
        <v>149</v>
      </c>
      <c r="H181" s="34" t="s">
        <v>40</v>
      </c>
      <c r="I181" s="21" t="s">
        <v>47</v>
      </c>
      <c r="J181" s="34"/>
      <c r="K181" s="22"/>
      <c r="L181" s="23"/>
      <c r="M181" s="41"/>
      <c r="N181" s="19">
        <f>IFERROR(__xludf.DUMMYFUNCTION("SUM(QUERY(Entregas_BD!D:L,""select G where D='""&amp;D181&amp;""'"",1))"),0.0)</f>
        <v>0</v>
      </c>
      <c r="O181" s="19">
        <f>IFERROR(__xludf.DUMMYFUNCTION("SUM(QUERY(Entregas_BD!D:L,""select H where D='""&amp;D181&amp;""'"",1))"),0.0)</f>
        <v>0</v>
      </c>
      <c r="P181" s="19">
        <f>IFERROR(__xludf.DUMMYFUNCTION("SUM(QUERY(Entregas_BD!D:L,""select I where D='""&amp;D181&amp;""'"",1))"),0.0)</f>
        <v>0</v>
      </c>
      <c r="Q181" s="19">
        <f>IFERROR(__xludf.DUMMYFUNCTION("SUM(QUERY(Entregas_BD!D:L,""select J where D='""&amp;D181&amp;""'"",1))"),0.0)</f>
        <v>0</v>
      </c>
      <c r="R181" s="24">
        <f>IFERROR(__xludf.DUMMYFUNCTION("SUM(QUERY(Entregas_BD!D:L,""select K where D='""&amp;D181&amp;""'"",1))"),0.0)</f>
        <v>0</v>
      </c>
      <c r="S181" s="24">
        <f>IFERROR(__xludf.DUMMYFUNCTION("SUM(QUERY(Entregas_BD!D:L,""select L where D='""&amp;D181&amp;""'"",1))"),0.0)</f>
        <v>0</v>
      </c>
      <c r="T181" s="19">
        <f>IFERROR(__xludf.DUMMYFUNCTION("SUM(QUERY(Entregas_BD!D:AL,""select AG where D='""&amp;D181&amp;""'"",1))"),0.0)</f>
        <v>0</v>
      </c>
      <c r="U181" s="19">
        <f>IFERROR(__xludf.DUMMYFUNCTION("SUM(QUERY(Entregas_BD!D:AL,""select AH where D='""&amp;D181&amp;""'"",1))"),0.0)</f>
        <v>0</v>
      </c>
      <c r="V181" s="19">
        <f>IFERROR(__xludf.DUMMYFUNCTION("SUM(QUERY(Entregas_BD!D:AL,""select AI where D='""&amp;D181&amp;""'"",1))"),0.0)</f>
        <v>0</v>
      </c>
      <c r="W181" s="19">
        <f>IFERROR(__xludf.DUMMYFUNCTION("SUM(QUERY(Entregas_BD!D:AL,""select AJ where D='""&amp;D181&amp;""'"",1))"),0.0)</f>
        <v>0</v>
      </c>
      <c r="X181" s="19">
        <f>IFERROR(__xludf.DUMMYFUNCTION("SUM(QUERY(Entregas_BD!D:AL,""select AL where D='""&amp;D181&amp;""'"",1))"),0.0)</f>
        <v>0</v>
      </c>
      <c r="Y181" s="19">
        <f>IFERROR(__xludf.DUMMYFUNCTION("SUM(QUERY(Entregas_BD!D:AL,""select AK where D='""&amp;D181&amp;""'"",1))"),0.0)</f>
        <v>0</v>
      </c>
      <c r="Z181" s="19">
        <v>0.0</v>
      </c>
      <c r="AA181" s="19">
        <v>0.0</v>
      </c>
      <c r="AB181" s="19">
        <v>0.0</v>
      </c>
      <c r="AC181" s="19">
        <v>0.0</v>
      </c>
      <c r="AD181" s="19">
        <v>0.0</v>
      </c>
      <c r="AE181" s="19">
        <v>0.0</v>
      </c>
      <c r="AF181" s="22"/>
      <c r="AG181" s="24">
        <f>IFERROR(__xludf.DUMMYFUNCTION("SUM(QUERY(Entregas_BD!D:W,""select U where D='""&amp;D181&amp;""'"",1))"),0.0)</f>
        <v>0</v>
      </c>
      <c r="AH181" s="24">
        <f>IFERROR(__xludf.DUMMYFUNCTION("SUM(QUERY(Entregas_BD!D:W,""select S where D='""&amp;D181&amp;""'"",1))"),0.0)</f>
        <v>0</v>
      </c>
      <c r="AI181" s="24">
        <f>IFERROR(__xludf.DUMMYFUNCTION("SUM(QUERY(Entregas_BD!D:W,""select T where D='""&amp;D181&amp;""'"",1))"),0.0)</f>
        <v>0</v>
      </c>
    </row>
    <row r="182" ht="19.5" customHeight="1">
      <c r="A182" s="7"/>
      <c r="B182" s="8"/>
      <c r="C182" s="9">
        <v>181.0</v>
      </c>
      <c r="D182" s="10" t="s">
        <v>523</v>
      </c>
      <c r="E182" s="10" t="s">
        <v>63</v>
      </c>
      <c r="F182" s="10" t="s">
        <v>524</v>
      </c>
      <c r="G182" s="10" t="s">
        <v>524</v>
      </c>
      <c r="H182" s="9" t="s">
        <v>51</v>
      </c>
      <c r="I182" s="11" t="s">
        <v>41</v>
      </c>
      <c r="J182" s="12"/>
      <c r="K182" s="28"/>
      <c r="L182" s="29"/>
      <c r="M182" s="28"/>
      <c r="N182" s="9">
        <f>IFERROR(__xludf.DUMMYFUNCTION("SUM(QUERY(Entregas_BD!D:L,""select G where D='""&amp;D182&amp;""'"",1))"),0.0)</f>
        <v>0</v>
      </c>
      <c r="O182" s="9">
        <f>IFERROR(__xludf.DUMMYFUNCTION("SUM(QUERY(Entregas_BD!D:L,""select H where D='""&amp;D182&amp;""'"",1))"),0.0)</f>
        <v>0</v>
      </c>
      <c r="P182" s="9">
        <f>IFERROR(__xludf.DUMMYFUNCTION("SUM(QUERY(Entregas_BD!D:L,""select I where D='""&amp;D182&amp;""'"",1))"),0.0)</f>
        <v>0</v>
      </c>
      <c r="Q182" s="9">
        <f>IFERROR(__xludf.DUMMYFUNCTION("SUM(QUERY(Entregas_BD!D:L,""select J where D='""&amp;D182&amp;""'"",1))"),0.0)</f>
        <v>0</v>
      </c>
      <c r="R182" s="15">
        <f>IFERROR(__xludf.DUMMYFUNCTION("SUM(QUERY(Entregas_BD!D:L,""select K where D='""&amp;D182&amp;""'"",1))"),0.0)</f>
        <v>0</v>
      </c>
      <c r="S182" s="15">
        <f>IFERROR(__xludf.DUMMYFUNCTION("SUM(QUERY(Entregas_BD!D:L,""select L where D='""&amp;D182&amp;""'"",1))"),0.0)</f>
        <v>0</v>
      </c>
      <c r="T182" s="9">
        <f>IFERROR(__xludf.DUMMYFUNCTION("SUM(QUERY(Entregas_BD!D:AL,""select AG where D='""&amp;D182&amp;""'"",1))"),0.0)</f>
        <v>0</v>
      </c>
      <c r="U182" s="9">
        <f>IFERROR(__xludf.DUMMYFUNCTION("SUM(QUERY(Entregas_BD!D:AL,""select AH where D='""&amp;D182&amp;""'"",1))"),0.0)</f>
        <v>0</v>
      </c>
      <c r="V182" s="9">
        <f>IFERROR(__xludf.DUMMYFUNCTION("SUM(QUERY(Entregas_BD!D:AL,""select AI where D='""&amp;D182&amp;""'"",1))"),0.0)</f>
        <v>0</v>
      </c>
      <c r="W182" s="9">
        <f>IFERROR(__xludf.DUMMYFUNCTION("SUM(QUERY(Entregas_BD!D:AL,""select AJ where D='""&amp;D182&amp;""'"",1))"),0.0)</f>
        <v>0</v>
      </c>
      <c r="X182" s="9">
        <f>IFERROR(__xludf.DUMMYFUNCTION("SUM(QUERY(Entregas_BD!D:AL,""select AL where D='""&amp;D182&amp;""'"",1))"),0.0)</f>
        <v>0</v>
      </c>
      <c r="Y182" s="9">
        <f>IFERROR(__xludf.DUMMYFUNCTION("SUM(QUERY(Entregas_BD!D:AL,""select AK where D='""&amp;D182&amp;""'"",1))"),0.0)</f>
        <v>0</v>
      </c>
      <c r="Z182" s="9">
        <v>0.0</v>
      </c>
      <c r="AA182" s="9">
        <v>0.0</v>
      </c>
      <c r="AB182" s="9">
        <v>0.0</v>
      </c>
      <c r="AC182" s="9">
        <v>0.0</v>
      </c>
      <c r="AD182" s="9">
        <v>0.0</v>
      </c>
      <c r="AE182" s="9">
        <v>0.0</v>
      </c>
      <c r="AF182" s="52"/>
      <c r="AG182" s="15">
        <f>IFERROR(__xludf.DUMMYFUNCTION("SUM(QUERY(Entregas_BD!D:W,""select U where D='""&amp;D182&amp;""'"",1))"),0.0)</f>
        <v>0</v>
      </c>
      <c r="AH182" s="15">
        <f>IFERROR(__xludf.DUMMYFUNCTION("SUM(QUERY(Entregas_BD!D:W,""select S where D='""&amp;D182&amp;""'"",1))"),0.0)</f>
        <v>0</v>
      </c>
      <c r="AI182" s="15">
        <f>IFERROR(__xludf.DUMMYFUNCTION("SUM(QUERY(Entregas_BD!D:W,""select T where D='""&amp;D182&amp;""'"",1))"),0.0)</f>
        <v>0</v>
      </c>
    </row>
    <row r="183" ht="19.5" customHeight="1">
      <c r="A183" s="31"/>
      <c r="B183" s="32"/>
      <c r="C183" s="19">
        <v>182.0</v>
      </c>
      <c r="D183" s="20" t="s">
        <v>525</v>
      </c>
      <c r="E183" s="20" t="s">
        <v>153</v>
      </c>
      <c r="F183" s="20" t="s">
        <v>526</v>
      </c>
      <c r="G183" s="20" t="s">
        <v>149</v>
      </c>
      <c r="H183" s="34" t="s">
        <v>40</v>
      </c>
      <c r="I183" s="21" t="s">
        <v>41</v>
      </c>
      <c r="J183" s="34"/>
      <c r="K183" s="22"/>
      <c r="L183" s="23"/>
      <c r="M183" s="41"/>
      <c r="N183" s="19">
        <f>IFERROR(__xludf.DUMMYFUNCTION("SUM(QUERY(Entregas_BD!D:L,""select G where D='""&amp;D183&amp;""'"",1))"),0.0)</f>
        <v>0</v>
      </c>
      <c r="O183" s="19">
        <f>IFERROR(__xludf.DUMMYFUNCTION("SUM(QUERY(Entregas_BD!D:L,""select H where D='""&amp;D183&amp;""'"",1))"),0.0)</f>
        <v>0</v>
      </c>
      <c r="P183" s="19">
        <f>IFERROR(__xludf.DUMMYFUNCTION("SUM(QUERY(Entregas_BD!D:L,""select I where D='""&amp;D183&amp;""'"",1))"),0.0)</f>
        <v>0</v>
      </c>
      <c r="Q183" s="19">
        <f>IFERROR(__xludf.DUMMYFUNCTION("SUM(QUERY(Entregas_BD!D:L,""select J where D='""&amp;D183&amp;""'"",1))"),0.0)</f>
        <v>0</v>
      </c>
      <c r="R183" s="24">
        <f>IFERROR(__xludf.DUMMYFUNCTION("SUM(QUERY(Entregas_BD!D:L,""select K where D='""&amp;D183&amp;""'"",1))"),0.0)</f>
        <v>0</v>
      </c>
      <c r="S183" s="24">
        <f>IFERROR(__xludf.DUMMYFUNCTION("SUM(QUERY(Entregas_BD!D:L,""select L where D='""&amp;D183&amp;""'"",1))"),0.0)</f>
        <v>0</v>
      </c>
      <c r="T183" s="19">
        <f>IFERROR(__xludf.DUMMYFUNCTION("SUM(QUERY(Entregas_BD!D:AL,""select AG where D='""&amp;D183&amp;""'"",1))"),0.0)</f>
        <v>0</v>
      </c>
      <c r="U183" s="19">
        <f>IFERROR(__xludf.DUMMYFUNCTION("SUM(QUERY(Entregas_BD!D:AL,""select AH where D='""&amp;D183&amp;""'"",1))"),0.0)</f>
        <v>0</v>
      </c>
      <c r="V183" s="19">
        <f>IFERROR(__xludf.DUMMYFUNCTION("SUM(QUERY(Entregas_BD!D:AL,""select AI where D='""&amp;D183&amp;""'"",1))"),0.0)</f>
        <v>0</v>
      </c>
      <c r="W183" s="19">
        <f>IFERROR(__xludf.DUMMYFUNCTION("SUM(QUERY(Entregas_BD!D:AL,""select AJ where D='""&amp;D183&amp;""'"",1))"),0.0)</f>
        <v>0</v>
      </c>
      <c r="X183" s="19">
        <f>IFERROR(__xludf.DUMMYFUNCTION("SUM(QUERY(Entregas_BD!D:AL,""select AL where D='""&amp;D183&amp;""'"",1))"),0.0)</f>
        <v>0</v>
      </c>
      <c r="Y183" s="19">
        <f>IFERROR(__xludf.DUMMYFUNCTION("SUM(QUERY(Entregas_BD!D:AL,""select AK where D='""&amp;D183&amp;""'"",1))"),0.0)</f>
        <v>0</v>
      </c>
      <c r="Z183" s="19">
        <v>0.0</v>
      </c>
      <c r="AA183" s="19">
        <v>0.0</v>
      </c>
      <c r="AB183" s="19">
        <v>0.0</v>
      </c>
      <c r="AC183" s="19">
        <v>0.0</v>
      </c>
      <c r="AD183" s="19">
        <v>0.0</v>
      </c>
      <c r="AE183" s="19">
        <v>0.0</v>
      </c>
      <c r="AF183" s="51"/>
      <c r="AG183" s="24">
        <f>IFERROR(__xludf.DUMMYFUNCTION("SUM(QUERY(Entregas_BD!D:W,""select U where D='""&amp;D183&amp;""'"",1))"),0.0)</f>
        <v>0</v>
      </c>
      <c r="AH183" s="24">
        <f>IFERROR(__xludf.DUMMYFUNCTION("SUM(QUERY(Entregas_BD!D:W,""select S where D='""&amp;D183&amp;""'"",1))"),0.0)</f>
        <v>0</v>
      </c>
      <c r="AI183" s="24">
        <f>IFERROR(__xludf.DUMMYFUNCTION("SUM(QUERY(Entregas_BD!D:W,""select T where D='""&amp;D183&amp;""'"",1))"),0.0)</f>
        <v>0</v>
      </c>
    </row>
    <row r="184" ht="19.5" customHeight="1">
      <c r="A184" s="7"/>
      <c r="B184" s="8"/>
      <c r="C184" s="9">
        <v>183.0</v>
      </c>
      <c r="D184" s="10" t="s">
        <v>527</v>
      </c>
      <c r="E184" s="10" t="s">
        <v>58</v>
      </c>
      <c r="F184" s="10" t="s">
        <v>45</v>
      </c>
      <c r="G184" s="10" t="s">
        <v>528</v>
      </c>
      <c r="H184" s="9" t="s">
        <v>51</v>
      </c>
      <c r="I184" s="11" t="s">
        <v>47</v>
      </c>
      <c r="J184" s="9"/>
      <c r="K184" s="28"/>
      <c r="L184" s="29"/>
      <c r="M184" s="28"/>
      <c r="N184" s="9">
        <f>IFERROR(__xludf.DUMMYFUNCTION("SUM(QUERY(Entregas_BD!D:L,""select G where D='""&amp;D184&amp;""'"",1))"),0.0)</f>
        <v>0</v>
      </c>
      <c r="O184" s="9">
        <f>IFERROR(__xludf.DUMMYFUNCTION("SUM(QUERY(Entregas_BD!D:L,""select H where D='""&amp;D184&amp;""'"",1))"),0.0)</f>
        <v>0</v>
      </c>
      <c r="P184" s="9">
        <f>IFERROR(__xludf.DUMMYFUNCTION("SUM(QUERY(Entregas_BD!D:L,""select I where D='""&amp;D184&amp;""'"",1))"),0.0)</f>
        <v>0</v>
      </c>
      <c r="Q184" s="9">
        <f>IFERROR(__xludf.DUMMYFUNCTION("SUM(QUERY(Entregas_BD!D:L,""select J where D='""&amp;D184&amp;""'"",1))"),0.0)</f>
        <v>0</v>
      </c>
      <c r="R184" s="15">
        <f>IFERROR(__xludf.DUMMYFUNCTION("SUM(QUERY(Entregas_BD!D:L,""select K where D='""&amp;D184&amp;""'"",1))"),0.0)</f>
        <v>0</v>
      </c>
      <c r="S184" s="15">
        <f>IFERROR(__xludf.DUMMYFUNCTION("SUM(QUERY(Entregas_BD!D:L,""select L where D='""&amp;D184&amp;""'"",1))"),0.0)</f>
        <v>0</v>
      </c>
      <c r="T184" s="9">
        <f>IFERROR(__xludf.DUMMYFUNCTION("SUM(QUERY(Entregas_BD!D:AL,""select AG where D='""&amp;D184&amp;""'"",1))"),0.0)</f>
        <v>0</v>
      </c>
      <c r="U184" s="9">
        <f>IFERROR(__xludf.DUMMYFUNCTION("SUM(QUERY(Entregas_BD!D:AL,""select AH where D='""&amp;D184&amp;""'"",1))"),0.0)</f>
        <v>0</v>
      </c>
      <c r="V184" s="9">
        <f>IFERROR(__xludf.DUMMYFUNCTION("SUM(QUERY(Entregas_BD!D:AL,""select AI where D='""&amp;D184&amp;""'"",1))"),0.0)</f>
        <v>0</v>
      </c>
      <c r="W184" s="9">
        <f>IFERROR(__xludf.DUMMYFUNCTION("SUM(QUERY(Entregas_BD!D:AL,""select AJ where D='""&amp;D184&amp;""'"",1))"),0.0)</f>
        <v>0</v>
      </c>
      <c r="X184" s="9">
        <f>IFERROR(__xludf.DUMMYFUNCTION("SUM(QUERY(Entregas_BD!D:AL,""select AL where D='""&amp;D184&amp;""'"",1))"),0.0)</f>
        <v>0</v>
      </c>
      <c r="Y184" s="9">
        <f>IFERROR(__xludf.DUMMYFUNCTION("SUM(QUERY(Entregas_BD!D:AL,""select AK where D='""&amp;D184&amp;""'"",1))"),0.0)</f>
        <v>0</v>
      </c>
      <c r="Z184" s="9">
        <v>0.0</v>
      </c>
      <c r="AA184" s="9">
        <v>0.0</v>
      </c>
      <c r="AB184" s="9">
        <v>0.0</v>
      </c>
      <c r="AC184" s="9">
        <v>0.0</v>
      </c>
      <c r="AD184" s="9">
        <v>0.0</v>
      </c>
      <c r="AE184" s="9">
        <v>0.0</v>
      </c>
      <c r="AF184" s="28"/>
      <c r="AG184" s="15">
        <f>IFERROR(__xludf.DUMMYFUNCTION("SUM(QUERY(Entregas_BD!D:W,""select U where D='""&amp;D184&amp;""'"",1))"),0.0)</f>
        <v>0</v>
      </c>
      <c r="AH184" s="15">
        <f>IFERROR(__xludf.DUMMYFUNCTION("SUM(QUERY(Entregas_BD!D:W,""select S where D='""&amp;D184&amp;""'"",1))"),0.0)</f>
        <v>0</v>
      </c>
      <c r="AI184" s="15">
        <f>IFERROR(__xludf.DUMMYFUNCTION("SUM(QUERY(Entregas_BD!D:W,""select T where D='""&amp;D184&amp;""'"",1))"),0.0)</f>
        <v>0</v>
      </c>
    </row>
    <row r="185" ht="19.5" customHeight="1">
      <c r="A185" s="31"/>
      <c r="B185" s="32"/>
      <c r="C185" s="19">
        <v>184.0</v>
      </c>
      <c r="D185" s="20" t="s">
        <v>529</v>
      </c>
      <c r="E185" s="20" t="s">
        <v>58</v>
      </c>
      <c r="F185" s="20" t="s">
        <v>45</v>
      </c>
      <c r="G185" s="20" t="s">
        <v>530</v>
      </c>
      <c r="H185" s="19" t="s">
        <v>51</v>
      </c>
      <c r="I185" s="21" t="s">
        <v>41</v>
      </c>
      <c r="J185" s="19"/>
      <c r="K185" s="22"/>
      <c r="L185" s="23"/>
      <c r="M185" s="22"/>
      <c r="N185" s="19">
        <f>IFERROR(__xludf.DUMMYFUNCTION("SUM(QUERY(Entregas_BD!D:L,""select G where D='""&amp;D185&amp;""'"",1))"),0.0)</f>
        <v>0</v>
      </c>
      <c r="O185" s="19">
        <f>IFERROR(__xludf.DUMMYFUNCTION("SUM(QUERY(Entregas_BD!D:L,""select H where D='""&amp;D185&amp;""'"",1))"),0.0)</f>
        <v>0</v>
      </c>
      <c r="P185" s="19">
        <f>IFERROR(__xludf.DUMMYFUNCTION("SUM(QUERY(Entregas_BD!D:L,""select I where D='""&amp;D185&amp;""'"",1))"),0.0)</f>
        <v>0</v>
      </c>
      <c r="Q185" s="19">
        <f>IFERROR(__xludf.DUMMYFUNCTION("SUM(QUERY(Entregas_BD!D:L,""select J where D='""&amp;D185&amp;""'"",1))"),0.0)</f>
        <v>0</v>
      </c>
      <c r="R185" s="24">
        <f>IFERROR(__xludf.DUMMYFUNCTION("SUM(QUERY(Entregas_BD!D:L,""select K where D='""&amp;D185&amp;""'"",1))"),0.0)</f>
        <v>0</v>
      </c>
      <c r="S185" s="24">
        <f>IFERROR(__xludf.DUMMYFUNCTION("SUM(QUERY(Entregas_BD!D:L,""select L where D='""&amp;D185&amp;""'"",1))"),0.0)</f>
        <v>0</v>
      </c>
      <c r="T185" s="19">
        <f>IFERROR(__xludf.DUMMYFUNCTION("SUM(QUERY(Entregas_BD!D:AL,""select AG where D='""&amp;D185&amp;""'"",1))"),0.0)</f>
        <v>0</v>
      </c>
      <c r="U185" s="19">
        <f>IFERROR(__xludf.DUMMYFUNCTION("SUM(QUERY(Entregas_BD!D:AL,""select AH where D='""&amp;D185&amp;""'"",1))"),0.0)</f>
        <v>0</v>
      </c>
      <c r="V185" s="19">
        <f>IFERROR(__xludf.DUMMYFUNCTION("SUM(QUERY(Entregas_BD!D:AL,""select AI where D='""&amp;D185&amp;""'"",1))"),0.0)</f>
        <v>0</v>
      </c>
      <c r="W185" s="19">
        <f>IFERROR(__xludf.DUMMYFUNCTION("SUM(QUERY(Entregas_BD!D:AL,""select AJ where D='""&amp;D185&amp;""'"",1))"),0.0)</f>
        <v>0</v>
      </c>
      <c r="X185" s="19">
        <f>IFERROR(__xludf.DUMMYFUNCTION("SUM(QUERY(Entregas_BD!D:AL,""select AL where D='""&amp;D185&amp;""'"",1))"),0.0)</f>
        <v>0</v>
      </c>
      <c r="Y185" s="19">
        <f>IFERROR(__xludf.DUMMYFUNCTION("SUM(QUERY(Entregas_BD!D:AL,""select AK where D='""&amp;D185&amp;""'"",1))"),0.0)</f>
        <v>0</v>
      </c>
      <c r="Z185" s="19">
        <v>0.0</v>
      </c>
      <c r="AA185" s="19">
        <v>0.0</v>
      </c>
      <c r="AB185" s="19">
        <v>0.0</v>
      </c>
      <c r="AC185" s="19">
        <v>0.0</v>
      </c>
      <c r="AD185" s="19">
        <v>0.0</v>
      </c>
      <c r="AE185" s="19">
        <v>0.0</v>
      </c>
      <c r="AF185" s="51"/>
      <c r="AG185" s="24">
        <f>IFERROR(__xludf.DUMMYFUNCTION("SUM(QUERY(Entregas_BD!D:W,""select U where D='""&amp;D185&amp;""'"",1))"),0.0)</f>
        <v>0</v>
      </c>
      <c r="AH185" s="24">
        <f>IFERROR(__xludf.DUMMYFUNCTION("SUM(QUERY(Entregas_BD!D:W,""select S where D='""&amp;D185&amp;""'"",1))"),0.0)</f>
        <v>0</v>
      </c>
      <c r="AI185" s="24">
        <f>IFERROR(__xludf.DUMMYFUNCTION("SUM(QUERY(Entregas_BD!D:W,""select T where D='""&amp;D185&amp;""'"",1))"),0.0)</f>
        <v>0</v>
      </c>
    </row>
    <row r="186" ht="19.5" customHeight="1">
      <c r="A186" s="7"/>
      <c r="B186" s="8"/>
      <c r="C186" s="9">
        <v>185.0</v>
      </c>
      <c r="D186" s="10" t="s">
        <v>531</v>
      </c>
      <c r="E186" s="10" t="s">
        <v>63</v>
      </c>
      <c r="F186" s="10" t="s">
        <v>139</v>
      </c>
      <c r="G186" s="10" t="s">
        <v>139</v>
      </c>
      <c r="H186" s="9" t="s">
        <v>51</v>
      </c>
      <c r="I186" s="11" t="s">
        <v>41</v>
      </c>
      <c r="J186" s="12"/>
      <c r="K186" s="28"/>
      <c r="L186" s="29"/>
      <c r="M186" s="36"/>
      <c r="N186" s="9">
        <f>IFERROR(__xludf.DUMMYFUNCTION("SUM(QUERY(Entregas_BD!D:L,""select G where D='""&amp;D186&amp;""'"",1))"),0.0)</f>
        <v>0</v>
      </c>
      <c r="O186" s="9">
        <f>IFERROR(__xludf.DUMMYFUNCTION("SUM(QUERY(Entregas_BD!D:L,""select H where D='""&amp;D186&amp;""'"",1))"),0.0)</f>
        <v>0</v>
      </c>
      <c r="P186" s="9">
        <f>IFERROR(__xludf.DUMMYFUNCTION("SUM(QUERY(Entregas_BD!D:L,""select I where D='""&amp;D186&amp;""'"",1))"),0.0)</f>
        <v>0</v>
      </c>
      <c r="Q186" s="9">
        <f>IFERROR(__xludf.DUMMYFUNCTION("SUM(QUERY(Entregas_BD!D:L,""select J where D='""&amp;D186&amp;""'"",1))"),0.0)</f>
        <v>0</v>
      </c>
      <c r="R186" s="15">
        <f>IFERROR(__xludf.DUMMYFUNCTION("SUM(QUERY(Entregas_BD!D:L,""select K where D='""&amp;D186&amp;""'"",1))"),0.0)</f>
        <v>0</v>
      </c>
      <c r="S186" s="15">
        <f>IFERROR(__xludf.DUMMYFUNCTION("SUM(QUERY(Entregas_BD!D:L,""select L where D='""&amp;D186&amp;""'"",1))"),0.0)</f>
        <v>0</v>
      </c>
      <c r="T186" s="9">
        <f>IFERROR(__xludf.DUMMYFUNCTION("SUM(QUERY(Entregas_BD!D:AL,""select AG where D='""&amp;D186&amp;""'"",1))"),0.0)</f>
        <v>0</v>
      </c>
      <c r="U186" s="9">
        <f>IFERROR(__xludf.DUMMYFUNCTION("SUM(QUERY(Entregas_BD!D:AL,""select AH where D='""&amp;D186&amp;""'"",1))"),0.0)</f>
        <v>0</v>
      </c>
      <c r="V186" s="9">
        <f>IFERROR(__xludf.DUMMYFUNCTION("SUM(QUERY(Entregas_BD!D:AL,""select AI where D='""&amp;D186&amp;""'"",1))"),0.0)</f>
        <v>0</v>
      </c>
      <c r="W186" s="9">
        <f>IFERROR(__xludf.DUMMYFUNCTION("SUM(QUERY(Entregas_BD!D:AL,""select AJ where D='""&amp;D186&amp;""'"",1))"),0.0)</f>
        <v>0</v>
      </c>
      <c r="X186" s="9">
        <f>IFERROR(__xludf.DUMMYFUNCTION("SUM(QUERY(Entregas_BD!D:AL,""select AL where D='""&amp;D186&amp;""'"",1))"),0.0)</f>
        <v>0</v>
      </c>
      <c r="Y186" s="9">
        <f>IFERROR(__xludf.DUMMYFUNCTION("SUM(QUERY(Entregas_BD!D:AL,""select AK where D='""&amp;D186&amp;""'"",1))"),0.0)</f>
        <v>0</v>
      </c>
      <c r="Z186" s="9">
        <v>0.0</v>
      </c>
      <c r="AA186" s="9">
        <v>0.0</v>
      </c>
      <c r="AB186" s="9">
        <v>0.0</v>
      </c>
      <c r="AC186" s="9">
        <v>0.0</v>
      </c>
      <c r="AD186" s="9">
        <v>0.0</v>
      </c>
      <c r="AE186" s="9">
        <v>0.0</v>
      </c>
      <c r="AF186" s="28"/>
      <c r="AG186" s="15">
        <f>IFERROR(__xludf.DUMMYFUNCTION("SUM(QUERY(Entregas_BD!D:W,""select U where D='""&amp;D186&amp;""'"",1))"),0.0)</f>
        <v>0</v>
      </c>
      <c r="AH186" s="15">
        <f>IFERROR(__xludf.DUMMYFUNCTION("SUM(QUERY(Entregas_BD!D:W,""select S where D='""&amp;D186&amp;""'"",1))"),0.0)</f>
        <v>0</v>
      </c>
      <c r="AI186" s="15">
        <f>IFERROR(__xludf.DUMMYFUNCTION("SUM(QUERY(Entregas_BD!D:W,""select T where D='""&amp;D186&amp;""'"",1))"),0.0)</f>
        <v>0</v>
      </c>
    </row>
    <row r="187" ht="19.5" customHeight="1">
      <c r="A187" s="31"/>
      <c r="B187" s="32"/>
      <c r="C187" s="19">
        <v>186.0</v>
      </c>
      <c r="D187" s="20" t="s">
        <v>532</v>
      </c>
      <c r="E187" s="20" t="s">
        <v>197</v>
      </c>
      <c r="F187" s="20" t="s">
        <v>243</v>
      </c>
      <c r="G187" s="20" t="s">
        <v>533</v>
      </c>
      <c r="H187" s="19" t="s">
        <v>51</v>
      </c>
      <c r="I187" s="21" t="s">
        <v>41</v>
      </c>
      <c r="J187" s="34"/>
      <c r="K187" s="22"/>
      <c r="L187" s="23"/>
      <c r="M187" s="41"/>
      <c r="N187" s="19">
        <f>IFERROR(__xludf.DUMMYFUNCTION("SUM(QUERY(Entregas_BD!D:L,""select G where D='""&amp;D187&amp;""'"",1))"),0.0)</f>
        <v>0</v>
      </c>
      <c r="O187" s="19">
        <f>IFERROR(__xludf.DUMMYFUNCTION("SUM(QUERY(Entregas_BD!D:L,""select H where D='""&amp;D187&amp;""'"",1))"),0.0)</f>
        <v>0</v>
      </c>
      <c r="P187" s="19">
        <f>IFERROR(__xludf.DUMMYFUNCTION("SUM(QUERY(Entregas_BD!D:L,""select I where D='""&amp;D187&amp;""'"",1))"),0.0)</f>
        <v>0</v>
      </c>
      <c r="Q187" s="19">
        <f>IFERROR(__xludf.DUMMYFUNCTION("SUM(QUERY(Entregas_BD!D:L,""select J where D='""&amp;D187&amp;""'"",1))"),0.0)</f>
        <v>0</v>
      </c>
      <c r="R187" s="24">
        <f>IFERROR(__xludf.DUMMYFUNCTION("SUM(QUERY(Entregas_BD!D:L,""select K where D='""&amp;D187&amp;""'"",1))"),0.0)</f>
        <v>0</v>
      </c>
      <c r="S187" s="24">
        <f>IFERROR(__xludf.DUMMYFUNCTION("SUM(QUERY(Entregas_BD!D:L,""select L where D='""&amp;D187&amp;""'"",1))"),0.0)</f>
        <v>0</v>
      </c>
      <c r="T187" s="19">
        <f>IFERROR(__xludf.DUMMYFUNCTION("SUM(QUERY(Entregas_BD!D:AL,""select AG where D='""&amp;D187&amp;""'"",1))"),25.0)</f>
        <v>25</v>
      </c>
      <c r="U187" s="19">
        <f>IFERROR(__xludf.DUMMYFUNCTION("SUM(QUERY(Entregas_BD!D:AL,""select AH where D='""&amp;D187&amp;""'"",1))"),0.0)</f>
        <v>0</v>
      </c>
      <c r="V187" s="19">
        <f>IFERROR(__xludf.DUMMYFUNCTION("SUM(QUERY(Entregas_BD!D:AL,""select AI where D='""&amp;D187&amp;""'"",1))"),0.0)</f>
        <v>0</v>
      </c>
      <c r="W187" s="19">
        <f>IFERROR(__xludf.DUMMYFUNCTION("SUM(QUERY(Entregas_BD!D:AL,""select AJ where D='""&amp;D187&amp;""'"",1))"),0.0)</f>
        <v>0</v>
      </c>
      <c r="X187" s="19">
        <f>IFERROR(__xludf.DUMMYFUNCTION("SUM(QUERY(Entregas_BD!D:AL,""select AL where D='""&amp;D187&amp;""'"",1))"),0.0)</f>
        <v>0</v>
      </c>
      <c r="Y187" s="19">
        <f>IFERROR(__xludf.DUMMYFUNCTION("SUM(QUERY(Entregas_BD!D:AL,""select AK where D='""&amp;D187&amp;""'"",1))"),0.0)</f>
        <v>0</v>
      </c>
      <c r="Z187" s="19">
        <v>-25.0</v>
      </c>
      <c r="AA187" s="19">
        <v>0.0</v>
      </c>
      <c r="AB187" s="19">
        <v>0.0</v>
      </c>
      <c r="AC187" s="19">
        <v>0.0</v>
      </c>
      <c r="AD187" s="19">
        <v>0.0</v>
      </c>
      <c r="AE187" s="19">
        <v>0.0</v>
      </c>
      <c r="AF187" s="51"/>
      <c r="AG187" s="24">
        <f>IFERROR(__xludf.DUMMYFUNCTION("SUM(QUERY(Entregas_BD!D:W,""select U where D='""&amp;D187&amp;""'"",1))"),0.0)</f>
        <v>0</v>
      </c>
      <c r="AH187" s="24">
        <f>IFERROR(__xludf.DUMMYFUNCTION("SUM(QUERY(Entregas_BD!D:W,""select S where D='""&amp;D187&amp;""'"",1))"),0.0)</f>
        <v>0</v>
      </c>
      <c r="AI187" s="24">
        <f>IFERROR(__xludf.DUMMYFUNCTION("SUM(QUERY(Entregas_BD!D:W,""select T where D='""&amp;D187&amp;""'"",1))"),0.0)</f>
        <v>0</v>
      </c>
    </row>
    <row r="188" ht="19.5" customHeight="1">
      <c r="A188" s="7"/>
      <c r="B188" s="8"/>
      <c r="C188" s="9">
        <v>187.0</v>
      </c>
      <c r="D188" s="10" t="s">
        <v>534</v>
      </c>
      <c r="E188" s="10" t="s">
        <v>153</v>
      </c>
      <c r="F188" s="10" t="s">
        <v>535</v>
      </c>
      <c r="G188" s="10" t="s">
        <v>536</v>
      </c>
      <c r="H188" s="12" t="s">
        <v>40</v>
      </c>
      <c r="I188" s="11" t="s">
        <v>41</v>
      </c>
      <c r="J188" s="12"/>
      <c r="K188" s="28"/>
      <c r="L188" s="29"/>
      <c r="M188" s="36"/>
      <c r="N188" s="9">
        <f>IFERROR(__xludf.DUMMYFUNCTION("SUM(QUERY(Entregas_BD!D:L,""select G where D='""&amp;D188&amp;""'"",1))"),0.0)</f>
        <v>0</v>
      </c>
      <c r="O188" s="9">
        <f>IFERROR(__xludf.DUMMYFUNCTION("SUM(QUERY(Entregas_BD!D:L,""select H where D='""&amp;D188&amp;""'"",1))"),0.0)</f>
        <v>0</v>
      </c>
      <c r="P188" s="9">
        <f>IFERROR(__xludf.DUMMYFUNCTION("SUM(QUERY(Entregas_BD!D:L,""select I where D='""&amp;D188&amp;""'"",1))"),0.0)</f>
        <v>0</v>
      </c>
      <c r="Q188" s="9">
        <f>IFERROR(__xludf.DUMMYFUNCTION("SUM(QUERY(Entregas_BD!D:L,""select J where D='""&amp;D188&amp;""'"",1))"),0.0)</f>
        <v>0</v>
      </c>
      <c r="R188" s="15">
        <f>IFERROR(__xludf.DUMMYFUNCTION("SUM(QUERY(Entregas_BD!D:L,""select K where D='""&amp;D188&amp;""'"",1))"),0.0)</f>
        <v>0</v>
      </c>
      <c r="S188" s="15">
        <f>IFERROR(__xludf.DUMMYFUNCTION("SUM(QUERY(Entregas_BD!D:L,""select L where D='""&amp;D188&amp;""'"",1))"),0.0)</f>
        <v>0</v>
      </c>
      <c r="T188" s="9">
        <f>IFERROR(__xludf.DUMMYFUNCTION("SUM(QUERY(Entregas_BD!D:AL,""select AG where D='""&amp;D188&amp;""'"",1))"),0.0)</f>
        <v>0</v>
      </c>
      <c r="U188" s="9">
        <f>IFERROR(__xludf.DUMMYFUNCTION("SUM(QUERY(Entregas_BD!D:AL,""select AH where D='""&amp;D188&amp;""'"",1))"),0.0)</f>
        <v>0</v>
      </c>
      <c r="V188" s="9">
        <f>IFERROR(__xludf.DUMMYFUNCTION("SUM(QUERY(Entregas_BD!D:AL,""select AI where D='""&amp;D188&amp;""'"",1))"),0.0)</f>
        <v>0</v>
      </c>
      <c r="W188" s="9">
        <f>IFERROR(__xludf.DUMMYFUNCTION("SUM(QUERY(Entregas_BD!D:AL,""select AJ where D='""&amp;D188&amp;""'"",1))"),0.0)</f>
        <v>0</v>
      </c>
      <c r="X188" s="9">
        <f>IFERROR(__xludf.DUMMYFUNCTION("SUM(QUERY(Entregas_BD!D:AL,""select AL where D='""&amp;D188&amp;""'"",1))"),0.0)</f>
        <v>0</v>
      </c>
      <c r="Y188" s="9">
        <f>IFERROR(__xludf.DUMMYFUNCTION("SUM(QUERY(Entregas_BD!D:AL,""select AK where D='""&amp;D188&amp;""'"",1))"),0.0)</f>
        <v>0</v>
      </c>
      <c r="Z188" s="9">
        <v>0.0</v>
      </c>
      <c r="AA188" s="9">
        <v>0.0</v>
      </c>
      <c r="AB188" s="9">
        <v>0.0</v>
      </c>
      <c r="AC188" s="9">
        <v>0.0</v>
      </c>
      <c r="AD188" s="9">
        <v>0.0</v>
      </c>
      <c r="AE188" s="9">
        <v>0.0</v>
      </c>
      <c r="AF188" s="52"/>
      <c r="AG188" s="15">
        <f>IFERROR(__xludf.DUMMYFUNCTION("SUM(QUERY(Entregas_BD!D:W,""select U where D='""&amp;D188&amp;""'"",1))"),0.0)</f>
        <v>0</v>
      </c>
      <c r="AH188" s="15">
        <f>IFERROR(__xludf.DUMMYFUNCTION("SUM(QUERY(Entregas_BD!D:W,""select S where D='""&amp;D188&amp;""'"",1))"),0.0)</f>
        <v>0</v>
      </c>
      <c r="AI188" s="15">
        <f>IFERROR(__xludf.DUMMYFUNCTION("SUM(QUERY(Entregas_BD!D:W,""select T where D='""&amp;D188&amp;""'"",1))"),0.0)</f>
        <v>0</v>
      </c>
    </row>
    <row r="189" ht="19.5" customHeight="1">
      <c r="A189" s="17"/>
      <c r="B189" s="18"/>
      <c r="C189" s="19">
        <v>188.0</v>
      </c>
      <c r="D189" s="20" t="s">
        <v>537</v>
      </c>
      <c r="E189" s="20" t="s">
        <v>44</v>
      </c>
      <c r="F189" s="20" t="s">
        <v>45</v>
      </c>
      <c r="G189" s="20" t="s">
        <v>46</v>
      </c>
      <c r="H189" s="19" t="s">
        <v>69</v>
      </c>
      <c r="I189" s="21" t="s">
        <v>41</v>
      </c>
      <c r="J189" s="19"/>
      <c r="K189" s="22"/>
      <c r="L189" s="23"/>
      <c r="M189" s="22"/>
      <c r="N189" s="19">
        <f>IFERROR(__xludf.DUMMYFUNCTION("SUM(QUERY(Entregas_BD!D:L,""select G where D='""&amp;D189&amp;""'"",1))"),0.0)</f>
        <v>0</v>
      </c>
      <c r="O189" s="19">
        <f>IFERROR(__xludf.DUMMYFUNCTION("SUM(QUERY(Entregas_BD!D:L,""select H where D='""&amp;D189&amp;""'"",1))"),0.0)</f>
        <v>0</v>
      </c>
      <c r="P189" s="19">
        <f>IFERROR(__xludf.DUMMYFUNCTION("SUM(QUERY(Entregas_BD!D:L,""select I where D='""&amp;D189&amp;""'"",1))"),0.0)</f>
        <v>0</v>
      </c>
      <c r="Q189" s="19">
        <f>IFERROR(__xludf.DUMMYFUNCTION("SUM(QUERY(Entregas_BD!D:L,""select J where D='""&amp;D189&amp;""'"",1))"),0.0)</f>
        <v>0</v>
      </c>
      <c r="R189" s="24">
        <f>IFERROR(__xludf.DUMMYFUNCTION("SUM(QUERY(Entregas_BD!D:L,""select K where D='""&amp;D189&amp;""'"",1))"),0.0)</f>
        <v>0</v>
      </c>
      <c r="S189" s="24">
        <f>IFERROR(__xludf.DUMMYFUNCTION("SUM(QUERY(Entregas_BD!D:L,""select L where D='""&amp;D189&amp;""'"",1))"),0.0)</f>
        <v>0</v>
      </c>
      <c r="T189" s="19">
        <f>IFERROR(__xludf.DUMMYFUNCTION("SUM(QUERY(Entregas_BD!D:AL,""select AG where D='""&amp;D189&amp;""'"",1))"),0.0)</f>
        <v>0</v>
      </c>
      <c r="U189" s="19">
        <f>IFERROR(__xludf.DUMMYFUNCTION("SUM(QUERY(Entregas_BD!D:AL,""select AH where D='""&amp;D189&amp;""'"",1))"),0.0)</f>
        <v>0</v>
      </c>
      <c r="V189" s="19">
        <f>IFERROR(__xludf.DUMMYFUNCTION("SUM(QUERY(Entregas_BD!D:AL,""select AI where D='""&amp;D189&amp;""'"",1))"),0.0)</f>
        <v>0</v>
      </c>
      <c r="W189" s="19">
        <f>IFERROR(__xludf.DUMMYFUNCTION("SUM(QUERY(Entregas_BD!D:AL,""select AJ where D='""&amp;D189&amp;""'"",1))"),0.0)</f>
        <v>0</v>
      </c>
      <c r="X189" s="19">
        <f>IFERROR(__xludf.DUMMYFUNCTION("SUM(QUERY(Entregas_BD!D:AL,""select AL where D='""&amp;D189&amp;""'"",1))"),0.0)</f>
        <v>0</v>
      </c>
      <c r="Y189" s="19">
        <f>IFERROR(__xludf.DUMMYFUNCTION("SUM(QUERY(Entregas_BD!D:AL,""select AK where D='""&amp;D189&amp;""'"",1))"),0.0)</f>
        <v>0</v>
      </c>
      <c r="Z189" s="19">
        <v>0.0</v>
      </c>
      <c r="AA189" s="19">
        <v>0.0</v>
      </c>
      <c r="AB189" s="19">
        <v>0.0</v>
      </c>
      <c r="AC189" s="19">
        <v>0.0</v>
      </c>
      <c r="AD189" s="19">
        <v>0.0</v>
      </c>
      <c r="AE189" s="19">
        <v>0.0</v>
      </c>
      <c r="AF189" s="51"/>
      <c r="AG189" s="24">
        <f>IFERROR(__xludf.DUMMYFUNCTION("SUM(QUERY(Entregas_BD!D:W,""select U where D='""&amp;D189&amp;""'"",1))"),0.0)</f>
        <v>0</v>
      </c>
      <c r="AH189" s="24">
        <f>IFERROR(__xludf.DUMMYFUNCTION("SUM(QUERY(Entregas_BD!D:W,""select S where D='""&amp;D189&amp;""'"",1))"),0.0)</f>
        <v>0</v>
      </c>
      <c r="AI189" s="24">
        <f>IFERROR(__xludf.DUMMYFUNCTION("SUM(QUERY(Entregas_BD!D:W,""select T where D='""&amp;D189&amp;""'"",1))"),0.0)</f>
        <v>0</v>
      </c>
    </row>
    <row r="190" ht="19.5" customHeight="1">
      <c r="A190" s="26"/>
      <c r="B190" s="27"/>
      <c r="C190" s="9">
        <v>189.0</v>
      </c>
      <c r="D190" s="10" t="s">
        <v>538</v>
      </c>
      <c r="E190" s="10" t="s">
        <v>44</v>
      </c>
      <c r="F190" s="10" t="s">
        <v>45</v>
      </c>
      <c r="G190" s="10" t="s">
        <v>177</v>
      </c>
      <c r="H190" s="9" t="s">
        <v>40</v>
      </c>
      <c r="I190" s="11" t="s">
        <v>47</v>
      </c>
      <c r="J190" s="9"/>
      <c r="K190" s="28"/>
      <c r="L190" s="29"/>
      <c r="M190" s="28"/>
      <c r="N190" s="9">
        <f>IFERROR(__xludf.DUMMYFUNCTION("SUM(QUERY(Entregas_BD!D:L,""select G where D='""&amp;D190&amp;""'"",1))"),0.0)</f>
        <v>0</v>
      </c>
      <c r="O190" s="9">
        <f>IFERROR(__xludf.DUMMYFUNCTION("SUM(QUERY(Entregas_BD!D:L,""select H where D='""&amp;D190&amp;""'"",1))"),0.0)</f>
        <v>0</v>
      </c>
      <c r="P190" s="9">
        <f>IFERROR(__xludf.DUMMYFUNCTION("SUM(QUERY(Entregas_BD!D:L,""select I where D='""&amp;D190&amp;""'"",1))"),0.0)</f>
        <v>0</v>
      </c>
      <c r="Q190" s="9">
        <f>IFERROR(__xludf.DUMMYFUNCTION("SUM(QUERY(Entregas_BD!D:L,""select J where D='""&amp;D190&amp;""'"",1))"),0.0)</f>
        <v>0</v>
      </c>
      <c r="R190" s="15">
        <f>IFERROR(__xludf.DUMMYFUNCTION("SUM(QUERY(Entregas_BD!D:L,""select K where D='""&amp;D190&amp;""'"",1))"),0.0)</f>
        <v>0</v>
      </c>
      <c r="S190" s="15">
        <f>IFERROR(__xludf.DUMMYFUNCTION("SUM(QUERY(Entregas_BD!D:L,""select L where D='""&amp;D190&amp;""'"",1))"),0.0)</f>
        <v>0</v>
      </c>
      <c r="T190" s="9">
        <f>IFERROR(__xludf.DUMMYFUNCTION("SUM(QUERY(Entregas_BD!D:AL,""select AG where D='""&amp;D190&amp;""'"",1))"),50.0)</f>
        <v>50</v>
      </c>
      <c r="U190" s="9">
        <f>IFERROR(__xludf.DUMMYFUNCTION("SUM(QUERY(Entregas_BD!D:AL,""select AH where D='""&amp;D190&amp;""'"",1))"),0.0)</f>
        <v>0</v>
      </c>
      <c r="V190" s="9">
        <f>IFERROR(__xludf.DUMMYFUNCTION("SUM(QUERY(Entregas_BD!D:AL,""select AI where D='""&amp;D190&amp;""'"",1))"),0.0)</f>
        <v>0</v>
      </c>
      <c r="W190" s="9">
        <f>IFERROR(__xludf.DUMMYFUNCTION("SUM(QUERY(Entregas_BD!D:AL,""select AJ where D='""&amp;D190&amp;""'"",1))"),0.0)</f>
        <v>0</v>
      </c>
      <c r="X190" s="9">
        <f>IFERROR(__xludf.DUMMYFUNCTION("SUM(QUERY(Entregas_BD!D:AL,""select AL where D='""&amp;D190&amp;""'"",1))"),0.0)</f>
        <v>0</v>
      </c>
      <c r="Y190" s="9">
        <f>IFERROR(__xludf.DUMMYFUNCTION("SUM(QUERY(Entregas_BD!D:AL,""select AK where D='""&amp;D190&amp;""'"",1))"),0.0)</f>
        <v>0</v>
      </c>
      <c r="Z190" s="9">
        <v>-50.0</v>
      </c>
      <c r="AA190" s="9">
        <v>0.0</v>
      </c>
      <c r="AB190" s="9">
        <v>0.0</v>
      </c>
      <c r="AC190" s="9">
        <v>0.0</v>
      </c>
      <c r="AD190" s="9">
        <v>0.0</v>
      </c>
      <c r="AE190" s="9">
        <v>0.0</v>
      </c>
      <c r="AF190" s="28"/>
      <c r="AG190" s="15">
        <f>IFERROR(__xludf.DUMMYFUNCTION("SUM(QUERY(Entregas_BD!D:W,""select U where D='""&amp;D190&amp;""'"",1))"),0.0)</f>
        <v>0</v>
      </c>
      <c r="AH190" s="15">
        <f>IFERROR(__xludf.DUMMYFUNCTION("SUM(QUERY(Entregas_BD!D:W,""select S where D='""&amp;D190&amp;""'"",1))"),0.0)</f>
        <v>0</v>
      </c>
      <c r="AI190" s="15">
        <f>IFERROR(__xludf.DUMMYFUNCTION("SUM(QUERY(Entregas_BD!D:W,""select T where D='""&amp;D190&amp;""'"",1))"),0.0)</f>
        <v>0</v>
      </c>
    </row>
    <row r="191" ht="19.5" customHeight="1">
      <c r="A191" s="31"/>
      <c r="B191" s="32"/>
      <c r="C191" s="19">
        <v>190.0</v>
      </c>
      <c r="D191" s="56" t="s">
        <v>539</v>
      </c>
      <c r="E191" s="20" t="s">
        <v>63</v>
      </c>
      <c r="F191" s="20" t="s">
        <v>64</v>
      </c>
      <c r="G191" s="20" t="s">
        <v>540</v>
      </c>
      <c r="H191" s="19" t="s">
        <v>69</v>
      </c>
      <c r="I191" s="21" t="s">
        <v>41</v>
      </c>
      <c r="J191" s="34"/>
      <c r="K191" s="22"/>
      <c r="L191" s="23"/>
      <c r="M191" s="22"/>
      <c r="N191" s="19">
        <f>IFERROR(__xludf.DUMMYFUNCTION("SUM(QUERY(Entregas_BD!D:L,""select G where D='""&amp;D191&amp;""'"",1))"),0.0)</f>
        <v>0</v>
      </c>
      <c r="O191" s="19">
        <f>IFERROR(__xludf.DUMMYFUNCTION("SUM(QUERY(Entregas_BD!D:L,""select H where D='""&amp;D191&amp;""'"",1))"),0.0)</f>
        <v>0</v>
      </c>
      <c r="P191" s="19">
        <f>IFERROR(__xludf.DUMMYFUNCTION("SUM(QUERY(Entregas_BD!D:L,""select I where D='""&amp;D191&amp;""'"",1))"),0.0)</f>
        <v>0</v>
      </c>
      <c r="Q191" s="19">
        <f>IFERROR(__xludf.DUMMYFUNCTION("SUM(QUERY(Entregas_BD!D:L,""select J where D='""&amp;D191&amp;""'"",1))"),0.0)</f>
        <v>0</v>
      </c>
      <c r="R191" s="24">
        <f>IFERROR(__xludf.DUMMYFUNCTION("SUM(QUERY(Entregas_BD!D:L,""select K where D='""&amp;D191&amp;""'"",1))"),0.0)</f>
        <v>0</v>
      </c>
      <c r="S191" s="24">
        <f>IFERROR(__xludf.DUMMYFUNCTION("SUM(QUERY(Entregas_BD!D:L,""select L where D='""&amp;D191&amp;""'"",1))"),0.0)</f>
        <v>0</v>
      </c>
      <c r="T191" s="19">
        <f>IFERROR(__xludf.DUMMYFUNCTION("SUM(QUERY(Entregas_BD!D:AL,""select AG where D='""&amp;D191&amp;""'"",1))"),5.0)</f>
        <v>5</v>
      </c>
      <c r="U191" s="19">
        <f>IFERROR(__xludf.DUMMYFUNCTION("SUM(QUERY(Entregas_BD!D:AL,""select AH where D='""&amp;D191&amp;""'"",1))"),0.0)</f>
        <v>0</v>
      </c>
      <c r="V191" s="19">
        <f>IFERROR(__xludf.DUMMYFUNCTION("SUM(QUERY(Entregas_BD!D:AL,""select AI where D='""&amp;D191&amp;""'"",1))"),0.0)</f>
        <v>0</v>
      </c>
      <c r="W191" s="19">
        <f>IFERROR(__xludf.DUMMYFUNCTION("SUM(QUERY(Entregas_BD!D:AL,""select AJ where D='""&amp;D191&amp;""'"",1))"),0.0)</f>
        <v>0</v>
      </c>
      <c r="X191" s="19">
        <f>IFERROR(__xludf.DUMMYFUNCTION("SUM(QUERY(Entregas_BD!D:AL,""select AL where D='""&amp;D191&amp;""'"",1))"),0.0)</f>
        <v>0</v>
      </c>
      <c r="Y191" s="19">
        <f>IFERROR(__xludf.DUMMYFUNCTION("SUM(QUERY(Entregas_BD!D:AL,""select AK where D='""&amp;D191&amp;""'"",1))"),0.0)</f>
        <v>0</v>
      </c>
      <c r="Z191" s="19">
        <v>-5.0</v>
      </c>
      <c r="AA191" s="19">
        <v>0.0</v>
      </c>
      <c r="AB191" s="19">
        <v>0.0</v>
      </c>
      <c r="AC191" s="19">
        <v>0.0</v>
      </c>
      <c r="AD191" s="19">
        <v>0.0</v>
      </c>
      <c r="AE191" s="19">
        <v>0.0</v>
      </c>
      <c r="AF191" s="51"/>
      <c r="AG191" s="24">
        <f>IFERROR(__xludf.DUMMYFUNCTION("SUM(QUERY(Entregas_BD!D:W,""select U where D='""&amp;D191&amp;""'"",1))"),0.0)</f>
        <v>0</v>
      </c>
      <c r="AH191" s="24">
        <f>IFERROR(__xludf.DUMMYFUNCTION("SUM(QUERY(Entregas_BD!D:W,""select S where D='""&amp;D191&amp;""'"",1))"),0.0)</f>
        <v>0</v>
      </c>
      <c r="AI191" s="24">
        <f>IFERROR(__xludf.DUMMYFUNCTION("SUM(QUERY(Entregas_BD!D:W,""select T where D='""&amp;D191&amp;""'"",1))"),0.0)</f>
        <v>0</v>
      </c>
    </row>
    <row r="192" ht="19.5" customHeight="1">
      <c r="A192" s="7"/>
      <c r="B192" s="8"/>
      <c r="C192" s="9">
        <v>191.0</v>
      </c>
      <c r="D192" s="10" t="s">
        <v>541</v>
      </c>
      <c r="E192" s="10" t="s">
        <v>58</v>
      </c>
      <c r="F192" s="10" t="s">
        <v>45</v>
      </c>
      <c r="G192" s="10" t="s">
        <v>542</v>
      </c>
      <c r="H192" s="9" t="s">
        <v>69</v>
      </c>
      <c r="I192" s="11" t="s">
        <v>41</v>
      </c>
      <c r="J192" s="9"/>
      <c r="K192" s="28"/>
      <c r="L192" s="29"/>
      <c r="M192" s="28"/>
      <c r="N192" s="9">
        <f>IFERROR(__xludf.DUMMYFUNCTION("SUM(QUERY(Entregas_BD!D:L,""select G where D='""&amp;D192&amp;""'"",1))"),0.0)</f>
        <v>0</v>
      </c>
      <c r="O192" s="9">
        <f>IFERROR(__xludf.DUMMYFUNCTION("SUM(QUERY(Entregas_BD!D:L,""select H where D='""&amp;D192&amp;""'"",1))"),0.0)</f>
        <v>0</v>
      </c>
      <c r="P192" s="9">
        <f>IFERROR(__xludf.DUMMYFUNCTION("SUM(QUERY(Entregas_BD!D:L,""select I where D='""&amp;D192&amp;""'"",1))"),0.0)</f>
        <v>0</v>
      </c>
      <c r="Q192" s="9">
        <f>IFERROR(__xludf.DUMMYFUNCTION("SUM(QUERY(Entregas_BD!D:L,""select J where D='""&amp;D192&amp;""'"",1))"),0.0)</f>
        <v>0</v>
      </c>
      <c r="R192" s="15">
        <f>IFERROR(__xludf.DUMMYFUNCTION("SUM(QUERY(Entregas_BD!D:L,""select K where D='""&amp;D192&amp;""'"",1))"),0.0)</f>
        <v>0</v>
      </c>
      <c r="S192" s="15">
        <f>IFERROR(__xludf.DUMMYFUNCTION("SUM(QUERY(Entregas_BD!D:L,""select L where D='""&amp;D192&amp;""'"",1))"),0.0)</f>
        <v>0</v>
      </c>
      <c r="T192" s="9">
        <f>IFERROR(__xludf.DUMMYFUNCTION("SUM(QUERY(Entregas_BD!D:AL,""select AG where D='""&amp;D192&amp;""'"",1))"),5.0)</f>
        <v>5</v>
      </c>
      <c r="U192" s="9">
        <f>IFERROR(__xludf.DUMMYFUNCTION("SUM(QUERY(Entregas_BD!D:AL,""select AH where D='""&amp;D192&amp;""'"",1))"),0.0)</f>
        <v>0</v>
      </c>
      <c r="V192" s="9">
        <f>IFERROR(__xludf.DUMMYFUNCTION("SUM(QUERY(Entregas_BD!D:AL,""select AI where D='""&amp;D192&amp;""'"",1))"),0.0)</f>
        <v>0</v>
      </c>
      <c r="W192" s="9">
        <f>IFERROR(__xludf.DUMMYFUNCTION("SUM(QUERY(Entregas_BD!D:AL,""select AJ where D='""&amp;D192&amp;""'"",1))"),0.0)</f>
        <v>0</v>
      </c>
      <c r="X192" s="9">
        <f>IFERROR(__xludf.DUMMYFUNCTION("SUM(QUERY(Entregas_BD!D:AL,""select AL where D='""&amp;D192&amp;""'"",1))"),0.0)</f>
        <v>0</v>
      </c>
      <c r="Y192" s="9">
        <f>IFERROR(__xludf.DUMMYFUNCTION("SUM(QUERY(Entregas_BD!D:AL,""select AK where D='""&amp;D192&amp;""'"",1))"),25.0)</f>
        <v>25</v>
      </c>
      <c r="Z192" s="9">
        <v>-5.0</v>
      </c>
      <c r="AA192" s="9">
        <v>0.0</v>
      </c>
      <c r="AB192" s="9">
        <v>0.0</v>
      </c>
      <c r="AC192" s="9">
        <v>0.0</v>
      </c>
      <c r="AD192" s="9">
        <v>-25.0</v>
      </c>
      <c r="AE192" s="9">
        <v>0.0</v>
      </c>
      <c r="AF192" s="28"/>
      <c r="AG192" s="15">
        <f>IFERROR(__xludf.DUMMYFUNCTION("SUM(QUERY(Entregas_BD!D:W,""select U where D='""&amp;D192&amp;""'"",1))"),0.0)</f>
        <v>0</v>
      </c>
      <c r="AH192" s="15">
        <f>IFERROR(__xludf.DUMMYFUNCTION("SUM(QUERY(Entregas_BD!D:W,""select S where D='""&amp;D192&amp;""'"",1))"),0.0)</f>
        <v>0</v>
      </c>
      <c r="AI192" s="15">
        <f>IFERROR(__xludf.DUMMYFUNCTION("SUM(QUERY(Entregas_BD!D:W,""select T where D='""&amp;D192&amp;""'"",1))"),0.0)</f>
        <v>0</v>
      </c>
    </row>
    <row r="193" ht="19.5" customHeight="1">
      <c r="A193" s="31"/>
      <c r="B193" s="32"/>
      <c r="C193" s="19">
        <v>192.0</v>
      </c>
      <c r="D193" s="20" t="s">
        <v>543</v>
      </c>
      <c r="E193" s="20" t="s">
        <v>63</v>
      </c>
      <c r="F193" s="20" t="s">
        <v>139</v>
      </c>
      <c r="G193" s="20" t="s">
        <v>544</v>
      </c>
      <c r="H193" s="19" t="s">
        <v>69</v>
      </c>
      <c r="I193" s="21" t="s">
        <v>41</v>
      </c>
      <c r="J193" s="34"/>
      <c r="K193" s="22"/>
      <c r="L193" s="23"/>
      <c r="M193" s="22"/>
      <c r="N193" s="19">
        <f>IFERROR(__xludf.DUMMYFUNCTION("SUM(QUERY(Entregas_BD!D:L,""select G where D='""&amp;D193&amp;""'"",1))"),0.0)</f>
        <v>0</v>
      </c>
      <c r="O193" s="19">
        <f>IFERROR(__xludf.DUMMYFUNCTION("SUM(QUERY(Entregas_BD!D:L,""select H where D='""&amp;D193&amp;""'"",1))"),0.0)</f>
        <v>0</v>
      </c>
      <c r="P193" s="19">
        <f>IFERROR(__xludf.DUMMYFUNCTION("SUM(QUERY(Entregas_BD!D:L,""select I where D='""&amp;D193&amp;""'"",1))"),0.0)</f>
        <v>0</v>
      </c>
      <c r="Q193" s="19">
        <f>IFERROR(__xludf.DUMMYFUNCTION("SUM(QUERY(Entregas_BD!D:L,""select J where D='""&amp;D193&amp;""'"",1))"),0.0)</f>
        <v>0</v>
      </c>
      <c r="R193" s="24">
        <f>IFERROR(__xludf.DUMMYFUNCTION("SUM(QUERY(Entregas_BD!D:L,""select K where D='""&amp;D193&amp;""'"",1))"),0.0)</f>
        <v>0</v>
      </c>
      <c r="S193" s="24">
        <f>IFERROR(__xludf.DUMMYFUNCTION("SUM(QUERY(Entregas_BD!D:L,""select L where D='""&amp;D193&amp;""'"",1))"),0.0)</f>
        <v>0</v>
      </c>
      <c r="T193" s="19">
        <f>IFERROR(__xludf.DUMMYFUNCTION("SUM(QUERY(Entregas_BD!D:AL,""select AG where D='""&amp;D193&amp;""'"",1))"),20.0)</f>
        <v>20</v>
      </c>
      <c r="U193" s="19">
        <f>IFERROR(__xludf.DUMMYFUNCTION("SUM(QUERY(Entregas_BD!D:AL,""select AH where D='""&amp;D193&amp;""'"",1))"),0.0)</f>
        <v>0</v>
      </c>
      <c r="V193" s="19">
        <f>IFERROR(__xludf.DUMMYFUNCTION("SUM(QUERY(Entregas_BD!D:AL,""select AI where D='""&amp;D193&amp;""'"",1))"),0.0)</f>
        <v>0</v>
      </c>
      <c r="W193" s="19">
        <f>IFERROR(__xludf.DUMMYFUNCTION("SUM(QUERY(Entregas_BD!D:AL,""select AJ where D='""&amp;D193&amp;""'"",1))"),0.0)</f>
        <v>0</v>
      </c>
      <c r="X193" s="19">
        <f>IFERROR(__xludf.DUMMYFUNCTION("SUM(QUERY(Entregas_BD!D:AL,""select AL where D='""&amp;D193&amp;""'"",1))"),0.0)</f>
        <v>0</v>
      </c>
      <c r="Y193" s="19">
        <f>IFERROR(__xludf.DUMMYFUNCTION("SUM(QUERY(Entregas_BD!D:AL,""select AK where D='""&amp;D193&amp;""'"",1))"),0.0)</f>
        <v>0</v>
      </c>
      <c r="Z193" s="19">
        <v>-20.0</v>
      </c>
      <c r="AA193" s="19">
        <v>0.0</v>
      </c>
      <c r="AB193" s="19">
        <v>0.0</v>
      </c>
      <c r="AC193" s="19">
        <v>0.0</v>
      </c>
      <c r="AD193" s="19">
        <v>0.0</v>
      </c>
      <c r="AE193" s="19">
        <v>0.0</v>
      </c>
      <c r="AF193" s="51"/>
      <c r="AG193" s="24">
        <f>IFERROR(__xludf.DUMMYFUNCTION("SUM(QUERY(Entregas_BD!D:W,""select U where D='""&amp;D193&amp;""'"",1))"),0.0)</f>
        <v>0</v>
      </c>
      <c r="AH193" s="24">
        <f>IFERROR(__xludf.DUMMYFUNCTION("SUM(QUERY(Entregas_BD!D:W,""select S where D='""&amp;D193&amp;""'"",1))"),0.0)</f>
        <v>0</v>
      </c>
      <c r="AI193" s="24">
        <f>IFERROR(__xludf.DUMMYFUNCTION("SUM(QUERY(Entregas_BD!D:W,""select T where D='""&amp;D193&amp;""'"",1))"),0.0)</f>
        <v>0</v>
      </c>
    </row>
    <row r="194" ht="19.5" customHeight="1">
      <c r="A194" s="26"/>
      <c r="B194" s="27"/>
      <c r="C194" s="9">
        <v>193.0</v>
      </c>
      <c r="D194" s="10" t="s">
        <v>545</v>
      </c>
      <c r="E194" s="10" t="s">
        <v>44</v>
      </c>
      <c r="F194" s="10" t="s">
        <v>45</v>
      </c>
      <c r="G194" s="10" t="s">
        <v>362</v>
      </c>
      <c r="H194" s="9" t="s">
        <v>69</v>
      </c>
      <c r="I194" s="11" t="s">
        <v>41</v>
      </c>
      <c r="J194" s="9"/>
      <c r="K194" s="28"/>
      <c r="L194" s="29"/>
      <c r="M194" s="28"/>
      <c r="N194" s="9">
        <f>IFERROR(__xludf.DUMMYFUNCTION("SUM(QUERY(Entregas_BD!D:L,""select G where D='""&amp;D194&amp;""'"",1))"),0.0)</f>
        <v>0</v>
      </c>
      <c r="O194" s="9">
        <f>IFERROR(__xludf.DUMMYFUNCTION("SUM(QUERY(Entregas_BD!D:L,""select H where D='""&amp;D194&amp;""'"",1))"),0.0)</f>
        <v>0</v>
      </c>
      <c r="P194" s="9">
        <f>IFERROR(__xludf.DUMMYFUNCTION("SUM(QUERY(Entregas_BD!D:L,""select I where D='""&amp;D194&amp;""'"",1))"),0.0)</f>
        <v>0</v>
      </c>
      <c r="Q194" s="9">
        <f>IFERROR(__xludf.DUMMYFUNCTION("SUM(QUERY(Entregas_BD!D:L,""select J where D='""&amp;D194&amp;""'"",1))"),0.0)</f>
        <v>0</v>
      </c>
      <c r="R194" s="15">
        <f>IFERROR(__xludf.DUMMYFUNCTION("SUM(QUERY(Entregas_BD!D:L,""select K where D='""&amp;D194&amp;""'"",1))"),0.0)</f>
        <v>0</v>
      </c>
      <c r="S194" s="15">
        <f>IFERROR(__xludf.DUMMYFUNCTION("SUM(QUERY(Entregas_BD!D:L,""select L where D='""&amp;D194&amp;""'"",1))"),0.0)</f>
        <v>0</v>
      </c>
      <c r="T194" s="9">
        <f>IFERROR(__xludf.DUMMYFUNCTION("SUM(QUERY(Entregas_BD!D:AL,""select AG where D='""&amp;D194&amp;""'"",1))"),55.0)</f>
        <v>55</v>
      </c>
      <c r="U194" s="9">
        <f>IFERROR(__xludf.DUMMYFUNCTION("SUM(QUERY(Entregas_BD!D:AL,""select AH where D='""&amp;D194&amp;""'"",1))"),0.0)</f>
        <v>0</v>
      </c>
      <c r="V194" s="9">
        <f>IFERROR(__xludf.DUMMYFUNCTION("SUM(QUERY(Entregas_BD!D:AL,""select AI where D='""&amp;D194&amp;""'"",1))"),0.0)</f>
        <v>0</v>
      </c>
      <c r="W194" s="9">
        <f>IFERROR(__xludf.DUMMYFUNCTION("SUM(QUERY(Entregas_BD!D:AL,""select AJ where D='""&amp;D194&amp;""'"",1))"),25.0)</f>
        <v>25</v>
      </c>
      <c r="X194" s="9">
        <f>IFERROR(__xludf.DUMMYFUNCTION("SUM(QUERY(Entregas_BD!D:AL,""select AL where D='""&amp;D194&amp;""'"",1))"),25.0)</f>
        <v>25</v>
      </c>
      <c r="Y194" s="9">
        <f>IFERROR(__xludf.DUMMYFUNCTION("SUM(QUERY(Entregas_BD!D:AL,""select AK where D='""&amp;D194&amp;""'"",1))"),5.0)</f>
        <v>5</v>
      </c>
      <c r="Z194" s="9">
        <v>-55.0</v>
      </c>
      <c r="AA194" s="9">
        <v>0.0</v>
      </c>
      <c r="AB194" s="9">
        <v>0.0</v>
      </c>
      <c r="AC194" s="9">
        <v>-25.0</v>
      </c>
      <c r="AD194" s="9">
        <v>-5.0</v>
      </c>
      <c r="AE194" s="9">
        <v>-25.0</v>
      </c>
      <c r="AF194" s="28"/>
      <c r="AG194" s="15">
        <f>IFERROR(__xludf.DUMMYFUNCTION("SUM(QUERY(Entregas_BD!D:W,""select U where D='""&amp;D194&amp;""'"",1))"),0.0)</f>
        <v>0</v>
      </c>
      <c r="AH194" s="15">
        <f>IFERROR(__xludf.DUMMYFUNCTION("SUM(QUERY(Entregas_BD!D:W,""select S where D='""&amp;D194&amp;""'"",1))"),0.0)</f>
        <v>0</v>
      </c>
      <c r="AI194" s="15">
        <f>IFERROR(__xludf.DUMMYFUNCTION("SUM(QUERY(Entregas_BD!D:W,""select T where D='""&amp;D194&amp;""'"",1))"),0.0)</f>
        <v>0</v>
      </c>
    </row>
    <row r="195" ht="19.5" customHeight="1">
      <c r="A195" s="31"/>
      <c r="B195" s="32"/>
      <c r="C195" s="19">
        <v>194.0</v>
      </c>
      <c r="D195" s="20" t="s">
        <v>546</v>
      </c>
      <c r="E195" s="20" t="s">
        <v>54</v>
      </c>
      <c r="F195" s="20" t="s">
        <v>45</v>
      </c>
      <c r="G195" s="20" t="s">
        <v>499</v>
      </c>
      <c r="H195" s="19" t="s">
        <v>69</v>
      </c>
      <c r="I195" s="21" t="s">
        <v>41</v>
      </c>
      <c r="J195" s="34"/>
      <c r="K195" s="22"/>
      <c r="L195" s="23"/>
      <c r="M195" s="22"/>
      <c r="N195" s="19">
        <f>IFERROR(__xludf.DUMMYFUNCTION("SUM(QUERY(Entregas_BD!D:L,""select G where D='""&amp;D195&amp;""'"",1))"),0.0)</f>
        <v>0</v>
      </c>
      <c r="O195" s="19">
        <f>IFERROR(__xludf.DUMMYFUNCTION("SUM(QUERY(Entregas_BD!D:L,""select H where D='""&amp;D195&amp;""'"",1))"),0.0)</f>
        <v>0</v>
      </c>
      <c r="P195" s="19">
        <f>IFERROR(__xludf.DUMMYFUNCTION("SUM(QUERY(Entregas_BD!D:L,""select I where D='""&amp;D195&amp;""'"",1))"),0.0)</f>
        <v>0</v>
      </c>
      <c r="Q195" s="19">
        <f>IFERROR(__xludf.DUMMYFUNCTION("SUM(QUERY(Entregas_BD!D:L,""select J where D='""&amp;D195&amp;""'"",1))"),0.0)</f>
        <v>0</v>
      </c>
      <c r="R195" s="24">
        <f>IFERROR(__xludf.DUMMYFUNCTION("SUM(QUERY(Entregas_BD!D:L,""select K where D='""&amp;D195&amp;""'"",1))"),0.0)</f>
        <v>0</v>
      </c>
      <c r="S195" s="24">
        <f>IFERROR(__xludf.DUMMYFUNCTION("SUM(QUERY(Entregas_BD!D:L,""select L where D='""&amp;D195&amp;""'"",1))"),0.0)</f>
        <v>0</v>
      </c>
      <c r="T195" s="19">
        <f>IFERROR(__xludf.DUMMYFUNCTION("SUM(QUERY(Entregas_BD!D:AL,""select AG where D='""&amp;D195&amp;""'"",1))"),20.0)</f>
        <v>20</v>
      </c>
      <c r="U195" s="19">
        <f>IFERROR(__xludf.DUMMYFUNCTION("SUM(QUERY(Entregas_BD!D:AL,""select AH where D='""&amp;D195&amp;""'"",1))"),0.0)</f>
        <v>0</v>
      </c>
      <c r="V195" s="19">
        <f>IFERROR(__xludf.DUMMYFUNCTION("SUM(QUERY(Entregas_BD!D:AL,""select AI where D='""&amp;D195&amp;""'"",1))"),0.0)</f>
        <v>0</v>
      </c>
      <c r="W195" s="19">
        <f>IFERROR(__xludf.DUMMYFUNCTION("SUM(QUERY(Entregas_BD!D:AL,""select AJ where D='""&amp;D195&amp;""'"",1))"),0.0)</f>
        <v>0</v>
      </c>
      <c r="X195" s="19">
        <f>IFERROR(__xludf.DUMMYFUNCTION("SUM(QUERY(Entregas_BD!D:AL,""select AL where D='""&amp;D195&amp;""'"",1))"),25.0)</f>
        <v>25</v>
      </c>
      <c r="Y195" s="19">
        <f>IFERROR(__xludf.DUMMYFUNCTION("SUM(QUERY(Entregas_BD!D:AL,""select AK where D='""&amp;D195&amp;""'"",1))"),0.0)</f>
        <v>0</v>
      </c>
      <c r="Z195" s="19">
        <v>-20.0</v>
      </c>
      <c r="AA195" s="19">
        <v>0.0</v>
      </c>
      <c r="AB195" s="19">
        <v>0.0</v>
      </c>
      <c r="AC195" s="19">
        <v>0.0</v>
      </c>
      <c r="AD195" s="19">
        <v>0.0</v>
      </c>
      <c r="AE195" s="19">
        <v>-25.0</v>
      </c>
      <c r="AF195" s="51"/>
      <c r="AG195" s="24">
        <f>IFERROR(__xludf.DUMMYFUNCTION("SUM(QUERY(Entregas_BD!D:W,""select U where D='""&amp;D195&amp;""'"",1))"),0.0)</f>
        <v>0</v>
      </c>
      <c r="AH195" s="24">
        <f>IFERROR(__xludf.DUMMYFUNCTION("SUM(QUERY(Entregas_BD!D:W,""select S where D='""&amp;D195&amp;""'"",1))"),0.0)</f>
        <v>0</v>
      </c>
      <c r="AI195" s="24">
        <f>IFERROR(__xludf.DUMMYFUNCTION("SUM(QUERY(Entregas_BD!D:W,""select T where D='""&amp;D195&amp;""'"",1))"),0.0)</f>
        <v>0</v>
      </c>
    </row>
    <row r="196" ht="19.5" customHeight="1">
      <c r="A196" s="7"/>
      <c r="B196" s="8"/>
      <c r="C196" s="9">
        <v>195.0</v>
      </c>
      <c r="D196" s="10" t="s">
        <v>547</v>
      </c>
      <c r="E196" s="10" t="s">
        <v>58</v>
      </c>
      <c r="F196" s="10" t="s">
        <v>45</v>
      </c>
      <c r="G196" s="10" t="s">
        <v>548</v>
      </c>
      <c r="H196" s="9" t="s">
        <v>69</v>
      </c>
      <c r="I196" s="11" t="s">
        <v>41</v>
      </c>
      <c r="J196" s="9"/>
      <c r="K196" s="28"/>
      <c r="L196" s="29"/>
      <c r="M196" s="28"/>
      <c r="N196" s="9">
        <f>IFERROR(__xludf.DUMMYFUNCTION("SUM(QUERY(Entregas_BD!D:L,""select G where D='""&amp;D196&amp;""'"",1))"),0.0)</f>
        <v>0</v>
      </c>
      <c r="O196" s="9">
        <f>IFERROR(__xludf.DUMMYFUNCTION("SUM(QUERY(Entregas_BD!D:L,""select H where D='""&amp;D196&amp;""'"",1))"),0.0)</f>
        <v>0</v>
      </c>
      <c r="P196" s="9">
        <f>IFERROR(__xludf.DUMMYFUNCTION("SUM(QUERY(Entregas_BD!D:L,""select I where D='""&amp;D196&amp;""'"",1))"),0.0)</f>
        <v>0</v>
      </c>
      <c r="Q196" s="9">
        <f>IFERROR(__xludf.DUMMYFUNCTION("SUM(QUERY(Entregas_BD!D:L,""select J where D='""&amp;D196&amp;""'"",1))"),0.0)</f>
        <v>0</v>
      </c>
      <c r="R196" s="15">
        <f>IFERROR(__xludf.DUMMYFUNCTION("SUM(QUERY(Entregas_BD!D:L,""select K where D='""&amp;D196&amp;""'"",1))"),0.0)</f>
        <v>0</v>
      </c>
      <c r="S196" s="15">
        <f>IFERROR(__xludf.DUMMYFUNCTION("SUM(QUERY(Entregas_BD!D:L,""select L where D='""&amp;D196&amp;""'"",1))"),0.0)</f>
        <v>0</v>
      </c>
      <c r="T196" s="9">
        <f>IFERROR(__xludf.DUMMYFUNCTION("SUM(QUERY(Entregas_BD!D:AL,""select AG where D='""&amp;D196&amp;""'"",1))"),0.0)</f>
        <v>0</v>
      </c>
      <c r="U196" s="9">
        <f>IFERROR(__xludf.DUMMYFUNCTION("SUM(QUERY(Entregas_BD!D:AL,""select AH where D='""&amp;D196&amp;""'"",1))"),0.0)</f>
        <v>0</v>
      </c>
      <c r="V196" s="9">
        <f>IFERROR(__xludf.DUMMYFUNCTION("SUM(QUERY(Entregas_BD!D:AL,""select AI where D='""&amp;D196&amp;""'"",1))"),0.0)</f>
        <v>0</v>
      </c>
      <c r="W196" s="9">
        <f>IFERROR(__xludf.DUMMYFUNCTION("SUM(QUERY(Entregas_BD!D:AL,""select AJ where D='""&amp;D196&amp;""'"",1))"),0.0)</f>
        <v>0</v>
      </c>
      <c r="X196" s="9">
        <f>IFERROR(__xludf.DUMMYFUNCTION("SUM(QUERY(Entregas_BD!D:AL,""select AL where D='""&amp;D196&amp;""'"",1))"),0.0)</f>
        <v>0</v>
      </c>
      <c r="Y196" s="9">
        <f>IFERROR(__xludf.DUMMYFUNCTION("SUM(QUERY(Entregas_BD!D:AL,""select AK where D='""&amp;D196&amp;""'"",1))"),0.0)</f>
        <v>0</v>
      </c>
      <c r="Z196" s="9">
        <v>0.0</v>
      </c>
      <c r="AA196" s="9">
        <v>0.0</v>
      </c>
      <c r="AB196" s="9">
        <v>0.0</v>
      </c>
      <c r="AC196" s="9">
        <v>0.0</v>
      </c>
      <c r="AD196" s="9">
        <v>0.0</v>
      </c>
      <c r="AE196" s="9">
        <v>0.0</v>
      </c>
      <c r="AF196" s="28"/>
      <c r="AG196" s="15">
        <f>IFERROR(__xludf.DUMMYFUNCTION("SUM(QUERY(Entregas_BD!D:W,""select U where D='""&amp;D196&amp;""'"",1))"),0.0)</f>
        <v>0</v>
      </c>
      <c r="AH196" s="15">
        <f>IFERROR(__xludf.DUMMYFUNCTION("SUM(QUERY(Entregas_BD!D:W,""select S where D='""&amp;D196&amp;""'"",1))"),0.0)</f>
        <v>0</v>
      </c>
      <c r="AI196" s="15">
        <f>IFERROR(__xludf.DUMMYFUNCTION("SUM(QUERY(Entregas_BD!D:W,""select T where D='""&amp;D196&amp;""'"",1))"),0.0)</f>
        <v>0</v>
      </c>
    </row>
    <row r="197" ht="19.5" customHeight="1">
      <c r="A197" s="31"/>
      <c r="B197" s="32"/>
      <c r="C197" s="19">
        <v>196.0</v>
      </c>
      <c r="D197" s="20" t="s">
        <v>549</v>
      </c>
      <c r="E197" s="20" t="s">
        <v>58</v>
      </c>
      <c r="F197" s="20" t="s">
        <v>45</v>
      </c>
      <c r="G197" s="20" t="s">
        <v>550</v>
      </c>
      <c r="H197" s="19" t="s">
        <v>69</v>
      </c>
      <c r="I197" s="21" t="s">
        <v>41</v>
      </c>
      <c r="J197" s="19"/>
      <c r="K197" s="22"/>
      <c r="L197" s="23"/>
      <c r="M197" s="22"/>
      <c r="N197" s="19">
        <f>IFERROR(__xludf.DUMMYFUNCTION("SUM(QUERY(Entregas_BD!D:L,""select G where D='""&amp;D197&amp;""'"",1))"),0.0)</f>
        <v>0</v>
      </c>
      <c r="O197" s="19">
        <f>IFERROR(__xludf.DUMMYFUNCTION("SUM(QUERY(Entregas_BD!D:L,""select H where D='""&amp;D197&amp;""'"",1))"),0.0)</f>
        <v>0</v>
      </c>
      <c r="P197" s="19">
        <f>IFERROR(__xludf.DUMMYFUNCTION("SUM(QUERY(Entregas_BD!D:L,""select I where D='""&amp;D197&amp;""'"",1))"),0.0)</f>
        <v>0</v>
      </c>
      <c r="Q197" s="19">
        <f>IFERROR(__xludf.DUMMYFUNCTION("SUM(QUERY(Entregas_BD!D:L,""select J where D='""&amp;D197&amp;""'"",1))"),0.0)</f>
        <v>0</v>
      </c>
      <c r="R197" s="24">
        <f>IFERROR(__xludf.DUMMYFUNCTION("SUM(QUERY(Entregas_BD!D:L,""select K where D='""&amp;D197&amp;""'"",1))"),0.0)</f>
        <v>0</v>
      </c>
      <c r="S197" s="24">
        <f>IFERROR(__xludf.DUMMYFUNCTION("SUM(QUERY(Entregas_BD!D:L,""select L where D='""&amp;D197&amp;""'"",1))"),0.0)</f>
        <v>0</v>
      </c>
      <c r="T197" s="19">
        <f>IFERROR(__xludf.DUMMYFUNCTION("SUM(QUERY(Entregas_BD!D:AL,""select AG where D='""&amp;D197&amp;""'"",1))"),0.0)</f>
        <v>0</v>
      </c>
      <c r="U197" s="19">
        <f>IFERROR(__xludf.DUMMYFUNCTION("SUM(QUERY(Entregas_BD!D:AL,""select AH where D='""&amp;D197&amp;""'"",1))"),0.0)</f>
        <v>0</v>
      </c>
      <c r="V197" s="19">
        <f>IFERROR(__xludf.DUMMYFUNCTION("SUM(QUERY(Entregas_BD!D:AL,""select AI where D='""&amp;D197&amp;""'"",1))"),0.0)</f>
        <v>0</v>
      </c>
      <c r="W197" s="19">
        <f>IFERROR(__xludf.DUMMYFUNCTION("SUM(QUERY(Entregas_BD!D:AL,""select AJ where D='""&amp;D197&amp;""'"",1))"),0.0)</f>
        <v>0</v>
      </c>
      <c r="X197" s="19">
        <f>IFERROR(__xludf.DUMMYFUNCTION("SUM(QUERY(Entregas_BD!D:AL,""select AL where D='""&amp;D197&amp;""'"",1))"),0.0)</f>
        <v>0</v>
      </c>
      <c r="Y197" s="19">
        <f>IFERROR(__xludf.DUMMYFUNCTION("SUM(QUERY(Entregas_BD!D:AL,""select AK where D='""&amp;D197&amp;""'"",1))"),0.0)</f>
        <v>0</v>
      </c>
      <c r="Z197" s="19">
        <v>0.0</v>
      </c>
      <c r="AA197" s="19">
        <v>0.0</v>
      </c>
      <c r="AB197" s="19">
        <v>0.0</v>
      </c>
      <c r="AC197" s="19">
        <v>0.0</v>
      </c>
      <c r="AD197" s="19">
        <v>0.0</v>
      </c>
      <c r="AE197" s="19">
        <v>0.0</v>
      </c>
      <c r="AF197" s="51"/>
      <c r="AG197" s="24">
        <f>IFERROR(__xludf.DUMMYFUNCTION("SUM(QUERY(Entregas_BD!D:W,""select U where D='""&amp;D197&amp;""'"",1))"),0.0)</f>
        <v>0</v>
      </c>
      <c r="AH197" s="24">
        <f>IFERROR(__xludf.DUMMYFUNCTION("SUM(QUERY(Entregas_BD!D:W,""select S where D='""&amp;D197&amp;""'"",1))"),0.0)</f>
        <v>0</v>
      </c>
      <c r="AI197" s="24">
        <f>IFERROR(__xludf.DUMMYFUNCTION("SUM(QUERY(Entregas_BD!D:W,""select T where D='""&amp;D197&amp;""'"",1))"),0.0)</f>
        <v>0</v>
      </c>
    </row>
    <row r="198" ht="19.5" customHeight="1">
      <c r="A198" s="7"/>
      <c r="B198" s="8"/>
      <c r="C198" s="9">
        <v>197.0</v>
      </c>
      <c r="D198" s="10" t="s">
        <v>551</v>
      </c>
      <c r="E198" s="10" t="s">
        <v>58</v>
      </c>
      <c r="F198" s="10" t="s">
        <v>45</v>
      </c>
      <c r="G198" s="10" t="s">
        <v>550</v>
      </c>
      <c r="H198" s="9" t="s">
        <v>69</v>
      </c>
      <c r="I198" s="11" t="s">
        <v>41</v>
      </c>
      <c r="J198" s="9"/>
      <c r="K198" s="28"/>
      <c r="L198" s="29"/>
      <c r="M198" s="28"/>
      <c r="N198" s="9">
        <f>IFERROR(__xludf.DUMMYFUNCTION("SUM(QUERY(Entregas_BD!D:L,""select G where D='""&amp;D198&amp;""'"",1))"),0.0)</f>
        <v>0</v>
      </c>
      <c r="O198" s="9">
        <f>IFERROR(__xludf.DUMMYFUNCTION("SUM(QUERY(Entregas_BD!D:L,""select H where D='""&amp;D198&amp;""'"",1))"),0.0)</f>
        <v>0</v>
      </c>
      <c r="P198" s="9">
        <f>IFERROR(__xludf.DUMMYFUNCTION("SUM(QUERY(Entregas_BD!D:L,""select I where D='""&amp;D198&amp;""'"",1))"),0.0)</f>
        <v>0</v>
      </c>
      <c r="Q198" s="9">
        <f>IFERROR(__xludf.DUMMYFUNCTION("SUM(QUERY(Entregas_BD!D:L,""select J where D='""&amp;D198&amp;""'"",1))"),0.0)</f>
        <v>0</v>
      </c>
      <c r="R198" s="15">
        <f>IFERROR(__xludf.DUMMYFUNCTION("SUM(QUERY(Entregas_BD!D:L,""select K where D='""&amp;D198&amp;""'"",1))"),0.0)</f>
        <v>0</v>
      </c>
      <c r="S198" s="15">
        <f>IFERROR(__xludf.DUMMYFUNCTION("SUM(QUERY(Entregas_BD!D:L,""select L where D='""&amp;D198&amp;""'"",1))"),0.0)</f>
        <v>0</v>
      </c>
      <c r="T198" s="9">
        <f>IFERROR(__xludf.DUMMYFUNCTION("SUM(QUERY(Entregas_BD!D:AL,""select AG where D='""&amp;D198&amp;""'"",1))"),0.0)</f>
        <v>0</v>
      </c>
      <c r="U198" s="9">
        <f>IFERROR(__xludf.DUMMYFUNCTION("SUM(QUERY(Entregas_BD!D:AL,""select AH where D='""&amp;D198&amp;""'"",1))"),0.0)</f>
        <v>0</v>
      </c>
      <c r="V198" s="9">
        <f>IFERROR(__xludf.DUMMYFUNCTION("SUM(QUERY(Entregas_BD!D:AL,""select AI where D='""&amp;D198&amp;""'"",1))"),0.0)</f>
        <v>0</v>
      </c>
      <c r="W198" s="9">
        <f>IFERROR(__xludf.DUMMYFUNCTION("SUM(QUERY(Entregas_BD!D:AL,""select AJ where D='""&amp;D198&amp;""'"",1))"),0.0)</f>
        <v>0</v>
      </c>
      <c r="X198" s="9">
        <f>IFERROR(__xludf.DUMMYFUNCTION("SUM(QUERY(Entregas_BD!D:AL,""select AL where D='""&amp;D198&amp;""'"",1))"),25.0)</f>
        <v>25</v>
      </c>
      <c r="Y198" s="9">
        <f>IFERROR(__xludf.DUMMYFUNCTION("SUM(QUERY(Entregas_BD!D:AL,""select AK where D='""&amp;D198&amp;""'"",1))"),5.0)</f>
        <v>5</v>
      </c>
      <c r="Z198" s="9">
        <v>0.0</v>
      </c>
      <c r="AA198" s="9">
        <v>0.0</v>
      </c>
      <c r="AB198" s="9">
        <v>0.0</v>
      </c>
      <c r="AC198" s="9">
        <v>0.0</v>
      </c>
      <c r="AD198" s="9">
        <v>-5.0</v>
      </c>
      <c r="AE198" s="9">
        <v>-25.0</v>
      </c>
      <c r="AF198" s="52"/>
      <c r="AG198" s="15">
        <f>IFERROR(__xludf.DUMMYFUNCTION("SUM(QUERY(Entregas_BD!D:W,""select U where D='""&amp;D198&amp;""'"",1))"),0.0)</f>
        <v>0</v>
      </c>
      <c r="AH198" s="15">
        <f>IFERROR(__xludf.DUMMYFUNCTION("SUM(QUERY(Entregas_BD!D:W,""select S where D='""&amp;D198&amp;""'"",1))"),0.0)</f>
        <v>0</v>
      </c>
      <c r="AI198" s="15">
        <f>IFERROR(__xludf.DUMMYFUNCTION("SUM(QUERY(Entregas_BD!D:W,""select T where D='""&amp;D198&amp;""'"",1))"),0.0)</f>
        <v>0</v>
      </c>
    </row>
    <row r="199" ht="19.5" customHeight="1">
      <c r="A199" s="31"/>
      <c r="B199" s="32"/>
      <c r="C199" s="19">
        <v>198.0</v>
      </c>
      <c r="D199" s="44" t="s">
        <v>552</v>
      </c>
      <c r="E199" s="20" t="s">
        <v>58</v>
      </c>
      <c r="F199" s="20" t="s">
        <v>45</v>
      </c>
      <c r="G199" s="20" t="s">
        <v>112</v>
      </c>
      <c r="H199" s="19" t="s">
        <v>69</v>
      </c>
      <c r="I199" s="21" t="s">
        <v>41</v>
      </c>
      <c r="J199" s="19"/>
      <c r="K199" s="22"/>
      <c r="L199" s="23"/>
      <c r="M199" s="22"/>
      <c r="N199" s="19">
        <f>IFERROR(__xludf.DUMMYFUNCTION("SUM(QUERY(Entregas_BD!D:L,""select G where D='""&amp;D199&amp;""'"",1))"),0.0)</f>
        <v>0</v>
      </c>
      <c r="O199" s="19">
        <f>IFERROR(__xludf.DUMMYFUNCTION("SUM(QUERY(Entregas_BD!D:L,""select H where D='""&amp;D199&amp;""'"",1))"),0.0)</f>
        <v>0</v>
      </c>
      <c r="P199" s="19">
        <f>IFERROR(__xludf.DUMMYFUNCTION("SUM(QUERY(Entregas_BD!D:L,""select I where D='""&amp;D199&amp;""'"",1))"),0.0)</f>
        <v>0</v>
      </c>
      <c r="Q199" s="19">
        <f>IFERROR(__xludf.DUMMYFUNCTION("SUM(QUERY(Entregas_BD!D:L,""select J where D='""&amp;D199&amp;""'"",1))"),0.0)</f>
        <v>0</v>
      </c>
      <c r="R199" s="24">
        <f>IFERROR(__xludf.DUMMYFUNCTION("SUM(QUERY(Entregas_BD!D:L,""select K where D='""&amp;D199&amp;""'"",1))"),0.0)</f>
        <v>0</v>
      </c>
      <c r="S199" s="24">
        <f>IFERROR(__xludf.DUMMYFUNCTION("SUM(QUERY(Entregas_BD!D:L,""select L where D='""&amp;D199&amp;""'"",1))"),0.0)</f>
        <v>0</v>
      </c>
      <c r="T199" s="19">
        <f>IFERROR(__xludf.DUMMYFUNCTION("SUM(QUERY(Entregas_BD!D:AL,""select AG where D='""&amp;D199&amp;""'"",1))"),50.0)</f>
        <v>50</v>
      </c>
      <c r="U199" s="19">
        <f>IFERROR(__xludf.DUMMYFUNCTION("SUM(QUERY(Entregas_BD!D:AL,""select AH where D='""&amp;D199&amp;""'"",1))"),0.0)</f>
        <v>0</v>
      </c>
      <c r="V199" s="19">
        <f>IFERROR(__xludf.DUMMYFUNCTION("SUM(QUERY(Entregas_BD!D:AL,""select AI where D='""&amp;D199&amp;""'"",1))"),0.0)</f>
        <v>0</v>
      </c>
      <c r="W199" s="19">
        <f>IFERROR(__xludf.DUMMYFUNCTION("SUM(QUERY(Entregas_BD!D:AL,""select AJ where D='""&amp;D199&amp;""'"",1))"),0.0)</f>
        <v>0</v>
      </c>
      <c r="X199" s="19">
        <f>IFERROR(__xludf.DUMMYFUNCTION("SUM(QUERY(Entregas_BD!D:AL,""select AL where D='""&amp;D199&amp;""'"",1))"),25.0)</f>
        <v>25</v>
      </c>
      <c r="Y199" s="19">
        <f>IFERROR(__xludf.DUMMYFUNCTION("SUM(QUERY(Entregas_BD!D:AL,""select AK where D='""&amp;D199&amp;""'"",1))"),0.0)</f>
        <v>0</v>
      </c>
      <c r="Z199" s="19">
        <v>-50.0</v>
      </c>
      <c r="AA199" s="19">
        <v>0.0</v>
      </c>
      <c r="AB199" s="19">
        <v>0.0</v>
      </c>
      <c r="AC199" s="19">
        <v>0.0</v>
      </c>
      <c r="AD199" s="19">
        <v>0.0</v>
      </c>
      <c r="AE199" s="19">
        <v>-25.0</v>
      </c>
      <c r="AF199" s="51"/>
      <c r="AG199" s="24">
        <f>IFERROR(__xludf.DUMMYFUNCTION("SUM(QUERY(Entregas_BD!D:W,""select U where D='""&amp;D199&amp;""'"",1))"),0.0)</f>
        <v>0</v>
      </c>
      <c r="AH199" s="24">
        <f>IFERROR(__xludf.DUMMYFUNCTION("SUM(QUERY(Entregas_BD!D:W,""select S where D='""&amp;D199&amp;""'"",1))"),0.0)</f>
        <v>0</v>
      </c>
      <c r="AI199" s="24">
        <f>IFERROR(__xludf.DUMMYFUNCTION("SUM(QUERY(Entregas_BD!D:W,""select T where D='""&amp;D199&amp;""'"",1))"),0.0)</f>
        <v>0</v>
      </c>
    </row>
    <row r="200" ht="19.5" customHeight="1">
      <c r="A200" s="26"/>
      <c r="B200" s="8"/>
      <c r="C200" s="9">
        <v>199.0</v>
      </c>
      <c r="D200" s="10" t="s">
        <v>553</v>
      </c>
      <c r="E200" s="10" t="s">
        <v>197</v>
      </c>
      <c r="F200" s="10" t="s">
        <v>45</v>
      </c>
      <c r="G200" s="10" t="s">
        <v>554</v>
      </c>
      <c r="H200" s="9" t="s">
        <v>40</v>
      </c>
      <c r="I200" s="11" t="s">
        <v>41</v>
      </c>
      <c r="J200" s="12"/>
      <c r="K200" s="28"/>
      <c r="L200" s="29"/>
      <c r="M200" s="36"/>
      <c r="N200" s="9">
        <f>IFERROR(__xludf.DUMMYFUNCTION("SUM(QUERY(Entregas_BD!D:L,""select G where D='""&amp;D200&amp;""'"",1))"),0.0)</f>
        <v>0</v>
      </c>
      <c r="O200" s="9">
        <f>IFERROR(__xludf.DUMMYFUNCTION("SUM(QUERY(Entregas_BD!D:L,""select H where D='""&amp;D200&amp;""'"",1))"),0.0)</f>
        <v>0</v>
      </c>
      <c r="P200" s="9">
        <f>IFERROR(__xludf.DUMMYFUNCTION("SUM(QUERY(Entregas_BD!D:L,""select I where D='""&amp;D200&amp;""'"",1))"),0.0)</f>
        <v>0</v>
      </c>
      <c r="Q200" s="9">
        <f>IFERROR(__xludf.DUMMYFUNCTION("SUM(QUERY(Entregas_BD!D:L,""select J where D='""&amp;D200&amp;""'"",1))"),0.0)</f>
        <v>0</v>
      </c>
      <c r="R200" s="15">
        <f>IFERROR(__xludf.DUMMYFUNCTION("SUM(QUERY(Entregas_BD!D:L,""select K where D='""&amp;D200&amp;""'"",1))"),0.0)</f>
        <v>0</v>
      </c>
      <c r="S200" s="15">
        <f>IFERROR(__xludf.DUMMYFUNCTION("SUM(QUERY(Entregas_BD!D:L,""select L where D='""&amp;D200&amp;""'"",1))"),0.0)</f>
        <v>0</v>
      </c>
      <c r="T200" s="9">
        <f>IFERROR(__xludf.DUMMYFUNCTION("SUM(QUERY(Entregas_BD!D:AL,""select AG where D='""&amp;D200&amp;""'"",1))"),55.0)</f>
        <v>55</v>
      </c>
      <c r="U200" s="9">
        <f>IFERROR(__xludf.DUMMYFUNCTION("SUM(QUERY(Entregas_BD!D:AL,""select AH where D='""&amp;D200&amp;""'"",1))"),0.0)</f>
        <v>0</v>
      </c>
      <c r="V200" s="9">
        <f>IFERROR(__xludf.DUMMYFUNCTION("SUM(QUERY(Entregas_BD!D:AL,""select AI where D='""&amp;D200&amp;""'"",1))"),0.0)</f>
        <v>0</v>
      </c>
      <c r="W200" s="9">
        <f>IFERROR(__xludf.DUMMYFUNCTION("SUM(QUERY(Entregas_BD!D:AL,""select AJ where D='""&amp;D200&amp;""'"",1))"),0.0)</f>
        <v>0</v>
      </c>
      <c r="X200" s="9">
        <f>IFERROR(__xludf.DUMMYFUNCTION("SUM(QUERY(Entregas_BD!D:AL,""select AL where D='""&amp;D200&amp;""'"",1))"),0.0)</f>
        <v>0</v>
      </c>
      <c r="Y200" s="9">
        <f>IFERROR(__xludf.DUMMYFUNCTION("SUM(QUERY(Entregas_BD!D:AL,""select AK where D='""&amp;D200&amp;""'"",1))"),6.0)</f>
        <v>6</v>
      </c>
      <c r="Z200" s="9">
        <v>-55.0</v>
      </c>
      <c r="AA200" s="9">
        <v>0.0</v>
      </c>
      <c r="AB200" s="9">
        <v>0.0</v>
      </c>
      <c r="AC200" s="9">
        <v>0.0</v>
      </c>
      <c r="AD200" s="9">
        <v>-6.0</v>
      </c>
      <c r="AE200" s="9">
        <v>0.0</v>
      </c>
      <c r="AF200" s="28"/>
      <c r="AG200" s="15">
        <f>IFERROR(__xludf.DUMMYFUNCTION("SUM(QUERY(Entregas_BD!D:W,""select U where D='""&amp;D200&amp;""'"",1))"),0.0)</f>
        <v>0</v>
      </c>
      <c r="AH200" s="15">
        <f>IFERROR(__xludf.DUMMYFUNCTION("SUM(QUERY(Entregas_BD!D:W,""select S where D='""&amp;D200&amp;""'"",1))"),0.0)</f>
        <v>0</v>
      </c>
      <c r="AI200" s="15">
        <f>IFERROR(__xludf.DUMMYFUNCTION("SUM(QUERY(Entregas_BD!D:W,""select T where D='""&amp;D200&amp;""'"",1))"),0.0)</f>
        <v>0</v>
      </c>
    </row>
    <row r="201" ht="19.5" customHeight="1">
      <c r="A201" s="31"/>
      <c r="B201" s="32"/>
      <c r="C201" s="19">
        <v>200.0</v>
      </c>
      <c r="D201" s="20" t="s">
        <v>555</v>
      </c>
      <c r="E201" s="20" t="s">
        <v>58</v>
      </c>
      <c r="F201" s="20" t="s">
        <v>45</v>
      </c>
      <c r="G201" s="20" t="s">
        <v>88</v>
      </c>
      <c r="H201" s="19" t="s">
        <v>69</v>
      </c>
      <c r="I201" s="21" t="s">
        <v>41</v>
      </c>
      <c r="J201" s="19"/>
      <c r="K201" s="22"/>
      <c r="L201" s="23"/>
      <c r="M201" s="22"/>
      <c r="N201" s="19">
        <f>IFERROR(__xludf.DUMMYFUNCTION("SUM(QUERY(Entregas_BD!D:L,""select G where D='""&amp;D201&amp;""'"",1))"),0.0)</f>
        <v>0</v>
      </c>
      <c r="O201" s="19">
        <f>IFERROR(__xludf.DUMMYFUNCTION("SUM(QUERY(Entregas_BD!D:L,""select H where D='""&amp;D201&amp;""'"",1))"),0.0)</f>
        <v>0</v>
      </c>
      <c r="P201" s="19">
        <f>IFERROR(__xludf.DUMMYFUNCTION("SUM(QUERY(Entregas_BD!D:L,""select I where D='""&amp;D201&amp;""'"",1))"),0.0)</f>
        <v>0</v>
      </c>
      <c r="Q201" s="19">
        <f>IFERROR(__xludf.DUMMYFUNCTION("SUM(QUERY(Entregas_BD!D:L,""select J where D='""&amp;D201&amp;""'"",1))"),0.0)</f>
        <v>0</v>
      </c>
      <c r="R201" s="24">
        <f>IFERROR(__xludf.DUMMYFUNCTION("SUM(QUERY(Entregas_BD!D:L,""select K where D='""&amp;D201&amp;""'"",1))"),0.0)</f>
        <v>0</v>
      </c>
      <c r="S201" s="24">
        <f>IFERROR(__xludf.DUMMYFUNCTION("SUM(QUERY(Entregas_BD!D:L,""select L where D='""&amp;D201&amp;""'"",1))"),0.0)</f>
        <v>0</v>
      </c>
      <c r="T201" s="19">
        <f>IFERROR(__xludf.DUMMYFUNCTION("SUM(QUERY(Entregas_BD!D:AL,""select AG where D='""&amp;D201&amp;""'"",1))"),0.0)</f>
        <v>0</v>
      </c>
      <c r="U201" s="19">
        <f>IFERROR(__xludf.DUMMYFUNCTION("SUM(QUERY(Entregas_BD!D:AL,""select AH where D='""&amp;D201&amp;""'"",1))"),0.0)</f>
        <v>0</v>
      </c>
      <c r="V201" s="19">
        <f>IFERROR(__xludf.DUMMYFUNCTION("SUM(QUERY(Entregas_BD!D:AL,""select AI where D='""&amp;D201&amp;""'"",1))"),0.0)</f>
        <v>0</v>
      </c>
      <c r="W201" s="19">
        <f>IFERROR(__xludf.DUMMYFUNCTION("SUM(QUERY(Entregas_BD!D:AL,""select AJ where D='""&amp;D201&amp;""'"",1))"),0.0)</f>
        <v>0</v>
      </c>
      <c r="X201" s="19">
        <f>IFERROR(__xludf.DUMMYFUNCTION("SUM(QUERY(Entregas_BD!D:AL,""select AL where D='""&amp;D201&amp;""'"",1))"),0.0)</f>
        <v>0</v>
      </c>
      <c r="Y201" s="19">
        <f>IFERROR(__xludf.DUMMYFUNCTION("SUM(QUERY(Entregas_BD!D:AL,""select AK where D='""&amp;D201&amp;""'"",1))"),0.0)</f>
        <v>0</v>
      </c>
      <c r="Z201" s="19">
        <v>0.0</v>
      </c>
      <c r="AA201" s="19">
        <v>0.0</v>
      </c>
      <c r="AB201" s="19">
        <v>0.0</v>
      </c>
      <c r="AC201" s="19">
        <v>0.0</v>
      </c>
      <c r="AD201" s="19">
        <v>0.0</v>
      </c>
      <c r="AE201" s="19">
        <v>0.0</v>
      </c>
      <c r="AF201" s="51"/>
      <c r="AG201" s="24">
        <f>IFERROR(__xludf.DUMMYFUNCTION("SUM(QUERY(Entregas_BD!D:W,""select U where D='""&amp;D201&amp;""'"",1))"),0.0)</f>
        <v>0</v>
      </c>
      <c r="AH201" s="24">
        <f>IFERROR(__xludf.DUMMYFUNCTION("SUM(QUERY(Entregas_BD!D:W,""select S where D='""&amp;D201&amp;""'"",1))"),0.0)</f>
        <v>0</v>
      </c>
      <c r="AI201" s="24">
        <f>IFERROR(__xludf.DUMMYFUNCTION("SUM(QUERY(Entregas_BD!D:W,""select T where D='""&amp;D201&amp;""'"",1))"),0.0)</f>
        <v>0</v>
      </c>
    </row>
    <row r="202" ht="19.5" customHeight="1">
      <c r="A202" s="7"/>
      <c r="B202" s="8"/>
      <c r="C202" s="9">
        <v>201.0</v>
      </c>
      <c r="D202" s="10" t="s">
        <v>556</v>
      </c>
      <c r="E202" s="10" t="s">
        <v>54</v>
      </c>
      <c r="F202" s="10" t="s">
        <v>45</v>
      </c>
      <c r="G202" s="10" t="s">
        <v>109</v>
      </c>
      <c r="H202" s="9" t="s">
        <v>69</v>
      </c>
      <c r="I202" s="11" t="s">
        <v>41</v>
      </c>
      <c r="J202" s="12"/>
      <c r="K202" s="28"/>
      <c r="L202" s="29"/>
      <c r="M202" s="28"/>
      <c r="N202" s="9">
        <f>IFERROR(__xludf.DUMMYFUNCTION("SUM(QUERY(Entregas_BD!D:L,""select G where D='""&amp;D202&amp;""'"",1))"),0.0)</f>
        <v>0</v>
      </c>
      <c r="O202" s="9">
        <f>IFERROR(__xludf.DUMMYFUNCTION("SUM(QUERY(Entregas_BD!D:L,""select H where D='""&amp;D202&amp;""'"",1))"),0.0)</f>
        <v>0</v>
      </c>
      <c r="P202" s="9">
        <f>IFERROR(__xludf.DUMMYFUNCTION("SUM(QUERY(Entregas_BD!D:L,""select I where D='""&amp;D202&amp;""'"",1))"),0.0)</f>
        <v>0</v>
      </c>
      <c r="Q202" s="9">
        <f>IFERROR(__xludf.DUMMYFUNCTION("SUM(QUERY(Entregas_BD!D:L,""select J where D='""&amp;D202&amp;""'"",1))"),0.0)</f>
        <v>0</v>
      </c>
      <c r="R202" s="15">
        <f>IFERROR(__xludf.DUMMYFUNCTION("SUM(QUERY(Entregas_BD!D:L,""select K where D='""&amp;D202&amp;""'"",1))"),0.0)</f>
        <v>0</v>
      </c>
      <c r="S202" s="15">
        <f>IFERROR(__xludf.DUMMYFUNCTION("SUM(QUERY(Entregas_BD!D:L,""select L where D='""&amp;D202&amp;""'"",1))"),0.0)</f>
        <v>0</v>
      </c>
      <c r="T202" s="9">
        <f>IFERROR(__xludf.DUMMYFUNCTION("SUM(QUERY(Entregas_BD!D:AL,""select AG where D='""&amp;D202&amp;""'"",1))"),5.0)</f>
        <v>5</v>
      </c>
      <c r="U202" s="9">
        <f>IFERROR(__xludf.DUMMYFUNCTION("SUM(QUERY(Entregas_BD!D:AL,""select AH where D='""&amp;D202&amp;""'"",1))"),0.0)</f>
        <v>0</v>
      </c>
      <c r="V202" s="9">
        <f>IFERROR(__xludf.DUMMYFUNCTION("SUM(QUERY(Entregas_BD!D:AL,""select AI where D='""&amp;D202&amp;""'"",1))"),0.0)</f>
        <v>0</v>
      </c>
      <c r="W202" s="9">
        <f>IFERROR(__xludf.DUMMYFUNCTION("SUM(QUERY(Entregas_BD!D:AL,""select AJ where D='""&amp;D202&amp;""'"",1))"),0.0)</f>
        <v>0</v>
      </c>
      <c r="X202" s="9">
        <f>IFERROR(__xludf.DUMMYFUNCTION("SUM(QUERY(Entregas_BD!D:AL,""select AL where D='""&amp;D202&amp;""'"",1))"),10.0)</f>
        <v>10</v>
      </c>
      <c r="Y202" s="9">
        <f>IFERROR(__xludf.DUMMYFUNCTION("SUM(QUERY(Entregas_BD!D:AL,""select AK where D='""&amp;D202&amp;""'"",1))"),7.5)</f>
        <v>7.5</v>
      </c>
      <c r="Z202" s="9">
        <v>-5.0</v>
      </c>
      <c r="AA202" s="9">
        <v>0.0</v>
      </c>
      <c r="AB202" s="9">
        <v>0.0</v>
      </c>
      <c r="AC202" s="9">
        <v>0.0</v>
      </c>
      <c r="AD202" s="9">
        <v>-7.5</v>
      </c>
      <c r="AE202" s="9">
        <v>-10.0</v>
      </c>
      <c r="AF202" s="28"/>
      <c r="AG202" s="15">
        <f>IFERROR(__xludf.DUMMYFUNCTION("SUM(QUERY(Entregas_BD!D:W,""select U where D='""&amp;D202&amp;""'"",1))"),0.0)</f>
        <v>0</v>
      </c>
      <c r="AH202" s="15">
        <f>IFERROR(__xludf.DUMMYFUNCTION("SUM(QUERY(Entregas_BD!D:W,""select S where D='""&amp;D202&amp;""'"",1))"),0.0)</f>
        <v>0</v>
      </c>
      <c r="AI202" s="15">
        <f>IFERROR(__xludf.DUMMYFUNCTION("SUM(QUERY(Entregas_BD!D:W,""select T where D='""&amp;D202&amp;""'"",1))"),0.0)</f>
        <v>0</v>
      </c>
    </row>
    <row r="203" ht="19.5" customHeight="1">
      <c r="A203" s="31"/>
      <c r="B203" s="32"/>
      <c r="C203" s="19">
        <v>202.0</v>
      </c>
      <c r="D203" s="20" t="s">
        <v>557</v>
      </c>
      <c r="E203" s="20" t="s">
        <v>58</v>
      </c>
      <c r="F203" s="20" t="s">
        <v>45</v>
      </c>
      <c r="G203" s="20" t="s">
        <v>59</v>
      </c>
      <c r="H203" s="19" t="s">
        <v>69</v>
      </c>
      <c r="I203" s="21" t="s">
        <v>41</v>
      </c>
      <c r="J203" s="19"/>
      <c r="K203" s="22"/>
      <c r="L203" s="23"/>
      <c r="M203" s="22"/>
      <c r="N203" s="19">
        <f>IFERROR(__xludf.DUMMYFUNCTION("SUM(QUERY(Entregas_BD!D:L,""select G where D='""&amp;D203&amp;""'"",1))"),0.0)</f>
        <v>0</v>
      </c>
      <c r="O203" s="19">
        <f>IFERROR(__xludf.DUMMYFUNCTION("SUM(QUERY(Entregas_BD!D:L,""select H where D='""&amp;D203&amp;""'"",1))"),0.0)</f>
        <v>0</v>
      </c>
      <c r="P203" s="19">
        <f>IFERROR(__xludf.DUMMYFUNCTION("SUM(QUERY(Entregas_BD!D:L,""select I where D='""&amp;D203&amp;""'"",1))"),0.0)</f>
        <v>0</v>
      </c>
      <c r="Q203" s="19">
        <f>IFERROR(__xludf.DUMMYFUNCTION("SUM(QUERY(Entregas_BD!D:L,""select J where D='""&amp;D203&amp;""'"",1))"),0.0)</f>
        <v>0</v>
      </c>
      <c r="R203" s="24">
        <f>IFERROR(__xludf.DUMMYFUNCTION("SUM(QUERY(Entregas_BD!D:L,""select K where D='""&amp;D203&amp;""'"",1))"),0.0)</f>
        <v>0</v>
      </c>
      <c r="S203" s="24">
        <f>IFERROR(__xludf.DUMMYFUNCTION("SUM(QUERY(Entregas_BD!D:L,""select L where D='""&amp;D203&amp;""'"",1))"),0.0)</f>
        <v>0</v>
      </c>
      <c r="T203" s="19">
        <f>IFERROR(__xludf.DUMMYFUNCTION("SUM(QUERY(Entregas_BD!D:AL,""select AG where D='""&amp;D203&amp;""'"",1))"),5.0)</f>
        <v>5</v>
      </c>
      <c r="U203" s="19">
        <f>IFERROR(__xludf.DUMMYFUNCTION("SUM(QUERY(Entregas_BD!D:AL,""select AH where D='""&amp;D203&amp;""'"",1))"),0.0)</f>
        <v>0</v>
      </c>
      <c r="V203" s="19">
        <f>IFERROR(__xludf.DUMMYFUNCTION("SUM(QUERY(Entregas_BD!D:AL,""select AI where D='""&amp;D203&amp;""'"",1))"),0.0)</f>
        <v>0</v>
      </c>
      <c r="W203" s="19">
        <f>IFERROR(__xludf.DUMMYFUNCTION("SUM(QUERY(Entregas_BD!D:AL,""select AJ where D='""&amp;D203&amp;""'"",1))"),0.0)</f>
        <v>0</v>
      </c>
      <c r="X203" s="19">
        <f>IFERROR(__xludf.DUMMYFUNCTION("SUM(QUERY(Entregas_BD!D:AL,""select AL where D='""&amp;D203&amp;""'"",1))"),0.0)</f>
        <v>0</v>
      </c>
      <c r="Y203" s="19">
        <f>IFERROR(__xludf.DUMMYFUNCTION("SUM(QUERY(Entregas_BD!D:AL,""select AK where D='""&amp;D203&amp;""'"",1))"),0.0)</f>
        <v>0</v>
      </c>
      <c r="Z203" s="19">
        <v>-5.0</v>
      </c>
      <c r="AA203" s="19">
        <v>0.0</v>
      </c>
      <c r="AB203" s="19">
        <v>0.0</v>
      </c>
      <c r="AC203" s="19">
        <v>0.0</v>
      </c>
      <c r="AD203" s="19">
        <v>0.0</v>
      </c>
      <c r="AE203" s="19">
        <v>0.0</v>
      </c>
      <c r="AF203" s="51"/>
      <c r="AG203" s="24">
        <f>IFERROR(__xludf.DUMMYFUNCTION("SUM(QUERY(Entregas_BD!D:W,""select U where D='""&amp;D203&amp;""'"",1))"),0.0)</f>
        <v>0</v>
      </c>
      <c r="AH203" s="24">
        <f>IFERROR(__xludf.DUMMYFUNCTION("SUM(QUERY(Entregas_BD!D:W,""select S where D='""&amp;D203&amp;""'"",1))"),0.0)</f>
        <v>0</v>
      </c>
      <c r="AI203" s="24">
        <f>IFERROR(__xludf.DUMMYFUNCTION("SUM(QUERY(Entregas_BD!D:W,""select T where D='""&amp;D203&amp;""'"",1))"),0.0)</f>
        <v>0</v>
      </c>
    </row>
    <row r="204" ht="19.5" customHeight="1">
      <c r="A204" s="7"/>
      <c r="B204" s="8"/>
      <c r="C204" s="9">
        <v>203.0</v>
      </c>
      <c r="D204" s="10" t="s">
        <v>558</v>
      </c>
      <c r="E204" s="10" t="s">
        <v>58</v>
      </c>
      <c r="F204" s="10" t="s">
        <v>45</v>
      </c>
      <c r="G204" s="10" t="s">
        <v>59</v>
      </c>
      <c r="H204" s="9" t="s">
        <v>69</v>
      </c>
      <c r="I204" s="11" t="s">
        <v>41</v>
      </c>
      <c r="J204" s="9"/>
      <c r="K204" s="28"/>
      <c r="L204" s="29"/>
      <c r="M204" s="28"/>
      <c r="N204" s="9">
        <f>IFERROR(__xludf.DUMMYFUNCTION("SUM(QUERY(Entregas_BD!D:L,""select G where D='""&amp;D204&amp;""'"",1))"),0.0)</f>
        <v>0</v>
      </c>
      <c r="O204" s="9">
        <f>IFERROR(__xludf.DUMMYFUNCTION("SUM(QUERY(Entregas_BD!D:L,""select H where D='""&amp;D204&amp;""'"",1))"),0.0)</f>
        <v>0</v>
      </c>
      <c r="P204" s="9">
        <f>IFERROR(__xludf.DUMMYFUNCTION("SUM(QUERY(Entregas_BD!D:L,""select I where D='""&amp;D204&amp;""'"",1))"),0.0)</f>
        <v>0</v>
      </c>
      <c r="Q204" s="9">
        <f>IFERROR(__xludf.DUMMYFUNCTION("SUM(QUERY(Entregas_BD!D:L,""select J where D='""&amp;D204&amp;""'"",1))"),0.0)</f>
        <v>0</v>
      </c>
      <c r="R204" s="15">
        <f>IFERROR(__xludf.DUMMYFUNCTION("SUM(QUERY(Entregas_BD!D:L,""select K where D='""&amp;D204&amp;""'"",1))"),0.0)</f>
        <v>0</v>
      </c>
      <c r="S204" s="15">
        <f>IFERROR(__xludf.DUMMYFUNCTION("SUM(QUERY(Entregas_BD!D:L,""select L where D='""&amp;D204&amp;""'"",1))"),0.0)</f>
        <v>0</v>
      </c>
      <c r="T204" s="9">
        <f>IFERROR(__xludf.DUMMYFUNCTION("SUM(QUERY(Entregas_BD!D:AL,""select AG where D='""&amp;D204&amp;""'"",1))"),0.0)</f>
        <v>0</v>
      </c>
      <c r="U204" s="9">
        <f>IFERROR(__xludf.DUMMYFUNCTION("SUM(QUERY(Entregas_BD!D:AL,""select AH where D='""&amp;D204&amp;""'"",1))"),0.0)</f>
        <v>0</v>
      </c>
      <c r="V204" s="9">
        <f>IFERROR(__xludf.DUMMYFUNCTION("SUM(QUERY(Entregas_BD!D:AL,""select AI where D='""&amp;D204&amp;""'"",1))"),0.0)</f>
        <v>0</v>
      </c>
      <c r="W204" s="9">
        <f>IFERROR(__xludf.DUMMYFUNCTION("SUM(QUERY(Entregas_BD!D:AL,""select AJ where D='""&amp;D204&amp;""'"",1))"),0.0)</f>
        <v>0</v>
      </c>
      <c r="X204" s="9">
        <f>IFERROR(__xludf.DUMMYFUNCTION("SUM(QUERY(Entregas_BD!D:AL,""select AL where D='""&amp;D204&amp;""'"",1))"),0.0)</f>
        <v>0</v>
      </c>
      <c r="Y204" s="9">
        <f>IFERROR(__xludf.DUMMYFUNCTION("SUM(QUERY(Entregas_BD!D:AL,""select AK where D='""&amp;D204&amp;""'"",1))"),0.0)</f>
        <v>0</v>
      </c>
      <c r="Z204" s="9">
        <v>0.0</v>
      </c>
      <c r="AA204" s="9">
        <v>0.0</v>
      </c>
      <c r="AB204" s="9">
        <v>0.0</v>
      </c>
      <c r="AC204" s="9">
        <v>0.0</v>
      </c>
      <c r="AD204" s="9">
        <v>0.0</v>
      </c>
      <c r="AE204" s="9">
        <v>0.0</v>
      </c>
      <c r="AF204" s="52"/>
      <c r="AG204" s="15">
        <f>IFERROR(__xludf.DUMMYFUNCTION("SUM(QUERY(Entregas_BD!D:W,""select U where D='""&amp;D204&amp;""'"",1))"),0.0)</f>
        <v>0</v>
      </c>
      <c r="AH204" s="15">
        <f>IFERROR(__xludf.DUMMYFUNCTION("SUM(QUERY(Entregas_BD!D:W,""select S where D='""&amp;D204&amp;""'"",1))"),0.0)</f>
        <v>0</v>
      </c>
      <c r="AI204" s="15">
        <f>IFERROR(__xludf.DUMMYFUNCTION("SUM(QUERY(Entregas_BD!D:W,""select T where D='""&amp;D204&amp;""'"",1))"),0.0)</f>
        <v>0</v>
      </c>
    </row>
    <row r="205" ht="19.5" customHeight="1">
      <c r="A205" s="31"/>
      <c r="B205" s="32"/>
      <c r="C205" s="19">
        <v>204.0</v>
      </c>
      <c r="D205" s="20" t="s">
        <v>559</v>
      </c>
      <c r="E205" s="20" t="s">
        <v>58</v>
      </c>
      <c r="F205" s="20" t="s">
        <v>45</v>
      </c>
      <c r="G205" s="20" t="s">
        <v>560</v>
      </c>
      <c r="H205" s="19" t="s">
        <v>69</v>
      </c>
      <c r="I205" s="21" t="s">
        <v>41</v>
      </c>
      <c r="J205" s="19"/>
      <c r="K205" s="22"/>
      <c r="L205" s="23"/>
      <c r="M205" s="22"/>
      <c r="N205" s="19">
        <f>IFERROR(__xludf.DUMMYFUNCTION("SUM(QUERY(Entregas_BD!D:L,""select G where D='""&amp;D205&amp;""'"",1))"),0.0)</f>
        <v>0</v>
      </c>
      <c r="O205" s="19">
        <f>IFERROR(__xludf.DUMMYFUNCTION("SUM(QUERY(Entregas_BD!D:L,""select H where D='""&amp;D205&amp;""'"",1))"),0.0)</f>
        <v>0</v>
      </c>
      <c r="P205" s="19">
        <f>IFERROR(__xludf.DUMMYFUNCTION("SUM(QUERY(Entregas_BD!D:L,""select I where D='""&amp;D205&amp;""'"",1))"),0.0)</f>
        <v>0</v>
      </c>
      <c r="Q205" s="19">
        <f>IFERROR(__xludf.DUMMYFUNCTION("SUM(QUERY(Entregas_BD!D:L,""select J where D='""&amp;D205&amp;""'"",1))"),0.0)</f>
        <v>0</v>
      </c>
      <c r="R205" s="24">
        <f>IFERROR(__xludf.DUMMYFUNCTION("SUM(QUERY(Entregas_BD!D:L,""select K where D='""&amp;D205&amp;""'"",1))"),0.0)</f>
        <v>0</v>
      </c>
      <c r="S205" s="24">
        <f>IFERROR(__xludf.DUMMYFUNCTION("SUM(QUERY(Entregas_BD!D:L,""select L where D='""&amp;D205&amp;""'"",1))"),0.0)</f>
        <v>0</v>
      </c>
      <c r="T205" s="19">
        <f>IFERROR(__xludf.DUMMYFUNCTION("SUM(QUERY(Entregas_BD!D:AL,""select AG where D='""&amp;D205&amp;""'"",1))"),0.0)</f>
        <v>0</v>
      </c>
      <c r="U205" s="19">
        <f>IFERROR(__xludf.DUMMYFUNCTION("SUM(QUERY(Entregas_BD!D:AL,""select AH where D='""&amp;D205&amp;""'"",1))"),0.0)</f>
        <v>0</v>
      </c>
      <c r="V205" s="19">
        <f>IFERROR(__xludf.DUMMYFUNCTION("SUM(QUERY(Entregas_BD!D:AL,""select AI where D='""&amp;D205&amp;""'"",1))"),0.0)</f>
        <v>0</v>
      </c>
      <c r="W205" s="19">
        <f>IFERROR(__xludf.DUMMYFUNCTION("SUM(QUERY(Entregas_BD!D:AL,""select AJ where D='""&amp;D205&amp;""'"",1))"),0.0)</f>
        <v>0</v>
      </c>
      <c r="X205" s="19">
        <f>IFERROR(__xludf.DUMMYFUNCTION("SUM(QUERY(Entregas_BD!D:AL,""select AL where D='""&amp;D205&amp;""'"",1))"),0.0)</f>
        <v>0</v>
      </c>
      <c r="Y205" s="19">
        <f>IFERROR(__xludf.DUMMYFUNCTION("SUM(QUERY(Entregas_BD!D:AL,""select AK where D='""&amp;D205&amp;""'"",1))"),0.0)</f>
        <v>0</v>
      </c>
      <c r="Z205" s="19">
        <v>0.0</v>
      </c>
      <c r="AA205" s="19">
        <v>0.0</v>
      </c>
      <c r="AB205" s="19">
        <v>0.0</v>
      </c>
      <c r="AC205" s="19">
        <v>0.0</v>
      </c>
      <c r="AD205" s="19">
        <v>0.0</v>
      </c>
      <c r="AE205" s="19">
        <v>0.0</v>
      </c>
      <c r="AF205" s="22"/>
      <c r="AG205" s="24">
        <f>IFERROR(__xludf.DUMMYFUNCTION("SUM(QUERY(Entregas_BD!D:W,""select U where D='""&amp;D205&amp;""'"",1))"),0.0)</f>
        <v>0</v>
      </c>
      <c r="AH205" s="24">
        <f>IFERROR(__xludf.DUMMYFUNCTION("SUM(QUERY(Entregas_BD!D:W,""select S where D='""&amp;D205&amp;""'"",1))"),0.0)</f>
        <v>0</v>
      </c>
      <c r="AI205" s="24">
        <f>IFERROR(__xludf.DUMMYFUNCTION("SUM(QUERY(Entregas_BD!D:W,""select T where D='""&amp;D205&amp;""'"",1))"),0.0)</f>
        <v>0</v>
      </c>
    </row>
    <row r="206" ht="19.5" customHeight="1">
      <c r="A206" s="7"/>
      <c r="B206" s="8"/>
      <c r="C206" s="9">
        <v>205.0</v>
      </c>
      <c r="D206" s="10" t="s">
        <v>561</v>
      </c>
      <c r="E206" s="10" t="s">
        <v>63</v>
      </c>
      <c r="F206" s="10" t="s">
        <v>45</v>
      </c>
      <c r="G206" s="10" t="s">
        <v>492</v>
      </c>
      <c r="H206" s="9" t="s">
        <v>51</v>
      </c>
      <c r="I206" s="11" t="s">
        <v>47</v>
      </c>
      <c r="J206" s="12"/>
      <c r="K206" s="28"/>
      <c r="L206" s="29"/>
      <c r="M206" s="36"/>
      <c r="N206" s="9">
        <f>IFERROR(__xludf.DUMMYFUNCTION("SUM(QUERY(Entregas_BD!D:L,""select G where D='""&amp;D206&amp;""'"",1))"),0.0)</f>
        <v>0</v>
      </c>
      <c r="O206" s="9">
        <f>IFERROR(__xludf.DUMMYFUNCTION("SUM(QUERY(Entregas_BD!D:L,""select H where D='""&amp;D206&amp;""'"",1))"),0.0)</f>
        <v>0</v>
      </c>
      <c r="P206" s="9">
        <f>IFERROR(__xludf.DUMMYFUNCTION("SUM(QUERY(Entregas_BD!D:L,""select I where D='""&amp;D206&amp;""'"",1))"),0.0)</f>
        <v>0</v>
      </c>
      <c r="Q206" s="9">
        <f>IFERROR(__xludf.DUMMYFUNCTION("SUM(QUERY(Entregas_BD!D:L,""select J where D='""&amp;D206&amp;""'"",1))"),0.0)</f>
        <v>0</v>
      </c>
      <c r="R206" s="15">
        <f>IFERROR(__xludf.DUMMYFUNCTION("SUM(QUERY(Entregas_BD!D:L,""select K where D='""&amp;D206&amp;""'"",1))"),0.0)</f>
        <v>0</v>
      </c>
      <c r="S206" s="15">
        <f>IFERROR(__xludf.DUMMYFUNCTION("SUM(QUERY(Entregas_BD!D:L,""select L where D='""&amp;D206&amp;""'"",1))"),0.0)</f>
        <v>0</v>
      </c>
      <c r="T206" s="9">
        <f>IFERROR(__xludf.DUMMYFUNCTION("SUM(QUERY(Entregas_BD!D:AL,""select AG where D='""&amp;D206&amp;""'"",1))"),0.0)</f>
        <v>0</v>
      </c>
      <c r="U206" s="9">
        <f>IFERROR(__xludf.DUMMYFUNCTION("SUM(QUERY(Entregas_BD!D:AL,""select AH where D='""&amp;D206&amp;""'"",1))"),0.0)</f>
        <v>0</v>
      </c>
      <c r="V206" s="9">
        <f>IFERROR(__xludf.DUMMYFUNCTION("SUM(QUERY(Entregas_BD!D:AL,""select AI where D='""&amp;D206&amp;""'"",1))"),0.0)</f>
        <v>0</v>
      </c>
      <c r="W206" s="9">
        <f>IFERROR(__xludf.DUMMYFUNCTION("SUM(QUERY(Entregas_BD!D:AL,""select AJ where D='""&amp;D206&amp;""'"",1))"),0.0)</f>
        <v>0</v>
      </c>
      <c r="X206" s="9">
        <f>IFERROR(__xludf.DUMMYFUNCTION("SUM(QUERY(Entregas_BD!D:AL,""select AL where D='""&amp;D206&amp;""'"",1))"),0.0)</f>
        <v>0</v>
      </c>
      <c r="Y206" s="9">
        <f>IFERROR(__xludf.DUMMYFUNCTION("SUM(QUERY(Entregas_BD!D:AL,""select AK where D='""&amp;D206&amp;""'"",1))"),0.0)</f>
        <v>0</v>
      </c>
      <c r="Z206" s="9">
        <v>0.0</v>
      </c>
      <c r="AA206" s="9">
        <v>0.0</v>
      </c>
      <c r="AB206" s="9">
        <v>0.0</v>
      </c>
      <c r="AC206" s="9">
        <v>0.0</v>
      </c>
      <c r="AD206" s="9">
        <v>0.0</v>
      </c>
      <c r="AE206" s="9">
        <v>0.0</v>
      </c>
      <c r="AF206" s="52"/>
      <c r="AG206" s="15">
        <f>IFERROR(__xludf.DUMMYFUNCTION("SUM(QUERY(Entregas_BD!D:W,""select U where D='""&amp;D206&amp;""'"",1))"),0.0)</f>
        <v>0</v>
      </c>
      <c r="AH206" s="15">
        <f>IFERROR(__xludf.DUMMYFUNCTION("SUM(QUERY(Entregas_BD!D:W,""select S where D='""&amp;D206&amp;""'"",1))"),0.0)</f>
        <v>0</v>
      </c>
      <c r="AI206" s="15">
        <f>IFERROR(__xludf.DUMMYFUNCTION("SUM(QUERY(Entregas_BD!D:W,""select T where D='""&amp;D206&amp;""'"",1))"),0.0)</f>
        <v>0</v>
      </c>
    </row>
    <row r="207" ht="19.5" customHeight="1">
      <c r="A207" s="31"/>
      <c r="B207" s="32"/>
      <c r="C207" s="19">
        <v>206.0</v>
      </c>
      <c r="D207" s="20" t="s">
        <v>562</v>
      </c>
      <c r="E207" s="20" t="s">
        <v>153</v>
      </c>
      <c r="F207" s="20" t="s">
        <v>563</v>
      </c>
      <c r="G207" s="20" t="s">
        <v>564</v>
      </c>
      <c r="H207" s="34" t="s">
        <v>40</v>
      </c>
      <c r="I207" s="21" t="s">
        <v>47</v>
      </c>
      <c r="J207" s="34"/>
      <c r="K207" s="22"/>
      <c r="L207" s="23"/>
      <c r="M207" s="41"/>
      <c r="N207" s="19">
        <f>IFERROR(__xludf.DUMMYFUNCTION("SUM(QUERY(Entregas_BD!D:L,""select G where D='""&amp;D207&amp;""'"",1))"),0.0)</f>
        <v>0</v>
      </c>
      <c r="O207" s="19">
        <f>IFERROR(__xludf.DUMMYFUNCTION("SUM(QUERY(Entregas_BD!D:L,""select H where D='""&amp;D207&amp;""'"",1))"),0.0)</f>
        <v>0</v>
      </c>
      <c r="P207" s="19">
        <f>IFERROR(__xludf.DUMMYFUNCTION("SUM(QUERY(Entregas_BD!D:L,""select I where D='""&amp;D207&amp;""'"",1))"),0.0)</f>
        <v>0</v>
      </c>
      <c r="Q207" s="19">
        <f>IFERROR(__xludf.DUMMYFUNCTION("SUM(QUERY(Entregas_BD!D:L,""select J where D='""&amp;D207&amp;""'"",1))"),0.0)</f>
        <v>0</v>
      </c>
      <c r="R207" s="24">
        <f>IFERROR(__xludf.DUMMYFUNCTION("SUM(QUERY(Entregas_BD!D:L,""select K where D='""&amp;D207&amp;""'"",1))"),0.0)</f>
        <v>0</v>
      </c>
      <c r="S207" s="24">
        <f>IFERROR(__xludf.DUMMYFUNCTION("SUM(QUERY(Entregas_BD!D:L,""select L where D='""&amp;D207&amp;""'"",1))"),0.0)</f>
        <v>0</v>
      </c>
      <c r="T207" s="19">
        <f>IFERROR(__xludf.DUMMYFUNCTION("SUM(QUERY(Entregas_BD!D:AL,""select AG where D='""&amp;D207&amp;""'"",1))"),0.0)</f>
        <v>0</v>
      </c>
      <c r="U207" s="19">
        <f>IFERROR(__xludf.DUMMYFUNCTION("SUM(QUERY(Entregas_BD!D:AL,""select AH where D='""&amp;D207&amp;""'"",1))"),0.0)</f>
        <v>0</v>
      </c>
      <c r="V207" s="19">
        <f>IFERROR(__xludf.DUMMYFUNCTION("SUM(QUERY(Entregas_BD!D:AL,""select AI where D='""&amp;D207&amp;""'"",1))"),0.0)</f>
        <v>0</v>
      </c>
      <c r="W207" s="19">
        <f>IFERROR(__xludf.DUMMYFUNCTION("SUM(QUERY(Entregas_BD!D:AL,""select AJ where D='""&amp;D207&amp;""'"",1))"),0.0)</f>
        <v>0</v>
      </c>
      <c r="X207" s="19">
        <f>IFERROR(__xludf.DUMMYFUNCTION("SUM(QUERY(Entregas_BD!D:AL,""select AL where D='""&amp;D207&amp;""'"",1))"),0.0)</f>
        <v>0</v>
      </c>
      <c r="Y207" s="19">
        <f>IFERROR(__xludf.DUMMYFUNCTION("SUM(QUERY(Entregas_BD!D:AL,""select AK where D='""&amp;D207&amp;""'"",1))"),0.0)</f>
        <v>0</v>
      </c>
      <c r="Z207" s="19">
        <v>0.0</v>
      </c>
      <c r="AA207" s="19">
        <v>0.0</v>
      </c>
      <c r="AB207" s="19">
        <v>0.0</v>
      </c>
      <c r="AC207" s="19">
        <v>0.0</v>
      </c>
      <c r="AD207" s="19">
        <v>0.0</v>
      </c>
      <c r="AE207" s="19">
        <v>0.0</v>
      </c>
      <c r="AF207" s="22"/>
      <c r="AG207" s="24">
        <f>IFERROR(__xludf.DUMMYFUNCTION("SUM(QUERY(Entregas_BD!D:W,""select U where D='""&amp;D207&amp;""'"",1))"),0.0)</f>
        <v>0</v>
      </c>
      <c r="AH207" s="24">
        <f>IFERROR(__xludf.DUMMYFUNCTION("SUM(QUERY(Entregas_BD!D:W,""select S where D='""&amp;D207&amp;""'"",1))"),0.0)</f>
        <v>0</v>
      </c>
      <c r="AI207" s="24">
        <f>IFERROR(__xludf.DUMMYFUNCTION("SUM(QUERY(Entregas_BD!D:W,""select T where D='""&amp;D207&amp;""'"",1))"),0.0)</f>
        <v>0</v>
      </c>
    </row>
    <row r="208" ht="19.5" customHeight="1">
      <c r="A208" s="7"/>
      <c r="B208" s="8"/>
      <c r="C208" s="9">
        <v>207.0</v>
      </c>
      <c r="D208" s="54" t="s">
        <v>565</v>
      </c>
      <c r="E208" s="10" t="s">
        <v>324</v>
      </c>
      <c r="F208" s="10" t="s">
        <v>566</v>
      </c>
      <c r="G208" s="10" t="s">
        <v>567</v>
      </c>
      <c r="H208" s="9" t="s">
        <v>40</v>
      </c>
      <c r="I208" s="11" t="s">
        <v>41</v>
      </c>
      <c r="J208" s="12"/>
      <c r="K208" s="9"/>
      <c r="L208" s="57"/>
      <c r="M208" s="9"/>
      <c r="N208" s="9">
        <f>IFERROR(__xludf.DUMMYFUNCTION("SUM(QUERY(Entregas_BD!D:L,""select G where D='""&amp;D208&amp;""'"",1))"),0.0)</f>
        <v>0</v>
      </c>
      <c r="O208" s="9">
        <f>IFERROR(__xludf.DUMMYFUNCTION("SUM(QUERY(Entregas_BD!D:L,""select H where D='""&amp;D208&amp;""'"",1))"),0.0)</f>
        <v>0</v>
      </c>
      <c r="P208" s="9">
        <f>IFERROR(__xludf.DUMMYFUNCTION("SUM(QUERY(Entregas_BD!D:L,""select I where D='""&amp;D208&amp;""'"",1))"),0.0)</f>
        <v>0</v>
      </c>
      <c r="Q208" s="9">
        <f>IFERROR(__xludf.DUMMYFUNCTION("SUM(QUERY(Entregas_BD!D:L,""select J where D='""&amp;D208&amp;""'"",1))"),0.0)</f>
        <v>0</v>
      </c>
      <c r="R208" s="15">
        <f>IFERROR(__xludf.DUMMYFUNCTION("SUM(QUERY(Entregas_BD!D:L,""select K where D='""&amp;D208&amp;""'"",1))"),0.0)</f>
        <v>0</v>
      </c>
      <c r="S208" s="15">
        <f>IFERROR(__xludf.DUMMYFUNCTION("SUM(QUERY(Entregas_BD!D:L,""select L where D='""&amp;D208&amp;""'"",1))"),0.0)</f>
        <v>0</v>
      </c>
      <c r="T208" s="9">
        <f>IFERROR(__xludf.DUMMYFUNCTION("SUM(QUERY(Entregas_BD!D:AL,""select AG where D='""&amp;D208&amp;""'"",1))"),250.0)</f>
        <v>250</v>
      </c>
      <c r="U208" s="9">
        <f>IFERROR(__xludf.DUMMYFUNCTION("SUM(QUERY(Entregas_BD!D:AL,""select AH where D='""&amp;D208&amp;""'"",1))"),0.0)</f>
        <v>0</v>
      </c>
      <c r="V208" s="9">
        <f>IFERROR(__xludf.DUMMYFUNCTION("SUM(QUERY(Entregas_BD!D:AL,""select AI where D='""&amp;D208&amp;""'"",1))"),0.0)</f>
        <v>0</v>
      </c>
      <c r="W208" s="9">
        <f>IFERROR(__xludf.DUMMYFUNCTION("SUM(QUERY(Entregas_BD!D:AL,""select AJ where D='""&amp;D208&amp;""'"",1))"),0.0)</f>
        <v>0</v>
      </c>
      <c r="X208" s="9">
        <f>IFERROR(__xludf.DUMMYFUNCTION("SUM(QUERY(Entregas_BD!D:AL,""select AL where D='""&amp;D208&amp;""'"",1))"),0.0)</f>
        <v>0</v>
      </c>
      <c r="Y208" s="9">
        <f>IFERROR(__xludf.DUMMYFUNCTION("SUM(QUERY(Entregas_BD!D:AL,""select AK where D='""&amp;D208&amp;""'"",1))"),0.0)</f>
        <v>0</v>
      </c>
      <c r="Z208" s="9">
        <v>-250.0</v>
      </c>
      <c r="AA208" s="9">
        <v>0.0</v>
      </c>
      <c r="AB208" s="9">
        <v>0.0</v>
      </c>
      <c r="AC208" s="9">
        <v>0.0</v>
      </c>
      <c r="AD208" s="9">
        <v>0.0</v>
      </c>
      <c r="AE208" s="9">
        <v>0.0</v>
      </c>
      <c r="AF208" s="52"/>
      <c r="AG208" s="15">
        <f>IFERROR(__xludf.DUMMYFUNCTION("SUM(QUERY(Entregas_BD!D:W,""select U where D='""&amp;D208&amp;""'"",1))"),0.0)</f>
        <v>0</v>
      </c>
      <c r="AH208" s="15">
        <f>IFERROR(__xludf.DUMMYFUNCTION("SUM(QUERY(Entregas_BD!D:W,""select S where D='""&amp;D208&amp;""'"",1))"),0.0)</f>
        <v>0</v>
      </c>
      <c r="AI208" s="15">
        <f>IFERROR(__xludf.DUMMYFUNCTION("SUM(QUERY(Entregas_BD!D:W,""select T where D='""&amp;D208&amp;""'"",1))"),0.0)</f>
        <v>0</v>
      </c>
    </row>
    <row r="209" ht="19.5" customHeight="1">
      <c r="A209" s="31"/>
      <c r="B209" s="32"/>
      <c r="C209" s="19">
        <v>208.0</v>
      </c>
      <c r="D209" s="20" t="s">
        <v>568</v>
      </c>
      <c r="E209" s="20" t="s">
        <v>197</v>
      </c>
      <c r="F209" s="20" t="s">
        <v>494</v>
      </c>
      <c r="G209" s="20" t="s">
        <v>569</v>
      </c>
      <c r="H209" s="19" t="s">
        <v>69</v>
      </c>
      <c r="I209" s="21" t="s">
        <v>41</v>
      </c>
      <c r="J209" s="34"/>
      <c r="K209" s="19"/>
      <c r="L209" s="58"/>
      <c r="M209" s="19"/>
      <c r="N209" s="19">
        <f>IFERROR(__xludf.DUMMYFUNCTION("SUM(QUERY(Entregas_BD!D:L,""select G where D='""&amp;D209&amp;""'"",1))"),0.0)</f>
        <v>0</v>
      </c>
      <c r="O209" s="19">
        <f>IFERROR(__xludf.DUMMYFUNCTION("SUM(QUERY(Entregas_BD!D:L,""select H where D='""&amp;D209&amp;""'"",1))"),0.0)</f>
        <v>0</v>
      </c>
      <c r="P209" s="19">
        <f>IFERROR(__xludf.DUMMYFUNCTION("SUM(QUERY(Entregas_BD!D:L,""select I where D='""&amp;D209&amp;""'"",1))"),0.0)</f>
        <v>0</v>
      </c>
      <c r="Q209" s="19">
        <f>IFERROR(__xludf.DUMMYFUNCTION("SUM(QUERY(Entregas_BD!D:L,""select J where D='""&amp;D209&amp;""'"",1))"),0.0)</f>
        <v>0</v>
      </c>
      <c r="R209" s="24">
        <f>IFERROR(__xludf.DUMMYFUNCTION("SUM(QUERY(Entregas_BD!D:L,""select K where D='""&amp;D209&amp;""'"",1))"),0.0)</f>
        <v>0</v>
      </c>
      <c r="S209" s="24">
        <f>IFERROR(__xludf.DUMMYFUNCTION("SUM(QUERY(Entregas_BD!D:L,""select L where D='""&amp;D209&amp;""'"",1))"),0.0)</f>
        <v>0</v>
      </c>
      <c r="T209" s="19">
        <f>IFERROR(__xludf.DUMMYFUNCTION("SUM(QUERY(Entregas_BD!D:AL,""select AG where D='""&amp;D209&amp;""'"",1))"),50.0)</f>
        <v>50</v>
      </c>
      <c r="U209" s="19">
        <f>IFERROR(__xludf.DUMMYFUNCTION("SUM(QUERY(Entregas_BD!D:AL,""select AH where D='""&amp;D209&amp;""'"",1))"),0.0)</f>
        <v>0</v>
      </c>
      <c r="V209" s="19">
        <f>IFERROR(__xludf.DUMMYFUNCTION("SUM(QUERY(Entregas_BD!D:AL,""select AI where D='""&amp;D209&amp;""'"",1))"),0.0)</f>
        <v>0</v>
      </c>
      <c r="W209" s="19">
        <f>IFERROR(__xludf.DUMMYFUNCTION("SUM(QUERY(Entregas_BD!D:AL,""select AJ where D='""&amp;D209&amp;""'"",1))"),0.0)</f>
        <v>0</v>
      </c>
      <c r="X209" s="19">
        <f>IFERROR(__xludf.DUMMYFUNCTION("SUM(QUERY(Entregas_BD!D:AL,""select AL where D='""&amp;D209&amp;""'"",1))"),0.0)</f>
        <v>0</v>
      </c>
      <c r="Y209" s="19">
        <f>IFERROR(__xludf.DUMMYFUNCTION("SUM(QUERY(Entregas_BD!D:AL,""select AK where D='""&amp;D209&amp;""'"",1))"),0.0)</f>
        <v>0</v>
      </c>
      <c r="Z209" s="19">
        <v>-50.0</v>
      </c>
      <c r="AA209" s="19">
        <v>0.0</v>
      </c>
      <c r="AB209" s="19">
        <v>0.0</v>
      </c>
      <c r="AC209" s="19">
        <v>0.0</v>
      </c>
      <c r="AD209" s="19">
        <v>0.0</v>
      </c>
      <c r="AE209" s="19">
        <v>0.0</v>
      </c>
      <c r="AF209" s="51"/>
      <c r="AG209" s="24">
        <f>IFERROR(__xludf.DUMMYFUNCTION("SUM(QUERY(Entregas_BD!D:W,""select U where D='""&amp;D209&amp;""'"",1))"),0.0)</f>
        <v>0</v>
      </c>
      <c r="AH209" s="24">
        <f>IFERROR(__xludf.DUMMYFUNCTION("SUM(QUERY(Entregas_BD!D:W,""select S where D='""&amp;D209&amp;""'"",1))"),0.0)</f>
        <v>0</v>
      </c>
      <c r="AI209" s="24">
        <f>IFERROR(__xludf.DUMMYFUNCTION("SUM(QUERY(Entregas_BD!D:W,""select T where D='""&amp;D209&amp;""'"",1))"),0.0)</f>
        <v>0</v>
      </c>
    </row>
    <row r="210" ht="19.5" customHeight="1">
      <c r="A210" s="7"/>
      <c r="B210" s="8"/>
      <c r="C210" s="9">
        <v>209.0</v>
      </c>
      <c r="D210" s="10" t="s">
        <v>570</v>
      </c>
      <c r="E210" s="10" t="s">
        <v>58</v>
      </c>
      <c r="F210" s="10" t="s">
        <v>571</v>
      </c>
      <c r="G210" s="10" t="s">
        <v>572</v>
      </c>
      <c r="H210" s="9" t="s">
        <v>51</v>
      </c>
      <c r="I210" s="11" t="s">
        <v>41</v>
      </c>
      <c r="J210" s="12"/>
      <c r="K210" s="9"/>
      <c r="L210" s="57"/>
      <c r="M210" s="9"/>
      <c r="N210" s="9">
        <f>IFERROR(__xludf.DUMMYFUNCTION("SUM(QUERY(Entregas_BD!D:L,""select G where D='""&amp;D210&amp;""'"",1))"),0.0)</f>
        <v>0</v>
      </c>
      <c r="O210" s="9">
        <f>IFERROR(__xludf.DUMMYFUNCTION("SUM(QUERY(Entregas_BD!D:L,""select H where D='""&amp;D210&amp;""'"",1))"),0.0)</f>
        <v>0</v>
      </c>
      <c r="P210" s="9">
        <f>IFERROR(__xludf.DUMMYFUNCTION("SUM(QUERY(Entregas_BD!D:L,""select I where D='""&amp;D210&amp;""'"",1))"),0.0)</f>
        <v>0</v>
      </c>
      <c r="Q210" s="9">
        <f>IFERROR(__xludf.DUMMYFUNCTION("SUM(QUERY(Entregas_BD!D:L,""select J where D='""&amp;D210&amp;""'"",1))"),0.0)</f>
        <v>0</v>
      </c>
      <c r="R210" s="15">
        <f>IFERROR(__xludf.DUMMYFUNCTION("SUM(QUERY(Entregas_BD!D:L,""select K where D='""&amp;D210&amp;""'"",1))"),0.0)</f>
        <v>0</v>
      </c>
      <c r="S210" s="15">
        <f>IFERROR(__xludf.DUMMYFUNCTION("SUM(QUERY(Entregas_BD!D:L,""select L where D='""&amp;D210&amp;""'"",1))"),0.0)</f>
        <v>0</v>
      </c>
      <c r="T210" s="9">
        <f>IFERROR(__xludf.DUMMYFUNCTION("SUM(QUERY(Entregas_BD!D:AL,""select AG where D='""&amp;D210&amp;""'"",1))"),0.0)</f>
        <v>0</v>
      </c>
      <c r="U210" s="9">
        <f>IFERROR(__xludf.DUMMYFUNCTION("SUM(QUERY(Entregas_BD!D:AL,""select AH where D='""&amp;D210&amp;""'"",1))"),0.0)</f>
        <v>0</v>
      </c>
      <c r="V210" s="9">
        <f>IFERROR(__xludf.DUMMYFUNCTION("SUM(QUERY(Entregas_BD!D:AL,""select AI where D='""&amp;D210&amp;""'"",1))"),0.0)</f>
        <v>0</v>
      </c>
      <c r="W210" s="9">
        <f>IFERROR(__xludf.DUMMYFUNCTION("SUM(QUERY(Entregas_BD!D:AL,""select AJ where D='""&amp;D210&amp;""'"",1))"),0.0)</f>
        <v>0</v>
      </c>
      <c r="X210" s="9">
        <f>IFERROR(__xludf.DUMMYFUNCTION("SUM(QUERY(Entregas_BD!D:AL,""select AL where D='""&amp;D210&amp;""'"",1))"),0.0)</f>
        <v>0</v>
      </c>
      <c r="Y210" s="9">
        <f>IFERROR(__xludf.DUMMYFUNCTION("SUM(QUERY(Entregas_BD!D:AL,""select AK where D='""&amp;D210&amp;""'"",1))"),0.0)</f>
        <v>0</v>
      </c>
      <c r="Z210" s="9">
        <v>0.0</v>
      </c>
      <c r="AA210" s="9">
        <v>0.0</v>
      </c>
      <c r="AB210" s="9">
        <v>0.0</v>
      </c>
      <c r="AC210" s="9">
        <v>0.0</v>
      </c>
      <c r="AD210" s="9">
        <v>0.0</v>
      </c>
      <c r="AE210" s="9">
        <v>0.0</v>
      </c>
      <c r="AF210" s="52"/>
      <c r="AG210" s="15">
        <f>IFERROR(__xludf.DUMMYFUNCTION("SUM(QUERY(Entregas_BD!D:W,""select U where D='""&amp;D210&amp;""'"",1))"),0.0)</f>
        <v>0</v>
      </c>
      <c r="AH210" s="15">
        <f>IFERROR(__xludf.DUMMYFUNCTION("SUM(QUERY(Entregas_BD!D:W,""select S where D='""&amp;D210&amp;""'"",1))"),0.0)</f>
        <v>0</v>
      </c>
      <c r="AI210" s="15">
        <f>IFERROR(__xludf.DUMMYFUNCTION("SUM(QUERY(Entregas_BD!D:W,""select T where D='""&amp;D210&amp;""'"",1))"),0.0)</f>
        <v>0</v>
      </c>
    </row>
    <row r="211" ht="19.5" customHeight="1">
      <c r="A211" s="31"/>
      <c r="B211" s="32"/>
      <c r="C211" s="19">
        <v>210.0</v>
      </c>
      <c r="D211" s="20" t="s">
        <v>573</v>
      </c>
      <c r="E211" s="20" t="s">
        <v>54</v>
      </c>
      <c r="F211" s="20" t="s">
        <v>45</v>
      </c>
      <c r="G211" s="20" t="s">
        <v>499</v>
      </c>
      <c r="H211" s="19" t="s">
        <v>69</v>
      </c>
      <c r="I211" s="21" t="s">
        <v>41</v>
      </c>
      <c r="J211" s="34"/>
      <c r="K211" s="19"/>
      <c r="L211" s="58"/>
      <c r="M211" s="19"/>
      <c r="N211" s="19">
        <f>IFERROR(__xludf.DUMMYFUNCTION("SUM(QUERY(Entregas_BD!D:L,""select G where D='""&amp;D211&amp;""'"",1))"),0.0)</f>
        <v>0</v>
      </c>
      <c r="O211" s="19">
        <f>IFERROR(__xludf.DUMMYFUNCTION("SUM(QUERY(Entregas_BD!D:L,""select H where D='""&amp;D211&amp;""'"",1))"),0.0)</f>
        <v>0</v>
      </c>
      <c r="P211" s="19">
        <f>IFERROR(__xludf.DUMMYFUNCTION("SUM(QUERY(Entregas_BD!D:L,""select I where D='""&amp;D211&amp;""'"",1))"),0.0)</f>
        <v>0</v>
      </c>
      <c r="Q211" s="19">
        <f>IFERROR(__xludf.DUMMYFUNCTION("SUM(QUERY(Entregas_BD!D:L,""select J where D='""&amp;D211&amp;""'"",1))"),0.0)</f>
        <v>0</v>
      </c>
      <c r="R211" s="24">
        <f>IFERROR(__xludf.DUMMYFUNCTION("SUM(QUERY(Entregas_BD!D:L,""select K where D='""&amp;D211&amp;""'"",1))"),0.0)</f>
        <v>0</v>
      </c>
      <c r="S211" s="24">
        <f>IFERROR(__xludf.DUMMYFUNCTION("SUM(QUERY(Entregas_BD!D:L,""select L where D='""&amp;D211&amp;""'"",1))"),0.0)</f>
        <v>0</v>
      </c>
      <c r="T211" s="19">
        <f>IFERROR(__xludf.DUMMYFUNCTION("SUM(QUERY(Entregas_BD!D:AL,""select AG where D='""&amp;D211&amp;""'"",1))"),50.0)</f>
        <v>50</v>
      </c>
      <c r="U211" s="19">
        <f>IFERROR(__xludf.DUMMYFUNCTION("SUM(QUERY(Entregas_BD!D:AL,""select AH where D='""&amp;D211&amp;""'"",1))"),0.0)</f>
        <v>0</v>
      </c>
      <c r="V211" s="19">
        <f>IFERROR(__xludf.DUMMYFUNCTION("SUM(QUERY(Entregas_BD!D:AL,""select AI where D='""&amp;D211&amp;""'"",1))"),0.0)</f>
        <v>0</v>
      </c>
      <c r="W211" s="19">
        <f>IFERROR(__xludf.DUMMYFUNCTION("SUM(QUERY(Entregas_BD!D:AL,""select AJ where D='""&amp;D211&amp;""'"",1))"),0.0)</f>
        <v>0</v>
      </c>
      <c r="X211" s="19">
        <f>IFERROR(__xludf.DUMMYFUNCTION("SUM(QUERY(Entregas_BD!D:AL,""select AL where D='""&amp;D211&amp;""'"",1))"),0.0)</f>
        <v>0</v>
      </c>
      <c r="Y211" s="19">
        <f>IFERROR(__xludf.DUMMYFUNCTION("SUM(QUERY(Entregas_BD!D:AL,""select AK where D='""&amp;D211&amp;""'"",1))"),6.0)</f>
        <v>6</v>
      </c>
      <c r="Z211" s="19">
        <v>-50.0</v>
      </c>
      <c r="AA211" s="19">
        <v>0.0</v>
      </c>
      <c r="AB211" s="19">
        <v>0.0</v>
      </c>
      <c r="AC211" s="19">
        <v>0.0</v>
      </c>
      <c r="AD211" s="19">
        <v>-6.0</v>
      </c>
      <c r="AE211" s="19">
        <v>0.0</v>
      </c>
      <c r="AF211" s="22"/>
      <c r="AG211" s="24">
        <f>IFERROR(__xludf.DUMMYFUNCTION("SUM(QUERY(Entregas_BD!D:W,""select U where D='""&amp;D211&amp;""'"",1))"),0.0)</f>
        <v>0</v>
      </c>
      <c r="AH211" s="24">
        <f>IFERROR(__xludf.DUMMYFUNCTION("SUM(QUERY(Entregas_BD!D:W,""select S where D='""&amp;D211&amp;""'"",1))"),0.0)</f>
        <v>0</v>
      </c>
      <c r="AI211" s="24">
        <f>IFERROR(__xludf.DUMMYFUNCTION("SUM(QUERY(Entregas_BD!D:W,""select T where D='""&amp;D211&amp;""'"",1))"),0.0)</f>
        <v>0</v>
      </c>
    </row>
    <row r="212" ht="19.5" customHeight="1">
      <c r="A212" s="7"/>
      <c r="B212" s="8"/>
      <c r="C212" s="9">
        <v>211.0</v>
      </c>
      <c r="D212" s="10" t="s">
        <v>574</v>
      </c>
      <c r="E212" s="10" t="s">
        <v>54</v>
      </c>
      <c r="F212" s="10" t="s">
        <v>45</v>
      </c>
      <c r="G212" s="10" t="s">
        <v>575</v>
      </c>
      <c r="H212" s="9" t="s">
        <v>69</v>
      </c>
      <c r="I212" s="11" t="s">
        <v>41</v>
      </c>
      <c r="J212" s="12"/>
      <c r="K212" s="9"/>
      <c r="L212" s="57"/>
      <c r="M212" s="9"/>
      <c r="N212" s="9">
        <f>IFERROR(__xludf.DUMMYFUNCTION("SUM(QUERY(Entregas_BD!D:L,""select G where D='""&amp;D212&amp;""'"",1))"),0.0)</f>
        <v>0</v>
      </c>
      <c r="O212" s="9">
        <f>IFERROR(__xludf.DUMMYFUNCTION("SUM(QUERY(Entregas_BD!D:L,""select H where D='""&amp;D212&amp;""'"",1))"),0.0)</f>
        <v>0</v>
      </c>
      <c r="P212" s="9">
        <f>IFERROR(__xludf.DUMMYFUNCTION("SUM(QUERY(Entregas_BD!D:L,""select I where D='""&amp;D212&amp;""'"",1))"),0.0)</f>
        <v>0</v>
      </c>
      <c r="Q212" s="9">
        <f>IFERROR(__xludf.DUMMYFUNCTION("SUM(QUERY(Entregas_BD!D:L,""select J where D='""&amp;D212&amp;""'"",1))"),0.0)</f>
        <v>0</v>
      </c>
      <c r="R212" s="15">
        <f>IFERROR(__xludf.DUMMYFUNCTION("SUM(QUERY(Entregas_BD!D:L,""select K where D='""&amp;D212&amp;""'"",1))"),0.0)</f>
        <v>0</v>
      </c>
      <c r="S212" s="15">
        <f>IFERROR(__xludf.DUMMYFUNCTION("SUM(QUERY(Entregas_BD!D:L,""select L where D='""&amp;D212&amp;""'"",1))"),0.0)</f>
        <v>0</v>
      </c>
      <c r="T212" s="9">
        <f>IFERROR(__xludf.DUMMYFUNCTION("SUM(QUERY(Entregas_BD!D:AL,""select AG where D='""&amp;D212&amp;""'"",1))"),0.0)</f>
        <v>0</v>
      </c>
      <c r="U212" s="9">
        <f>IFERROR(__xludf.DUMMYFUNCTION("SUM(QUERY(Entregas_BD!D:AL,""select AH where D='""&amp;D212&amp;""'"",1))"),0.0)</f>
        <v>0</v>
      </c>
      <c r="V212" s="9">
        <f>IFERROR(__xludf.DUMMYFUNCTION("SUM(QUERY(Entregas_BD!D:AL,""select AI where D='""&amp;D212&amp;""'"",1))"),0.0)</f>
        <v>0</v>
      </c>
      <c r="W212" s="9">
        <f>IFERROR(__xludf.DUMMYFUNCTION("SUM(QUERY(Entregas_BD!D:AL,""select AJ where D='""&amp;D212&amp;""'"",1))"),0.0)</f>
        <v>0</v>
      </c>
      <c r="X212" s="9">
        <f>IFERROR(__xludf.DUMMYFUNCTION("SUM(QUERY(Entregas_BD!D:AL,""select AL where D='""&amp;D212&amp;""'"",1))"),0.0)</f>
        <v>0</v>
      </c>
      <c r="Y212" s="9">
        <f>IFERROR(__xludf.DUMMYFUNCTION("SUM(QUERY(Entregas_BD!D:AL,""select AK where D='""&amp;D212&amp;""'"",1))"),0.0)</f>
        <v>0</v>
      </c>
      <c r="Z212" s="9">
        <v>0.0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52"/>
      <c r="AG212" s="15">
        <f>IFERROR(__xludf.DUMMYFUNCTION("SUM(QUERY(Entregas_BD!D:W,""select U where D='""&amp;D212&amp;""'"",1))"),0.0)</f>
        <v>0</v>
      </c>
      <c r="AH212" s="15">
        <f>IFERROR(__xludf.DUMMYFUNCTION("SUM(QUERY(Entregas_BD!D:W,""select S where D='""&amp;D212&amp;""'"",1))"),0.0)</f>
        <v>0</v>
      </c>
      <c r="AI212" s="15">
        <f>IFERROR(__xludf.DUMMYFUNCTION("SUM(QUERY(Entregas_BD!D:W,""select T where D='""&amp;D212&amp;""'"",1))"),0.0)</f>
        <v>0</v>
      </c>
    </row>
    <row r="213" ht="19.5" customHeight="1">
      <c r="A213" s="31"/>
      <c r="B213" s="32"/>
      <c r="C213" s="19">
        <v>212.0</v>
      </c>
      <c r="D213" s="20" t="s">
        <v>576</v>
      </c>
      <c r="E213" s="20" t="s">
        <v>38</v>
      </c>
      <c r="F213" s="20" t="s">
        <v>577</v>
      </c>
      <c r="G213" s="20" t="s">
        <v>578</v>
      </c>
      <c r="H213" s="19" t="s">
        <v>69</v>
      </c>
      <c r="I213" s="21" t="s">
        <v>41</v>
      </c>
      <c r="J213" s="34"/>
      <c r="K213" s="19"/>
      <c r="L213" s="58"/>
      <c r="M213" s="19"/>
      <c r="N213" s="19">
        <f>IFERROR(__xludf.DUMMYFUNCTION("SUM(QUERY(Entregas_BD!D:L,""select G where D='""&amp;D213&amp;""'"",1))"),0.0)</f>
        <v>0</v>
      </c>
      <c r="O213" s="19">
        <f>IFERROR(__xludf.DUMMYFUNCTION("SUM(QUERY(Entregas_BD!D:L,""select H where D='""&amp;D213&amp;""'"",1))"),0.0)</f>
        <v>0</v>
      </c>
      <c r="P213" s="19">
        <f>IFERROR(__xludf.DUMMYFUNCTION("SUM(QUERY(Entregas_BD!D:L,""select I where D='""&amp;D213&amp;""'"",1))"),0.0)</f>
        <v>0</v>
      </c>
      <c r="Q213" s="19">
        <f>IFERROR(__xludf.DUMMYFUNCTION("SUM(QUERY(Entregas_BD!D:L,""select J where D='""&amp;D213&amp;""'"",1))"),0.0)</f>
        <v>0</v>
      </c>
      <c r="R213" s="24">
        <f>IFERROR(__xludf.DUMMYFUNCTION("SUM(QUERY(Entregas_BD!D:L,""select K where D='""&amp;D213&amp;""'"",1))"),0.0)</f>
        <v>0</v>
      </c>
      <c r="S213" s="24">
        <f>IFERROR(__xludf.DUMMYFUNCTION("SUM(QUERY(Entregas_BD!D:L,""select L where D='""&amp;D213&amp;""'"",1))"),0.0)</f>
        <v>0</v>
      </c>
      <c r="T213" s="19">
        <f>IFERROR(__xludf.DUMMYFUNCTION("SUM(QUERY(Entregas_BD!D:AL,""select AG where D='""&amp;D213&amp;""'"",1))"),50.0)</f>
        <v>50</v>
      </c>
      <c r="U213" s="19">
        <f>IFERROR(__xludf.DUMMYFUNCTION("SUM(QUERY(Entregas_BD!D:AL,""select AH where D='""&amp;D213&amp;""'"",1))"),0.0)</f>
        <v>0</v>
      </c>
      <c r="V213" s="19">
        <f>IFERROR(__xludf.DUMMYFUNCTION("SUM(QUERY(Entregas_BD!D:AL,""select AI where D='""&amp;D213&amp;""'"",1))"),0.0)</f>
        <v>0</v>
      </c>
      <c r="W213" s="19">
        <f>IFERROR(__xludf.DUMMYFUNCTION("SUM(QUERY(Entregas_BD!D:AL,""select AJ where D='""&amp;D213&amp;""'"",1))"),0.0)</f>
        <v>0</v>
      </c>
      <c r="X213" s="19">
        <f>IFERROR(__xludf.DUMMYFUNCTION("SUM(QUERY(Entregas_BD!D:AL,""select AL where D='""&amp;D213&amp;""'"",1))"),0.0)</f>
        <v>0</v>
      </c>
      <c r="Y213" s="19">
        <f>IFERROR(__xludf.DUMMYFUNCTION("SUM(QUERY(Entregas_BD!D:AL,""select AK where D='""&amp;D213&amp;""'"",1))"),0.0)</f>
        <v>0</v>
      </c>
      <c r="Z213" s="19">
        <v>-50.0</v>
      </c>
      <c r="AA213" s="19">
        <v>0.0</v>
      </c>
      <c r="AB213" s="19">
        <v>0.0</v>
      </c>
      <c r="AC213" s="19">
        <v>0.0</v>
      </c>
      <c r="AD213" s="19">
        <v>0.0</v>
      </c>
      <c r="AE213" s="19">
        <v>0.0</v>
      </c>
      <c r="AF213" s="51"/>
      <c r="AG213" s="24">
        <f>IFERROR(__xludf.DUMMYFUNCTION("SUM(QUERY(Entregas_BD!D:W,""select U where D='""&amp;D213&amp;""'"",1))"),0.0)</f>
        <v>0</v>
      </c>
      <c r="AH213" s="24">
        <f>IFERROR(__xludf.DUMMYFUNCTION("SUM(QUERY(Entregas_BD!D:W,""select S where D='""&amp;D213&amp;""'"",1))"),0.0)</f>
        <v>0</v>
      </c>
      <c r="AI213" s="24">
        <f>IFERROR(__xludf.DUMMYFUNCTION("SUM(QUERY(Entregas_BD!D:W,""select T where D='""&amp;D213&amp;""'"",1))"),0.0)</f>
        <v>0</v>
      </c>
    </row>
    <row r="214" ht="19.5" customHeight="1">
      <c r="A214" s="7"/>
      <c r="B214" s="8"/>
      <c r="C214" s="9">
        <v>213.0</v>
      </c>
      <c r="D214" s="10" t="s">
        <v>579</v>
      </c>
      <c r="E214" s="10" t="s">
        <v>479</v>
      </c>
      <c r="F214" s="10" t="s">
        <v>580</v>
      </c>
      <c r="G214" s="10" t="s">
        <v>581</v>
      </c>
      <c r="H214" s="9" t="s">
        <v>40</v>
      </c>
      <c r="I214" s="11" t="s">
        <v>41</v>
      </c>
      <c r="J214" s="12"/>
      <c r="K214" s="9"/>
      <c r="L214" s="57"/>
      <c r="M214" s="9"/>
      <c r="N214" s="9">
        <f>IFERROR(__xludf.DUMMYFUNCTION("SUM(QUERY(Entregas_BD!D:L,""select G where D='""&amp;D214&amp;""'"",1))"),0.0)</f>
        <v>0</v>
      </c>
      <c r="O214" s="9">
        <f>IFERROR(__xludf.DUMMYFUNCTION("SUM(QUERY(Entregas_BD!D:L,""select H where D='""&amp;D214&amp;""'"",1))"),0.0)</f>
        <v>0</v>
      </c>
      <c r="P214" s="9">
        <f>IFERROR(__xludf.DUMMYFUNCTION("SUM(QUERY(Entregas_BD!D:L,""select I where D='""&amp;D214&amp;""'"",1))"),0.0)</f>
        <v>0</v>
      </c>
      <c r="Q214" s="9">
        <f>IFERROR(__xludf.DUMMYFUNCTION("SUM(QUERY(Entregas_BD!D:L,""select J where D='""&amp;D214&amp;""'"",1))"),0.0)</f>
        <v>0</v>
      </c>
      <c r="R214" s="15">
        <f>IFERROR(__xludf.DUMMYFUNCTION("SUM(QUERY(Entregas_BD!D:L,""select K where D='""&amp;D214&amp;""'"",1))"),0.0)</f>
        <v>0</v>
      </c>
      <c r="S214" s="15">
        <f>IFERROR(__xludf.DUMMYFUNCTION("SUM(QUERY(Entregas_BD!D:L,""select L where D='""&amp;D214&amp;""'"",1))"),0.0)</f>
        <v>0</v>
      </c>
      <c r="T214" s="9">
        <f>IFERROR(__xludf.DUMMYFUNCTION("SUM(QUERY(Entregas_BD!D:AL,""select AG where D='""&amp;D214&amp;""'"",1))"),50.0)</f>
        <v>50</v>
      </c>
      <c r="U214" s="9">
        <f>IFERROR(__xludf.DUMMYFUNCTION("SUM(QUERY(Entregas_BD!D:AL,""select AH where D='""&amp;D214&amp;""'"",1))"),0.0)</f>
        <v>0</v>
      </c>
      <c r="V214" s="9">
        <f>IFERROR(__xludf.DUMMYFUNCTION("SUM(QUERY(Entregas_BD!D:AL,""select AI where D='""&amp;D214&amp;""'"",1))"),0.0)</f>
        <v>0</v>
      </c>
      <c r="W214" s="9">
        <f>IFERROR(__xludf.DUMMYFUNCTION("SUM(QUERY(Entregas_BD!D:AL,""select AJ where D='""&amp;D214&amp;""'"",1))"),0.0)</f>
        <v>0</v>
      </c>
      <c r="X214" s="9">
        <f>IFERROR(__xludf.DUMMYFUNCTION("SUM(QUERY(Entregas_BD!D:AL,""select AL where D='""&amp;D214&amp;""'"",1))"),0.0)</f>
        <v>0</v>
      </c>
      <c r="Y214" s="9">
        <f>IFERROR(__xludf.DUMMYFUNCTION("SUM(QUERY(Entregas_BD!D:AL,""select AK where D='""&amp;D214&amp;""'"",1))"),0.0)</f>
        <v>0</v>
      </c>
      <c r="Z214" s="9">
        <v>-50.0</v>
      </c>
      <c r="AA214" s="9">
        <v>0.0</v>
      </c>
      <c r="AB214" s="9">
        <v>0.0</v>
      </c>
      <c r="AC214" s="9">
        <v>0.0</v>
      </c>
      <c r="AD214" s="9">
        <v>0.0</v>
      </c>
      <c r="AE214" s="9">
        <v>0.0</v>
      </c>
      <c r="AF214" s="52"/>
      <c r="AG214" s="15">
        <f>IFERROR(__xludf.DUMMYFUNCTION("SUM(QUERY(Entregas_BD!D:W,""select U where D='""&amp;D214&amp;""'"",1))"),0.0)</f>
        <v>0</v>
      </c>
      <c r="AH214" s="15">
        <f>IFERROR(__xludf.DUMMYFUNCTION("SUM(QUERY(Entregas_BD!D:W,""select S where D='""&amp;D214&amp;""'"",1))"),0.0)</f>
        <v>0</v>
      </c>
      <c r="AI214" s="15">
        <f>IFERROR(__xludf.DUMMYFUNCTION("SUM(QUERY(Entregas_BD!D:W,""select T where D='""&amp;D214&amp;""'"",1))"),0.0)</f>
        <v>0</v>
      </c>
    </row>
    <row r="215" ht="19.5" customHeight="1">
      <c r="A215" s="31"/>
      <c r="B215" s="32"/>
      <c r="C215" s="19">
        <v>214.0</v>
      </c>
      <c r="D215" s="20" t="s">
        <v>582</v>
      </c>
      <c r="E215" s="20" t="s">
        <v>197</v>
      </c>
      <c r="F215" s="20" t="s">
        <v>583</v>
      </c>
      <c r="G215" s="20" t="s">
        <v>584</v>
      </c>
      <c r="H215" s="19" t="s">
        <v>51</v>
      </c>
      <c r="I215" s="21" t="s">
        <v>41</v>
      </c>
      <c r="J215" s="34"/>
      <c r="K215" s="19"/>
      <c r="L215" s="58"/>
      <c r="M215" s="19"/>
      <c r="N215" s="19">
        <f>IFERROR(__xludf.DUMMYFUNCTION("SUM(QUERY(Entregas_BD!D:L,""select G where D='""&amp;D215&amp;""'"",1))"),0.0)</f>
        <v>0</v>
      </c>
      <c r="O215" s="19">
        <f>IFERROR(__xludf.DUMMYFUNCTION("SUM(QUERY(Entregas_BD!D:L,""select H where D='""&amp;D215&amp;""'"",1))"),0.0)</f>
        <v>0</v>
      </c>
      <c r="P215" s="19">
        <f>IFERROR(__xludf.DUMMYFUNCTION("SUM(QUERY(Entregas_BD!D:L,""select I where D='""&amp;D215&amp;""'"",1))"),0.0)</f>
        <v>0</v>
      </c>
      <c r="Q215" s="19">
        <f>IFERROR(__xludf.DUMMYFUNCTION("SUM(QUERY(Entregas_BD!D:L,""select J where D='""&amp;D215&amp;""'"",1))"),0.0)</f>
        <v>0</v>
      </c>
      <c r="R215" s="24">
        <f>IFERROR(__xludf.DUMMYFUNCTION("SUM(QUERY(Entregas_BD!D:L,""select K where D='""&amp;D215&amp;""'"",1))"),0.0)</f>
        <v>0</v>
      </c>
      <c r="S215" s="24">
        <f>IFERROR(__xludf.DUMMYFUNCTION("SUM(QUERY(Entregas_BD!D:L,""select L where D='""&amp;D215&amp;""'"",1))"),0.0)</f>
        <v>0</v>
      </c>
      <c r="T215" s="19">
        <f>IFERROR(__xludf.DUMMYFUNCTION("SUM(QUERY(Entregas_BD!D:AL,""select AG where D='""&amp;D215&amp;""'"",1))"),0.0)</f>
        <v>0</v>
      </c>
      <c r="U215" s="19">
        <f>IFERROR(__xludf.DUMMYFUNCTION("SUM(QUERY(Entregas_BD!D:AL,""select AH where D='""&amp;D215&amp;""'"",1))"),0.0)</f>
        <v>0</v>
      </c>
      <c r="V215" s="19">
        <f>IFERROR(__xludf.DUMMYFUNCTION("SUM(QUERY(Entregas_BD!D:AL,""select AI where D='""&amp;D215&amp;""'"",1))"),0.0)</f>
        <v>0</v>
      </c>
      <c r="W215" s="19">
        <f>IFERROR(__xludf.DUMMYFUNCTION("SUM(QUERY(Entregas_BD!D:AL,""select AJ where D='""&amp;D215&amp;""'"",1))"),0.0)</f>
        <v>0</v>
      </c>
      <c r="X215" s="19">
        <f>IFERROR(__xludf.DUMMYFUNCTION("SUM(QUERY(Entregas_BD!D:AL,""select AL where D='""&amp;D215&amp;""'"",1))"),0.0)</f>
        <v>0</v>
      </c>
      <c r="Y215" s="19">
        <f>IFERROR(__xludf.DUMMYFUNCTION("SUM(QUERY(Entregas_BD!D:AL,""select AK where D='""&amp;D215&amp;""'"",1))"),0.0)</f>
        <v>0</v>
      </c>
      <c r="Z215" s="19">
        <v>0.0</v>
      </c>
      <c r="AA215" s="19">
        <v>0.0</v>
      </c>
      <c r="AB215" s="19">
        <v>0.0</v>
      </c>
      <c r="AC215" s="19">
        <v>0.0</v>
      </c>
      <c r="AD215" s="19">
        <v>0.0</v>
      </c>
      <c r="AE215" s="19">
        <v>0.0</v>
      </c>
      <c r="AF215" s="51"/>
      <c r="AG215" s="24">
        <f>IFERROR(__xludf.DUMMYFUNCTION("SUM(QUERY(Entregas_BD!D:W,""select U where D='""&amp;D215&amp;""'"",1))"),0.0)</f>
        <v>0</v>
      </c>
      <c r="AH215" s="24">
        <f>IFERROR(__xludf.DUMMYFUNCTION("SUM(QUERY(Entregas_BD!D:W,""select S where D='""&amp;D215&amp;""'"",1))"),0.0)</f>
        <v>0</v>
      </c>
      <c r="AI215" s="24">
        <f>IFERROR(__xludf.DUMMYFUNCTION("SUM(QUERY(Entregas_BD!D:W,""select T where D='""&amp;D215&amp;""'"",1))"),0.0)</f>
        <v>0</v>
      </c>
    </row>
    <row r="216" ht="19.5" customHeight="1">
      <c r="A216" s="7"/>
      <c r="B216" s="8"/>
      <c r="C216" s="9">
        <v>215.0</v>
      </c>
      <c r="D216" s="10" t="s">
        <v>585</v>
      </c>
      <c r="E216" s="10" t="s">
        <v>38</v>
      </c>
      <c r="F216" s="10" t="s">
        <v>586</v>
      </c>
      <c r="G216" s="10" t="s">
        <v>587</v>
      </c>
      <c r="H216" s="9" t="s">
        <v>69</v>
      </c>
      <c r="I216" s="11" t="s">
        <v>41</v>
      </c>
      <c r="J216" s="12"/>
      <c r="K216" s="9"/>
      <c r="L216" s="57"/>
      <c r="M216" s="9"/>
      <c r="N216" s="9">
        <f>IFERROR(__xludf.DUMMYFUNCTION("SUM(QUERY(Entregas_BD!D:L,""select G where D='""&amp;D216&amp;""'"",1))"),0.0)</f>
        <v>0</v>
      </c>
      <c r="O216" s="9">
        <f>IFERROR(__xludf.DUMMYFUNCTION("SUM(QUERY(Entregas_BD!D:L,""select H where D='""&amp;D216&amp;""'"",1))"),0.0)</f>
        <v>0</v>
      </c>
      <c r="P216" s="9">
        <f>IFERROR(__xludf.DUMMYFUNCTION("SUM(QUERY(Entregas_BD!D:L,""select I where D='""&amp;D216&amp;""'"",1))"),0.0)</f>
        <v>0</v>
      </c>
      <c r="Q216" s="9">
        <f>IFERROR(__xludf.DUMMYFUNCTION("SUM(QUERY(Entregas_BD!D:L,""select J where D='""&amp;D216&amp;""'"",1))"),0.0)</f>
        <v>0</v>
      </c>
      <c r="R216" s="15">
        <f>IFERROR(__xludf.DUMMYFUNCTION("SUM(QUERY(Entregas_BD!D:L,""select K where D='""&amp;D216&amp;""'"",1))"),0.0)</f>
        <v>0</v>
      </c>
      <c r="S216" s="15">
        <f>IFERROR(__xludf.DUMMYFUNCTION("SUM(QUERY(Entregas_BD!D:L,""select L where D='""&amp;D216&amp;""'"",1))"),0.0)</f>
        <v>0</v>
      </c>
      <c r="T216" s="9">
        <f>IFERROR(__xludf.DUMMYFUNCTION("SUM(QUERY(Entregas_BD!D:AL,""select AG where D='""&amp;D216&amp;""'"",1))"),50.0)</f>
        <v>50</v>
      </c>
      <c r="U216" s="9">
        <f>IFERROR(__xludf.DUMMYFUNCTION("SUM(QUERY(Entregas_BD!D:AL,""select AH where D='""&amp;D216&amp;""'"",1))"),0.0)</f>
        <v>0</v>
      </c>
      <c r="V216" s="9">
        <f>IFERROR(__xludf.DUMMYFUNCTION("SUM(QUERY(Entregas_BD!D:AL,""select AI where D='""&amp;D216&amp;""'"",1))"),0.0)</f>
        <v>0</v>
      </c>
      <c r="W216" s="9">
        <f>IFERROR(__xludf.DUMMYFUNCTION("SUM(QUERY(Entregas_BD!D:AL,""select AJ where D='""&amp;D216&amp;""'"",1))"),0.0)</f>
        <v>0</v>
      </c>
      <c r="X216" s="9">
        <f>IFERROR(__xludf.DUMMYFUNCTION("SUM(QUERY(Entregas_BD!D:AL,""select AL where D='""&amp;D216&amp;""'"",1))"),0.0)</f>
        <v>0</v>
      </c>
      <c r="Y216" s="9">
        <f>IFERROR(__xludf.DUMMYFUNCTION("SUM(QUERY(Entregas_BD!D:AL,""select AK where D='""&amp;D216&amp;""'"",1))"),0.0)</f>
        <v>0</v>
      </c>
      <c r="Z216" s="9">
        <v>-50.0</v>
      </c>
      <c r="AA216" s="9">
        <v>0.0</v>
      </c>
      <c r="AB216" s="9">
        <v>0.0</v>
      </c>
      <c r="AC216" s="9">
        <v>0.0</v>
      </c>
      <c r="AD216" s="9">
        <v>0.0</v>
      </c>
      <c r="AE216" s="9">
        <v>0.0</v>
      </c>
      <c r="AF216" s="52"/>
      <c r="AG216" s="15">
        <f>IFERROR(__xludf.DUMMYFUNCTION("SUM(QUERY(Entregas_BD!D:W,""select U where D='""&amp;D216&amp;""'"",1))"),0.0)</f>
        <v>0</v>
      </c>
      <c r="AH216" s="15">
        <f>IFERROR(__xludf.DUMMYFUNCTION("SUM(QUERY(Entregas_BD!D:W,""select S where D='""&amp;D216&amp;""'"",1))"),0.0)</f>
        <v>0</v>
      </c>
      <c r="AI216" s="15">
        <f>IFERROR(__xludf.DUMMYFUNCTION("SUM(QUERY(Entregas_BD!D:W,""select T where D='""&amp;D216&amp;""'"",1))"),0.0)</f>
        <v>0</v>
      </c>
    </row>
    <row r="217" ht="19.5" customHeight="1">
      <c r="A217" s="31"/>
      <c r="B217" s="32"/>
      <c r="C217" s="19">
        <v>216.0</v>
      </c>
      <c r="D217" s="59" t="s">
        <v>588</v>
      </c>
      <c r="E217" s="20" t="s">
        <v>479</v>
      </c>
      <c r="F217" s="20" t="s">
        <v>589</v>
      </c>
      <c r="G217" s="20" t="s">
        <v>149</v>
      </c>
      <c r="H217" s="19" t="s">
        <v>69</v>
      </c>
      <c r="I217" s="21" t="s">
        <v>41</v>
      </c>
      <c r="J217" s="34"/>
      <c r="K217" s="19"/>
      <c r="L217" s="58"/>
      <c r="M217" s="19"/>
      <c r="N217" s="19">
        <f>IFERROR(__xludf.DUMMYFUNCTION("SUM(QUERY(Entregas_BD!D:L,""select G where D='""&amp;D217&amp;""'"",1))"),0.0)</f>
        <v>0</v>
      </c>
      <c r="O217" s="19">
        <f>IFERROR(__xludf.DUMMYFUNCTION("SUM(QUERY(Entregas_BD!D:L,""select H where D='""&amp;D217&amp;""'"",1))"),0.0)</f>
        <v>0</v>
      </c>
      <c r="P217" s="19">
        <f>IFERROR(__xludf.DUMMYFUNCTION("SUM(QUERY(Entregas_BD!D:L,""select I where D='""&amp;D217&amp;""'"",1))"),0.0)</f>
        <v>0</v>
      </c>
      <c r="Q217" s="19">
        <f>IFERROR(__xludf.DUMMYFUNCTION("SUM(QUERY(Entregas_BD!D:L,""select J where D='""&amp;D217&amp;""'"",1))"),0.0)</f>
        <v>0</v>
      </c>
      <c r="R217" s="24">
        <f>IFERROR(__xludf.DUMMYFUNCTION("SUM(QUERY(Entregas_BD!D:L,""select K where D='""&amp;D217&amp;""'"",1))"),0.0)</f>
        <v>0</v>
      </c>
      <c r="S217" s="24">
        <f>IFERROR(__xludf.DUMMYFUNCTION("SUM(QUERY(Entregas_BD!D:L,""select L where D='""&amp;D217&amp;""'"",1))"),0.0)</f>
        <v>0</v>
      </c>
      <c r="T217" s="19">
        <f>IFERROR(__xludf.DUMMYFUNCTION("SUM(QUERY(Entregas_BD!D:AL,""select AG where D='""&amp;D217&amp;""'"",1))"),150.0)</f>
        <v>150</v>
      </c>
      <c r="U217" s="19">
        <f>IFERROR(__xludf.DUMMYFUNCTION("SUM(QUERY(Entregas_BD!D:AL,""select AH where D='""&amp;D217&amp;""'"",1))"),0.0)</f>
        <v>0</v>
      </c>
      <c r="V217" s="19">
        <f>IFERROR(__xludf.DUMMYFUNCTION("SUM(QUERY(Entregas_BD!D:AL,""select AI where D='""&amp;D217&amp;""'"",1))"),0.0)</f>
        <v>0</v>
      </c>
      <c r="W217" s="19">
        <f>IFERROR(__xludf.DUMMYFUNCTION("SUM(QUERY(Entregas_BD!D:AL,""select AJ where D='""&amp;D217&amp;""'"",1))"),25.0)</f>
        <v>25</v>
      </c>
      <c r="X217" s="19">
        <f>IFERROR(__xludf.DUMMYFUNCTION("SUM(QUERY(Entregas_BD!D:AL,""select AL where D='""&amp;D217&amp;""'"",1))"),0.0)</f>
        <v>0</v>
      </c>
      <c r="Y217" s="19">
        <f>IFERROR(__xludf.DUMMYFUNCTION("SUM(QUERY(Entregas_BD!D:AL,""select AK where D='""&amp;D217&amp;""'"",1))"),0.0)</f>
        <v>0</v>
      </c>
      <c r="Z217" s="19">
        <v>-150.0</v>
      </c>
      <c r="AA217" s="19">
        <v>0.0</v>
      </c>
      <c r="AB217" s="19">
        <v>0.0</v>
      </c>
      <c r="AC217" s="19">
        <v>-25.0</v>
      </c>
      <c r="AD217" s="19">
        <v>0.0</v>
      </c>
      <c r="AE217" s="19">
        <v>0.0</v>
      </c>
      <c r="AF217" s="51"/>
      <c r="AG217" s="24">
        <f>IFERROR(__xludf.DUMMYFUNCTION("SUM(QUERY(Entregas_BD!D:W,""select U where D='""&amp;D217&amp;""'"",1))"),0.0)</f>
        <v>0</v>
      </c>
      <c r="AH217" s="24">
        <f>IFERROR(__xludf.DUMMYFUNCTION("SUM(QUERY(Entregas_BD!D:W,""select S where D='""&amp;D217&amp;""'"",1))"),0.0)</f>
        <v>0</v>
      </c>
      <c r="AI217" s="24">
        <f>IFERROR(__xludf.DUMMYFUNCTION("SUM(QUERY(Entregas_BD!D:W,""select T where D='""&amp;D217&amp;""'"",1))"),0.0)</f>
        <v>0</v>
      </c>
    </row>
    <row r="218" ht="19.5" customHeight="1">
      <c r="A218" s="7"/>
      <c r="B218" s="8"/>
      <c r="C218" s="9">
        <v>217.0</v>
      </c>
      <c r="D218" s="10" t="s">
        <v>590</v>
      </c>
      <c r="E218" s="10" t="s">
        <v>38</v>
      </c>
      <c r="F218" s="10" t="s">
        <v>303</v>
      </c>
      <c r="G218" s="10" t="s">
        <v>304</v>
      </c>
      <c r="H218" s="9" t="s">
        <v>69</v>
      </c>
      <c r="I218" s="11" t="s">
        <v>41</v>
      </c>
      <c r="J218" s="12"/>
      <c r="K218" s="9"/>
      <c r="L218" s="57"/>
      <c r="M218" s="9"/>
      <c r="N218" s="9">
        <f>IFERROR(__xludf.DUMMYFUNCTION("SUM(QUERY(Entregas_BD!D:L,""select G where D='""&amp;D218&amp;""'"",1))"),0.0)</f>
        <v>0</v>
      </c>
      <c r="O218" s="9">
        <f>IFERROR(__xludf.DUMMYFUNCTION("SUM(QUERY(Entregas_BD!D:L,""select H where D='""&amp;D218&amp;""'"",1))"),0.0)</f>
        <v>0</v>
      </c>
      <c r="P218" s="9">
        <f>IFERROR(__xludf.DUMMYFUNCTION("SUM(QUERY(Entregas_BD!D:L,""select I where D='""&amp;D218&amp;""'"",1))"),0.0)</f>
        <v>0</v>
      </c>
      <c r="Q218" s="9">
        <f>IFERROR(__xludf.DUMMYFUNCTION("SUM(QUERY(Entregas_BD!D:L,""select J where D='""&amp;D218&amp;""'"",1))"),0.0)</f>
        <v>0</v>
      </c>
      <c r="R218" s="15">
        <f>IFERROR(__xludf.DUMMYFUNCTION("SUM(QUERY(Entregas_BD!D:L,""select K where D='""&amp;D218&amp;""'"",1))"),0.0)</f>
        <v>0</v>
      </c>
      <c r="S218" s="15">
        <f>IFERROR(__xludf.DUMMYFUNCTION("SUM(QUERY(Entregas_BD!D:L,""select L where D='""&amp;D218&amp;""'"",1))"),0.0)</f>
        <v>0</v>
      </c>
      <c r="T218" s="9">
        <f>IFERROR(__xludf.DUMMYFUNCTION("SUM(QUERY(Entregas_BD!D:AL,""select AG where D='""&amp;D218&amp;""'"",1))"),50.0)</f>
        <v>50</v>
      </c>
      <c r="U218" s="9">
        <f>IFERROR(__xludf.DUMMYFUNCTION("SUM(QUERY(Entregas_BD!D:AL,""select AH where D='""&amp;D218&amp;""'"",1))"),0.0)</f>
        <v>0</v>
      </c>
      <c r="V218" s="9">
        <f>IFERROR(__xludf.DUMMYFUNCTION("SUM(QUERY(Entregas_BD!D:AL,""select AI where D='""&amp;D218&amp;""'"",1))"),0.0)</f>
        <v>0</v>
      </c>
      <c r="W218" s="9">
        <f>IFERROR(__xludf.DUMMYFUNCTION("SUM(QUERY(Entregas_BD!D:AL,""select AJ where D='""&amp;D218&amp;""'"",1))"),0.0)</f>
        <v>0</v>
      </c>
      <c r="X218" s="9">
        <f>IFERROR(__xludf.DUMMYFUNCTION("SUM(QUERY(Entregas_BD!D:AL,""select AL where D='""&amp;D218&amp;""'"",1))"),0.0)</f>
        <v>0</v>
      </c>
      <c r="Y218" s="9">
        <f>IFERROR(__xludf.DUMMYFUNCTION("SUM(QUERY(Entregas_BD!D:AL,""select AK where D='""&amp;D218&amp;""'"",1))"),0.0)</f>
        <v>0</v>
      </c>
      <c r="Z218" s="9">
        <v>-50.0</v>
      </c>
      <c r="AA218" s="9">
        <v>0.0</v>
      </c>
      <c r="AB218" s="9">
        <v>0.0</v>
      </c>
      <c r="AC218" s="9">
        <v>0.0</v>
      </c>
      <c r="AD218" s="9">
        <v>0.0</v>
      </c>
      <c r="AE218" s="9">
        <v>0.0</v>
      </c>
      <c r="AF218" s="52"/>
      <c r="AG218" s="15">
        <f>IFERROR(__xludf.DUMMYFUNCTION("SUM(QUERY(Entregas_BD!D:W,""select U where D='""&amp;D218&amp;""'"",1))"),0.0)</f>
        <v>0</v>
      </c>
      <c r="AH218" s="15">
        <f>IFERROR(__xludf.DUMMYFUNCTION("SUM(QUERY(Entregas_BD!D:W,""select S where D='""&amp;D218&amp;""'"",1))"),0.0)</f>
        <v>0</v>
      </c>
      <c r="AI218" s="15">
        <f>IFERROR(__xludf.DUMMYFUNCTION("SUM(QUERY(Entregas_BD!D:W,""select T where D='""&amp;D218&amp;""'"",1))"),0.0)</f>
        <v>0</v>
      </c>
    </row>
    <row r="219" ht="19.5" customHeight="1">
      <c r="A219" s="31"/>
      <c r="B219" s="32"/>
      <c r="C219" s="19">
        <v>218.0</v>
      </c>
      <c r="D219" s="20" t="s">
        <v>591</v>
      </c>
      <c r="E219" s="20" t="s">
        <v>44</v>
      </c>
      <c r="F219" s="20" t="s">
        <v>45</v>
      </c>
      <c r="G219" s="20" t="s">
        <v>592</v>
      </c>
      <c r="H219" s="34" t="s">
        <v>593</v>
      </c>
      <c r="I219" s="21" t="s">
        <v>41</v>
      </c>
      <c r="J219" s="34"/>
      <c r="K219" s="19"/>
      <c r="L219" s="58"/>
      <c r="M219" s="19"/>
      <c r="N219" s="19">
        <f>IFERROR(__xludf.DUMMYFUNCTION("SUM(QUERY(Entregas_BD!D:L,""select G where D='""&amp;D219&amp;""'"",1))"),0.0)</f>
        <v>0</v>
      </c>
      <c r="O219" s="19">
        <f>IFERROR(__xludf.DUMMYFUNCTION("SUM(QUERY(Entregas_BD!D:L,""select H where D='""&amp;D219&amp;""'"",1))"),0.0)</f>
        <v>0</v>
      </c>
      <c r="P219" s="19">
        <f>IFERROR(__xludf.DUMMYFUNCTION("SUM(QUERY(Entregas_BD!D:L,""select I where D='""&amp;D219&amp;""'"",1))"),0.0)</f>
        <v>0</v>
      </c>
      <c r="Q219" s="19">
        <f>IFERROR(__xludf.DUMMYFUNCTION("SUM(QUERY(Entregas_BD!D:L,""select J where D='""&amp;D219&amp;""'"",1))"),0.0)</f>
        <v>0</v>
      </c>
      <c r="R219" s="24">
        <f>IFERROR(__xludf.DUMMYFUNCTION("SUM(QUERY(Entregas_BD!D:L,""select K where D='""&amp;D219&amp;""'"",1))"),0.0)</f>
        <v>0</v>
      </c>
      <c r="S219" s="24">
        <f>IFERROR(__xludf.DUMMYFUNCTION("SUM(QUERY(Entregas_BD!D:L,""select L where D='""&amp;D219&amp;""'"",1))"),0.0)</f>
        <v>0</v>
      </c>
      <c r="T219" s="19">
        <f>IFERROR(__xludf.DUMMYFUNCTION("SUM(QUERY(Entregas_BD!D:AL,""select AG where D='""&amp;D219&amp;""'"",1))"),0.0)</f>
        <v>0</v>
      </c>
      <c r="U219" s="19">
        <f>IFERROR(__xludf.DUMMYFUNCTION("SUM(QUERY(Entregas_BD!D:AL,""select AH where D='""&amp;D219&amp;""'"",1))"),0.0)</f>
        <v>0</v>
      </c>
      <c r="V219" s="19">
        <f>IFERROR(__xludf.DUMMYFUNCTION("SUM(QUERY(Entregas_BD!D:AL,""select AI where D='""&amp;D219&amp;""'"",1))"),0.0)</f>
        <v>0</v>
      </c>
      <c r="W219" s="19">
        <f>IFERROR(__xludf.DUMMYFUNCTION("SUM(QUERY(Entregas_BD!D:AL,""select AJ where D='""&amp;D219&amp;""'"",1))"),0.0)</f>
        <v>0</v>
      </c>
      <c r="X219" s="19">
        <f>IFERROR(__xludf.DUMMYFUNCTION("SUM(QUERY(Entregas_BD!D:AL,""select AL where D='""&amp;D219&amp;""'"",1))"),0.0)</f>
        <v>0</v>
      </c>
      <c r="Y219" s="19">
        <f>IFERROR(__xludf.DUMMYFUNCTION("SUM(QUERY(Entregas_BD!D:AL,""select AK where D='""&amp;D219&amp;""'"",1))"),0.0)</f>
        <v>0</v>
      </c>
      <c r="Z219" s="19">
        <v>0.0</v>
      </c>
      <c r="AA219" s="19">
        <v>0.0</v>
      </c>
      <c r="AB219" s="19">
        <v>0.0</v>
      </c>
      <c r="AC219" s="19">
        <v>0.0</v>
      </c>
      <c r="AD219" s="19">
        <v>0.0</v>
      </c>
      <c r="AE219" s="19">
        <v>0.0</v>
      </c>
      <c r="AF219" s="25"/>
      <c r="AG219" s="24">
        <f>IFERROR(__xludf.DUMMYFUNCTION("SUM(QUERY(Entregas_BD!D:W,""select U where D='""&amp;D219&amp;""'"",1))"),0.0)</f>
        <v>0</v>
      </c>
      <c r="AH219" s="24">
        <f>IFERROR(__xludf.DUMMYFUNCTION("SUM(QUERY(Entregas_BD!D:W,""select S where D='""&amp;D219&amp;""'"",1))"),0.0)</f>
        <v>0</v>
      </c>
      <c r="AI219" s="24">
        <f>IFERROR(__xludf.DUMMYFUNCTION("SUM(QUERY(Entregas_BD!D:W,""select T where D='""&amp;D219&amp;""'"",1))"),0.0)</f>
        <v>0</v>
      </c>
    </row>
    <row r="220" ht="19.5" customHeight="1">
      <c r="A220" s="7"/>
      <c r="B220" s="8"/>
      <c r="C220" s="9">
        <v>219.0</v>
      </c>
      <c r="D220" s="10" t="s">
        <v>594</v>
      </c>
      <c r="E220" s="10" t="s">
        <v>44</v>
      </c>
      <c r="F220" s="10" t="s">
        <v>45</v>
      </c>
      <c r="G220" s="10" t="s">
        <v>595</v>
      </c>
      <c r="H220" s="9" t="s">
        <v>40</v>
      </c>
      <c r="I220" s="11" t="s">
        <v>41</v>
      </c>
      <c r="J220" s="12"/>
      <c r="K220" s="9"/>
      <c r="L220" s="57"/>
      <c r="M220" s="9"/>
      <c r="N220" s="9">
        <f>IFERROR(__xludf.DUMMYFUNCTION("SUM(QUERY(Entregas_BD!D:L,""select G where D='""&amp;D220&amp;""'"",1))"),0.0)</f>
        <v>0</v>
      </c>
      <c r="O220" s="9">
        <f>IFERROR(__xludf.DUMMYFUNCTION("SUM(QUERY(Entregas_BD!D:L,""select H where D='""&amp;D220&amp;""'"",1))"),0.0)</f>
        <v>0</v>
      </c>
      <c r="P220" s="9">
        <f>IFERROR(__xludf.DUMMYFUNCTION("SUM(QUERY(Entregas_BD!D:L,""select I where D='""&amp;D220&amp;""'"",1))"),0.0)</f>
        <v>0</v>
      </c>
      <c r="Q220" s="9">
        <f>IFERROR(__xludf.DUMMYFUNCTION("SUM(QUERY(Entregas_BD!D:L,""select J where D='""&amp;D220&amp;""'"",1))"),0.0)</f>
        <v>0</v>
      </c>
      <c r="R220" s="15">
        <f>IFERROR(__xludf.DUMMYFUNCTION("SUM(QUERY(Entregas_BD!D:L,""select K where D='""&amp;D220&amp;""'"",1))"),0.0)</f>
        <v>0</v>
      </c>
      <c r="S220" s="15">
        <f>IFERROR(__xludf.DUMMYFUNCTION("SUM(QUERY(Entregas_BD!D:L,""select L where D='""&amp;D220&amp;""'"",1))"),0.0)</f>
        <v>0</v>
      </c>
      <c r="T220" s="9">
        <f>IFERROR(__xludf.DUMMYFUNCTION("SUM(QUERY(Entregas_BD!D:AL,""select AG where D='""&amp;D220&amp;""'"",1))"),100.0)</f>
        <v>100</v>
      </c>
      <c r="U220" s="9">
        <f>IFERROR(__xludf.DUMMYFUNCTION("SUM(QUERY(Entregas_BD!D:AL,""select AH where D='""&amp;D220&amp;""'"",1))"),0.0)</f>
        <v>0</v>
      </c>
      <c r="V220" s="9">
        <f>IFERROR(__xludf.DUMMYFUNCTION("SUM(QUERY(Entregas_BD!D:AL,""select AI where D='""&amp;D220&amp;""'"",1))"),0.0)</f>
        <v>0</v>
      </c>
      <c r="W220" s="9">
        <f>IFERROR(__xludf.DUMMYFUNCTION("SUM(QUERY(Entregas_BD!D:AL,""select AJ where D='""&amp;D220&amp;""'"",1))"),0.0)</f>
        <v>0</v>
      </c>
      <c r="X220" s="9">
        <f>IFERROR(__xludf.DUMMYFUNCTION("SUM(QUERY(Entregas_BD!D:AL,""select AL where D='""&amp;D220&amp;""'"",1))"),0.0)</f>
        <v>0</v>
      </c>
      <c r="Y220" s="9">
        <f>IFERROR(__xludf.DUMMYFUNCTION("SUM(QUERY(Entregas_BD!D:AL,""select AK where D='""&amp;D220&amp;""'"",1))"),0.0)</f>
        <v>0</v>
      </c>
      <c r="Z220" s="9">
        <v>-100.0</v>
      </c>
      <c r="AA220" s="9">
        <v>0.0</v>
      </c>
      <c r="AB220" s="9">
        <v>0.0</v>
      </c>
      <c r="AC220" s="9">
        <v>0.0</v>
      </c>
      <c r="AD220" s="9">
        <v>0.0</v>
      </c>
      <c r="AE220" s="9">
        <v>0.0</v>
      </c>
      <c r="AF220" s="52"/>
      <c r="AG220" s="15">
        <f>IFERROR(__xludf.DUMMYFUNCTION("SUM(QUERY(Entregas_BD!D:W,""select U where D='""&amp;D220&amp;""'"",1))"),0.0)</f>
        <v>0</v>
      </c>
      <c r="AH220" s="15">
        <f>IFERROR(__xludf.DUMMYFUNCTION("SUM(QUERY(Entregas_BD!D:W,""select S where D='""&amp;D220&amp;""'"",1))"),0.0)</f>
        <v>0</v>
      </c>
      <c r="AI220" s="15">
        <f>IFERROR(__xludf.DUMMYFUNCTION("SUM(QUERY(Entregas_BD!D:W,""select T where D='""&amp;D220&amp;""'"",1))"),0.0)</f>
        <v>0</v>
      </c>
    </row>
    <row r="221" ht="19.5" customHeight="1">
      <c r="A221" s="31"/>
      <c r="B221" s="32"/>
      <c r="C221" s="19">
        <v>220.0</v>
      </c>
      <c r="D221" s="20" t="s">
        <v>596</v>
      </c>
      <c r="E221" s="20" t="s">
        <v>58</v>
      </c>
      <c r="F221" s="20" t="s">
        <v>597</v>
      </c>
      <c r="G221" s="20" t="s">
        <v>598</v>
      </c>
      <c r="H221" s="19" t="s">
        <v>51</v>
      </c>
      <c r="I221" s="21" t="s">
        <v>41</v>
      </c>
      <c r="J221" s="34"/>
      <c r="K221" s="19"/>
      <c r="L221" s="58"/>
      <c r="M221" s="19"/>
      <c r="N221" s="19">
        <f>IFERROR(__xludf.DUMMYFUNCTION("SUM(QUERY(Entregas_BD!D:L,""select G where D='""&amp;D221&amp;""'"",1))"),0.0)</f>
        <v>0</v>
      </c>
      <c r="O221" s="19">
        <f>IFERROR(__xludf.DUMMYFUNCTION("SUM(QUERY(Entregas_BD!D:L,""select H where D='""&amp;D221&amp;""'"",1))"),0.0)</f>
        <v>0</v>
      </c>
      <c r="P221" s="19">
        <f>IFERROR(__xludf.DUMMYFUNCTION("SUM(QUERY(Entregas_BD!D:L,""select I where D='""&amp;D221&amp;""'"",1))"),0.0)</f>
        <v>0</v>
      </c>
      <c r="Q221" s="19">
        <f>IFERROR(__xludf.DUMMYFUNCTION("SUM(QUERY(Entregas_BD!D:L,""select J where D='""&amp;D221&amp;""'"",1))"),0.0)</f>
        <v>0</v>
      </c>
      <c r="R221" s="24">
        <f>IFERROR(__xludf.DUMMYFUNCTION("SUM(QUERY(Entregas_BD!D:L,""select K where D='""&amp;D221&amp;""'"",1))"),0.0)</f>
        <v>0</v>
      </c>
      <c r="S221" s="24">
        <f>IFERROR(__xludf.DUMMYFUNCTION("SUM(QUERY(Entregas_BD!D:L,""select L where D='""&amp;D221&amp;""'"",1))"),0.0)</f>
        <v>0</v>
      </c>
      <c r="T221" s="19">
        <f>IFERROR(__xludf.DUMMYFUNCTION("SUM(QUERY(Entregas_BD!D:AL,""select AG where D='""&amp;D221&amp;""'"",1))"),100.0)</f>
        <v>100</v>
      </c>
      <c r="U221" s="19">
        <f>IFERROR(__xludf.DUMMYFUNCTION("SUM(QUERY(Entregas_BD!D:AL,""select AH where D='""&amp;D221&amp;""'"",1))"),0.0)</f>
        <v>0</v>
      </c>
      <c r="V221" s="19">
        <f>IFERROR(__xludf.DUMMYFUNCTION("SUM(QUERY(Entregas_BD!D:AL,""select AI where D='""&amp;D221&amp;""'"",1))"),0.0)</f>
        <v>0</v>
      </c>
      <c r="W221" s="19">
        <f>IFERROR(__xludf.DUMMYFUNCTION("SUM(QUERY(Entregas_BD!D:AL,""select AJ where D='""&amp;D221&amp;""'"",1))"),0.0)</f>
        <v>0</v>
      </c>
      <c r="X221" s="19">
        <f>IFERROR(__xludf.DUMMYFUNCTION("SUM(QUERY(Entregas_BD!D:AL,""select AL where D='""&amp;D221&amp;""'"",1))"),0.0)</f>
        <v>0</v>
      </c>
      <c r="Y221" s="19">
        <f>IFERROR(__xludf.DUMMYFUNCTION("SUM(QUERY(Entregas_BD!D:AL,""select AK where D='""&amp;D221&amp;""'"",1))"),0.0)</f>
        <v>0</v>
      </c>
      <c r="Z221" s="19">
        <v>-100.0</v>
      </c>
      <c r="AA221" s="19">
        <v>0.0</v>
      </c>
      <c r="AB221" s="19">
        <v>0.0</v>
      </c>
      <c r="AC221" s="19">
        <v>0.0</v>
      </c>
      <c r="AD221" s="19">
        <v>0.0</v>
      </c>
      <c r="AE221" s="19">
        <v>0.0</v>
      </c>
      <c r="AF221" s="22"/>
      <c r="AG221" s="24">
        <f>IFERROR(__xludf.DUMMYFUNCTION("SUM(QUERY(Entregas_BD!D:W,""select U where D='""&amp;D221&amp;""'"",1))"),0.0)</f>
        <v>0</v>
      </c>
      <c r="AH221" s="24">
        <f>IFERROR(__xludf.DUMMYFUNCTION("SUM(QUERY(Entregas_BD!D:W,""select S where D='""&amp;D221&amp;""'"",1))"),0.0)</f>
        <v>0</v>
      </c>
      <c r="AI221" s="24">
        <f>IFERROR(__xludf.DUMMYFUNCTION("SUM(QUERY(Entregas_BD!D:W,""select T where D='""&amp;D221&amp;""'"",1))"),0.0)</f>
        <v>0</v>
      </c>
    </row>
    <row r="222" ht="19.5" customHeight="1">
      <c r="A222" s="7"/>
      <c r="B222" s="8"/>
      <c r="C222" s="9">
        <v>221.0</v>
      </c>
      <c r="D222" s="10" t="s">
        <v>599</v>
      </c>
      <c r="E222" s="10" t="s">
        <v>58</v>
      </c>
      <c r="F222" s="10" t="s">
        <v>45</v>
      </c>
      <c r="G222" s="10" t="s">
        <v>600</v>
      </c>
      <c r="H222" s="9" t="s">
        <v>601</v>
      </c>
      <c r="I222" s="11" t="s">
        <v>41</v>
      </c>
      <c r="J222" s="12"/>
      <c r="K222" s="9"/>
      <c r="L222" s="57"/>
      <c r="M222" s="9"/>
      <c r="N222" s="9">
        <f>IFERROR(__xludf.DUMMYFUNCTION("SUM(QUERY(Entregas_BD!D:L,""select G where D='""&amp;D222&amp;""'"",1))"),0.0)</f>
        <v>0</v>
      </c>
      <c r="O222" s="9">
        <f>IFERROR(__xludf.DUMMYFUNCTION("SUM(QUERY(Entregas_BD!D:L,""select H where D='""&amp;D222&amp;""'"",1))"),0.0)</f>
        <v>0</v>
      </c>
      <c r="P222" s="9">
        <f>IFERROR(__xludf.DUMMYFUNCTION("SUM(QUERY(Entregas_BD!D:L,""select I where D='""&amp;D222&amp;""'"",1))"),0.0)</f>
        <v>0</v>
      </c>
      <c r="Q222" s="9">
        <f>IFERROR(__xludf.DUMMYFUNCTION("SUM(QUERY(Entregas_BD!D:L,""select J where D='""&amp;D222&amp;""'"",1))"),0.0)</f>
        <v>0</v>
      </c>
      <c r="R222" s="15">
        <f>IFERROR(__xludf.DUMMYFUNCTION("SUM(QUERY(Entregas_BD!D:L,""select K where D='""&amp;D222&amp;""'"",1))"),0.0)</f>
        <v>0</v>
      </c>
      <c r="S222" s="15">
        <f>IFERROR(__xludf.DUMMYFUNCTION("SUM(QUERY(Entregas_BD!D:L,""select L where D='""&amp;D222&amp;""'"",1))"),0.0)</f>
        <v>0</v>
      </c>
      <c r="T222" s="9">
        <f>IFERROR(__xludf.DUMMYFUNCTION("SUM(QUERY(Entregas_BD!D:AL,""select AG where D='""&amp;D222&amp;""'"",1))"),0.0)</f>
        <v>0</v>
      </c>
      <c r="U222" s="9">
        <f>IFERROR(__xludf.DUMMYFUNCTION("SUM(QUERY(Entregas_BD!D:AL,""select AH where D='""&amp;D222&amp;""'"",1))"),0.0)</f>
        <v>0</v>
      </c>
      <c r="V222" s="9">
        <f>IFERROR(__xludf.DUMMYFUNCTION("SUM(QUERY(Entregas_BD!D:AL,""select AI where D='""&amp;D222&amp;""'"",1))"),0.0)</f>
        <v>0</v>
      </c>
      <c r="W222" s="9">
        <f>IFERROR(__xludf.DUMMYFUNCTION("SUM(QUERY(Entregas_BD!D:AL,""select AJ where D='""&amp;D222&amp;""'"",1))"),100.0)</f>
        <v>100</v>
      </c>
      <c r="X222" s="9">
        <f>IFERROR(__xludf.DUMMYFUNCTION("SUM(QUERY(Entregas_BD!D:AL,""select AL where D='""&amp;D222&amp;""'"",1))"),0.0)</f>
        <v>0</v>
      </c>
      <c r="Y222" s="9">
        <f>IFERROR(__xludf.DUMMYFUNCTION("SUM(QUERY(Entregas_BD!D:AL,""select AK where D='""&amp;D222&amp;""'"",1))"),0.0)</f>
        <v>0</v>
      </c>
      <c r="Z222" s="9">
        <v>0.0</v>
      </c>
      <c r="AA222" s="9">
        <v>0.0</v>
      </c>
      <c r="AB222" s="9">
        <v>0.0</v>
      </c>
      <c r="AC222" s="9">
        <v>-100.0</v>
      </c>
      <c r="AD222" s="9">
        <v>0.0</v>
      </c>
      <c r="AE222" s="9">
        <v>0.0</v>
      </c>
      <c r="AF222" s="52"/>
      <c r="AG222" s="15">
        <f>IFERROR(__xludf.DUMMYFUNCTION("SUM(QUERY(Entregas_BD!D:W,""select U where D='""&amp;D222&amp;""'"",1))"),0.0)</f>
        <v>0</v>
      </c>
      <c r="AH222" s="15">
        <f>IFERROR(__xludf.DUMMYFUNCTION("SUM(QUERY(Entregas_BD!D:W,""select S where D='""&amp;D222&amp;""'"",1))"),0.0)</f>
        <v>0</v>
      </c>
      <c r="AI222" s="15">
        <f>IFERROR(__xludf.DUMMYFUNCTION("SUM(QUERY(Entregas_BD!D:W,""select T where D='""&amp;D222&amp;""'"",1))"),0.0)</f>
        <v>0</v>
      </c>
    </row>
    <row r="223" ht="19.5" customHeight="1">
      <c r="A223" s="31"/>
      <c r="B223" s="32"/>
      <c r="C223" s="19">
        <v>222.0</v>
      </c>
      <c r="D223" s="20" t="s">
        <v>602</v>
      </c>
      <c r="E223" s="20" t="s">
        <v>72</v>
      </c>
      <c r="F223" s="20" t="s">
        <v>45</v>
      </c>
      <c r="G223" s="20" t="s">
        <v>240</v>
      </c>
      <c r="H223" s="19" t="s">
        <v>51</v>
      </c>
      <c r="I223" s="21" t="s">
        <v>41</v>
      </c>
      <c r="J223" s="34"/>
      <c r="K223" s="19"/>
      <c r="L223" s="58"/>
      <c r="M223" s="19"/>
      <c r="N223" s="19">
        <f>IFERROR(__xludf.DUMMYFUNCTION("SUM(QUERY(Entregas_BD!D:L,""select G where D='""&amp;D223&amp;""'"",1))"),0.0)</f>
        <v>0</v>
      </c>
      <c r="O223" s="19">
        <f>IFERROR(__xludf.DUMMYFUNCTION("SUM(QUERY(Entregas_BD!D:L,""select H where D='""&amp;D223&amp;""'"",1))"),0.0)</f>
        <v>0</v>
      </c>
      <c r="P223" s="19">
        <f>IFERROR(__xludf.DUMMYFUNCTION("SUM(QUERY(Entregas_BD!D:L,""select I where D='""&amp;D223&amp;""'"",1))"),0.0)</f>
        <v>0</v>
      </c>
      <c r="Q223" s="19">
        <f>IFERROR(__xludf.DUMMYFUNCTION("SUM(QUERY(Entregas_BD!D:L,""select J where D='""&amp;D223&amp;""'"",1))"),0.0)</f>
        <v>0</v>
      </c>
      <c r="R223" s="24">
        <f>IFERROR(__xludf.DUMMYFUNCTION("SUM(QUERY(Entregas_BD!D:L,""select K where D='""&amp;D223&amp;""'"",1))"),0.0)</f>
        <v>0</v>
      </c>
      <c r="S223" s="24">
        <f>IFERROR(__xludf.DUMMYFUNCTION("SUM(QUERY(Entregas_BD!D:L,""select L where D='""&amp;D223&amp;""'"",1))"),0.0)</f>
        <v>0</v>
      </c>
      <c r="T223" s="19">
        <f>IFERROR(__xludf.DUMMYFUNCTION("SUM(QUERY(Entregas_BD!D:AL,""select AG where D='""&amp;D223&amp;""'"",1))"),50.0)</f>
        <v>50</v>
      </c>
      <c r="U223" s="19">
        <f>IFERROR(__xludf.DUMMYFUNCTION("SUM(QUERY(Entregas_BD!D:AL,""select AH where D='""&amp;D223&amp;""'"",1))"),0.0)</f>
        <v>0</v>
      </c>
      <c r="V223" s="19">
        <f>IFERROR(__xludf.DUMMYFUNCTION("SUM(QUERY(Entregas_BD!D:AL,""select AI where D='""&amp;D223&amp;""'"",1))"),0.0)</f>
        <v>0</v>
      </c>
      <c r="W223" s="19">
        <f>IFERROR(__xludf.DUMMYFUNCTION("SUM(QUERY(Entregas_BD!D:AL,""select AJ where D='""&amp;D223&amp;""'"",1))"),0.0)</f>
        <v>0</v>
      </c>
      <c r="X223" s="19">
        <f>IFERROR(__xludf.DUMMYFUNCTION("SUM(QUERY(Entregas_BD!D:AL,""select AL where D='""&amp;D223&amp;""'"",1))"),0.0)</f>
        <v>0</v>
      </c>
      <c r="Y223" s="19">
        <f>IFERROR(__xludf.DUMMYFUNCTION("SUM(QUERY(Entregas_BD!D:AL,""select AK where D='""&amp;D223&amp;""'"",1))"),12.0)</f>
        <v>12</v>
      </c>
      <c r="Z223" s="19">
        <v>-50.0</v>
      </c>
      <c r="AA223" s="19">
        <v>0.0</v>
      </c>
      <c r="AB223" s="19">
        <v>0.0</v>
      </c>
      <c r="AC223" s="19">
        <v>0.0</v>
      </c>
      <c r="AD223" s="19">
        <v>-12.0</v>
      </c>
      <c r="AE223" s="19">
        <v>0.0</v>
      </c>
      <c r="AF223" s="51"/>
      <c r="AG223" s="24">
        <f>IFERROR(__xludf.DUMMYFUNCTION("SUM(QUERY(Entregas_BD!D:W,""select U where D='""&amp;D223&amp;""'"",1))"),0.0)</f>
        <v>0</v>
      </c>
      <c r="AH223" s="24">
        <f>IFERROR(__xludf.DUMMYFUNCTION("SUM(QUERY(Entregas_BD!D:W,""select S where D='""&amp;D223&amp;""'"",1))"),0.0)</f>
        <v>0</v>
      </c>
      <c r="AI223" s="24">
        <f>IFERROR(__xludf.DUMMYFUNCTION("SUM(QUERY(Entregas_BD!D:W,""select T where D='""&amp;D223&amp;""'"",1))"),0.0)</f>
        <v>0</v>
      </c>
    </row>
    <row r="224" ht="19.5" customHeight="1">
      <c r="A224" s="7"/>
      <c r="B224" s="8"/>
      <c r="C224" s="9">
        <v>223.0</v>
      </c>
      <c r="D224" s="10" t="s">
        <v>603</v>
      </c>
      <c r="E224" s="10" t="s">
        <v>63</v>
      </c>
      <c r="F224" s="10" t="s">
        <v>45</v>
      </c>
      <c r="G224" s="10" t="s">
        <v>470</v>
      </c>
      <c r="H224" s="9" t="s">
        <v>40</v>
      </c>
      <c r="I224" s="11" t="s">
        <v>41</v>
      </c>
      <c r="J224" s="12"/>
      <c r="K224" s="9"/>
      <c r="L224" s="57"/>
      <c r="M224" s="9"/>
      <c r="N224" s="9">
        <f>IFERROR(__xludf.DUMMYFUNCTION("SUM(QUERY(Entregas_BD!D:L,""select G where D='""&amp;D224&amp;""'"",1))"),0.0)</f>
        <v>0</v>
      </c>
      <c r="O224" s="9">
        <f>IFERROR(__xludf.DUMMYFUNCTION("SUM(QUERY(Entregas_BD!D:L,""select H where D='""&amp;D224&amp;""'"",1))"),0.0)</f>
        <v>0</v>
      </c>
      <c r="P224" s="9">
        <f>IFERROR(__xludf.DUMMYFUNCTION("SUM(QUERY(Entregas_BD!D:L,""select I where D='""&amp;D224&amp;""'"",1))"),0.0)</f>
        <v>0</v>
      </c>
      <c r="Q224" s="9">
        <f>IFERROR(__xludf.DUMMYFUNCTION("SUM(QUERY(Entregas_BD!D:L,""select J where D='""&amp;D224&amp;""'"",1))"),0.0)</f>
        <v>0</v>
      </c>
      <c r="R224" s="15">
        <f>IFERROR(__xludf.DUMMYFUNCTION("SUM(QUERY(Entregas_BD!D:L,""select K where D='""&amp;D224&amp;""'"",1))"),0.0)</f>
        <v>0</v>
      </c>
      <c r="S224" s="15">
        <f>IFERROR(__xludf.DUMMYFUNCTION("SUM(QUERY(Entregas_BD!D:L,""select L where D='""&amp;D224&amp;""'"",1))"),0.0)</f>
        <v>0</v>
      </c>
      <c r="T224" s="9">
        <f>IFERROR(__xludf.DUMMYFUNCTION("SUM(QUERY(Entregas_BD!D:AL,""select AG where D='""&amp;D224&amp;""'"",1))"),50.0)</f>
        <v>50</v>
      </c>
      <c r="U224" s="9">
        <f>IFERROR(__xludf.DUMMYFUNCTION("SUM(QUERY(Entregas_BD!D:AL,""select AH where D='""&amp;D224&amp;""'"",1))"),0.0)</f>
        <v>0</v>
      </c>
      <c r="V224" s="9">
        <f>IFERROR(__xludf.DUMMYFUNCTION("SUM(QUERY(Entregas_BD!D:AL,""select AI where D='""&amp;D224&amp;""'"",1))"),0.0)</f>
        <v>0</v>
      </c>
      <c r="W224" s="9">
        <f>IFERROR(__xludf.DUMMYFUNCTION("SUM(QUERY(Entregas_BD!D:AL,""select AJ where D='""&amp;D224&amp;""'"",1))"),0.0)</f>
        <v>0</v>
      </c>
      <c r="X224" s="9">
        <f>IFERROR(__xludf.DUMMYFUNCTION("SUM(QUERY(Entregas_BD!D:AL,""select AL where D='""&amp;D224&amp;""'"",1))"),0.0)</f>
        <v>0</v>
      </c>
      <c r="Y224" s="9">
        <f>IFERROR(__xludf.DUMMYFUNCTION("SUM(QUERY(Entregas_BD!D:AL,""select AK where D='""&amp;D224&amp;""'"",1))"),12.0)</f>
        <v>12</v>
      </c>
      <c r="Z224" s="9">
        <v>-50.0</v>
      </c>
      <c r="AA224" s="9">
        <v>0.0</v>
      </c>
      <c r="AB224" s="9">
        <v>0.0</v>
      </c>
      <c r="AC224" s="9">
        <v>0.0</v>
      </c>
      <c r="AD224" s="9">
        <v>-12.0</v>
      </c>
      <c r="AE224" s="9">
        <v>0.0</v>
      </c>
      <c r="AF224" s="52"/>
      <c r="AG224" s="15">
        <f>IFERROR(__xludf.DUMMYFUNCTION("SUM(QUERY(Entregas_BD!D:W,""select U where D='""&amp;D224&amp;""'"",1))"),0.0)</f>
        <v>0</v>
      </c>
      <c r="AH224" s="15">
        <f>IFERROR(__xludf.DUMMYFUNCTION("SUM(QUERY(Entregas_BD!D:W,""select S where D='""&amp;D224&amp;""'"",1))"),0.0)</f>
        <v>0</v>
      </c>
      <c r="AI224" s="15">
        <f>IFERROR(__xludf.DUMMYFUNCTION("SUM(QUERY(Entregas_BD!D:W,""select T where D='""&amp;D224&amp;""'"",1))"),0.0)</f>
        <v>0</v>
      </c>
    </row>
    <row r="225" ht="19.5" customHeight="1">
      <c r="A225" s="31"/>
      <c r="B225" s="32"/>
      <c r="C225" s="19">
        <v>224.0</v>
      </c>
      <c r="D225" s="20" t="s">
        <v>604</v>
      </c>
      <c r="E225" s="20" t="s">
        <v>54</v>
      </c>
      <c r="F225" s="20" t="s">
        <v>45</v>
      </c>
      <c r="G225" s="20" t="s">
        <v>499</v>
      </c>
      <c r="H225" s="19" t="s">
        <v>40</v>
      </c>
      <c r="I225" s="21" t="s">
        <v>41</v>
      </c>
      <c r="J225" s="34"/>
      <c r="K225" s="19"/>
      <c r="L225" s="58"/>
      <c r="M225" s="19"/>
      <c r="N225" s="19">
        <f>IFERROR(__xludf.DUMMYFUNCTION("SUM(QUERY(Entregas_BD!D:L,""select G where D='""&amp;D225&amp;""'"",1))"),0.0)</f>
        <v>0</v>
      </c>
      <c r="O225" s="19">
        <f>IFERROR(__xludf.DUMMYFUNCTION("SUM(QUERY(Entregas_BD!D:L,""select H where D='""&amp;D225&amp;""'"",1))"),0.0)</f>
        <v>0</v>
      </c>
      <c r="P225" s="19">
        <f>IFERROR(__xludf.DUMMYFUNCTION("SUM(QUERY(Entregas_BD!D:L,""select I where D='""&amp;D225&amp;""'"",1))"),0.0)</f>
        <v>0</v>
      </c>
      <c r="Q225" s="19">
        <f>IFERROR(__xludf.DUMMYFUNCTION("SUM(QUERY(Entregas_BD!D:L,""select J where D='""&amp;D225&amp;""'"",1))"),0.0)</f>
        <v>0</v>
      </c>
      <c r="R225" s="24">
        <f>IFERROR(__xludf.DUMMYFUNCTION("SUM(QUERY(Entregas_BD!D:L,""select K where D='""&amp;D225&amp;""'"",1))"),0.0)</f>
        <v>0</v>
      </c>
      <c r="S225" s="24">
        <f>IFERROR(__xludf.DUMMYFUNCTION("SUM(QUERY(Entregas_BD!D:L,""select L where D='""&amp;D225&amp;""'"",1))"),0.0)</f>
        <v>0</v>
      </c>
      <c r="T225" s="19">
        <f>IFERROR(__xludf.DUMMYFUNCTION("SUM(QUERY(Entregas_BD!D:AL,""select AG where D='""&amp;D225&amp;""'"",1))"),0.0)</f>
        <v>0</v>
      </c>
      <c r="U225" s="19">
        <f>IFERROR(__xludf.DUMMYFUNCTION("SUM(QUERY(Entregas_BD!D:AL,""select AH where D='""&amp;D225&amp;""'"",1))"),0.0)</f>
        <v>0</v>
      </c>
      <c r="V225" s="19">
        <f>IFERROR(__xludf.DUMMYFUNCTION("SUM(QUERY(Entregas_BD!D:AL,""select AI where D='""&amp;D225&amp;""'"",1))"),0.0)</f>
        <v>0</v>
      </c>
      <c r="W225" s="19">
        <f>IFERROR(__xludf.DUMMYFUNCTION("SUM(QUERY(Entregas_BD!D:AL,""select AJ where D='""&amp;D225&amp;""'"",1))"),0.0)</f>
        <v>0</v>
      </c>
      <c r="X225" s="19">
        <f>IFERROR(__xludf.DUMMYFUNCTION("SUM(QUERY(Entregas_BD!D:AL,""select AL where D='""&amp;D225&amp;""'"",1))"),0.0)</f>
        <v>0</v>
      </c>
      <c r="Y225" s="19">
        <f>IFERROR(__xludf.DUMMYFUNCTION("SUM(QUERY(Entregas_BD!D:AL,""select AK where D='""&amp;D225&amp;""'"",1))"),0.0)</f>
        <v>0</v>
      </c>
      <c r="Z225" s="19">
        <v>0.0</v>
      </c>
      <c r="AA225" s="19">
        <v>0.0</v>
      </c>
      <c r="AB225" s="19">
        <v>0.0</v>
      </c>
      <c r="AC225" s="19">
        <v>0.0</v>
      </c>
      <c r="AD225" s="19">
        <v>0.0</v>
      </c>
      <c r="AE225" s="19">
        <v>0.0</v>
      </c>
      <c r="AF225" s="22"/>
      <c r="AG225" s="24">
        <f>IFERROR(__xludf.DUMMYFUNCTION("SUM(QUERY(Entregas_BD!D:W,""select U where D='""&amp;D225&amp;""'"",1))"),0.0)</f>
        <v>0</v>
      </c>
      <c r="AH225" s="24">
        <f>IFERROR(__xludf.DUMMYFUNCTION("SUM(QUERY(Entregas_BD!D:W,""select S where D='""&amp;D225&amp;""'"",1))"),0.0)</f>
        <v>0</v>
      </c>
      <c r="AI225" s="24">
        <f>IFERROR(__xludf.DUMMYFUNCTION("SUM(QUERY(Entregas_BD!D:W,""select T where D='""&amp;D225&amp;""'"",1))"),0.0)</f>
        <v>0</v>
      </c>
    </row>
    <row r="226" ht="19.5" customHeight="1">
      <c r="A226" s="7"/>
      <c r="B226" s="8"/>
      <c r="C226" s="9">
        <v>225.0</v>
      </c>
      <c r="D226" s="10" t="s">
        <v>605</v>
      </c>
      <c r="E226" s="10" t="s">
        <v>44</v>
      </c>
      <c r="F226" s="10" t="s">
        <v>606</v>
      </c>
      <c r="G226" s="10" t="s">
        <v>362</v>
      </c>
      <c r="H226" s="9" t="s">
        <v>51</v>
      </c>
      <c r="I226" s="11" t="s">
        <v>41</v>
      </c>
      <c r="J226" s="12"/>
      <c r="K226" s="9"/>
      <c r="L226" s="57"/>
      <c r="M226" s="9"/>
      <c r="N226" s="9">
        <f>IFERROR(__xludf.DUMMYFUNCTION("SUM(QUERY(Entregas_BD!D:L,""select G where D='""&amp;D226&amp;""'"",1))"),0.0)</f>
        <v>0</v>
      </c>
      <c r="O226" s="9">
        <f>IFERROR(__xludf.DUMMYFUNCTION("SUM(QUERY(Entregas_BD!D:L,""select H where D='""&amp;D226&amp;""'"",1))"),0.0)</f>
        <v>0</v>
      </c>
      <c r="P226" s="9">
        <f>IFERROR(__xludf.DUMMYFUNCTION("SUM(QUERY(Entregas_BD!D:L,""select I where D='""&amp;D226&amp;""'"",1))"),0.0)</f>
        <v>0</v>
      </c>
      <c r="Q226" s="9">
        <f>IFERROR(__xludf.DUMMYFUNCTION("SUM(QUERY(Entregas_BD!D:L,""select J where D='""&amp;D226&amp;""'"",1))"),0.0)</f>
        <v>0</v>
      </c>
      <c r="R226" s="15">
        <f>IFERROR(__xludf.DUMMYFUNCTION("SUM(QUERY(Entregas_BD!D:L,""select K where D='""&amp;D226&amp;""'"",1))"),0.0)</f>
        <v>0</v>
      </c>
      <c r="S226" s="15">
        <f>IFERROR(__xludf.DUMMYFUNCTION("SUM(QUERY(Entregas_BD!D:L,""select L where D='""&amp;D226&amp;""'"",1))"),0.0)</f>
        <v>0</v>
      </c>
      <c r="T226" s="9">
        <f>IFERROR(__xludf.DUMMYFUNCTION("SUM(QUERY(Entregas_BD!D:AL,""select AG where D='""&amp;D226&amp;""'"",1))"),400.0)</f>
        <v>400</v>
      </c>
      <c r="U226" s="9">
        <f>IFERROR(__xludf.DUMMYFUNCTION("SUM(QUERY(Entregas_BD!D:AL,""select AH where D='""&amp;D226&amp;""'"",1))"),0.0)</f>
        <v>0</v>
      </c>
      <c r="V226" s="9">
        <f>IFERROR(__xludf.DUMMYFUNCTION("SUM(QUERY(Entregas_BD!D:AL,""select AI where D='""&amp;D226&amp;""'"",1))"),0.0)</f>
        <v>0</v>
      </c>
      <c r="W226" s="9">
        <f>IFERROR(__xludf.DUMMYFUNCTION("SUM(QUERY(Entregas_BD!D:AL,""select AJ where D='""&amp;D226&amp;""'"",1))"),0.0)</f>
        <v>0</v>
      </c>
      <c r="X226" s="9">
        <f>IFERROR(__xludf.DUMMYFUNCTION("SUM(QUERY(Entregas_BD!D:AL,""select AL where D='""&amp;D226&amp;""'"",1))"),0.0)</f>
        <v>0</v>
      </c>
      <c r="Y226" s="9">
        <f>IFERROR(__xludf.DUMMYFUNCTION("SUM(QUERY(Entregas_BD!D:AL,""select AK where D='""&amp;D226&amp;""'"",1))"),0.0)</f>
        <v>0</v>
      </c>
      <c r="Z226" s="9">
        <v>-400.0</v>
      </c>
      <c r="AA226" s="9">
        <v>0.0</v>
      </c>
      <c r="AB226" s="9">
        <v>0.0</v>
      </c>
      <c r="AC226" s="9">
        <v>0.0</v>
      </c>
      <c r="AD226" s="9">
        <v>0.0</v>
      </c>
      <c r="AE226" s="9">
        <v>0.0</v>
      </c>
      <c r="AF226" s="52"/>
      <c r="AG226" s="15">
        <f>IFERROR(__xludf.DUMMYFUNCTION("SUM(QUERY(Entregas_BD!D:W,""select U where D='""&amp;D226&amp;""'"",1))"),0.0)</f>
        <v>0</v>
      </c>
      <c r="AH226" s="15">
        <f>IFERROR(__xludf.DUMMYFUNCTION("SUM(QUERY(Entregas_BD!D:W,""select S where D='""&amp;D226&amp;""'"",1))"),0.0)</f>
        <v>0</v>
      </c>
      <c r="AI226" s="15">
        <f>IFERROR(__xludf.DUMMYFUNCTION("SUM(QUERY(Entregas_BD!D:W,""select T where D='""&amp;D226&amp;""'"",1))"),0.0)</f>
        <v>0</v>
      </c>
    </row>
    <row r="227" ht="19.5" customHeight="1">
      <c r="A227" s="31"/>
      <c r="B227" s="32"/>
      <c r="C227" s="19">
        <v>226.0</v>
      </c>
      <c r="D227" s="20" t="s">
        <v>607</v>
      </c>
      <c r="E227" s="20" t="s">
        <v>479</v>
      </c>
      <c r="F227" s="20" t="s">
        <v>580</v>
      </c>
      <c r="G227" s="20" t="s">
        <v>149</v>
      </c>
      <c r="H227" s="19" t="s">
        <v>69</v>
      </c>
      <c r="I227" s="21" t="s">
        <v>41</v>
      </c>
      <c r="J227" s="34"/>
      <c r="K227" s="19"/>
      <c r="L227" s="58"/>
      <c r="M227" s="19"/>
      <c r="N227" s="19">
        <f>IFERROR(__xludf.DUMMYFUNCTION("SUM(QUERY(Entregas_BD!D:L,""select G where D='""&amp;D227&amp;""'"",1))"),0.0)</f>
        <v>0</v>
      </c>
      <c r="O227" s="19">
        <f>IFERROR(__xludf.DUMMYFUNCTION("SUM(QUERY(Entregas_BD!D:L,""select H where D='""&amp;D227&amp;""'"",1))"),0.0)</f>
        <v>0</v>
      </c>
      <c r="P227" s="19">
        <f>IFERROR(__xludf.DUMMYFUNCTION("SUM(QUERY(Entregas_BD!D:L,""select I where D='""&amp;D227&amp;""'"",1))"),0.0)</f>
        <v>0</v>
      </c>
      <c r="Q227" s="19">
        <f>IFERROR(__xludf.DUMMYFUNCTION("SUM(QUERY(Entregas_BD!D:L,""select J where D='""&amp;D227&amp;""'"",1))"),0.0)</f>
        <v>0</v>
      </c>
      <c r="R227" s="24">
        <f>IFERROR(__xludf.DUMMYFUNCTION("SUM(QUERY(Entregas_BD!D:L,""select K where D='""&amp;D227&amp;""'"",1))"),0.0)</f>
        <v>0</v>
      </c>
      <c r="S227" s="24">
        <f>IFERROR(__xludf.DUMMYFUNCTION("SUM(QUERY(Entregas_BD!D:L,""select L where D='""&amp;D227&amp;""'"",1))"),0.0)</f>
        <v>0</v>
      </c>
      <c r="T227" s="19">
        <f>IFERROR(__xludf.DUMMYFUNCTION("SUM(QUERY(Entregas_BD!D:AL,""select AG where D='""&amp;D227&amp;""'"",1))"),100.0)</f>
        <v>100</v>
      </c>
      <c r="U227" s="19">
        <f>IFERROR(__xludf.DUMMYFUNCTION("SUM(QUERY(Entregas_BD!D:AL,""select AH where D='""&amp;D227&amp;""'"",1))"),0.0)</f>
        <v>0</v>
      </c>
      <c r="V227" s="19">
        <f>IFERROR(__xludf.DUMMYFUNCTION("SUM(QUERY(Entregas_BD!D:AL,""select AI where D='""&amp;D227&amp;""'"",1))"),0.0)</f>
        <v>0</v>
      </c>
      <c r="W227" s="19">
        <f>IFERROR(__xludf.DUMMYFUNCTION("SUM(QUERY(Entregas_BD!D:AL,""select AJ where D='""&amp;D227&amp;""'"",1))"),0.0)</f>
        <v>0</v>
      </c>
      <c r="X227" s="19">
        <f>IFERROR(__xludf.DUMMYFUNCTION("SUM(QUERY(Entregas_BD!D:AL,""select AL where D='""&amp;D227&amp;""'"",1))"),0.0)</f>
        <v>0</v>
      </c>
      <c r="Y227" s="19">
        <f>IFERROR(__xludf.DUMMYFUNCTION("SUM(QUERY(Entregas_BD!D:AL,""select AK where D='""&amp;D227&amp;""'"",1))"),0.0)</f>
        <v>0</v>
      </c>
      <c r="Z227" s="19">
        <v>-100.0</v>
      </c>
      <c r="AA227" s="19">
        <v>0.0</v>
      </c>
      <c r="AB227" s="19">
        <v>0.0</v>
      </c>
      <c r="AC227" s="19">
        <v>0.0</v>
      </c>
      <c r="AD227" s="19">
        <v>0.0</v>
      </c>
      <c r="AE227" s="19">
        <v>0.0</v>
      </c>
      <c r="AF227" s="51"/>
      <c r="AG227" s="24">
        <f>IFERROR(__xludf.DUMMYFUNCTION("SUM(QUERY(Entregas_BD!D:W,""select U where D='""&amp;D227&amp;""'"",1))"),0.0)</f>
        <v>0</v>
      </c>
      <c r="AH227" s="24">
        <f>IFERROR(__xludf.DUMMYFUNCTION("SUM(QUERY(Entregas_BD!D:W,""select S where D='""&amp;D227&amp;""'"",1))"),0.0)</f>
        <v>0</v>
      </c>
      <c r="AI227" s="24">
        <f>IFERROR(__xludf.DUMMYFUNCTION("SUM(QUERY(Entregas_BD!D:W,""select T where D='""&amp;D227&amp;""'"",1))"),0.0)</f>
        <v>0</v>
      </c>
    </row>
    <row r="228" ht="19.5" customHeight="1">
      <c r="A228" s="7"/>
      <c r="B228" s="8"/>
      <c r="C228" s="9">
        <v>227.0</v>
      </c>
      <c r="D228" s="10" t="s">
        <v>608</v>
      </c>
      <c r="E228" s="10" t="s">
        <v>72</v>
      </c>
      <c r="F228" s="10" t="s">
        <v>609</v>
      </c>
      <c r="G228" s="10" t="s">
        <v>610</v>
      </c>
      <c r="H228" s="9" t="s">
        <v>611</v>
      </c>
      <c r="I228" s="11" t="s">
        <v>41</v>
      </c>
      <c r="J228" s="12"/>
      <c r="K228" s="9"/>
      <c r="L228" s="57"/>
      <c r="M228" s="9"/>
      <c r="N228" s="9">
        <f>IFERROR(__xludf.DUMMYFUNCTION("SUM(QUERY(Entregas_BD!D:L,""select G where D='""&amp;D228&amp;""'"",1))"),0.0)</f>
        <v>0</v>
      </c>
      <c r="O228" s="9">
        <f>IFERROR(__xludf.DUMMYFUNCTION("SUM(QUERY(Entregas_BD!D:L,""select H where D='""&amp;D228&amp;""'"",1))"),0.0)</f>
        <v>0</v>
      </c>
      <c r="P228" s="9">
        <f>IFERROR(__xludf.DUMMYFUNCTION("SUM(QUERY(Entregas_BD!D:L,""select I where D='""&amp;D228&amp;""'"",1))"),0.0)</f>
        <v>0</v>
      </c>
      <c r="Q228" s="9">
        <f>IFERROR(__xludf.DUMMYFUNCTION("SUM(QUERY(Entregas_BD!D:L,""select J where D='""&amp;D228&amp;""'"",1))"),0.0)</f>
        <v>0</v>
      </c>
      <c r="R228" s="15">
        <f>IFERROR(__xludf.DUMMYFUNCTION("SUM(QUERY(Entregas_BD!D:L,""select K where D='""&amp;D228&amp;""'"",1))"),0.0)</f>
        <v>0</v>
      </c>
      <c r="S228" s="15">
        <f>IFERROR(__xludf.DUMMYFUNCTION("SUM(QUERY(Entregas_BD!D:L,""select L where D='""&amp;D228&amp;""'"",1))"),0.0)</f>
        <v>0</v>
      </c>
      <c r="T228" s="9">
        <f>IFERROR(__xludf.DUMMYFUNCTION("SUM(QUERY(Entregas_BD!D:AL,""select AG where D='""&amp;D228&amp;""'"",1))"),0.0)</f>
        <v>0</v>
      </c>
      <c r="U228" s="9">
        <f>IFERROR(__xludf.DUMMYFUNCTION("SUM(QUERY(Entregas_BD!D:AL,""select AH where D='""&amp;D228&amp;""'"",1))"),0.0)</f>
        <v>0</v>
      </c>
      <c r="V228" s="9">
        <f>IFERROR(__xludf.DUMMYFUNCTION("SUM(QUERY(Entregas_BD!D:AL,""select AI where D='""&amp;D228&amp;""'"",1))"),0.0)</f>
        <v>0</v>
      </c>
      <c r="W228" s="9">
        <f>IFERROR(__xludf.DUMMYFUNCTION("SUM(QUERY(Entregas_BD!D:AL,""select AJ where D='""&amp;D228&amp;""'"",1))"),0.0)</f>
        <v>0</v>
      </c>
      <c r="X228" s="9">
        <f>IFERROR(__xludf.DUMMYFUNCTION("SUM(QUERY(Entregas_BD!D:AL,""select AL where D='""&amp;D228&amp;""'"",1))"),0.0)</f>
        <v>0</v>
      </c>
      <c r="Y228" s="9">
        <f>IFERROR(__xludf.DUMMYFUNCTION("SUM(QUERY(Entregas_BD!D:AL,""select AK where D='""&amp;D228&amp;""'"",1))"),0.0)</f>
        <v>0</v>
      </c>
      <c r="Z228" s="9">
        <v>0.0</v>
      </c>
      <c r="AA228" s="9">
        <v>0.0</v>
      </c>
      <c r="AB228" s="9">
        <v>0.0</v>
      </c>
      <c r="AC228" s="9">
        <v>0.0</v>
      </c>
      <c r="AD228" s="9">
        <v>0.0</v>
      </c>
      <c r="AE228" s="9">
        <v>0.0</v>
      </c>
      <c r="AF228" s="28"/>
      <c r="AG228" s="15">
        <f>IFERROR(__xludf.DUMMYFUNCTION("SUM(QUERY(Entregas_BD!D:W,""select U where D='""&amp;D228&amp;""'"",1))"),0.0)</f>
        <v>0</v>
      </c>
      <c r="AH228" s="15">
        <f>IFERROR(__xludf.DUMMYFUNCTION("SUM(QUERY(Entregas_BD!D:W,""select S where D='""&amp;D228&amp;""'"",1))"),0.0)</f>
        <v>0</v>
      </c>
      <c r="AI228" s="15">
        <f>IFERROR(__xludf.DUMMYFUNCTION("SUM(QUERY(Entregas_BD!D:W,""select T where D='""&amp;D228&amp;""'"",1))"),0.0)</f>
        <v>0</v>
      </c>
    </row>
    <row r="229" ht="19.5" customHeight="1">
      <c r="A229" s="31"/>
      <c r="B229" s="32"/>
      <c r="C229" s="19">
        <v>228.0</v>
      </c>
      <c r="D229" s="20" t="s">
        <v>612</v>
      </c>
      <c r="E229" s="20" t="s">
        <v>44</v>
      </c>
      <c r="F229" s="20" t="s">
        <v>121</v>
      </c>
      <c r="G229" s="20" t="s">
        <v>45</v>
      </c>
      <c r="H229" s="19" t="s">
        <v>51</v>
      </c>
      <c r="I229" s="21" t="s">
        <v>41</v>
      </c>
      <c r="J229" s="34"/>
      <c r="K229" s="19"/>
      <c r="L229" s="58"/>
      <c r="M229" s="19"/>
      <c r="N229" s="19">
        <f>IFERROR(__xludf.DUMMYFUNCTION("SUM(QUERY(Entregas_BD!D:L,""select G where D='""&amp;D229&amp;""'"",1))"),0.0)</f>
        <v>0</v>
      </c>
      <c r="O229" s="19">
        <f>IFERROR(__xludf.DUMMYFUNCTION("SUM(QUERY(Entregas_BD!D:L,""select H where D='""&amp;D229&amp;""'"",1))"),0.0)</f>
        <v>0</v>
      </c>
      <c r="P229" s="19">
        <f>IFERROR(__xludf.DUMMYFUNCTION("SUM(QUERY(Entregas_BD!D:L,""select I where D='""&amp;D229&amp;""'"",1))"),0.0)</f>
        <v>0</v>
      </c>
      <c r="Q229" s="19">
        <f>IFERROR(__xludf.DUMMYFUNCTION("SUM(QUERY(Entregas_BD!D:L,""select J where D='""&amp;D229&amp;""'"",1))"),0.0)</f>
        <v>0</v>
      </c>
      <c r="R229" s="24">
        <f>IFERROR(__xludf.DUMMYFUNCTION("SUM(QUERY(Entregas_BD!D:L,""select K where D='""&amp;D229&amp;""'"",1))"),0.0)</f>
        <v>0</v>
      </c>
      <c r="S229" s="24">
        <f>IFERROR(__xludf.DUMMYFUNCTION("SUM(QUERY(Entregas_BD!D:L,""select L where D='""&amp;D229&amp;""'"",1))"),0.0)</f>
        <v>0</v>
      </c>
      <c r="T229" s="19">
        <f>IFERROR(__xludf.DUMMYFUNCTION("SUM(QUERY(Entregas_BD!D:AL,""select AG where D='""&amp;D229&amp;""'"",1))"),0.0)</f>
        <v>0</v>
      </c>
      <c r="U229" s="19">
        <f>IFERROR(__xludf.DUMMYFUNCTION("SUM(QUERY(Entregas_BD!D:AL,""select AH where D='""&amp;D229&amp;""'"",1))"),0.0)</f>
        <v>0</v>
      </c>
      <c r="V229" s="19">
        <f>IFERROR(__xludf.DUMMYFUNCTION("SUM(QUERY(Entregas_BD!D:AL,""select AI where D='""&amp;D229&amp;""'"",1))"),0.0)</f>
        <v>0</v>
      </c>
      <c r="W229" s="19">
        <f>IFERROR(__xludf.DUMMYFUNCTION("SUM(QUERY(Entregas_BD!D:AL,""select AJ where D='""&amp;D229&amp;""'"",1))"),0.0)</f>
        <v>0</v>
      </c>
      <c r="X229" s="19">
        <f>IFERROR(__xludf.DUMMYFUNCTION("SUM(QUERY(Entregas_BD!D:AL,""select AL where D='""&amp;D229&amp;""'"",1))"),0.0)</f>
        <v>0</v>
      </c>
      <c r="Y229" s="19">
        <f>IFERROR(__xludf.DUMMYFUNCTION("SUM(QUERY(Entregas_BD!D:AL,""select AK where D='""&amp;D229&amp;""'"",1))"),0.0)</f>
        <v>0</v>
      </c>
      <c r="Z229" s="19">
        <v>0.0</v>
      </c>
      <c r="AA229" s="19">
        <v>0.0</v>
      </c>
      <c r="AB229" s="19">
        <v>0.0</v>
      </c>
      <c r="AC229" s="19">
        <v>0.0</v>
      </c>
      <c r="AD229" s="19">
        <v>0.0</v>
      </c>
      <c r="AE229" s="19">
        <v>0.0</v>
      </c>
      <c r="AF229" s="51"/>
      <c r="AG229" s="24">
        <f>IFERROR(__xludf.DUMMYFUNCTION("SUM(QUERY(Entregas_BD!D:W,""select U where D='""&amp;D229&amp;""'"",1))"),0.0)</f>
        <v>0</v>
      </c>
      <c r="AH229" s="24">
        <f>IFERROR(__xludf.DUMMYFUNCTION("SUM(QUERY(Entregas_BD!D:W,""select S where D='""&amp;D229&amp;""'"",1))"),0.0)</f>
        <v>0</v>
      </c>
      <c r="AI229" s="24">
        <f>IFERROR(__xludf.DUMMYFUNCTION("SUM(QUERY(Entregas_BD!D:W,""select T where D='""&amp;D229&amp;""'"",1))"),0.0)</f>
        <v>0</v>
      </c>
    </row>
    <row r="230" ht="19.5" customHeight="1">
      <c r="A230" s="7"/>
      <c r="B230" s="8"/>
      <c r="C230" s="9">
        <v>229.0</v>
      </c>
      <c r="D230" s="10" t="s">
        <v>613</v>
      </c>
      <c r="E230" s="10" t="s">
        <v>58</v>
      </c>
      <c r="F230" s="10" t="s">
        <v>614</v>
      </c>
      <c r="G230" s="10" t="s">
        <v>45</v>
      </c>
      <c r="H230" s="9" t="s">
        <v>40</v>
      </c>
      <c r="I230" s="11" t="s">
        <v>41</v>
      </c>
      <c r="J230" s="12"/>
      <c r="K230" s="9"/>
      <c r="L230" s="57"/>
      <c r="M230" s="9"/>
      <c r="N230" s="9">
        <f>IFERROR(__xludf.DUMMYFUNCTION("SUM(QUERY(Entregas_BD!D:L,""select G where D='""&amp;D230&amp;""'"",1))"),0.0)</f>
        <v>0</v>
      </c>
      <c r="O230" s="9">
        <f>IFERROR(__xludf.DUMMYFUNCTION("SUM(QUERY(Entregas_BD!D:L,""select H where D='""&amp;D230&amp;""'"",1))"),0.0)</f>
        <v>0</v>
      </c>
      <c r="P230" s="9">
        <f>IFERROR(__xludf.DUMMYFUNCTION("SUM(QUERY(Entregas_BD!D:L,""select I where D='""&amp;D230&amp;""'"",1))"),0.0)</f>
        <v>0</v>
      </c>
      <c r="Q230" s="9">
        <f>IFERROR(__xludf.DUMMYFUNCTION("SUM(QUERY(Entregas_BD!D:L,""select J where D='""&amp;D230&amp;""'"",1))"),0.0)</f>
        <v>0</v>
      </c>
      <c r="R230" s="15">
        <f>IFERROR(__xludf.DUMMYFUNCTION("SUM(QUERY(Entregas_BD!D:L,""select K where D='""&amp;D230&amp;""'"",1))"),0.0)</f>
        <v>0</v>
      </c>
      <c r="S230" s="15">
        <f>IFERROR(__xludf.DUMMYFUNCTION("SUM(QUERY(Entregas_BD!D:L,""select L where D='""&amp;D230&amp;""'"",1))"),0.0)</f>
        <v>0</v>
      </c>
      <c r="T230" s="9">
        <f>IFERROR(__xludf.DUMMYFUNCTION("SUM(QUERY(Entregas_BD!D:AL,""select AG where D='""&amp;D230&amp;""'"",1))"),0.0)</f>
        <v>0</v>
      </c>
      <c r="U230" s="9">
        <f>IFERROR(__xludf.DUMMYFUNCTION("SUM(QUERY(Entregas_BD!D:AL,""select AH where D='""&amp;D230&amp;""'"",1))"),0.0)</f>
        <v>0</v>
      </c>
      <c r="V230" s="9">
        <f>IFERROR(__xludf.DUMMYFUNCTION("SUM(QUERY(Entregas_BD!D:AL,""select AI where D='""&amp;D230&amp;""'"",1))"),0.0)</f>
        <v>0</v>
      </c>
      <c r="W230" s="9">
        <f>IFERROR(__xludf.DUMMYFUNCTION("SUM(QUERY(Entregas_BD!D:AL,""select AJ where D='""&amp;D230&amp;""'"",1))"),0.0)</f>
        <v>0</v>
      </c>
      <c r="X230" s="9">
        <f>IFERROR(__xludf.DUMMYFUNCTION("SUM(QUERY(Entregas_BD!D:AL,""select AL where D='""&amp;D230&amp;""'"",1))"),0.0)</f>
        <v>0</v>
      </c>
      <c r="Y230" s="9">
        <f>IFERROR(__xludf.DUMMYFUNCTION("SUM(QUERY(Entregas_BD!D:AL,""select AK where D='""&amp;D230&amp;""'"",1))"),0.0)</f>
        <v>0</v>
      </c>
      <c r="Z230" s="9">
        <v>0.0</v>
      </c>
      <c r="AA230" s="9">
        <v>0.0</v>
      </c>
      <c r="AB230" s="9">
        <v>0.0</v>
      </c>
      <c r="AC230" s="9">
        <v>0.0</v>
      </c>
      <c r="AD230" s="9">
        <v>0.0</v>
      </c>
      <c r="AE230" s="9">
        <v>0.0</v>
      </c>
      <c r="AF230" s="28"/>
      <c r="AG230" s="15">
        <f>IFERROR(__xludf.DUMMYFUNCTION("SUM(QUERY(Entregas_BD!D:W,""select U where D='""&amp;D230&amp;""'"",1))"),0.0)</f>
        <v>0</v>
      </c>
      <c r="AH230" s="15">
        <f>IFERROR(__xludf.DUMMYFUNCTION("SUM(QUERY(Entregas_BD!D:W,""select S where D='""&amp;D230&amp;""'"",1))"),0.0)</f>
        <v>0</v>
      </c>
      <c r="AI230" s="15">
        <f>IFERROR(__xludf.DUMMYFUNCTION("SUM(QUERY(Entregas_BD!D:W,""select T where D='""&amp;D230&amp;""'"",1))"),0.0)</f>
        <v>0</v>
      </c>
    </row>
    <row r="231" ht="19.5" customHeight="1">
      <c r="A231" s="31"/>
      <c r="B231" s="32"/>
      <c r="C231" s="19">
        <v>230.0</v>
      </c>
      <c r="D231" s="20" t="s">
        <v>615</v>
      </c>
      <c r="E231" s="20" t="s">
        <v>58</v>
      </c>
      <c r="F231" s="20" t="s">
        <v>45</v>
      </c>
      <c r="G231" s="20" t="s">
        <v>616</v>
      </c>
      <c r="H231" s="34" t="s">
        <v>617</v>
      </c>
      <c r="I231" s="21" t="s">
        <v>41</v>
      </c>
      <c r="J231" s="34"/>
      <c r="K231" s="34"/>
      <c r="L231" s="42"/>
      <c r="M231" s="22"/>
      <c r="N231" s="19">
        <f>IFERROR(__xludf.DUMMYFUNCTION("SUM(QUERY(Entregas_BD!D:L,""select G where D='""&amp;D231&amp;""'"",1))"),0.0)</f>
        <v>0</v>
      </c>
      <c r="O231" s="19">
        <f>IFERROR(__xludf.DUMMYFUNCTION("SUM(QUERY(Entregas_BD!D:L,""select H where D='""&amp;D231&amp;""'"",1))"),0.0)</f>
        <v>0</v>
      </c>
      <c r="P231" s="19">
        <f>IFERROR(__xludf.DUMMYFUNCTION("SUM(QUERY(Entregas_BD!D:L,""select I where D='""&amp;D231&amp;""'"",1))"),0.0)</f>
        <v>0</v>
      </c>
      <c r="Q231" s="19">
        <f>IFERROR(__xludf.DUMMYFUNCTION("SUM(QUERY(Entregas_BD!D:L,""select J where D='""&amp;D231&amp;""'"",1))"),0.0)</f>
        <v>0</v>
      </c>
      <c r="R231" s="24">
        <f>IFERROR(__xludf.DUMMYFUNCTION("SUM(QUERY(Entregas_BD!D:L,""select K where D='""&amp;D231&amp;""'"",1))"),0.0)</f>
        <v>0</v>
      </c>
      <c r="S231" s="24">
        <f>IFERROR(__xludf.DUMMYFUNCTION("SUM(QUERY(Entregas_BD!D:L,""select L where D='""&amp;D231&amp;""'"",1))"),0.0)</f>
        <v>0</v>
      </c>
      <c r="T231" s="19">
        <f>IFERROR(__xludf.DUMMYFUNCTION("SUM(QUERY(Entregas_BD!D:AL,""select AG where D='""&amp;D231&amp;""'"",1))"),0.0)</f>
        <v>0</v>
      </c>
      <c r="U231" s="19">
        <f>IFERROR(__xludf.DUMMYFUNCTION("SUM(QUERY(Entregas_BD!D:AL,""select AH where D='""&amp;D231&amp;""'"",1))"),0.0)</f>
        <v>0</v>
      </c>
      <c r="V231" s="19">
        <f>IFERROR(__xludf.DUMMYFUNCTION("SUM(QUERY(Entregas_BD!D:AL,""select AI where D='""&amp;D231&amp;""'"",1))"),0.0)</f>
        <v>0</v>
      </c>
      <c r="W231" s="19">
        <f>IFERROR(__xludf.DUMMYFUNCTION("SUM(QUERY(Entregas_BD!D:AL,""select AJ where D='""&amp;D231&amp;""'"",1))"),0.0)</f>
        <v>0</v>
      </c>
      <c r="X231" s="19">
        <f>IFERROR(__xludf.DUMMYFUNCTION("SUM(QUERY(Entregas_BD!D:AL,""select AL where D='""&amp;D231&amp;""'"",1))"),0.0)</f>
        <v>0</v>
      </c>
      <c r="Y231" s="19">
        <f>IFERROR(__xludf.DUMMYFUNCTION("SUM(QUERY(Entregas_BD!D:AL,""select AK where D='""&amp;D231&amp;""'"",1))"),0.0)</f>
        <v>0</v>
      </c>
      <c r="Z231" s="19">
        <v>0.0</v>
      </c>
      <c r="AA231" s="19">
        <v>0.0</v>
      </c>
      <c r="AB231" s="19">
        <v>0.0</v>
      </c>
      <c r="AC231" s="19">
        <v>0.0</v>
      </c>
      <c r="AD231" s="19">
        <v>0.0</v>
      </c>
      <c r="AE231" s="19">
        <v>0.0</v>
      </c>
      <c r="AF231" s="51"/>
      <c r="AG231" s="24">
        <f>IFERROR(__xludf.DUMMYFUNCTION("SUM(QUERY(Entregas_BD!D:W,""select U where D='""&amp;D231&amp;""'"",1))"),0.0)</f>
        <v>0</v>
      </c>
      <c r="AH231" s="24">
        <f>IFERROR(__xludf.DUMMYFUNCTION("SUM(QUERY(Entregas_BD!D:W,""select S where D='""&amp;D231&amp;""'"",1))"),0.0)</f>
        <v>0</v>
      </c>
      <c r="AI231" s="24">
        <f>IFERROR(__xludf.DUMMYFUNCTION("SUM(QUERY(Entregas_BD!D:W,""select T where D='""&amp;D231&amp;""'"",1))"),0.0)</f>
        <v>0</v>
      </c>
    </row>
    <row r="232" ht="19.5" customHeight="1">
      <c r="A232" s="7"/>
      <c r="B232" s="8"/>
      <c r="C232" s="9">
        <v>231.0</v>
      </c>
      <c r="D232" s="10" t="s">
        <v>618</v>
      </c>
      <c r="E232" s="10" t="s">
        <v>44</v>
      </c>
      <c r="F232" s="10" t="s">
        <v>45</v>
      </c>
      <c r="G232" s="10" t="s">
        <v>619</v>
      </c>
      <c r="H232" s="12" t="s">
        <v>593</v>
      </c>
      <c r="I232" s="11" t="s">
        <v>41</v>
      </c>
      <c r="J232" s="12"/>
      <c r="K232" s="12"/>
      <c r="L232" s="13"/>
      <c r="M232" s="28"/>
      <c r="N232" s="9">
        <f>IFERROR(__xludf.DUMMYFUNCTION("SUM(QUERY(Entregas_BD!D:L,""select G where D='""&amp;D232&amp;""'"",1))"),0.0)</f>
        <v>0</v>
      </c>
      <c r="O232" s="9">
        <f>IFERROR(__xludf.DUMMYFUNCTION("SUM(QUERY(Entregas_BD!D:L,""select H where D='""&amp;D232&amp;""'"",1))"),0.0)</f>
        <v>0</v>
      </c>
      <c r="P232" s="9">
        <f>IFERROR(__xludf.DUMMYFUNCTION("SUM(QUERY(Entregas_BD!D:L,""select I where D='""&amp;D232&amp;""'"",1))"),0.0)</f>
        <v>0</v>
      </c>
      <c r="Q232" s="9">
        <f>IFERROR(__xludf.DUMMYFUNCTION("SUM(QUERY(Entregas_BD!D:L,""select J where D='""&amp;D232&amp;""'"",1))"),0.0)</f>
        <v>0</v>
      </c>
      <c r="R232" s="15">
        <f>IFERROR(__xludf.DUMMYFUNCTION("SUM(QUERY(Entregas_BD!D:L,""select K where D='""&amp;D232&amp;""'"",1))"),0.0)</f>
        <v>0</v>
      </c>
      <c r="S232" s="15">
        <f>IFERROR(__xludf.DUMMYFUNCTION("SUM(QUERY(Entregas_BD!D:L,""select L where D='""&amp;D232&amp;""'"",1))"),0.0)</f>
        <v>0</v>
      </c>
      <c r="T232" s="9">
        <f>IFERROR(__xludf.DUMMYFUNCTION("SUM(QUERY(Entregas_BD!D:AL,""select AG where D='""&amp;D232&amp;""'"",1))"),0.0)</f>
        <v>0</v>
      </c>
      <c r="U232" s="9">
        <f>IFERROR(__xludf.DUMMYFUNCTION("SUM(QUERY(Entregas_BD!D:AL,""select AH where D='""&amp;D232&amp;""'"",1))"),0.0)</f>
        <v>0</v>
      </c>
      <c r="V232" s="9">
        <f>IFERROR(__xludf.DUMMYFUNCTION("SUM(QUERY(Entregas_BD!D:AL,""select AI where D='""&amp;D232&amp;""'"",1))"),0.0)</f>
        <v>0</v>
      </c>
      <c r="W232" s="9">
        <f>IFERROR(__xludf.DUMMYFUNCTION("SUM(QUERY(Entregas_BD!D:AL,""select AJ where D='""&amp;D232&amp;""'"",1))"),0.0)</f>
        <v>0</v>
      </c>
      <c r="X232" s="9">
        <f>IFERROR(__xludf.DUMMYFUNCTION("SUM(QUERY(Entregas_BD!D:AL,""select AL where D='""&amp;D232&amp;""'"",1))"),0.0)</f>
        <v>0</v>
      </c>
      <c r="Y232" s="9">
        <f>IFERROR(__xludf.DUMMYFUNCTION("SUM(QUERY(Entregas_BD!D:AL,""select AK where D='""&amp;D232&amp;""'"",1))"),0.0)</f>
        <v>0</v>
      </c>
      <c r="Z232" s="9">
        <v>0.0</v>
      </c>
      <c r="AA232" s="9">
        <v>0.0</v>
      </c>
      <c r="AB232" s="9">
        <v>0.0</v>
      </c>
      <c r="AC232" s="9">
        <v>0.0</v>
      </c>
      <c r="AD232" s="9">
        <v>0.0</v>
      </c>
      <c r="AE232" s="9">
        <v>0.0</v>
      </c>
      <c r="AF232" s="52"/>
      <c r="AG232" s="15">
        <f>IFERROR(__xludf.DUMMYFUNCTION("SUM(QUERY(Entregas_BD!D:W,""select U where D='""&amp;D232&amp;""'"",1))"),0.0)</f>
        <v>0</v>
      </c>
      <c r="AH232" s="15">
        <f>IFERROR(__xludf.DUMMYFUNCTION("SUM(QUERY(Entregas_BD!D:W,""select S where D='""&amp;D232&amp;""'"",1))"),0.0)</f>
        <v>0</v>
      </c>
      <c r="AI232" s="15">
        <f>IFERROR(__xludf.DUMMYFUNCTION("SUM(QUERY(Entregas_BD!D:W,""select T where D='""&amp;D232&amp;""'"",1))"),0.0)</f>
        <v>0</v>
      </c>
    </row>
    <row r="233" ht="19.5" customHeight="1">
      <c r="A233" s="31"/>
      <c r="B233" s="32"/>
      <c r="C233" s="19">
        <v>232.0</v>
      </c>
      <c r="D233" s="20" t="s">
        <v>620</v>
      </c>
      <c r="E233" s="20" t="s">
        <v>44</v>
      </c>
      <c r="F233" s="20" t="s">
        <v>45</v>
      </c>
      <c r="G233" s="20" t="s">
        <v>621</v>
      </c>
      <c r="H233" s="34" t="s">
        <v>622</v>
      </c>
      <c r="I233" s="21" t="s">
        <v>41</v>
      </c>
      <c r="J233" s="34"/>
      <c r="K233" s="34"/>
      <c r="L233" s="42"/>
      <c r="M233" s="22"/>
      <c r="N233" s="19">
        <f>IFERROR(__xludf.DUMMYFUNCTION("SUM(QUERY(Entregas_BD!D:L,""select G where D='""&amp;D233&amp;""'"",1))"),0.0)</f>
        <v>0</v>
      </c>
      <c r="O233" s="19">
        <f>IFERROR(__xludf.DUMMYFUNCTION("SUM(QUERY(Entregas_BD!D:L,""select H where D='""&amp;D233&amp;""'"",1))"),0.0)</f>
        <v>0</v>
      </c>
      <c r="P233" s="19">
        <f>IFERROR(__xludf.DUMMYFUNCTION("SUM(QUERY(Entregas_BD!D:L,""select I where D='""&amp;D233&amp;""'"",1))"),0.0)</f>
        <v>0</v>
      </c>
      <c r="Q233" s="19">
        <f>IFERROR(__xludf.DUMMYFUNCTION("SUM(QUERY(Entregas_BD!D:L,""select J where D='""&amp;D233&amp;""'"",1))"),0.0)</f>
        <v>0</v>
      </c>
      <c r="R233" s="24">
        <f>IFERROR(__xludf.DUMMYFUNCTION("SUM(QUERY(Entregas_BD!D:L,""select K where D='""&amp;D233&amp;""'"",1))"),0.0)</f>
        <v>0</v>
      </c>
      <c r="S233" s="24">
        <f>IFERROR(__xludf.DUMMYFUNCTION("SUM(QUERY(Entregas_BD!D:L,""select L where D='""&amp;D233&amp;""'"",1))"),0.0)</f>
        <v>0</v>
      </c>
      <c r="T233" s="19">
        <f>IFERROR(__xludf.DUMMYFUNCTION("SUM(QUERY(Entregas_BD!D:AL,""select AG where D='""&amp;D233&amp;""'"",1))"),50.0)</f>
        <v>50</v>
      </c>
      <c r="U233" s="19">
        <f>IFERROR(__xludf.DUMMYFUNCTION("SUM(QUERY(Entregas_BD!D:AL,""select AH where D='""&amp;D233&amp;""'"",1))"),0.0)</f>
        <v>0</v>
      </c>
      <c r="V233" s="19">
        <f>IFERROR(__xludf.DUMMYFUNCTION("SUM(QUERY(Entregas_BD!D:AL,""select AI where D='""&amp;D233&amp;""'"",1))"),0.0)</f>
        <v>0</v>
      </c>
      <c r="W233" s="19">
        <f>IFERROR(__xludf.DUMMYFUNCTION("SUM(QUERY(Entregas_BD!D:AL,""select AJ where D='""&amp;D233&amp;""'"",1))"),50.0)</f>
        <v>50</v>
      </c>
      <c r="X233" s="19">
        <f>IFERROR(__xludf.DUMMYFUNCTION("SUM(QUERY(Entregas_BD!D:AL,""select AL where D='""&amp;D233&amp;""'"",1))"),0.0)</f>
        <v>0</v>
      </c>
      <c r="Y233" s="19">
        <f>IFERROR(__xludf.DUMMYFUNCTION("SUM(QUERY(Entregas_BD!D:AL,""select AK where D='""&amp;D233&amp;""'"",1))"),6.0)</f>
        <v>6</v>
      </c>
      <c r="Z233" s="19">
        <v>-50.0</v>
      </c>
      <c r="AA233" s="19">
        <v>0.0</v>
      </c>
      <c r="AB233" s="19">
        <v>0.0</v>
      </c>
      <c r="AC233" s="19">
        <v>-50.0</v>
      </c>
      <c r="AD233" s="19">
        <v>-6.0</v>
      </c>
      <c r="AE233" s="19">
        <v>0.0</v>
      </c>
      <c r="AF233" s="51"/>
      <c r="AG233" s="24">
        <f>IFERROR(__xludf.DUMMYFUNCTION("SUM(QUERY(Entregas_BD!D:W,""select U where D='""&amp;D233&amp;""'"",1))"),0.0)</f>
        <v>0</v>
      </c>
      <c r="AH233" s="24">
        <f>IFERROR(__xludf.DUMMYFUNCTION("SUM(QUERY(Entregas_BD!D:W,""select S where D='""&amp;D233&amp;""'"",1))"),0.0)</f>
        <v>0</v>
      </c>
      <c r="AI233" s="24">
        <f>IFERROR(__xludf.DUMMYFUNCTION("SUM(QUERY(Entregas_BD!D:W,""select T where D='""&amp;D233&amp;""'"",1))"),0.0)</f>
        <v>0</v>
      </c>
    </row>
    <row r="234" ht="19.5" customHeight="1">
      <c r="A234" s="7"/>
      <c r="B234" s="8"/>
      <c r="C234" s="9">
        <v>233.0</v>
      </c>
      <c r="D234" s="10" t="s">
        <v>623</v>
      </c>
      <c r="E234" s="10" t="s">
        <v>235</v>
      </c>
      <c r="F234" s="10" t="s">
        <v>624</v>
      </c>
      <c r="G234" s="10" t="s">
        <v>625</v>
      </c>
      <c r="H234" s="12" t="s">
        <v>593</v>
      </c>
      <c r="I234" s="11" t="s">
        <v>41</v>
      </c>
      <c r="J234" s="60"/>
      <c r="K234" s="12"/>
      <c r="L234" s="13"/>
      <c r="M234" s="28"/>
      <c r="N234" s="9">
        <f>IFERROR(__xludf.DUMMYFUNCTION("SUM(QUERY(Entregas_BD!D:L,""select G where D='""&amp;D234&amp;""'"",1))"),0.0)</f>
        <v>0</v>
      </c>
      <c r="O234" s="9">
        <f>IFERROR(__xludf.DUMMYFUNCTION("SUM(QUERY(Entregas_BD!D:L,""select H where D='""&amp;D234&amp;""'"",1))"),0.0)</f>
        <v>0</v>
      </c>
      <c r="P234" s="9">
        <f>IFERROR(__xludf.DUMMYFUNCTION("SUM(QUERY(Entregas_BD!D:L,""select I where D='""&amp;D234&amp;""'"",1))"),0.0)</f>
        <v>0</v>
      </c>
      <c r="Q234" s="9">
        <f>IFERROR(__xludf.DUMMYFUNCTION("SUM(QUERY(Entregas_BD!D:L,""select J where D='""&amp;D234&amp;""'"",1))"),0.0)</f>
        <v>0</v>
      </c>
      <c r="R234" s="15">
        <f>IFERROR(__xludf.DUMMYFUNCTION("SUM(QUERY(Entregas_BD!D:L,""select K where D='""&amp;D234&amp;""'"",1))"),0.0)</f>
        <v>0</v>
      </c>
      <c r="S234" s="15">
        <f>IFERROR(__xludf.DUMMYFUNCTION("SUM(QUERY(Entregas_BD!D:L,""select L where D='""&amp;D234&amp;""'"",1))"),0.0)</f>
        <v>0</v>
      </c>
      <c r="T234" s="9">
        <f>IFERROR(__xludf.DUMMYFUNCTION("SUM(QUERY(Entregas_BD!D:AL,""select AG where D='""&amp;D234&amp;""'"",1))"),100.0)</f>
        <v>100</v>
      </c>
      <c r="U234" s="9">
        <f>IFERROR(__xludf.DUMMYFUNCTION("SUM(QUERY(Entregas_BD!D:AL,""select AH where D='""&amp;D234&amp;""'"",1))"),0.0)</f>
        <v>0</v>
      </c>
      <c r="V234" s="9">
        <f>IFERROR(__xludf.DUMMYFUNCTION("SUM(QUERY(Entregas_BD!D:AL,""select AI where D='""&amp;D234&amp;""'"",1))"),0.0)</f>
        <v>0</v>
      </c>
      <c r="W234" s="9">
        <f>IFERROR(__xludf.DUMMYFUNCTION("SUM(QUERY(Entregas_BD!D:AL,""select AJ where D='""&amp;D234&amp;""'"",1))"),100.0)</f>
        <v>100</v>
      </c>
      <c r="X234" s="9">
        <f>IFERROR(__xludf.DUMMYFUNCTION("SUM(QUERY(Entregas_BD!D:AL,""select AL where D='""&amp;D234&amp;""'"",1))"),0.0)</f>
        <v>0</v>
      </c>
      <c r="Y234" s="9">
        <f>IFERROR(__xludf.DUMMYFUNCTION("SUM(QUERY(Entregas_BD!D:AL,""select AK where D='""&amp;D234&amp;""'"",1))"),0.0)</f>
        <v>0</v>
      </c>
      <c r="Z234" s="9">
        <v>-100.0</v>
      </c>
      <c r="AA234" s="9">
        <v>0.0</v>
      </c>
      <c r="AB234" s="9">
        <v>0.0</v>
      </c>
      <c r="AC234" s="9">
        <v>-100.0</v>
      </c>
      <c r="AD234" s="9">
        <v>0.0</v>
      </c>
      <c r="AE234" s="9">
        <v>0.0</v>
      </c>
      <c r="AF234" s="28"/>
      <c r="AG234" s="15">
        <f>IFERROR(__xludf.DUMMYFUNCTION("SUM(QUERY(Entregas_BD!D:W,""select U where D='""&amp;D234&amp;""'"",1))"),0.0)</f>
        <v>0</v>
      </c>
      <c r="AH234" s="15">
        <f>IFERROR(__xludf.DUMMYFUNCTION("SUM(QUERY(Entregas_BD!D:W,""select S where D='""&amp;D234&amp;""'"",1))"),0.0)</f>
        <v>0</v>
      </c>
      <c r="AI234" s="15">
        <f>IFERROR(__xludf.DUMMYFUNCTION("SUM(QUERY(Entregas_BD!D:W,""select T where D='""&amp;D234&amp;""'"",1))"),0.0)</f>
        <v>0</v>
      </c>
    </row>
    <row r="235" ht="19.5" customHeight="1">
      <c r="A235" s="31"/>
      <c r="B235" s="32"/>
      <c r="C235" s="19">
        <v>234.0</v>
      </c>
      <c r="D235" s="20" t="s">
        <v>626</v>
      </c>
      <c r="E235" s="20" t="s">
        <v>197</v>
      </c>
      <c r="F235" s="20" t="s">
        <v>243</v>
      </c>
      <c r="G235" s="20" t="s">
        <v>627</v>
      </c>
      <c r="H235" s="34" t="s">
        <v>628</v>
      </c>
      <c r="I235" s="21" t="s">
        <v>47</v>
      </c>
      <c r="J235" s="61"/>
      <c r="K235" s="34"/>
      <c r="L235" s="42"/>
      <c r="M235" s="22"/>
      <c r="N235" s="19">
        <f>IFERROR(__xludf.DUMMYFUNCTION("SUM(QUERY(Entregas_BD!D:L,""select G where D='""&amp;D235&amp;""'"",1))"),0.0)</f>
        <v>0</v>
      </c>
      <c r="O235" s="19">
        <f>IFERROR(__xludf.DUMMYFUNCTION("SUM(QUERY(Entregas_BD!D:L,""select H where D='""&amp;D235&amp;""'"",1))"),0.0)</f>
        <v>0</v>
      </c>
      <c r="P235" s="19">
        <f>IFERROR(__xludf.DUMMYFUNCTION("SUM(QUERY(Entregas_BD!D:L,""select I where D='""&amp;D235&amp;""'"",1))"),0.0)</f>
        <v>0</v>
      </c>
      <c r="Q235" s="19">
        <f>IFERROR(__xludf.DUMMYFUNCTION("SUM(QUERY(Entregas_BD!D:L,""select J where D='""&amp;D235&amp;""'"",1))"),0.0)</f>
        <v>0</v>
      </c>
      <c r="R235" s="24">
        <f>IFERROR(__xludf.DUMMYFUNCTION("SUM(QUERY(Entregas_BD!D:L,""select K where D='""&amp;D235&amp;""'"",1))"),0.0)</f>
        <v>0</v>
      </c>
      <c r="S235" s="24">
        <f>IFERROR(__xludf.DUMMYFUNCTION("SUM(QUERY(Entregas_BD!D:L,""select L where D='""&amp;D235&amp;""'"",1))"),0.0)</f>
        <v>0</v>
      </c>
      <c r="T235" s="19">
        <f>IFERROR(__xludf.DUMMYFUNCTION("SUM(QUERY(Entregas_BD!D:AL,""select AG where D='""&amp;D235&amp;""'"",1))"),0.0)</f>
        <v>0</v>
      </c>
      <c r="U235" s="19">
        <f>IFERROR(__xludf.DUMMYFUNCTION("SUM(QUERY(Entregas_BD!D:AL,""select AH where D='""&amp;D235&amp;""'"",1))"),0.0)</f>
        <v>0</v>
      </c>
      <c r="V235" s="19">
        <f>IFERROR(__xludf.DUMMYFUNCTION("SUM(QUERY(Entregas_BD!D:AL,""select AI where D='""&amp;D235&amp;""'"",1))"),0.0)</f>
        <v>0</v>
      </c>
      <c r="W235" s="19">
        <f>IFERROR(__xludf.DUMMYFUNCTION("SUM(QUERY(Entregas_BD!D:AL,""select AJ where D='""&amp;D235&amp;""'"",1))"),0.0)</f>
        <v>0</v>
      </c>
      <c r="X235" s="19">
        <f>IFERROR(__xludf.DUMMYFUNCTION("SUM(QUERY(Entregas_BD!D:AL,""select AL where D='""&amp;D235&amp;""'"",1))"),0.0)</f>
        <v>0</v>
      </c>
      <c r="Y235" s="19">
        <f>IFERROR(__xludf.DUMMYFUNCTION("SUM(QUERY(Entregas_BD!D:AL,""select AK where D='""&amp;D235&amp;""'"",1))"),0.0)</f>
        <v>0</v>
      </c>
      <c r="Z235" s="19">
        <v>0.0</v>
      </c>
      <c r="AA235" s="19">
        <v>0.0</v>
      </c>
      <c r="AB235" s="19">
        <v>0.0</v>
      </c>
      <c r="AC235" s="19">
        <v>0.0</v>
      </c>
      <c r="AD235" s="19">
        <v>0.0</v>
      </c>
      <c r="AE235" s="19">
        <v>0.0</v>
      </c>
      <c r="AF235" s="22"/>
      <c r="AG235" s="24">
        <f>IFERROR(__xludf.DUMMYFUNCTION("SUM(QUERY(Entregas_BD!D:W,""select U where D='""&amp;D235&amp;""'"",1))"),0.0)</f>
        <v>0</v>
      </c>
      <c r="AH235" s="24">
        <f>IFERROR(__xludf.DUMMYFUNCTION("SUM(QUERY(Entregas_BD!D:W,""select S where D='""&amp;D235&amp;""'"",1))"),0.0)</f>
        <v>0</v>
      </c>
      <c r="AI235" s="24">
        <f>IFERROR(__xludf.DUMMYFUNCTION("SUM(QUERY(Entregas_BD!D:W,""select T where D='""&amp;D235&amp;""'"",1))"),0.0)</f>
        <v>0</v>
      </c>
    </row>
    <row r="236" ht="19.5" customHeight="1">
      <c r="A236" s="7"/>
      <c r="B236" s="8"/>
      <c r="C236" s="9">
        <v>235.0</v>
      </c>
      <c r="D236" s="10" t="s">
        <v>629</v>
      </c>
      <c r="E236" s="10" t="s">
        <v>54</v>
      </c>
      <c r="F236" s="10" t="s">
        <v>45</v>
      </c>
      <c r="G236" s="10" t="s">
        <v>440</v>
      </c>
      <c r="H236" s="12" t="s">
        <v>593</v>
      </c>
      <c r="I236" s="11" t="s">
        <v>41</v>
      </c>
      <c r="J236" s="60"/>
      <c r="K236" s="12"/>
      <c r="L236" s="13"/>
      <c r="M236" s="28"/>
      <c r="N236" s="9">
        <f>IFERROR(__xludf.DUMMYFUNCTION("SUM(QUERY(Entregas_BD!D:L,""select G where D='""&amp;D236&amp;""'"",1))"),0.0)</f>
        <v>0</v>
      </c>
      <c r="O236" s="9">
        <f>IFERROR(__xludf.DUMMYFUNCTION("SUM(QUERY(Entregas_BD!D:L,""select H where D='""&amp;D236&amp;""'"",1))"),0.0)</f>
        <v>0</v>
      </c>
      <c r="P236" s="9">
        <f>IFERROR(__xludf.DUMMYFUNCTION("SUM(QUERY(Entregas_BD!D:L,""select I where D='""&amp;D236&amp;""'"",1))"),0.0)</f>
        <v>0</v>
      </c>
      <c r="Q236" s="9">
        <f>IFERROR(__xludf.DUMMYFUNCTION("SUM(QUERY(Entregas_BD!D:L,""select J where D='""&amp;D236&amp;""'"",1))"),0.0)</f>
        <v>0</v>
      </c>
      <c r="R236" s="15">
        <f>IFERROR(__xludf.DUMMYFUNCTION("SUM(QUERY(Entregas_BD!D:L,""select K where D='""&amp;D236&amp;""'"",1))"),0.0)</f>
        <v>0</v>
      </c>
      <c r="S236" s="15">
        <f>IFERROR(__xludf.DUMMYFUNCTION("SUM(QUERY(Entregas_BD!D:L,""select L where D='""&amp;D236&amp;""'"",1))"),0.0)</f>
        <v>0</v>
      </c>
      <c r="T236" s="9">
        <f>IFERROR(__xludf.DUMMYFUNCTION("SUM(QUERY(Entregas_BD!D:AL,""select AG where D='""&amp;D236&amp;""'"",1))"),100.0)</f>
        <v>100</v>
      </c>
      <c r="U236" s="9">
        <f>IFERROR(__xludf.DUMMYFUNCTION("SUM(QUERY(Entregas_BD!D:AL,""select AH where D='""&amp;D236&amp;""'"",1))"),0.0)</f>
        <v>0</v>
      </c>
      <c r="V236" s="9">
        <f>IFERROR(__xludf.DUMMYFUNCTION("SUM(QUERY(Entregas_BD!D:AL,""select AI where D='""&amp;D236&amp;""'"",1))"),0.0)</f>
        <v>0</v>
      </c>
      <c r="W236" s="9">
        <f>IFERROR(__xludf.DUMMYFUNCTION("SUM(QUERY(Entregas_BD!D:AL,""select AJ where D='""&amp;D236&amp;""'"",1))"),0.0)</f>
        <v>0</v>
      </c>
      <c r="X236" s="9">
        <f>IFERROR(__xludf.DUMMYFUNCTION("SUM(QUERY(Entregas_BD!D:AL,""select AL where D='""&amp;D236&amp;""'"",1))"),0.0)</f>
        <v>0</v>
      </c>
      <c r="Y236" s="9">
        <f>IFERROR(__xludf.DUMMYFUNCTION("SUM(QUERY(Entregas_BD!D:AL,""select AK where D='""&amp;D236&amp;""'"",1))"),0.0)</f>
        <v>0</v>
      </c>
      <c r="Z236" s="9">
        <v>-100.0</v>
      </c>
      <c r="AA236" s="9">
        <v>0.0</v>
      </c>
      <c r="AB236" s="9">
        <v>0.0</v>
      </c>
      <c r="AC236" s="9">
        <v>0.0</v>
      </c>
      <c r="AD236" s="9">
        <v>0.0</v>
      </c>
      <c r="AE236" s="9">
        <v>0.0</v>
      </c>
      <c r="AF236" s="52"/>
      <c r="AG236" s="15">
        <f>IFERROR(__xludf.DUMMYFUNCTION("SUM(QUERY(Entregas_BD!D:W,""select U where D='""&amp;D236&amp;""'"",1))"),0.0)</f>
        <v>0</v>
      </c>
      <c r="AH236" s="15">
        <f>IFERROR(__xludf.DUMMYFUNCTION("SUM(QUERY(Entregas_BD!D:W,""select S where D='""&amp;D236&amp;""'"",1))"),0.0)</f>
        <v>0</v>
      </c>
      <c r="AI236" s="15">
        <f>IFERROR(__xludf.DUMMYFUNCTION("SUM(QUERY(Entregas_BD!D:W,""select T where D='""&amp;D236&amp;""'"",1))"),0.0)</f>
        <v>0</v>
      </c>
    </row>
    <row r="237" ht="19.5" customHeight="1">
      <c r="A237" s="31"/>
      <c r="B237" s="32"/>
      <c r="C237" s="19">
        <v>236.0</v>
      </c>
      <c r="D237" s="20" t="s">
        <v>630</v>
      </c>
      <c r="E237" s="20" t="s">
        <v>197</v>
      </c>
      <c r="F237" s="20" t="s">
        <v>243</v>
      </c>
      <c r="G237" s="20" t="s">
        <v>631</v>
      </c>
      <c r="H237" s="34" t="s">
        <v>632</v>
      </c>
      <c r="I237" s="21" t="s">
        <v>41</v>
      </c>
      <c r="J237" s="34"/>
      <c r="K237" s="34"/>
      <c r="L237" s="42"/>
      <c r="M237" s="22"/>
      <c r="N237" s="19">
        <f>IFERROR(__xludf.DUMMYFUNCTION("SUM(QUERY(Entregas_BD!D:L,""select G where D='""&amp;D237&amp;""'"",1))"),0.0)</f>
        <v>0</v>
      </c>
      <c r="O237" s="19">
        <f>IFERROR(__xludf.DUMMYFUNCTION("SUM(QUERY(Entregas_BD!D:L,""select H where D='""&amp;D237&amp;""'"",1))"),0.0)</f>
        <v>0</v>
      </c>
      <c r="P237" s="19">
        <f>IFERROR(__xludf.DUMMYFUNCTION("SUM(QUERY(Entregas_BD!D:L,""select I where D='""&amp;D237&amp;""'"",1))"),0.0)</f>
        <v>0</v>
      </c>
      <c r="Q237" s="19">
        <f>IFERROR(__xludf.DUMMYFUNCTION("SUM(QUERY(Entregas_BD!D:L,""select J where D='""&amp;D237&amp;""'"",1))"),0.0)</f>
        <v>0</v>
      </c>
      <c r="R237" s="24">
        <f>IFERROR(__xludf.DUMMYFUNCTION("SUM(QUERY(Entregas_BD!D:L,""select K where D='""&amp;D237&amp;""'"",1))"),0.0)</f>
        <v>0</v>
      </c>
      <c r="S237" s="24">
        <f>IFERROR(__xludf.DUMMYFUNCTION("SUM(QUERY(Entregas_BD!D:L,""select L where D='""&amp;D237&amp;""'"",1))"),0.0)</f>
        <v>0</v>
      </c>
      <c r="T237" s="19">
        <f>IFERROR(__xludf.DUMMYFUNCTION("SUM(QUERY(Entregas_BD!D:AL,""select AG where D='""&amp;D237&amp;""'"",1))"),0.0)</f>
        <v>0</v>
      </c>
      <c r="U237" s="19">
        <f>IFERROR(__xludf.DUMMYFUNCTION("SUM(QUERY(Entregas_BD!D:AL,""select AH where D='""&amp;D237&amp;""'"",1))"),0.0)</f>
        <v>0</v>
      </c>
      <c r="V237" s="19">
        <f>IFERROR(__xludf.DUMMYFUNCTION("SUM(QUERY(Entregas_BD!D:AL,""select AI where D='""&amp;D237&amp;""'"",1))"),0.0)</f>
        <v>0</v>
      </c>
      <c r="W237" s="19">
        <f>IFERROR(__xludf.DUMMYFUNCTION("SUM(QUERY(Entregas_BD!D:AL,""select AJ where D='""&amp;D237&amp;""'"",1))"),0.0)</f>
        <v>0</v>
      </c>
      <c r="X237" s="19">
        <f>IFERROR(__xludf.DUMMYFUNCTION("SUM(QUERY(Entregas_BD!D:AL,""select AL where D='""&amp;D237&amp;""'"",1))"),0.0)</f>
        <v>0</v>
      </c>
      <c r="Y237" s="19">
        <f>IFERROR(__xludf.DUMMYFUNCTION("SUM(QUERY(Entregas_BD!D:AL,""select AK where D='""&amp;D237&amp;""'"",1))"),0.0)</f>
        <v>0</v>
      </c>
      <c r="Z237" s="19">
        <v>0.0</v>
      </c>
      <c r="AA237" s="19">
        <v>0.0</v>
      </c>
      <c r="AB237" s="19">
        <v>0.0</v>
      </c>
      <c r="AC237" s="19">
        <v>0.0</v>
      </c>
      <c r="AD237" s="19">
        <v>0.0</v>
      </c>
      <c r="AE237" s="19">
        <v>0.0</v>
      </c>
      <c r="AF237" s="51"/>
      <c r="AG237" s="24">
        <f>IFERROR(__xludf.DUMMYFUNCTION("SUM(QUERY(Entregas_BD!D:W,""select U where D='""&amp;D237&amp;""'"",1))"),0.0)</f>
        <v>0</v>
      </c>
      <c r="AH237" s="24">
        <f>IFERROR(__xludf.DUMMYFUNCTION("SUM(QUERY(Entregas_BD!D:W,""select S where D='""&amp;D237&amp;""'"",1))"),0.0)</f>
        <v>0</v>
      </c>
      <c r="AI237" s="24">
        <f>IFERROR(__xludf.DUMMYFUNCTION("SUM(QUERY(Entregas_BD!D:W,""select T where D='""&amp;D237&amp;""'"",1))"),0.0)</f>
        <v>0</v>
      </c>
    </row>
    <row r="238" ht="19.5" customHeight="1">
      <c r="A238" s="7"/>
      <c r="B238" s="8"/>
      <c r="C238" s="9">
        <v>237.0</v>
      </c>
      <c r="D238" s="10" t="s">
        <v>633</v>
      </c>
      <c r="E238" s="10" t="s">
        <v>197</v>
      </c>
      <c r="F238" s="10" t="s">
        <v>243</v>
      </c>
      <c r="G238" s="10" t="s">
        <v>634</v>
      </c>
      <c r="H238" s="12" t="s">
        <v>632</v>
      </c>
      <c r="I238" s="11" t="s">
        <v>41</v>
      </c>
      <c r="J238" s="12"/>
      <c r="K238" s="12"/>
      <c r="L238" s="13"/>
      <c r="M238" s="28"/>
      <c r="N238" s="9">
        <f>IFERROR(__xludf.DUMMYFUNCTION("SUM(QUERY(Entregas_BD!D:L,""select G where D='""&amp;D238&amp;""'"",1))"),0.0)</f>
        <v>0</v>
      </c>
      <c r="O238" s="9">
        <f>IFERROR(__xludf.DUMMYFUNCTION("SUM(QUERY(Entregas_BD!D:L,""select H where D='""&amp;D238&amp;""'"",1))"),0.0)</f>
        <v>0</v>
      </c>
      <c r="P238" s="9">
        <f>IFERROR(__xludf.DUMMYFUNCTION("SUM(QUERY(Entregas_BD!D:L,""select I where D='""&amp;D238&amp;""'"",1))"),0.0)</f>
        <v>0</v>
      </c>
      <c r="Q238" s="9">
        <f>IFERROR(__xludf.DUMMYFUNCTION("SUM(QUERY(Entregas_BD!D:L,""select J where D='""&amp;D238&amp;""'"",1))"),0.0)</f>
        <v>0</v>
      </c>
      <c r="R238" s="15">
        <f>IFERROR(__xludf.DUMMYFUNCTION("SUM(QUERY(Entregas_BD!D:L,""select K where D='""&amp;D238&amp;""'"",1))"),0.0)</f>
        <v>0</v>
      </c>
      <c r="S238" s="15">
        <f>IFERROR(__xludf.DUMMYFUNCTION("SUM(QUERY(Entregas_BD!D:L,""select L where D='""&amp;D238&amp;""'"",1))"),0.0)</f>
        <v>0</v>
      </c>
      <c r="T238" s="9">
        <f>IFERROR(__xludf.DUMMYFUNCTION("SUM(QUERY(Entregas_BD!D:AL,""select AG where D='""&amp;D238&amp;""'"",1))"),0.0)</f>
        <v>0</v>
      </c>
      <c r="U238" s="9">
        <f>IFERROR(__xludf.DUMMYFUNCTION("SUM(QUERY(Entregas_BD!D:AL,""select AH where D='""&amp;D238&amp;""'"",1))"),0.0)</f>
        <v>0</v>
      </c>
      <c r="V238" s="9">
        <f>IFERROR(__xludf.DUMMYFUNCTION("SUM(QUERY(Entregas_BD!D:AL,""select AI where D='""&amp;D238&amp;""'"",1))"),0.0)</f>
        <v>0</v>
      </c>
      <c r="W238" s="9">
        <f>IFERROR(__xludf.DUMMYFUNCTION("SUM(QUERY(Entregas_BD!D:AL,""select AJ where D='""&amp;D238&amp;""'"",1))"),0.0)</f>
        <v>0</v>
      </c>
      <c r="X238" s="9">
        <f>IFERROR(__xludf.DUMMYFUNCTION("SUM(QUERY(Entregas_BD!D:AL,""select AL where D='""&amp;D238&amp;""'"",1))"),0.0)</f>
        <v>0</v>
      </c>
      <c r="Y238" s="9">
        <f>IFERROR(__xludf.DUMMYFUNCTION("SUM(QUERY(Entregas_BD!D:AL,""select AK where D='""&amp;D238&amp;""'"",1))"),0.0)</f>
        <v>0</v>
      </c>
      <c r="Z238" s="9">
        <v>0.0</v>
      </c>
      <c r="AA238" s="9">
        <v>0.0</v>
      </c>
      <c r="AB238" s="9">
        <v>0.0</v>
      </c>
      <c r="AC238" s="9">
        <v>0.0</v>
      </c>
      <c r="AD238" s="9">
        <v>0.0</v>
      </c>
      <c r="AE238" s="9">
        <v>0.0</v>
      </c>
      <c r="AF238" s="52"/>
      <c r="AG238" s="15">
        <f>IFERROR(__xludf.DUMMYFUNCTION("SUM(QUERY(Entregas_BD!D:W,""select U where D='""&amp;D238&amp;""'"",1))"),0.0)</f>
        <v>0</v>
      </c>
      <c r="AH238" s="15">
        <f>IFERROR(__xludf.DUMMYFUNCTION("SUM(QUERY(Entregas_BD!D:W,""select S where D='""&amp;D238&amp;""'"",1))"),0.0)</f>
        <v>0</v>
      </c>
      <c r="AI238" s="15">
        <f>IFERROR(__xludf.DUMMYFUNCTION("SUM(QUERY(Entregas_BD!D:W,""select T where D='""&amp;D238&amp;""'"",1))"),0.0)</f>
        <v>0</v>
      </c>
    </row>
    <row r="239" ht="19.5" customHeight="1">
      <c r="A239" s="31"/>
      <c r="B239" s="32"/>
      <c r="C239" s="19">
        <v>238.0</v>
      </c>
      <c r="D239" s="20" t="s">
        <v>635</v>
      </c>
      <c r="E239" s="20" t="s">
        <v>38</v>
      </c>
      <c r="F239" s="20" t="s">
        <v>577</v>
      </c>
      <c r="G239" s="20" t="s">
        <v>616</v>
      </c>
      <c r="H239" s="34" t="s">
        <v>622</v>
      </c>
      <c r="I239" s="21" t="s">
        <v>41</v>
      </c>
      <c r="J239" s="61"/>
      <c r="K239" s="34"/>
      <c r="L239" s="42"/>
      <c r="M239" s="22"/>
      <c r="N239" s="19">
        <f>IFERROR(__xludf.DUMMYFUNCTION("SUM(QUERY(Entregas_BD!D:L,""select G where D='""&amp;D239&amp;""'"",1))"),0.0)</f>
        <v>0</v>
      </c>
      <c r="O239" s="19">
        <f>IFERROR(__xludf.DUMMYFUNCTION("SUM(QUERY(Entregas_BD!D:L,""select H where D='""&amp;D239&amp;""'"",1))"),0.0)</f>
        <v>0</v>
      </c>
      <c r="P239" s="19">
        <f>IFERROR(__xludf.DUMMYFUNCTION("SUM(QUERY(Entregas_BD!D:L,""select I where D='""&amp;D239&amp;""'"",1))"),0.0)</f>
        <v>0</v>
      </c>
      <c r="Q239" s="19">
        <f>IFERROR(__xludf.DUMMYFUNCTION("SUM(QUERY(Entregas_BD!D:L,""select J where D='""&amp;D239&amp;""'"",1))"),0.0)</f>
        <v>0</v>
      </c>
      <c r="R239" s="24">
        <f>IFERROR(__xludf.DUMMYFUNCTION("SUM(QUERY(Entregas_BD!D:L,""select K where D='""&amp;D239&amp;""'"",1))"),0.0)</f>
        <v>0</v>
      </c>
      <c r="S239" s="24">
        <f>IFERROR(__xludf.DUMMYFUNCTION("SUM(QUERY(Entregas_BD!D:L,""select L where D='""&amp;D239&amp;""'"",1))"),0.0)</f>
        <v>0</v>
      </c>
      <c r="T239" s="19">
        <f>IFERROR(__xludf.DUMMYFUNCTION("SUM(QUERY(Entregas_BD!D:AL,""select AG where D='""&amp;D239&amp;""'"",1))"),150.0)</f>
        <v>150</v>
      </c>
      <c r="U239" s="19">
        <f>IFERROR(__xludf.DUMMYFUNCTION("SUM(QUERY(Entregas_BD!D:AL,""select AH where D='""&amp;D239&amp;""'"",1))"),0.0)</f>
        <v>0</v>
      </c>
      <c r="V239" s="19">
        <f>IFERROR(__xludf.DUMMYFUNCTION("SUM(QUERY(Entregas_BD!D:AL,""select AI where D='""&amp;D239&amp;""'"",1))"),0.0)</f>
        <v>0</v>
      </c>
      <c r="W239" s="19">
        <f>IFERROR(__xludf.DUMMYFUNCTION("SUM(QUERY(Entregas_BD!D:AL,""select AJ where D='""&amp;D239&amp;""'"",1))"),0.0)</f>
        <v>0</v>
      </c>
      <c r="X239" s="19">
        <f>IFERROR(__xludf.DUMMYFUNCTION("SUM(QUERY(Entregas_BD!D:AL,""select AL where D='""&amp;D239&amp;""'"",1))"),0.0)</f>
        <v>0</v>
      </c>
      <c r="Y239" s="19">
        <f>IFERROR(__xludf.DUMMYFUNCTION("SUM(QUERY(Entregas_BD!D:AL,""select AK where D='""&amp;D239&amp;""'"",1))"),0.0)</f>
        <v>0</v>
      </c>
      <c r="Z239" s="19">
        <v>-150.0</v>
      </c>
      <c r="AA239" s="19">
        <v>0.0</v>
      </c>
      <c r="AB239" s="19">
        <v>0.0</v>
      </c>
      <c r="AC239" s="19">
        <v>0.0</v>
      </c>
      <c r="AD239" s="19">
        <v>0.0</v>
      </c>
      <c r="AE239" s="19">
        <v>0.0</v>
      </c>
      <c r="AF239" s="22"/>
      <c r="AG239" s="24">
        <f>IFERROR(__xludf.DUMMYFUNCTION("SUM(QUERY(Entregas_BD!D:W,""select U where D='""&amp;D239&amp;""'"",1))"),0.0)</f>
        <v>0</v>
      </c>
      <c r="AH239" s="24">
        <f>IFERROR(__xludf.DUMMYFUNCTION("SUM(QUERY(Entregas_BD!D:W,""select S where D='""&amp;D239&amp;""'"",1))"),0.0)</f>
        <v>0</v>
      </c>
      <c r="AI239" s="24">
        <f>IFERROR(__xludf.DUMMYFUNCTION("SUM(QUERY(Entregas_BD!D:W,""select T where D='""&amp;D239&amp;""'"",1))"),0.0)</f>
        <v>0</v>
      </c>
    </row>
    <row r="240" ht="19.5" customHeight="1">
      <c r="A240" s="7"/>
      <c r="B240" s="8"/>
      <c r="C240" s="9">
        <v>239.0</v>
      </c>
      <c r="D240" s="10" t="s">
        <v>636</v>
      </c>
      <c r="E240" s="10" t="s">
        <v>197</v>
      </c>
      <c r="F240" s="10" t="s">
        <v>243</v>
      </c>
      <c r="G240" s="10" t="s">
        <v>637</v>
      </c>
      <c r="H240" s="12" t="s">
        <v>632</v>
      </c>
      <c r="I240" s="11" t="s">
        <v>41</v>
      </c>
      <c r="J240" s="60"/>
      <c r="K240" s="12"/>
      <c r="L240" s="13"/>
      <c r="M240" s="28"/>
      <c r="N240" s="9">
        <f>IFERROR(__xludf.DUMMYFUNCTION("SUM(QUERY(Entregas_BD!D:L,""select G where D='""&amp;D240&amp;""'"",1))"),0.0)</f>
        <v>0</v>
      </c>
      <c r="O240" s="9">
        <f>IFERROR(__xludf.DUMMYFUNCTION("SUM(QUERY(Entregas_BD!D:L,""select H where D='""&amp;D240&amp;""'"",1))"),0.0)</f>
        <v>0</v>
      </c>
      <c r="P240" s="9">
        <f>IFERROR(__xludf.DUMMYFUNCTION("SUM(QUERY(Entregas_BD!D:L,""select I where D='""&amp;D240&amp;""'"",1))"),0.0)</f>
        <v>0</v>
      </c>
      <c r="Q240" s="9">
        <f>IFERROR(__xludf.DUMMYFUNCTION("SUM(QUERY(Entregas_BD!D:L,""select J where D='""&amp;D240&amp;""'"",1))"),0.0)</f>
        <v>0</v>
      </c>
      <c r="R240" s="15">
        <f>IFERROR(__xludf.DUMMYFUNCTION("SUM(QUERY(Entregas_BD!D:L,""select K where D='""&amp;D240&amp;""'"",1))"),0.0)</f>
        <v>0</v>
      </c>
      <c r="S240" s="15">
        <f>IFERROR(__xludf.DUMMYFUNCTION("SUM(QUERY(Entregas_BD!D:L,""select L where D='""&amp;D240&amp;""'"",1))"),0.0)</f>
        <v>0</v>
      </c>
      <c r="T240" s="9">
        <f>IFERROR(__xludf.DUMMYFUNCTION("SUM(QUERY(Entregas_BD!D:AL,""select AG where D='""&amp;D240&amp;""'"",1))"),0.0)</f>
        <v>0</v>
      </c>
      <c r="U240" s="9">
        <f>IFERROR(__xludf.DUMMYFUNCTION("SUM(QUERY(Entregas_BD!D:AL,""select AH where D='""&amp;D240&amp;""'"",1))"),0.0)</f>
        <v>0</v>
      </c>
      <c r="V240" s="9">
        <f>IFERROR(__xludf.DUMMYFUNCTION("SUM(QUERY(Entregas_BD!D:AL,""select AI where D='""&amp;D240&amp;""'"",1))"),0.0)</f>
        <v>0</v>
      </c>
      <c r="W240" s="9">
        <f>IFERROR(__xludf.DUMMYFUNCTION("SUM(QUERY(Entregas_BD!D:AL,""select AJ where D='""&amp;D240&amp;""'"",1))"),0.0)</f>
        <v>0</v>
      </c>
      <c r="X240" s="9">
        <f>IFERROR(__xludf.DUMMYFUNCTION("SUM(QUERY(Entregas_BD!D:AL,""select AL where D='""&amp;D240&amp;""'"",1))"),0.0)</f>
        <v>0</v>
      </c>
      <c r="Y240" s="9">
        <f>IFERROR(__xludf.DUMMYFUNCTION("SUM(QUERY(Entregas_BD!D:AL,""select AK where D='""&amp;D240&amp;""'"",1))"),0.0)</f>
        <v>0</v>
      </c>
      <c r="Z240" s="9">
        <v>0.0</v>
      </c>
      <c r="AA240" s="9">
        <v>0.0</v>
      </c>
      <c r="AB240" s="9">
        <v>0.0</v>
      </c>
      <c r="AC240" s="9">
        <v>0.0</v>
      </c>
      <c r="AD240" s="9">
        <v>0.0</v>
      </c>
      <c r="AE240" s="9">
        <v>0.0</v>
      </c>
      <c r="AF240" s="52"/>
      <c r="AG240" s="15">
        <f>IFERROR(__xludf.DUMMYFUNCTION("SUM(QUERY(Entregas_BD!D:W,""select U where D='""&amp;D240&amp;""'"",1))"),0.0)</f>
        <v>0</v>
      </c>
      <c r="AH240" s="15">
        <f>IFERROR(__xludf.DUMMYFUNCTION("SUM(QUERY(Entregas_BD!D:W,""select S where D='""&amp;D240&amp;""'"",1))"),0.0)</f>
        <v>0</v>
      </c>
      <c r="AI240" s="15">
        <f>IFERROR(__xludf.DUMMYFUNCTION("SUM(QUERY(Entregas_BD!D:W,""select T where D='""&amp;D240&amp;""'"",1))"),0.0)</f>
        <v>0</v>
      </c>
    </row>
    <row r="241" ht="19.5" customHeight="1">
      <c r="A241" s="31"/>
      <c r="B241" s="32"/>
      <c r="C241" s="19">
        <v>240.0</v>
      </c>
      <c r="D241" s="20" t="s">
        <v>638</v>
      </c>
      <c r="E241" s="20" t="s">
        <v>58</v>
      </c>
      <c r="F241" s="20" t="s">
        <v>597</v>
      </c>
      <c r="G241" s="20" t="s">
        <v>371</v>
      </c>
      <c r="H241" s="34" t="s">
        <v>632</v>
      </c>
      <c r="I241" s="21" t="s">
        <v>41</v>
      </c>
      <c r="J241" s="61"/>
      <c r="K241" s="34"/>
      <c r="L241" s="42"/>
      <c r="M241" s="22"/>
      <c r="N241" s="19">
        <f>IFERROR(__xludf.DUMMYFUNCTION("SUM(QUERY(Entregas_BD!D:L,""select G where D='""&amp;D241&amp;""'"",1))"),0.0)</f>
        <v>0</v>
      </c>
      <c r="O241" s="19">
        <f>IFERROR(__xludf.DUMMYFUNCTION("SUM(QUERY(Entregas_BD!D:L,""select H where D='""&amp;D241&amp;""'"",1))"),0.0)</f>
        <v>0</v>
      </c>
      <c r="P241" s="19">
        <f>IFERROR(__xludf.DUMMYFUNCTION("SUM(QUERY(Entregas_BD!D:L,""select I where D='""&amp;D241&amp;""'"",1))"),0.0)</f>
        <v>0</v>
      </c>
      <c r="Q241" s="19">
        <f>IFERROR(__xludf.DUMMYFUNCTION("SUM(QUERY(Entregas_BD!D:L,""select J where D='""&amp;D241&amp;""'"",1))"),0.0)</f>
        <v>0</v>
      </c>
      <c r="R241" s="24">
        <f>IFERROR(__xludf.DUMMYFUNCTION("SUM(QUERY(Entregas_BD!D:L,""select K where D='""&amp;D241&amp;""'"",1))"),0.0)</f>
        <v>0</v>
      </c>
      <c r="S241" s="24">
        <f>IFERROR(__xludf.DUMMYFUNCTION("SUM(QUERY(Entregas_BD!D:L,""select L where D='""&amp;D241&amp;""'"",1))"),0.0)</f>
        <v>0</v>
      </c>
      <c r="T241" s="19">
        <f>IFERROR(__xludf.DUMMYFUNCTION("SUM(QUERY(Entregas_BD!D:AL,""select AG where D='""&amp;D241&amp;""'"",1))"),50.0)</f>
        <v>50</v>
      </c>
      <c r="U241" s="19">
        <f>IFERROR(__xludf.DUMMYFUNCTION("SUM(QUERY(Entregas_BD!D:AL,""select AH where D='""&amp;D241&amp;""'"",1))"),0.0)</f>
        <v>0</v>
      </c>
      <c r="V241" s="19">
        <f>IFERROR(__xludf.DUMMYFUNCTION("SUM(QUERY(Entregas_BD!D:AL,""select AI where D='""&amp;D241&amp;""'"",1))"),0.0)</f>
        <v>0</v>
      </c>
      <c r="W241" s="19">
        <f>IFERROR(__xludf.DUMMYFUNCTION("SUM(QUERY(Entregas_BD!D:AL,""select AJ where D='""&amp;D241&amp;""'"",1))"),25.0)</f>
        <v>25</v>
      </c>
      <c r="X241" s="19">
        <f>IFERROR(__xludf.DUMMYFUNCTION("SUM(QUERY(Entregas_BD!D:AL,""select AL where D='""&amp;D241&amp;""'"",1))"),0.0)</f>
        <v>0</v>
      </c>
      <c r="Y241" s="19">
        <f>IFERROR(__xludf.DUMMYFUNCTION("SUM(QUERY(Entregas_BD!D:AL,""select AK where D='""&amp;D241&amp;""'"",1))"),0.0)</f>
        <v>0</v>
      </c>
      <c r="Z241" s="19">
        <v>-50.0</v>
      </c>
      <c r="AA241" s="19">
        <v>0.0</v>
      </c>
      <c r="AB241" s="19">
        <v>0.0</v>
      </c>
      <c r="AC241" s="19">
        <v>-25.0</v>
      </c>
      <c r="AD241" s="19">
        <v>0.0</v>
      </c>
      <c r="AE241" s="19">
        <v>0.0</v>
      </c>
      <c r="AF241" s="22"/>
      <c r="AG241" s="24">
        <f>IFERROR(__xludf.DUMMYFUNCTION("SUM(QUERY(Entregas_BD!D:W,""select U where D='""&amp;D241&amp;""'"",1))"),0.0)</f>
        <v>0</v>
      </c>
      <c r="AH241" s="24">
        <f>IFERROR(__xludf.DUMMYFUNCTION("SUM(QUERY(Entregas_BD!D:W,""select S where D='""&amp;D241&amp;""'"",1))"),0.0)</f>
        <v>0</v>
      </c>
      <c r="AI241" s="24">
        <f>IFERROR(__xludf.DUMMYFUNCTION("SUM(QUERY(Entregas_BD!D:W,""select T where D='""&amp;D241&amp;""'"",1))"),0.0)</f>
        <v>0</v>
      </c>
    </row>
    <row r="242" ht="19.5" customHeight="1">
      <c r="A242" s="7"/>
      <c r="B242" s="8"/>
      <c r="C242" s="9">
        <v>241.0</v>
      </c>
      <c r="D242" s="10" t="s">
        <v>639</v>
      </c>
      <c r="E242" s="10" t="s">
        <v>58</v>
      </c>
      <c r="F242" s="10" t="s">
        <v>45</v>
      </c>
      <c r="G242" s="10" t="s">
        <v>640</v>
      </c>
      <c r="H242" s="12" t="s">
        <v>641</v>
      </c>
      <c r="I242" s="11" t="s">
        <v>41</v>
      </c>
      <c r="J242" s="60"/>
      <c r="K242" s="12"/>
      <c r="L242" s="13"/>
      <c r="M242" s="28"/>
      <c r="N242" s="9">
        <f>IFERROR(__xludf.DUMMYFUNCTION("SUM(QUERY(Entregas_BD!D:L,""select G where D='""&amp;D242&amp;""'"",1))"),0.0)</f>
        <v>0</v>
      </c>
      <c r="O242" s="9">
        <f>IFERROR(__xludf.DUMMYFUNCTION("SUM(QUERY(Entregas_BD!D:L,""select H where D='""&amp;D242&amp;""'"",1))"),0.0)</f>
        <v>0</v>
      </c>
      <c r="P242" s="9">
        <f>IFERROR(__xludf.DUMMYFUNCTION("SUM(QUERY(Entregas_BD!D:L,""select I where D='""&amp;D242&amp;""'"",1))"),0.0)</f>
        <v>0</v>
      </c>
      <c r="Q242" s="9">
        <f>IFERROR(__xludf.DUMMYFUNCTION("SUM(QUERY(Entregas_BD!D:L,""select J where D='""&amp;D242&amp;""'"",1))"),0.0)</f>
        <v>0</v>
      </c>
      <c r="R242" s="15">
        <f>IFERROR(__xludf.DUMMYFUNCTION("SUM(QUERY(Entregas_BD!D:L,""select K where D='""&amp;D242&amp;""'"",1))"),0.0)</f>
        <v>0</v>
      </c>
      <c r="S242" s="15">
        <f>IFERROR(__xludf.DUMMYFUNCTION("SUM(QUERY(Entregas_BD!D:L,""select L where D='""&amp;D242&amp;""'"",1))"),0.0)</f>
        <v>0</v>
      </c>
      <c r="T242" s="9">
        <f>IFERROR(__xludf.DUMMYFUNCTION("SUM(QUERY(Entregas_BD!D:AL,""select AG where D='""&amp;D242&amp;""'"",1))"),50.0)</f>
        <v>50</v>
      </c>
      <c r="U242" s="9">
        <f>IFERROR(__xludf.DUMMYFUNCTION("SUM(QUERY(Entregas_BD!D:AL,""select AH where D='""&amp;D242&amp;""'"",1))"),0.0)</f>
        <v>0</v>
      </c>
      <c r="V242" s="9">
        <f>IFERROR(__xludf.DUMMYFUNCTION("SUM(QUERY(Entregas_BD!D:AL,""select AI where D='""&amp;D242&amp;""'"",1))"),0.0)</f>
        <v>0</v>
      </c>
      <c r="W242" s="9">
        <f>IFERROR(__xludf.DUMMYFUNCTION("SUM(QUERY(Entregas_BD!D:AL,""select AJ where D='""&amp;D242&amp;""'"",1))"),0.0)</f>
        <v>0</v>
      </c>
      <c r="X242" s="9">
        <f>IFERROR(__xludf.DUMMYFUNCTION("SUM(QUERY(Entregas_BD!D:AL,""select AL where D='""&amp;D242&amp;""'"",1))"),0.0)</f>
        <v>0</v>
      </c>
      <c r="Y242" s="9">
        <f>IFERROR(__xludf.DUMMYFUNCTION("SUM(QUERY(Entregas_BD!D:AL,""select AK where D='""&amp;D242&amp;""'"",1))"),0.0)</f>
        <v>0</v>
      </c>
      <c r="Z242" s="9">
        <v>-50.0</v>
      </c>
      <c r="AA242" s="9">
        <v>0.0</v>
      </c>
      <c r="AB242" s="9">
        <v>0.0</v>
      </c>
      <c r="AC242" s="9">
        <v>0.0</v>
      </c>
      <c r="AD242" s="9">
        <v>0.0</v>
      </c>
      <c r="AE242" s="9">
        <v>0.0</v>
      </c>
      <c r="AF242" s="52"/>
      <c r="AG242" s="15">
        <f>IFERROR(__xludf.DUMMYFUNCTION("SUM(QUERY(Entregas_BD!D:W,""select U where D='""&amp;D242&amp;""'"",1))"),0.0)</f>
        <v>0</v>
      </c>
      <c r="AH242" s="15">
        <f>IFERROR(__xludf.DUMMYFUNCTION("SUM(QUERY(Entregas_BD!D:W,""select S where D='""&amp;D242&amp;""'"",1))"),0.0)</f>
        <v>0</v>
      </c>
      <c r="AI242" s="15">
        <f>IFERROR(__xludf.DUMMYFUNCTION("SUM(QUERY(Entregas_BD!D:W,""select T where D='""&amp;D242&amp;""'"",1))"),0.0)</f>
        <v>0</v>
      </c>
    </row>
    <row r="243" ht="19.5" customHeight="1">
      <c r="A243" s="31"/>
      <c r="B243" s="32"/>
      <c r="C243" s="19">
        <v>242.0</v>
      </c>
      <c r="D243" s="20" t="s">
        <v>642</v>
      </c>
      <c r="E243" s="20" t="s">
        <v>197</v>
      </c>
      <c r="F243" s="20" t="s">
        <v>243</v>
      </c>
      <c r="G243" s="20" t="s">
        <v>643</v>
      </c>
      <c r="H243" s="34" t="s">
        <v>622</v>
      </c>
      <c r="I243" s="21" t="s">
        <v>41</v>
      </c>
      <c r="J243" s="34"/>
      <c r="K243" s="34"/>
      <c r="L243" s="42"/>
      <c r="M243" s="22"/>
      <c r="N243" s="19">
        <f>IFERROR(__xludf.DUMMYFUNCTION("SUM(QUERY(Entregas_BD!D:L,""select G where D='""&amp;D243&amp;""'"",1))"),0.0)</f>
        <v>0</v>
      </c>
      <c r="O243" s="19">
        <f>IFERROR(__xludf.DUMMYFUNCTION("SUM(QUERY(Entregas_BD!D:L,""select H where D='""&amp;D243&amp;""'"",1))"),0.0)</f>
        <v>0</v>
      </c>
      <c r="P243" s="19">
        <f>IFERROR(__xludf.DUMMYFUNCTION("SUM(QUERY(Entregas_BD!D:L,""select I where D='""&amp;D243&amp;""'"",1))"),0.0)</f>
        <v>0</v>
      </c>
      <c r="Q243" s="19">
        <f>IFERROR(__xludf.DUMMYFUNCTION("SUM(QUERY(Entregas_BD!D:L,""select J where D='""&amp;D243&amp;""'"",1))"),0.0)</f>
        <v>0</v>
      </c>
      <c r="R243" s="24">
        <f>IFERROR(__xludf.DUMMYFUNCTION("SUM(QUERY(Entregas_BD!D:L,""select K where D='""&amp;D243&amp;""'"",1))"),0.0)</f>
        <v>0</v>
      </c>
      <c r="S243" s="24">
        <f>IFERROR(__xludf.DUMMYFUNCTION("SUM(QUERY(Entregas_BD!D:L,""select L where D='""&amp;D243&amp;""'"",1))"),0.0)</f>
        <v>0</v>
      </c>
      <c r="T243" s="19">
        <f>IFERROR(__xludf.DUMMYFUNCTION("SUM(QUERY(Entregas_BD!D:AL,""select AG where D='""&amp;D243&amp;""'"",1))"),0.0)</f>
        <v>0</v>
      </c>
      <c r="U243" s="19">
        <f>IFERROR(__xludf.DUMMYFUNCTION("SUM(QUERY(Entregas_BD!D:AL,""select AH where D='""&amp;D243&amp;""'"",1))"),0.0)</f>
        <v>0</v>
      </c>
      <c r="V243" s="19">
        <f>IFERROR(__xludf.DUMMYFUNCTION("SUM(QUERY(Entregas_BD!D:AL,""select AI where D='""&amp;D243&amp;""'"",1))"),0.0)</f>
        <v>0</v>
      </c>
      <c r="W243" s="19">
        <f>IFERROR(__xludf.DUMMYFUNCTION("SUM(QUERY(Entregas_BD!D:AL,""select AJ where D='""&amp;D243&amp;""'"",1))"),0.0)</f>
        <v>0</v>
      </c>
      <c r="X243" s="19">
        <f>IFERROR(__xludf.DUMMYFUNCTION("SUM(QUERY(Entregas_BD!D:AL,""select AL where D='""&amp;D243&amp;""'"",1))"),0.0)</f>
        <v>0</v>
      </c>
      <c r="Y243" s="19">
        <f>IFERROR(__xludf.DUMMYFUNCTION("SUM(QUERY(Entregas_BD!D:AL,""select AK where D='""&amp;D243&amp;""'"",1))"),0.0)</f>
        <v>0</v>
      </c>
      <c r="Z243" s="19">
        <v>0.0</v>
      </c>
      <c r="AA243" s="19">
        <v>0.0</v>
      </c>
      <c r="AB243" s="19">
        <v>0.0</v>
      </c>
      <c r="AC243" s="19">
        <v>0.0</v>
      </c>
      <c r="AD243" s="19">
        <v>0.0</v>
      </c>
      <c r="AE243" s="19">
        <v>0.0</v>
      </c>
      <c r="AF243" s="51"/>
      <c r="AG243" s="24">
        <f>IFERROR(__xludf.DUMMYFUNCTION("SUM(QUERY(Entregas_BD!D:W,""select U where D='""&amp;D243&amp;""'"",1))"),0.0)</f>
        <v>0</v>
      </c>
      <c r="AH243" s="24">
        <f>IFERROR(__xludf.DUMMYFUNCTION("SUM(QUERY(Entregas_BD!D:W,""select S where D='""&amp;D243&amp;""'"",1))"),0.0)</f>
        <v>0</v>
      </c>
      <c r="AI243" s="24">
        <f>IFERROR(__xludf.DUMMYFUNCTION("SUM(QUERY(Entregas_BD!D:W,""select T where D='""&amp;D243&amp;""'"",1))"),0.0)</f>
        <v>0</v>
      </c>
    </row>
    <row r="244" ht="19.5" customHeight="1">
      <c r="A244" s="7"/>
      <c r="B244" s="8"/>
      <c r="C244" s="9">
        <v>243.0</v>
      </c>
      <c r="D244" s="62" t="s">
        <v>644</v>
      </c>
      <c r="E244" s="10" t="s">
        <v>197</v>
      </c>
      <c r="F244" s="10" t="s">
        <v>494</v>
      </c>
      <c r="G244" s="10" t="s">
        <v>645</v>
      </c>
      <c r="H244" s="12" t="s">
        <v>632</v>
      </c>
      <c r="I244" s="11" t="s">
        <v>41</v>
      </c>
      <c r="J244" s="12"/>
      <c r="K244" s="12"/>
      <c r="L244" s="13"/>
      <c r="M244" s="28"/>
      <c r="N244" s="9">
        <f>IFERROR(__xludf.DUMMYFUNCTION("SUM(QUERY(Entregas_BD!D:L,""select G where D='""&amp;D244&amp;""'"",1))"),0.0)</f>
        <v>0</v>
      </c>
      <c r="O244" s="9">
        <f>IFERROR(__xludf.DUMMYFUNCTION("SUM(QUERY(Entregas_BD!D:L,""select H where D='""&amp;D244&amp;""'"",1))"),0.0)</f>
        <v>0</v>
      </c>
      <c r="P244" s="9">
        <f>IFERROR(__xludf.DUMMYFUNCTION("SUM(QUERY(Entregas_BD!D:L,""select I where D='""&amp;D244&amp;""'"",1))"),0.0)</f>
        <v>0</v>
      </c>
      <c r="Q244" s="9">
        <f>IFERROR(__xludf.DUMMYFUNCTION("SUM(QUERY(Entregas_BD!D:L,""select J where D='""&amp;D244&amp;""'"",1))"),0.0)</f>
        <v>0</v>
      </c>
      <c r="R244" s="15">
        <f>IFERROR(__xludf.DUMMYFUNCTION("SUM(QUERY(Entregas_BD!D:L,""select K where D='""&amp;D244&amp;""'"",1))"),0.0)</f>
        <v>0</v>
      </c>
      <c r="S244" s="15">
        <f>IFERROR(__xludf.DUMMYFUNCTION("SUM(QUERY(Entregas_BD!D:L,""select L where D='""&amp;D244&amp;""'"",1))"),0.0)</f>
        <v>0</v>
      </c>
      <c r="T244" s="9">
        <f>IFERROR(__xludf.DUMMYFUNCTION("SUM(QUERY(Entregas_BD!D:AL,""select AG where D='""&amp;D244&amp;""'"",1))"),25.0)</f>
        <v>25</v>
      </c>
      <c r="U244" s="9">
        <f>IFERROR(__xludf.DUMMYFUNCTION("SUM(QUERY(Entregas_BD!D:AL,""select AH where D='""&amp;D244&amp;""'"",1))"),0.0)</f>
        <v>0</v>
      </c>
      <c r="V244" s="9">
        <f>IFERROR(__xludf.DUMMYFUNCTION("SUM(QUERY(Entregas_BD!D:AL,""select AI where D='""&amp;D244&amp;""'"",1))"),0.0)</f>
        <v>0</v>
      </c>
      <c r="W244" s="9">
        <f>IFERROR(__xludf.DUMMYFUNCTION("SUM(QUERY(Entregas_BD!D:AL,""select AJ where D='""&amp;D244&amp;""'"",1))"),0.0)</f>
        <v>0</v>
      </c>
      <c r="X244" s="9">
        <f>IFERROR(__xludf.DUMMYFUNCTION("SUM(QUERY(Entregas_BD!D:AL,""select AL where D='""&amp;D244&amp;""'"",1))"),0.0)</f>
        <v>0</v>
      </c>
      <c r="Y244" s="9">
        <f>IFERROR(__xludf.DUMMYFUNCTION("SUM(QUERY(Entregas_BD!D:AL,""select AK where D='""&amp;D244&amp;""'"",1))"),0.0)</f>
        <v>0</v>
      </c>
      <c r="Z244" s="9">
        <v>-25.0</v>
      </c>
      <c r="AA244" s="9">
        <v>0.0</v>
      </c>
      <c r="AB244" s="9">
        <v>0.0</v>
      </c>
      <c r="AC244" s="9">
        <v>0.0</v>
      </c>
      <c r="AD244" s="9">
        <v>0.0</v>
      </c>
      <c r="AE244" s="9">
        <v>0.0</v>
      </c>
      <c r="AF244" s="52"/>
      <c r="AG244" s="15">
        <f>IFERROR(__xludf.DUMMYFUNCTION("SUM(QUERY(Entregas_BD!D:W,""select U where D='""&amp;D244&amp;""'"",1))"),0.0)</f>
        <v>0</v>
      </c>
      <c r="AH244" s="15">
        <f>IFERROR(__xludf.DUMMYFUNCTION("SUM(QUERY(Entregas_BD!D:W,""select S where D='""&amp;D244&amp;""'"",1))"),0.0)</f>
        <v>0</v>
      </c>
      <c r="AI244" s="15">
        <f>IFERROR(__xludf.DUMMYFUNCTION("SUM(QUERY(Entregas_BD!D:W,""select T where D='""&amp;D244&amp;""'"",1))"),0.0)</f>
        <v>0</v>
      </c>
    </row>
    <row r="245" ht="19.5" customHeight="1">
      <c r="A245" s="31"/>
      <c r="B245" s="32"/>
      <c r="C245" s="19">
        <v>244.0</v>
      </c>
      <c r="D245" s="20" t="s">
        <v>646</v>
      </c>
      <c r="E245" s="20" t="s">
        <v>197</v>
      </c>
      <c r="F245" s="20" t="s">
        <v>647</v>
      </c>
      <c r="G245" s="20" t="s">
        <v>648</v>
      </c>
      <c r="H245" s="34" t="s">
        <v>593</v>
      </c>
      <c r="I245" s="21" t="s">
        <v>41</v>
      </c>
      <c r="J245" s="34"/>
      <c r="K245" s="34"/>
      <c r="L245" s="42"/>
      <c r="M245" s="22"/>
      <c r="N245" s="19">
        <f>IFERROR(__xludf.DUMMYFUNCTION("SUM(QUERY(Entregas_BD!D:L,""select G where D='""&amp;D245&amp;""'"",1))"),0.0)</f>
        <v>0</v>
      </c>
      <c r="O245" s="19">
        <f>IFERROR(__xludf.DUMMYFUNCTION("SUM(QUERY(Entregas_BD!D:L,""select H where D='""&amp;D245&amp;""'"",1))"),0.0)</f>
        <v>0</v>
      </c>
      <c r="P245" s="19">
        <f>IFERROR(__xludf.DUMMYFUNCTION("SUM(QUERY(Entregas_BD!D:L,""select I where D='""&amp;D245&amp;""'"",1))"),0.0)</f>
        <v>0</v>
      </c>
      <c r="Q245" s="19">
        <f>IFERROR(__xludf.DUMMYFUNCTION("SUM(QUERY(Entregas_BD!D:L,""select J where D='""&amp;D245&amp;""'"",1))"),0.0)</f>
        <v>0</v>
      </c>
      <c r="R245" s="24">
        <f>IFERROR(__xludf.DUMMYFUNCTION("SUM(QUERY(Entregas_BD!D:L,""select K where D='""&amp;D245&amp;""'"",1))"),0.0)</f>
        <v>0</v>
      </c>
      <c r="S245" s="24">
        <f>IFERROR(__xludf.DUMMYFUNCTION("SUM(QUERY(Entregas_BD!D:L,""select L where D='""&amp;D245&amp;""'"",1))"),0.0)</f>
        <v>0</v>
      </c>
      <c r="T245" s="19">
        <f>IFERROR(__xludf.DUMMYFUNCTION("SUM(QUERY(Entregas_BD!D:AL,""select AG where D='""&amp;D245&amp;""'"",1))"),0.0)</f>
        <v>0</v>
      </c>
      <c r="U245" s="19">
        <f>IFERROR(__xludf.DUMMYFUNCTION("SUM(QUERY(Entregas_BD!D:AL,""select AH where D='""&amp;D245&amp;""'"",1))"),0.0)</f>
        <v>0</v>
      </c>
      <c r="V245" s="19">
        <f>IFERROR(__xludf.DUMMYFUNCTION("SUM(QUERY(Entregas_BD!D:AL,""select AI where D='""&amp;D245&amp;""'"",1))"),0.0)</f>
        <v>0</v>
      </c>
      <c r="W245" s="19">
        <f>IFERROR(__xludf.DUMMYFUNCTION("SUM(QUERY(Entregas_BD!D:AL,""select AJ where D='""&amp;D245&amp;""'"",1))"),0.0)</f>
        <v>0</v>
      </c>
      <c r="X245" s="19">
        <f>IFERROR(__xludf.DUMMYFUNCTION("SUM(QUERY(Entregas_BD!D:AL,""select AL where D='""&amp;D245&amp;""'"",1))"),0.0)</f>
        <v>0</v>
      </c>
      <c r="Y245" s="19">
        <f>IFERROR(__xludf.DUMMYFUNCTION("SUM(QUERY(Entregas_BD!D:AL,""select AK where D='""&amp;D245&amp;""'"",1))"),0.0)</f>
        <v>0</v>
      </c>
      <c r="Z245" s="19">
        <v>0.0</v>
      </c>
      <c r="AA245" s="19">
        <v>0.0</v>
      </c>
      <c r="AB245" s="19">
        <v>0.0</v>
      </c>
      <c r="AC245" s="19">
        <v>0.0</v>
      </c>
      <c r="AD245" s="19">
        <v>0.0</v>
      </c>
      <c r="AE245" s="19">
        <v>0.0</v>
      </c>
      <c r="AF245" s="22"/>
      <c r="AG245" s="24">
        <f>IFERROR(__xludf.DUMMYFUNCTION("SUM(QUERY(Entregas_BD!D:W,""select U where D='""&amp;D245&amp;""'"",1))"),0.0)</f>
        <v>0</v>
      </c>
      <c r="AH245" s="24">
        <f>IFERROR(__xludf.DUMMYFUNCTION("SUM(QUERY(Entregas_BD!D:W,""select S where D='""&amp;D245&amp;""'"",1))"),0.0)</f>
        <v>0</v>
      </c>
      <c r="AI245" s="24">
        <f>IFERROR(__xludf.DUMMYFUNCTION("SUM(QUERY(Entregas_BD!D:W,""select T where D='""&amp;D245&amp;""'"",1))"),0.0)</f>
        <v>0</v>
      </c>
    </row>
    <row r="246" ht="19.5" customHeight="1">
      <c r="A246" s="7"/>
      <c r="B246" s="8"/>
      <c r="C246" s="9">
        <v>245.0</v>
      </c>
      <c r="D246" s="10" t="s">
        <v>649</v>
      </c>
      <c r="E246" s="10" t="s">
        <v>72</v>
      </c>
      <c r="F246" s="10" t="s">
        <v>45</v>
      </c>
      <c r="G246" s="10" t="s">
        <v>650</v>
      </c>
      <c r="H246" s="12" t="s">
        <v>617</v>
      </c>
      <c r="I246" s="11" t="s">
        <v>41</v>
      </c>
      <c r="J246" s="12"/>
      <c r="K246" s="12"/>
      <c r="L246" s="13"/>
      <c r="M246" s="28"/>
      <c r="N246" s="9">
        <f>IFERROR(__xludf.DUMMYFUNCTION("SUM(QUERY(Entregas_BD!D:L,""select G where D='""&amp;D246&amp;""'"",1))"),0.0)</f>
        <v>0</v>
      </c>
      <c r="O246" s="9">
        <f>IFERROR(__xludf.DUMMYFUNCTION("SUM(QUERY(Entregas_BD!D:L,""select H where D='""&amp;D246&amp;""'"",1))"),0.0)</f>
        <v>0</v>
      </c>
      <c r="P246" s="9">
        <f>IFERROR(__xludf.DUMMYFUNCTION("SUM(QUERY(Entregas_BD!D:L,""select I where D='""&amp;D246&amp;""'"",1))"),0.0)</f>
        <v>0</v>
      </c>
      <c r="Q246" s="9">
        <f>IFERROR(__xludf.DUMMYFUNCTION("SUM(QUERY(Entregas_BD!D:L,""select J where D='""&amp;D246&amp;""'"",1))"),0.0)</f>
        <v>0</v>
      </c>
      <c r="R246" s="15">
        <f>IFERROR(__xludf.DUMMYFUNCTION("SUM(QUERY(Entregas_BD!D:L,""select K where D='""&amp;D246&amp;""'"",1))"),0.0)</f>
        <v>0</v>
      </c>
      <c r="S246" s="15">
        <f>IFERROR(__xludf.DUMMYFUNCTION("SUM(QUERY(Entregas_BD!D:L,""select L where D='""&amp;D246&amp;""'"",1))"),0.0)</f>
        <v>0</v>
      </c>
      <c r="T246" s="9">
        <f>IFERROR(__xludf.DUMMYFUNCTION("SUM(QUERY(Entregas_BD!D:AL,""select AG where D='""&amp;D246&amp;""'"",1))"),0.0)</f>
        <v>0</v>
      </c>
      <c r="U246" s="9">
        <f>IFERROR(__xludf.DUMMYFUNCTION("SUM(QUERY(Entregas_BD!D:AL,""select AH where D='""&amp;D246&amp;""'"",1))"),0.0)</f>
        <v>0</v>
      </c>
      <c r="V246" s="9">
        <f>IFERROR(__xludf.DUMMYFUNCTION("SUM(QUERY(Entregas_BD!D:AL,""select AI where D='""&amp;D246&amp;""'"",1))"),0.0)</f>
        <v>0</v>
      </c>
      <c r="W246" s="9">
        <f>IFERROR(__xludf.DUMMYFUNCTION("SUM(QUERY(Entregas_BD!D:AL,""select AJ where D='""&amp;D246&amp;""'"",1))"),0.0)</f>
        <v>0</v>
      </c>
      <c r="X246" s="9">
        <f>IFERROR(__xludf.DUMMYFUNCTION("SUM(QUERY(Entregas_BD!D:AL,""select AL where D='""&amp;D246&amp;""'"",1))"),0.0)</f>
        <v>0</v>
      </c>
      <c r="Y246" s="9">
        <f>IFERROR(__xludf.DUMMYFUNCTION("SUM(QUERY(Entregas_BD!D:AL,""select AK where D='""&amp;D246&amp;""'"",1))"),0.0)</f>
        <v>0</v>
      </c>
      <c r="Z246" s="9">
        <v>0.0</v>
      </c>
      <c r="AA246" s="9">
        <v>0.0</v>
      </c>
      <c r="AB246" s="9">
        <v>0.0</v>
      </c>
      <c r="AC246" s="9">
        <v>0.0</v>
      </c>
      <c r="AD246" s="9">
        <v>0.0</v>
      </c>
      <c r="AE246" s="9">
        <v>0.0</v>
      </c>
      <c r="AF246" s="52"/>
      <c r="AG246" s="15">
        <f>IFERROR(__xludf.DUMMYFUNCTION("SUM(QUERY(Entregas_BD!D:W,""select U where D='""&amp;D246&amp;""'"",1))"),0.0)</f>
        <v>0</v>
      </c>
      <c r="AH246" s="15">
        <f>IFERROR(__xludf.DUMMYFUNCTION("SUM(QUERY(Entregas_BD!D:W,""select S where D='""&amp;D246&amp;""'"",1))"),0.0)</f>
        <v>0</v>
      </c>
      <c r="AI246" s="15">
        <f>IFERROR(__xludf.DUMMYFUNCTION("SUM(QUERY(Entregas_BD!D:W,""select T where D='""&amp;D246&amp;""'"",1))"),0.0)</f>
        <v>0</v>
      </c>
    </row>
    <row r="247" ht="19.5" customHeight="1">
      <c r="A247" s="31"/>
      <c r="B247" s="32"/>
      <c r="C247" s="19">
        <v>246.0</v>
      </c>
      <c r="D247" s="20" t="s">
        <v>651</v>
      </c>
      <c r="E247" s="20" t="s">
        <v>197</v>
      </c>
      <c r="F247" s="20" t="s">
        <v>243</v>
      </c>
      <c r="G247" s="20" t="s">
        <v>652</v>
      </c>
      <c r="H247" s="34" t="s">
        <v>632</v>
      </c>
      <c r="I247" s="21" t="s">
        <v>41</v>
      </c>
      <c r="J247" s="61"/>
      <c r="K247" s="34"/>
      <c r="L247" s="42"/>
      <c r="M247" s="22"/>
      <c r="N247" s="19">
        <f>IFERROR(__xludf.DUMMYFUNCTION("SUM(QUERY(Entregas_BD!D:L,""select G where D='""&amp;D247&amp;""'"",1))"),0.0)</f>
        <v>0</v>
      </c>
      <c r="O247" s="19">
        <f>IFERROR(__xludf.DUMMYFUNCTION("SUM(QUERY(Entregas_BD!D:L,""select H where D='""&amp;D247&amp;""'"",1))"),0.0)</f>
        <v>0</v>
      </c>
      <c r="P247" s="19">
        <f>IFERROR(__xludf.DUMMYFUNCTION("SUM(QUERY(Entregas_BD!D:L,""select I where D='""&amp;D247&amp;""'"",1))"),0.0)</f>
        <v>0</v>
      </c>
      <c r="Q247" s="19">
        <f>IFERROR(__xludf.DUMMYFUNCTION("SUM(QUERY(Entregas_BD!D:L,""select J where D='""&amp;D247&amp;""'"",1))"),0.0)</f>
        <v>0</v>
      </c>
      <c r="R247" s="24">
        <f>IFERROR(__xludf.DUMMYFUNCTION("SUM(QUERY(Entregas_BD!D:L,""select K where D='""&amp;D247&amp;""'"",1))"),0.0)</f>
        <v>0</v>
      </c>
      <c r="S247" s="24">
        <f>IFERROR(__xludf.DUMMYFUNCTION("SUM(QUERY(Entregas_BD!D:L,""select L where D='""&amp;D247&amp;""'"",1))"),0.0)</f>
        <v>0</v>
      </c>
      <c r="T247" s="19">
        <f>IFERROR(__xludf.DUMMYFUNCTION("SUM(QUERY(Entregas_BD!D:AL,""select AG where D='""&amp;D247&amp;""'"",1))"),25.0)</f>
        <v>25</v>
      </c>
      <c r="U247" s="19">
        <f>IFERROR(__xludf.DUMMYFUNCTION("SUM(QUERY(Entregas_BD!D:AL,""select AH where D='""&amp;D247&amp;""'"",1))"),0.0)</f>
        <v>0</v>
      </c>
      <c r="V247" s="19">
        <f>IFERROR(__xludf.DUMMYFUNCTION("SUM(QUERY(Entregas_BD!D:AL,""select AI where D='""&amp;D247&amp;""'"",1))"),0.0)</f>
        <v>0</v>
      </c>
      <c r="W247" s="19">
        <f>IFERROR(__xludf.DUMMYFUNCTION("SUM(QUERY(Entregas_BD!D:AL,""select AJ where D='""&amp;D247&amp;""'"",1))"),0.0)</f>
        <v>0</v>
      </c>
      <c r="X247" s="19">
        <f>IFERROR(__xludf.DUMMYFUNCTION("SUM(QUERY(Entregas_BD!D:AL,""select AL where D='""&amp;D247&amp;""'"",1))"),0.0)</f>
        <v>0</v>
      </c>
      <c r="Y247" s="19">
        <f>IFERROR(__xludf.DUMMYFUNCTION("SUM(QUERY(Entregas_BD!D:AL,""select AK where D='""&amp;D247&amp;""'"",1))"),0.0)</f>
        <v>0</v>
      </c>
      <c r="Z247" s="19">
        <v>-25.0</v>
      </c>
      <c r="AA247" s="19">
        <v>0.0</v>
      </c>
      <c r="AB247" s="19">
        <v>0.0</v>
      </c>
      <c r="AC247" s="19">
        <v>0.0</v>
      </c>
      <c r="AD247" s="19">
        <v>0.0</v>
      </c>
      <c r="AE247" s="19">
        <v>0.0</v>
      </c>
      <c r="AF247" s="22"/>
      <c r="AG247" s="24">
        <f>IFERROR(__xludf.DUMMYFUNCTION("SUM(QUERY(Entregas_BD!D:W,""select U where D='""&amp;D247&amp;""'"",1))"),0.0)</f>
        <v>0</v>
      </c>
      <c r="AH247" s="24">
        <f>IFERROR(__xludf.DUMMYFUNCTION("SUM(QUERY(Entregas_BD!D:W,""select S where D='""&amp;D247&amp;""'"",1))"),0.0)</f>
        <v>0</v>
      </c>
      <c r="AI247" s="24">
        <f>IFERROR(__xludf.DUMMYFUNCTION("SUM(QUERY(Entregas_BD!D:W,""select T where D='""&amp;D247&amp;""'"",1))"),0.0)</f>
        <v>0</v>
      </c>
    </row>
    <row r="248" ht="19.5" customHeight="1">
      <c r="A248" s="7"/>
      <c r="B248" s="8"/>
      <c r="C248" s="9">
        <v>247.0</v>
      </c>
      <c r="D248" s="10" t="s">
        <v>653</v>
      </c>
      <c r="E248" s="10" t="s">
        <v>197</v>
      </c>
      <c r="F248" s="10" t="s">
        <v>243</v>
      </c>
      <c r="G248" s="10" t="s">
        <v>654</v>
      </c>
      <c r="H248" s="12" t="s">
        <v>632</v>
      </c>
      <c r="I248" s="11" t="s">
        <v>41</v>
      </c>
      <c r="J248" s="60"/>
      <c r="K248" s="12"/>
      <c r="L248" s="13"/>
      <c r="M248" s="28"/>
      <c r="N248" s="9">
        <f>IFERROR(__xludf.DUMMYFUNCTION("SUM(QUERY(Entregas_BD!D:L,""select G where D='""&amp;D248&amp;""'"",1))"),0.0)</f>
        <v>0</v>
      </c>
      <c r="O248" s="9">
        <f>IFERROR(__xludf.DUMMYFUNCTION("SUM(QUERY(Entregas_BD!D:L,""select H where D='""&amp;D248&amp;""'"",1))"),0.0)</f>
        <v>0</v>
      </c>
      <c r="P248" s="9">
        <f>IFERROR(__xludf.DUMMYFUNCTION("SUM(QUERY(Entregas_BD!D:L,""select I where D='""&amp;D248&amp;""'"",1))"),0.0)</f>
        <v>0</v>
      </c>
      <c r="Q248" s="9">
        <f>IFERROR(__xludf.DUMMYFUNCTION("SUM(QUERY(Entregas_BD!D:L,""select J where D='""&amp;D248&amp;""'"",1))"),0.0)</f>
        <v>0</v>
      </c>
      <c r="R248" s="15">
        <f>IFERROR(__xludf.DUMMYFUNCTION("SUM(QUERY(Entregas_BD!D:L,""select K where D='""&amp;D248&amp;""'"",1))"),0.0)</f>
        <v>0</v>
      </c>
      <c r="S248" s="15">
        <f>IFERROR(__xludf.DUMMYFUNCTION("SUM(QUERY(Entregas_BD!D:L,""select L where D='""&amp;D248&amp;""'"",1))"),0.0)</f>
        <v>0</v>
      </c>
      <c r="T248" s="9">
        <f>IFERROR(__xludf.DUMMYFUNCTION("SUM(QUERY(Entregas_BD!D:AL,""select AG where D='""&amp;D248&amp;""'"",1))"),25.0)</f>
        <v>25</v>
      </c>
      <c r="U248" s="9">
        <f>IFERROR(__xludf.DUMMYFUNCTION("SUM(QUERY(Entregas_BD!D:AL,""select AH where D='""&amp;D248&amp;""'"",1))"),0.0)</f>
        <v>0</v>
      </c>
      <c r="V248" s="9">
        <f>IFERROR(__xludf.DUMMYFUNCTION("SUM(QUERY(Entregas_BD!D:AL,""select AI where D='""&amp;D248&amp;""'"",1))"),0.0)</f>
        <v>0</v>
      </c>
      <c r="W248" s="9">
        <f>IFERROR(__xludf.DUMMYFUNCTION("SUM(QUERY(Entregas_BD!D:AL,""select AJ where D='""&amp;D248&amp;""'"",1))"),0.0)</f>
        <v>0</v>
      </c>
      <c r="X248" s="9">
        <f>IFERROR(__xludf.DUMMYFUNCTION("SUM(QUERY(Entregas_BD!D:AL,""select AL where D='""&amp;D248&amp;""'"",1))"),0.0)</f>
        <v>0</v>
      </c>
      <c r="Y248" s="9">
        <f>IFERROR(__xludf.DUMMYFUNCTION("SUM(QUERY(Entregas_BD!D:AL,""select AK where D='""&amp;D248&amp;""'"",1))"),0.0)</f>
        <v>0</v>
      </c>
      <c r="Z248" s="9">
        <v>-25.0</v>
      </c>
      <c r="AA248" s="9">
        <v>0.0</v>
      </c>
      <c r="AB248" s="9">
        <v>0.0</v>
      </c>
      <c r="AC248" s="9">
        <v>0.0</v>
      </c>
      <c r="AD248" s="9">
        <v>0.0</v>
      </c>
      <c r="AE248" s="9">
        <v>0.0</v>
      </c>
      <c r="AF248" s="28"/>
      <c r="AG248" s="15">
        <f>IFERROR(__xludf.DUMMYFUNCTION("SUM(QUERY(Entregas_BD!D:W,""select U where D='""&amp;D248&amp;""'"",1))"),0.0)</f>
        <v>0</v>
      </c>
      <c r="AH248" s="15">
        <f>IFERROR(__xludf.DUMMYFUNCTION("SUM(QUERY(Entregas_BD!D:W,""select S where D='""&amp;D248&amp;""'"",1))"),0.0)</f>
        <v>0</v>
      </c>
      <c r="AI248" s="15">
        <f>IFERROR(__xludf.DUMMYFUNCTION("SUM(QUERY(Entregas_BD!D:W,""select T where D='""&amp;D248&amp;""'"",1))"),0.0)</f>
        <v>0</v>
      </c>
    </row>
    <row r="249" ht="19.5" customHeight="1">
      <c r="A249" s="31"/>
      <c r="B249" s="32"/>
      <c r="C249" s="19">
        <v>248.0</v>
      </c>
      <c r="D249" s="20" t="s">
        <v>655</v>
      </c>
      <c r="E249" s="20" t="s">
        <v>197</v>
      </c>
      <c r="F249" s="20" t="s">
        <v>243</v>
      </c>
      <c r="G249" s="20" t="s">
        <v>499</v>
      </c>
      <c r="H249" s="34" t="s">
        <v>632</v>
      </c>
      <c r="I249" s="21" t="s">
        <v>41</v>
      </c>
      <c r="J249" s="34"/>
      <c r="K249" s="34"/>
      <c r="L249" s="42"/>
      <c r="M249" s="22"/>
      <c r="N249" s="19">
        <f>IFERROR(__xludf.DUMMYFUNCTION("SUM(QUERY(Entregas_BD!D:L,""select G where D='""&amp;D249&amp;""'"",1))"),0.0)</f>
        <v>0</v>
      </c>
      <c r="O249" s="19">
        <f>IFERROR(__xludf.DUMMYFUNCTION("SUM(QUERY(Entregas_BD!D:L,""select H where D='""&amp;D249&amp;""'"",1))"),0.0)</f>
        <v>0</v>
      </c>
      <c r="P249" s="19">
        <f>IFERROR(__xludf.DUMMYFUNCTION("SUM(QUERY(Entregas_BD!D:L,""select I where D='""&amp;D249&amp;""'"",1))"),0.0)</f>
        <v>0</v>
      </c>
      <c r="Q249" s="19">
        <f>IFERROR(__xludf.DUMMYFUNCTION("SUM(QUERY(Entregas_BD!D:L,""select J where D='""&amp;D249&amp;""'"",1))"),0.0)</f>
        <v>0</v>
      </c>
      <c r="R249" s="24">
        <f>IFERROR(__xludf.DUMMYFUNCTION("SUM(QUERY(Entregas_BD!D:L,""select K where D='""&amp;D249&amp;""'"",1))"),0.0)</f>
        <v>0</v>
      </c>
      <c r="S249" s="24">
        <f>IFERROR(__xludf.DUMMYFUNCTION("SUM(QUERY(Entregas_BD!D:L,""select L where D='""&amp;D249&amp;""'"",1))"),0.0)</f>
        <v>0</v>
      </c>
      <c r="T249" s="19">
        <f>IFERROR(__xludf.DUMMYFUNCTION("SUM(QUERY(Entregas_BD!D:AL,""select AG where D='""&amp;D249&amp;""'"",1))"),0.0)</f>
        <v>0</v>
      </c>
      <c r="U249" s="19">
        <f>IFERROR(__xludf.DUMMYFUNCTION("SUM(QUERY(Entregas_BD!D:AL,""select AH where D='""&amp;D249&amp;""'"",1))"),0.0)</f>
        <v>0</v>
      </c>
      <c r="V249" s="19">
        <f>IFERROR(__xludf.DUMMYFUNCTION("SUM(QUERY(Entregas_BD!D:AL,""select AI where D='""&amp;D249&amp;""'"",1))"),0.0)</f>
        <v>0</v>
      </c>
      <c r="W249" s="19">
        <f>IFERROR(__xludf.DUMMYFUNCTION("SUM(QUERY(Entregas_BD!D:AL,""select AJ where D='""&amp;D249&amp;""'"",1))"),0.0)</f>
        <v>0</v>
      </c>
      <c r="X249" s="19">
        <f>IFERROR(__xludf.DUMMYFUNCTION("SUM(QUERY(Entregas_BD!D:AL,""select AL where D='""&amp;D249&amp;""'"",1))"),0.0)</f>
        <v>0</v>
      </c>
      <c r="Y249" s="19">
        <f>IFERROR(__xludf.DUMMYFUNCTION("SUM(QUERY(Entregas_BD!D:AL,""select AK where D='""&amp;D249&amp;""'"",1))"),0.0)</f>
        <v>0</v>
      </c>
      <c r="Z249" s="19">
        <v>0.0</v>
      </c>
      <c r="AA249" s="19">
        <v>0.0</v>
      </c>
      <c r="AB249" s="19">
        <v>0.0</v>
      </c>
      <c r="AC249" s="19">
        <v>0.0</v>
      </c>
      <c r="AD249" s="19">
        <v>0.0</v>
      </c>
      <c r="AE249" s="19">
        <v>0.0</v>
      </c>
      <c r="AF249" s="51"/>
      <c r="AG249" s="24">
        <f>IFERROR(__xludf.DUMMYFUNCTION("SUM(QUERY(Entregas_BD!D:W,""select U where D='""&amp;D249&amp;""'"",1))"),0.0)</f>
        <v>0</v>
      </c>
      <c r="AH249" s="24">
        <f>IFERROR(__xludf.DUMMYFUNCTION("SUM(QUERY(Entregas_BD!D:W,""select S where D='""&amp;D249&amp;""'"",1))"),0.0)</f>
        <v>0</v>
      </c>
      <c r="AI249" s="24">
        <f>IFERROR(__xludf.DUMMYFUNCTION("SUM(QUERY(Entregas_BD!D:W,""select T where D='""&amp;D249&amp;""'"",1))"),0.0)</f>
        <v>0</v>
      </c>
    </row>
    <row r="250" ht="19.5" customHeight="1">
      <c r="A250" s="7"/>
      <c r="B250" s="8"/>
      <c r="C250" s="9">
        <v>249.0</v>
      </c>
      <c r="D250" s="10" t="s">
        <v>656</v>
      </c>
      <c r="E250" s="10" t="s">
        <v>197</v>
      </c>
      <c r="F250" s="10" t="s">
        <v>657</v>
      </c>
      <c r="G250" s="10" t="s">
        <v>658</v>
      </c>
      <c r="H250" s="12" t="s">
        <v>632</v>
      </c>
      <c r="I250" s="11" t="s">
        <v>41</v>
      </c>
      <c r="J250" s="12"/>
      <c r="K250" s="12"/>
      <c r="L250" s="13"/>
      <c r="M250" s="28"/>
      <c r="N250" s="9">
        <f>IFERROR(__xludf.DUMMYFUNCTION("SUM(QUERY(Entregas_BD!D:L,""select G where D='""&amp;D250&amp;""'"",1))"),0.0)</f>
        <v>0</v>
      </c>
      <c r="O250" s="9">
        <f>IFERROR(__xludf.DUMMYFUNCTION("SUM(QUERY(Entregas_BD!D:L,""select H where D='""&amp;D250&amp;""'"",1))"),0.0)</f>
        <v>0</v>
      </c>
      <c r="P250" s="9">
        <f>IFERROR(__xludf.DUMMYFUNCTION("SUM(QUERY(Entregas_BD!D:L,""select I where D='""&amp;D250&amp;""'"",1))"),0.0)</f>
        <v>0</v>
      </c>
      <c r="Q250" s="9">
        <f>IFERROR(__xludf.DUMMYFUNCTION("SUM(QUERY(Entregas_BD!D:L,""select J where D='""&amp;D250&amp;""'"",1))"),0.0)</f>
        <v>0</v>
      </c>
      <c r="R250" s="15">
        <f>IFERROR(__xludf.DUMMYFUNCTION("SUM(QUERY(Entregas_BD!D:L,""select K where D='""&amp;D250&amp;""'"",1))"),0.0)</f>
        <v>0</v>
      </c>
      <c r="S250" s="15">
        <f>IFERROR(__xludf.DUMMYFUNCTION("SUM(QUERY(Entregas_BD!D:L,""select L where D='""&amp;D250&amp;""'"",1))"),0.0)</f>
        <v>0</v>
      </c>
      <c r="T250" s="9">
        <f>IFERROR(__xludf.DUMMYFUNCTION("SUM(QUERY(Entregas_BD!D:AL,""select AG where D='""&amp;D250&amp;""'"",1))"),100.0)</f>
        <v>100</v>
      </c>
      <c r="U250" s="9">
        <f>IFERROR(__xludf.DUMMYFUNCTION("SUM(QUERY(Entregas_BD!D:AL,""select AH where D='""&amp;D250&amp;""'"",1))"),0.0)</f>
        <v>0</v>
      </c>
      <c r="V250" s="9">
        <f>IFERROR(__xludf.DUMMYFUNCTION("SUM(QUERY(Entregas_BD!D:AL,""select AI where D='""&amp;D250&amp;""'"",1))"),0.0)</f>
        <v>0</v>
      </c>
      <c r="W250" s="9">
        <f>IFERROR(__xludf.DUMMYFUNCTION("SUM(QUERY(Entregas_BD!D:AL,""select AJ where D='""&amp;D250&amp;""'"",1))"),0.0)</f>
        <v>0</v>
      </c>
      <c r="X250" s="9">
        <f>IFERROR(__xludf.DUMMYFUNCTION("SUM(QUERY(Entregas_BD!D:AL,""select AL where D='""&amp;D250&amp;""'"",1))"),0.0)</f>
        <v>0</v>
      </c>
      <c r="Y250" s="9">
        <f>IFERROR(__xludf.DUMMYFUNCTION("SUM(QUERY(Entregas_BD!D:AL,""select AK where D='""&amp;D250&amp;""'"",1))"),0.0)</f>
        <v>0</v>
      </c>
      <c r="Z250" s="9">
        <v>-100.0</v>
      </c>
      <c r="AA250" s="9">
        <v>0.0</v>
      </c>
      <c r="AB250" s="9">
        <v>0.0</v>
      </c>
      <c r="AC250" s="9">
        <v>0.0</v>
      </c>
      <c r="AD250" s="9">
        <v>0.0</v>
      </c>
      <c r="AE250" s="9">
        <v>0.0</v>
      </c>
      <c r="AF250" s="28"/>
      <c r="AG250" s="15">
        <f>IFERROR(__xludf.DUMMYFUNCTION("SUM(QUERY(Entregas_BD!D:W,""select U where D='""&amp;D250&amp;""'"",1))"),0.0)</f>
        <v>0</v>
      </c>
      <c r="AH250" s="15">
        <f>IFERROR(__xludf.DUMMYFUNCTION("SUM(QUERY(Entregas_BD!D:W,""select S where D='""&amp;D250&amp;""'"",1))"),0.0)</f>
        <v>0</v>
      </c>
      <c r="AI250" s="15">
        <f>IFERROR(__xludf.DUMMYFUNCTION("SUM(QUERY(Entregas_BD!D:W,""select T where D='""&amp;D250&amp;""'"",1))"),0.0)</f>
        <v>0</v>
      </c>
    </row>
    <row r="251" ht="19.5" customHeight="1">
      <c r="A251" s="31"/>
      <c r="B251" s="32"/>
      <c r="C251" s="19">
        <v>250.0</v>
      </c>
      <c r="D251" s="20" t="s">
        <v>659</v>
      </c>
      <c r="E251" s="20" t="s">
        <v>197</v>
      </c>
      <c r="F251" s="20" t="s">
        <v>243</v>
      </c>
      <c r="G251" s="20" t="s">
        <v>660</v>
      </c>
      <c r="H251" s="34" t="s">
        <v>632</v>
      </c>
      <c r="I251" s="21" t="s">
        <v>41</v>
      </c>
      <c r="J251" s="34"/>
      <c r="K251" s="34"/>
      <c r="L251" s="42"/>
      <c r="M251" s="22"/>
      <c r="N251" s="19">
        <f>IFERROR(__xludf.DUMMYFUNCTION("SUM(QUERY(Entregas_BD!D:L,""select G where D='""&amp;D251&amp;""'"",1))"),0.0)</f>
        <v>0</v>
      </c>
      <c r="O251" s="19">
        <f>IFERROR(__xludf.DUMMYFUNCTION("SUM(QUERY(Entregas_BD!D:L,""select H where D='""&amp;D251&amp;""'"",1))"),0.0)</f>
        <v>0</v>
      </c>
      <c r="P251" s="19">
        <f>IFERROR(__xludf.DUMMYFUNCTION("SUM(QUERY(Entregas_BD!D:L,""select I where D='""&amp;D251&amp;""'"",1))"),0.0)</f>
        <v>0</v>
      </c>
      <c r="Q251" s="19">
        <f>IFERROR(__xludf.DUMMYFUNCTION("SUM(QUERY(Entregas_BD!D:L,""select J where D='""&amp;D251&amp;""'"",1))"),0.0)</f>
        <v>0</v>
      </c>
      <c r="R251" s="24">
        <f>IFERROR(__xludf.DUMMYFUNCTION("SUM(QUERY(Entregas_BD!D:L,""select K where D='""&amp;D251&amp;""'"",1))"),0.0)</f>
        <v>0</v>
      </c>
      <c r="S251" s="24">
        <f>IFERROR(__xludf.DUMMYFUNCTION("SUM(QUERY(Entregas_BD!D:L,""select L where D='""&amp;D251&amp;""'"",1))"),0.0)</f>
        <v>0</v>
      </c>
      <c r="T251" s="19">
        <f>IFERROR(__xludf.DUMMYFUNCTION("SUM(QUERY(Entregas_BD!D:AL,""select AG where D='""&amp;D251&amp;""'"",1))"),25.0)</f>
        <v>25</v>
      </c>
      <c r="U251" s="19">
        <f>IFERROR(__xludf.DUMMYFUNCTION("SUM(QUERY(Entregas_BD!D:AL,""select AH where D='""&amp;D251&amp;""'"",1))"),0.0)</f>
        <v>0</v>
      </c>
      <c r="V251" s="19">
        <f>IFERROR(__xludf.DUMMYFUNCTION("SUM(QUERY(Entregas_BD!D:AL,""select AI where D='""&amp;D251&amp;""'"",1))"),0.0)</f>
        <v>0</v>
      </c>
      <c r="W251" s="19">
        <f>IFERROR(__xludf.DUMMYFUNCTION("SUM(QUERY(Entregas_BD!D:AL,""select AJ where D='""&amp;D251&amp;""'"",1))"),0.0)</f>
        <v>0</v>
      </c>
      <c r="X251" s="19">
        <f>IFERROR(__xludf.DUMMYFUNCTION("SUM(QUERY(Entregas_BD!D:AL,""select AL where D='""&amp;D251&amp;""'"",1))"),0.0)</f>
        <v>0</v>
      </c>
      <c r="Y251" s="19">
        <f>IFERROR(__xludf.DUMMYFUNCTION("SUM(QUERY(Entregas_BD!D:AL,""select AK where D='""&amp;D251&amp;""'"",1))"),0.0)</f>
        <v>0</v>
      </c>
      <c r="Z251" s="19">
        <v>-25.0</v>
      </c>
      <c r="AA251" s="19">
        <v>0.0</v>
      </c>
      <c r="AB251" s="19">
        <v>0.0</v>
      </c>
      <c r="AC251" s="19">
        <v>0.0</v>
      </c>
      <c r="AD251" s="19">
        <v>0.0</v>
      </c>
      <c r="AE251" s="19">
        <v>0.0</v>
      </c>
      <c r="AF251" s="22"/>
      <c r="AG251" s="24">
        <f>IFERROR(__xludf.DUMMYFUNCTION("SUM(QUERY(Entregas_BD!D:W,""select U where D='""&amp;D251&amp;""'"",1))"),0.0)</f>
        <v>0</v>
      </c>
      <c r="AH251" s="24">
        <f>IFERROR(__xludf.DUMMYFUNCTION("SUM(QUERY(Entregas_BD!D:W,""select S where D='""&amp;D251&amp;""'"",1))"),0.0)</f>
        <v>0</v>
      </c>
      <c r="AI251" s="24">
        <f>IFERROR(__xludf.DUMMYFUNCTION("SUM(QUERY(Entregas_BD!D:W,""select T where D='""&amp;D251&amp;""'"",1))"),0.0)</f>
        <v>0</v>
      </c>
    </row>
    <row r="252" ht="19.5" customHeight="1">
      <c r="A252" s="7"/>
      <c r="B252" s="8"/>
      <c r="C252" s="9">
        <v>251.0</v>
      </c>
      <c r="D252" s="10" t="s">
        <v>661</v>
      </c>
      <c r="E252" s="10" t="s">
        <v>197</v>
      </c>
      <c r="F252" s="10" t="s">
        <v>243</v>
      </c>
      <c r="G252" s="10" t="s">
        <v>662</v>
      </c>
      <c r="H252" s="12" t="s">
        <v>632</v>
      </c>
      <c r="I252" s="11" t="s">
        <v>41</v>
      </c>
      <c r="J252" s="12"/>
      <c r="K252" s="12"/>
      <c r="L252" s="13"/>
      <c r="M252" s="28"/>
      <c r="N252" s="9">
        <f>IFERROR(__xludf.DUMMYFUNCTION("SUM(QUERY(Entregas_BD!D:L,""select G where D='""&amp;D252&amp;""'"",1))"),0.0)</f>
        <v>0</v>
      </c>
      <c r="O252" s="9">
        <f>IFERROR(__xludf.DUMMYFUNCTION("SUM(QUERY(Entregas_BD!D:L,""select H where D='""&amp;D252&amp;""'"",1))"),0.0)</f>
        <v>0</v>
      </c>
      <c r="P252" s="9">
        <f>IFERROR(__xludf.DUMMYFUNCTION("SUM(QUERY(Entregas_BD!D:L,""select I where D='""&amp;D252&amp;""'"",1))"),0.0)</f>
        <v>0</v>
      </c>
      <c r="Q252" s="9">
        <f>IFERROR(__xludf.DUMMYFUNCTION("SUM(QUERY(Entregas_BD!D:L,""select J where D='""&amp;D252&amp;""'"",1))"),0.0)</f>
        <v>0</v>
      </c>
      <c r="R252" s="15">
        <f>IFERROR(__xludf.DUMMYFUNCTION("SUM(QUERY(Entregas_BD!D:L,""select K where D='""&amp;D252&amp;""'"",1))"),0.0)</f>
        <v>0</v>
      </c>
      <c r="S252" s="15">
        <f>IFERROR(__xludf.DUMMYFUNCTION("SUM(QUERY(Entregas_BD!D:L,""select L where D='""&amp;D252&amp;""'"",1))"),0.0)</f>
        <v>0</v>
      </c>
      <c r="T252" s="9">
        <f>IFERROR(__xludf.DUMMYFUNCTION("SUM(QUERY(Entregas_BD!D:AL,""select AG where D='""&amp;D252&amp;""'"",1))"),25.0)</f>
        <v>25</v>
      </c>
      <c r="U252" s="9">
        <f>IFERROR(__xludf.DUMMYFUNCTION("SUM(QUERY(Entregas_BD!D:AL,""select AH where D='""&amp;D252&amp;""'"",1))"),0.0)</f>
        <v>0</v>
      </c>
      <c r="V252" s="9">
        <f>IFERROR(__xludf.DUMMYFUNCTION("SUM(QUERY(Entregas_BD!D:AL,""select AI where D='""&amp;D252&amp;""'"",1))"),0.0)</f>
        <v>0</v>
      </c>
      <c r="W252" s="9">
        <f>IFERROR(__xludf.DUMMYFUNCTION("SUM(QUERY(Entregas_BD!D:AL,""select AJ where D='""&amp;D252&amp;""'"",1))"),0.0)</f>
        <v>0</v>
      </c>
      <c r="X252" s="9">
        <f>IFERROR(__xludf.DUMMYFUNCTION("SUM(QUERY(Entregas_BD!D:AL,""select AL where D='""&amp;D252&amp;""'"",1))"),0.0)</f>
        <v>0</v>
      </c>
      <c r="Y252" s="9">
        <f>IFERROR(__xludf.DUMMYFUNCTION("SUM(QUERY(Entregas_BD!D:AL,""select AK where D='""&amp;D252&amp;""'"",1))"),0.0)</f>
        <v>0</v>
      </c>
      <c r="Z252" s="9">
        <v>-25.0</v>
      </c>
      <c r="AA252" s="9">
        <v>0.0</v>
      </c>
      <c r="AB252" s="9">
        <v>0.0</v>
      </c>
      <c r="AC252" s="9">
        <v>0.0</v>
      </c>
      <c r="AD252" s="9">
        <v>0.0</v>
      </c>
      <c r="AE252" s="9">
        <v>0.0</v>
      </c>
      <c r="AF252" s="52"/>
      <c r="AG252" s="15">
        <f>IFERROR(__xludf.DUMMYFUNCTION("SUM(QUERY(Entregas_BD!D:W,""select U where D='""&amp;D252&amp;""'"",1))"),0.0)</f>
        <v>0</v>
      </c>
      <c r="AH252" s="15">
        <f>IFERROR(__xludf.DUMMYFUNCTION("SUM(QUERY(Entregas_BD!D:W,""select S where D='""&amp;D252&amp;""'"",1))"),0.0)</f>
        <v>0</v>
      </c>
      <c r="AI252" s="15">
        <f>IFERROR(__xludf.DUMMYFUNCTION("SUM(QUERY(Entregas_BD!D:W,""select T where D='""&amp;D252&amp;""'"",1))"),0.0)</f>
        <v>0</v>
      </c>
    </row>
    <row r="253" ht="19.5" customHeight="1">
      <c r="A253" s="31"/>
      <c r="B253" s="32"/>
      <c r="C253" s="19">
        <v>252.0</v>
      </c>
      <c r="D253" s="20" t="s">
        <v>663</v>
      </c>
      <c r="E253" s="20" t="s">
        <v>197</v>
      </c>
      <c r="F253" s="20" t="s">
        <v>243</v>
      </c>
      <c r="G253" s="20" t="s">
        <v>515</v>
      </c>
      <c r="H253" s="34" t="s">
        <v>632</v>
      </c>
      <c r="I253" s="21" t="s">
        <v>41</v>
      </c>
      <c r="J253" s="34"/>
      <c r="K253" s="34"/>
      <c r="L253" s="42"/>
      <c r="M253" s="22"/>
      <c r="N253" s="19">
        <f>IFERROR(__xludf.DUMMYFUNCTION("SUM(QUERY(Entregas_BD!D:L,""select G where D='""&amp;D253&amp;""'"",1))"),0.0)</f>
        <v>0</v>
      </c>
      <c r="O253" s="19">
        <f>IFERROR(__xludf.DUMMYFUNCTION("SUM(QUERY(Entregas_BD!D:L,""select H where D='""&amp;D253&amp;""'"",1))"),0.0)</f>
        <v>0</v>
      </c>
      <c r="P253" s="19">
        <f>IFERROR(__xludf.DUMMYFUNCTION("SUM(QUERY(Entregas_BD!D:L,""select I where D='""&amp;D253&amp;""'"",1))"),0.0)</f>
        <v>0</v>
      </c>
      <c r="Q253" s="19">
        <f>IFERROR(__xludf.DUMMYFUNCTION("SUM(QUERY(Entregas_BD!D:L,""select J where D='""&amp;D253&amp;""'"",1))"),0.0)</f>
        <v>0</v>
      </c>
      <c r="R253" s="24">
        <f>IFERROR(__xludf.DUMMYFUNCTION("SUM(QUERY(Entregas_BD!D:L,""select K where D='""&amp;D253&amp;""'"",1))"),0.0)</f>
        <v>0</v>
      </c>
      <c r="S253" s="24">
        <f>IFERROR(__xludf.DUMMYFUNCTION("SUM(QUERY(Entregas_BD!D:L,""select L where D='""&amp;D253&amp;""'"",1))"),0.0)</f>
        <v>0</v>
      </c>
      <c r="T253" s="19">
        <f>IFERROR(__xludf.DUMMYFUNCTION("SUM(QUERY(Entregas_BD!D:AL,""select AG where D='""&amp;D253&amp;""'"",1))"),25.0)</f>
        <v>25</v>
      </c>
      <c r="U253" s="19">
        <f>IFERROR(__xludf.DUMMYFUNCTION("SUM(QUERY(Entregas_BD!D:AL,""select AH where D='""&amp;D253&amp;""'"",1))"),0.0)</f>
        <v>0</v>
      </c>
      <c r="V253" s="19">
        <f>IFERROR(__xludf.DUMMYFUNCTION("SUM(QUERY(Entregas_BD!D:AL,""select AI where D='""&amp;D253&amp;""'"",1))"),0.0)</f>
        <v>0</v>
      </c>
      <c r="W253" s="19">
        <f>IFERROR(__xludf.DUMMYFUNCTION("SUM(QUERY(Entregas_BD!D:AL,""select AJ where D='""&amp;D253&amp;""'"",1))"),0.0)</f>
        <v>0</v>
      </c>
      <c r="X253" s="19">
        <f>IFERROR(__xludf.DUMMYFUNCTION("SUM(QUERY(Entregas_BD!D:AL,""select AL where D='""&amp;D253&amp;""'"",1))"),0.0)</f>
        <v>0</v>
      </c>
      <c r="Y253" s="19">
        <f>IFERROR(__xludf.DUMMYFUNCTION("SUM(QUERY(Entregas_BD!D:AL,""select AK where D='""&amp;D253&amp;""'"",1))"),0.0)</f>
        <v>0</v>
      </c>
      <c r="Z253" s="19">
        <v>-25.0</v>
      </c>
      <c r="AA253" s="19">
        <v>0.0</v>
      </c>
      <c r="AB253" s="19">
        <v>0.0</v>
      </c>
      <c r="AC253" s="19">
        <v>0.0</v>
      </c>
      <c r="AD253" s="19">
        <v>0.0</v>
      </c>
      <c r="AE253" s="19">
        <v>0.0</v>
      </c>
      <c r="AF253" s="22"/>
      <c r="AG253" s="24">
        <f>IFERROR(__xludf.DUMMYFUNCTION("SUM(QUERY(Entregas_BD!D:W,""select U where D='""&amp;D253&amp;""'"",1))"),0.0)</f>
        <v>0</v>
      </c>
      <c r="AH253" s="24">
        <f>IFERROR(__xludf.DUMMYFUNCTION("SUM(QUERY(Entregas_BD!D:W,""select S where D='""&amp;D253&amp;""'"",1))"),0.0)</f>
        <v>0</v>
      </c>
      <c r="AI253" s="24">
        <f>IFERROR(__xludf.DUMMYFUNCTION("SUM(QUERY(Entregas_BD!D:W,""select T where D='""&amp;D253&amp;""'"",1))"),0.0)</f>
        <v>0</v>
      </c>
    </row>
    <row r="254" ht="19.5" customHeight="1">
      <c r="A254" s="7"/>
      <c r="B254" s="8"/>
      <c r="C254" s="9">
        <v>253.0</v>
      </c>
      <c r="D254" s="10" t="s">
        <v>664</v>
      </c>
      <c r="E254" s="10" t="s">
        <v>197</v>
      </c>
      <c r="F254" s="10" t="s">
        <v>243</v>
      </c>
      <c r="G254" s="10" t="s">
        <v>665</v>
      </c>
      <c r="H254" s="12" t="s">
        <v>632</v>
      </c>
      <c r="I254" s="11" t="s">
        <v>41</v>
      </c>
      <c r="J254" s="12"/>
      <c r="K254" s="12"/>
      <c r="L254" s="13"/>
      <c r="M254" s="28"/>
      <c r="N254" s="9">
        <f>IFERROR(__xludf.DUMMYFUNCTION("SUM(QUERY(Entregas_BD!D:L,""select G where D='""&amp;D254&amp;""'"",1))"),0.0)</f>
        <v>0</v>
      </c>
      <c r="O254" s="9">
        <f>IFERROR(__xludf.DUMMYFUNCTION("SUM(QUERY(Entregas_BD!D:L,""select H where D='""&amp;D254&amp;""'"",1))"),0.0)</f>
        <v>0</v>
      </c>
      <c r="P254" s="9">
        <f>IFERROR(__xludf.DUMMYFUNCTION("SUM(QUERY(Entregas_BD!D:L,""select I where D='""&amp;D254&amp;""'"",1))"),0.0)</f>
        <v>0</v>
      </c>
      <c r="Q254" s="9">
        <f>IFERROR(__xludf.DUMMYFUNCTION("SUM(QUERY(Entregas_BD!D:L,""select J where D='""&amp;D254&amp;""'"",1))"),0.0)</f>
        <v>0</v>
      </c>
      <c r="R254" s="15">
        <f>IFERROR(__xludf.DUMMYFUNCTION("SUM(QUERY(Entregas_BD!D:L,""select K where D='""&amp;D254&amp;""'"",1))"),0.0)</f>
        <v>0</v>
      </c>
      <c r="S254" s="15">
        <f>IFERROR(__xludf.DUMMYFUNCTION("SUM(QUERY(Entregas_BD!D:L,""select L where D='""&amp;D254&amp;""'"",1))"),0.0)</f>
        <v>0</v>
      </c>
      <c r="T254" s="9">
        <f>IFERROR(__xludf.DUMMYFUNCTION("SUM(QUERY(Entregas_BD!D:AL,""select AG where D='""&amp;D254&amp;""'"",1))"),25.0)</f>
        <v>25</v>
      </c>
      <c r="U254" s="9">
        <f>IFERROR(__xludf.DUMMYFUNCTION("SUM(QUERY(Entregas_BD!D:AL,""select AH where D='""&amp;D254&amp;""'"",1))"),0.0)</f>
        <v>0</v>
      </c>
      <c r="V254" s="9">
        <f>IFERROR(__xludf.DUMMYFUNCTION("SUM(QUERY(Entregas_BD!D:AL,""select AI where D='""&amp;D254&amp;""'"",1))"),0.0)</f>
        <v>0</v>
      </c>
      <c r="W254" s="9">
        <f>IFERROR(__xludf.DUMMYFUNCTION("SUM(QUERY(Entregas_BD!D:AL,""select AJ where D='""&amp;D254&amp;""'"",1))"),0.0)</f>
        <v>0</v>
      </c>
      <c r="X254" s="9">
        <f>IFERROR(__xludf.DUMMYFUNCTION("SUM(QUERY(Entregas_BD!D:AL,""select AL where D='""&amp;D254&amp;""'"",1))"),0.0)</f>
        <v>0</v>
      </c>
      <c r="Y254" s="9">
        <f>IFERROR(__xludf.DUMMYFUNCTION("SUM(QUERY(Entregas_BD!D:AL,""select AK where D='""&amp;D254&amp;""'"",1))"),0.0)</f>
        <v>0</v>
      </c>
      <c r="Z254" s="9">
        <v>-25.0</v>
      </c>
      <c r="AA254" s="9">
        <v>0.0</v>
      </c>
      <c r="AB254" s="9">
        <v>0.0</v>
      </c>
      <c r="AC254" s="9">
        <v>0.0</v>
      </c>
      <c r="AD254" s="9">
        <v>0.0</v>
      </c>
      <c r="AE254" s="9">
        <v>0.0</v>
      </c>
      <c r="AF254" s="28"/>
      <c r="AG254" s="15">
        <f>IFERROR(__xludf.DUMMYFUNCTION("SUM(QUERY(Entregas_BD!D:W,""select U where D='""&amp;D254&amp;""'"",1))"),0.0)</f>
        <v>0</v>
      </c>
      <c r="AH254" s="15">
        <f>IFERROR(__xludf.DUMMYFUNCTION("SUM(QUERY(Entregas_BD!D:W,""select S where D='""&amp;D254&amp;""'"",1))"),0.0)</f>
        <v>0</v>
      </c>
      <c r="AI254" s="15">
        <f>IFERROR(__xludf.DUMMYFUNCTION("SUM(QUERY(Entregas_BD!D:W,""select T where D='""&amp;D254&amp;""'"",1))"),0.0)</f>
        <v>0</v>
      </c>
    </row>
    <row r="255" ht="19.5" customHeight="1">
      <c r="A255" s="31"/>
      <c r="B255" s="32"/>
      <c r="C255" s="19">
        <v>254.0</v>
      </c>
      <c r="D255" s="20" t="s">
        <v>666</v>
      </c>
      <c r="E255" s="20" t="s">
        <v>197</v>
      </c>
      <c r="F255" s="20" t="s">
        <v>243</v>
      </c>
      <c r="G255" s="20" t="s">
        <v>667</v>
      </c>
      <c r="H255" s="34" t="s">
        <v>632</v>
      </c>
      <c r="I255" s="21" t="s">
        <v>41</v>
      </c>
      <c r="J255" s="34"/>
      <c r="K255" s="34"/>
      <c r="L255" s="42"/>
      <c r="M255" s="22"/>
      <c r="N255" s="19">
        <f>IFERROR(__xludf.DUMMYFUNCTION("SUM(QUERY(Entregas_BD!D:L,""select G where D='""&amp;D255&amp;""'"",1))"),0.0)</f>
        <v>0</v>
      </c>
      <c r="O255" s="19">
        <f>IFERROR(__xludf.DUMMYFUNCTION("SUM(QUERY(Entregas_BD!D:L,""select H where D='""&amp;D255&amp;""'"",1))"),0.0)</f>
        <v>0</v>
      </c>
      <c r="P255" s="19">
        <f>IFERROR(__xludf.DUMMYFUNCTION("SUM(QUERY(Entregas_BD!D:L,""select I where D='""&amp;D255&amp;""'"",1))"),0.0)</f>
        <v>0</v>
      </c>
      <c r="Q255" s="19">
        <f>IFERROR(__xludf.DUMMYFUNCTION("SUM(QUERY(Entregas_BD!D:L,""select J where D='""&amp;D255&amp;""'"",1))"),0.0)</f>
        <v>0</v>
      </c>
      <c r="R255" s="24">
        <f>IFERROR(__xludf.DUMMYFUNCTION("SUM(QUERY(Entregas_BD!D:L,""select K where D='""&amp;D255&amp;""'"",1))"),0.0)</f>
        <v>0</v>
      </c>
      <c r="S255" s="24">
        <f>IFERROR(__xludf.DUMMYFUNCTION("SUM(QUERY(Entregas_BD!D:L,""select L where D='""&amp;D255&amp;""'"",1))"),0.0)</f>
        <v>0</v>
      </c>
      <c r="T255" s="19">
        <f>IFERROR(__xludf.DUMMYFUNCTION("SUM(QUERY(Entregas_BD!D:AL,""select AG where D='""&amp;D255&amp;""'"",1))"),25.0)</f>
        <v>25</v>
      </c>
      <c r="U255" s="19">
        <f>IFERROR(__xludf.DUMMYFUNCTION("SUM(QUERY(Entregas_BD!D:AL,""select AH where D='""&amp;D255&amp;""'"",1))"),0.0)</f>
        <v>0</v>
      </c>
      <c r="V255" s="19">
        <f>IFERROR(__xludf.DUMMYFUNCTION("SUM(QUERY(Entregas_BD!D:AL,""select AI where D='""&amp;D255&amp;""'"",1))"),0.0)</f>
        <v>0</v>
      </c>
      <c r="W255" s="19">
        <f>IFERROR(__xludf.DUMMYFUNCTION("SUM(QUERY(Entregas_BD!D:AL,""select AJ where D='""&amp;D255&amp;""'"",1))"),0.0)</f>
        <v>0</v>
      </c>
      <c r="X255" s="19">
        <f>IFERROR(__xludf.DUMMYFUNCTION("SUM(QUERY(Entregas_BD!D:AL,""select AL where D='""&amp;D255&amp;""'"",1))"),0.0)</f>
        <v>0</v>
      </c>
      <c r="Y255" s="19">
        <f>IFERROR(__xludf.DUMMYFUNCTION("SUM(QUERY(Entregas_BD!D:AL,""select AK where D='""&amp;D255&amp;""'"",1))"),0.0)</f>
        <v>0</v>
      </c>
      <c r="Z255" s="19">
        <v>-25.0</v>
      </c>
      <c r="AA255" s="19">
        <v>0.0</v>
      </c>
      <c r="AB255" s="19">
        <v>0.0</v>
      </c>
      <c r="AC255" s="19">
        <v>0.0</v>
      </c>
      <c r="AD255" s="19">
        <v>0.0</v>
      </c>
      <c r="AE255" s="19">
        <v>0.0</v>
      </c>
      <c r="AF255" s="51"/>
      <c r="AG255" s="24">
        <f>IFERROR(__xludf.DUMMYFUNCTION("SUM(QUERY(Entregas_BD!D:W,""select U where D='""&amp;D255&amp;""'"",1))"),0.0)</f>
        <v>0</v>
      </c>
      <c r="AH255" s="24">
        <f>IFERROR(__xludf.DUMMYFUNCTION("SUM(QUERY(Entregas_BD!D:W,""select S where D='""&amp;D255&amp;""'"",1))"),0.0)</f>
        <v>0</v>
      </c>
      <c r="AI255" s="24">
        <f>IFERROR(__xludf.DUMMYFUNCTION("SUM(QUERY(Entregas_BD!D:W,""select T where D='""&amp;D255&amp;""'"",1))"),0.0)</f>
        <v>0</v>
      </c>
    </row>
    <row r="256" ht="19.5" customHeight="1">
      <c r="A256" s="7"/>
      <c r="B256" s="8"/>
      <c r="C256" s="9">
        <v>255.0</v>
      </c>
      <c r="D256" s="10" t="s">
        <v>668</v>
      </c>
      <c r="E256" s="10" t="s">
        <v>63</v>
      </c>
      <c r="F256" s="10" t="s">
        <v>185</v>
      </c>
      <c r="G256" s="10" t="s">
        <v>72</v>
      </c>
      <c r="H256" s="12" t="s">
        <v>669</v>
      </c>
      <c r="I256" s="11" t="s">
        <v>41</v>
      </c>
      <c r="J256" s="60"/>
      <c r="K256" s="12"/>
      <c r="L256" s="13"/>
      <c r="M256" s="28"/>
      <c r="N256" s="9">
        <f>IFERROR(__xludf.DUMMYFUNCTION("SUM(QUERY(Entregas_BD!D:L,""select G where D='""&amp;D256&amp;""'"",1))"),0.0)</f>
        <v>0</v>
      </c>
      <c r="O256" s="9">
        <f>IFERROR(__xludf.DUMMYFUNCTION("SUM(QUERY(Entregas_BD!D:L,""select H where D='""&amp;D256&amp;""'"",1))"),0.0)</f>
        <v>0</v>
      </c>
      <c r="P256" s="9">
        <f>IFERROR(__xludf.DUMMYFUNCTION("SUM(QUERY(Entregas_BD!D:L,""select I where D='""&amp;D256&amp;""'"",1))"),0.0)</f>
        <v>0</v>
      </c>
      <c r="Q256" s="9">
        <f>IFERROR(__xludf.DUMMYFUNCTION("SUM(QUERY(Entregas_BD!D:L,""select J where D='""&amp;D256&amp;""'"",1))"),0.0)</f>
        <v>0</v>
      </c>
      <c r="R256" s="15">
        <f>IFERROR(__xludf.DUMMYFUNCTION("SUM(QUERY(Entregas_BD!D:L,""select K where D='""&amp;D256&amp;""'"",1))"),0.0)</f>
        <v>0</v>
      </c>
      <c r="S256" s="15">
        <f>IFERROR(__xludf.DUMMYFUNCTION("SUM(QUERY(Entregas_BD!D:L,""select L where D='""&amp;D256&amp;""'"",1))"),0.0)</f>
        <v>0</v>
      </c>
      <c r="T256" s="9">
        <f>IFERROR(__xludf.DUMMYFUNCTION("SUM(QUERY(Entregas_BD!D:AL,""select AG where D='""&amp;D256&amp;""'"",1))"),50.0)</f>
        <v>50</v>
      </c>
      <c r="U256" s="9">
        <f>IFERROR(__xludf.DUMMYFUNCTION("SUM(QUERY(Entregas_BD!D:AL,""select AH where D='""&amp;D256&amp;""'"",1))"),0.0)</f>
        <v>0</v>
      </c>
      <c r="V256" s="9">
        <f>IFERROR(__xludf.DUMMYFUNCTION("SUM(QUERY(Entregas_BD!D:AL,""select AI where D='""&amp;D256&amp;""'"",1))"),0.0)</f>
        <v>0</v>
      </c>
      <c r="W256" s="9">
        <f>IFERROR(__xludf.DUMMYFUNCTION("SUM(QUERY(Entregas_BD!D:AL,""select AJ where D='""&amp;D256&amp;""'"",1))"),0.0)</f>
        <v>0</v>
      </c>
      <c r="X256" s="9">
        <f>IFERROR(__xludf.DUMMYFUNCTION("SUM(QUERY(Entregas_BD!D:AL,""select AL where D='""&amp;D256&amp;""'"",1))"),0.0)</f>
        <v>0</v>
      </c>
      <c r="Y256" s="9">
        <f>IFERROR(__xludf.DUMMYFUNCTION("SUM(QUERY(Entregas_BD!D:AL,""select AK where D='""&amp;D256&amp;""'"",1))"),0.0)</f>
        <v>0</v>
      </c>
      <c r="Z256" s="9">
        <v>-50.0</v>
      </c>
      <c r="AA256" s="9">
        <v>0.0</v>
      </c>
      <c r="AB256" s="9">
        <v>0.0</v>
      </c>
      <c r="AC256" s="9">
        <v>0.0</v>
      </c>
      <c r="AD256" s="9">
        <v>0.0</v>
      </c>
      <c r="AE256" s="9">
        <v>0.0</v>
      </c>
      <c r="AF256" s="28"/>
      <c r="AG256" s="15">
        <f>IFERROR(__xludf.DUMMYFUNCTION("SUM(QUERY(Entregas_BD!D:W,""select U where D='""&amp;D256&amp;""'"",1))"),0.0)</f>
        <v>0</v>
      </c>
      <c r="AH256" s="15">
        <f>IFERROR(__xludf.DUMMYFUNCTION("SUM(QUERY(Entregas_BD!D:W,""select S where D='""&amp;D256&amp;""'"",1))"),0.0)</f>
        <v>0</v>
      </c>
      <c r="AI256" s="15">
        <f>IFERROR(__xludf.DUMMYFUNCTION("SUM(QUERY(Entregas_BD!D:W,""select T where D='""&amp;D256&amp;""'"",1))"),0.0)</f>
        <v>0</v>
      </c>
    </row>
    <row r="257" ht="19.5" customHeight="1">
      <c r="A257" s="31"/>
      <c r="B257" s="32"/>
      <c r="C257" s="19">
        <v>256.0</v>
      </c>
      <c r="D257" s="20" t="s">
        <v>670</v>
      </c>
      <c r="E257" s="20" t="s">
        <v>63</v>
      </c>
      <c r="F257" s="20" t="s">
        <v>243</v>
      </c>
      <c r="G257" s="20" t="s">
        <v>671</v>
      </c>
      <c r="H257" s="34" t="s">
        <v>632</v>
      </c>
      <c r="I257" s="21" t="s">
        <v>41</v>
      </c>
      <c r="J257" s="34"/>
      <c r="K257" s="34"/>
      <c r="L257" s="42"/>
      <c r="M257" s="22"/>
      <c r="N257" s="19">
        <f>IFERROR(__xludf.DUMMYFUNCTION("SUM(QUERY(Entregas_BD!D:L,""select G where D='""&amp;D257&amp;""'"",1))"),0.0)</f>
        <v>0</v>
      </c>
      <c r="O257" s="19">
        <f>IFERROR(__xludf.DUMMYFUNCTION("SUM(QUERY(Entregas_BD!D:L,""select H where D='""&amp;D257&amp;""'"",1))"),0.0)</f>
        <v>0</v>
      </c>
      <c r="P257" s="19">
        <f>IFERROR(__xludf.DUMMYFUNCTION("SUM(QUERY(Entregas_BD!D:L,""select I where D='""&amp;D257&amp;""'"",1))"),0.0)</f>
        <v>0</v>
      </c>
      <c r="Q257" s="19">
        <f>IFERROR(__xludf.DUMMYFUNCTION("SUM(QUERY(Entregas_BD!D:L,""select J where D='""&amp;D257&amp;""'"",1))"),0.0)</f>
        <v>0</v>
      </c>
      <c r="R257" s="24">
        <f>IFERROR(__xludf.DUMMYFUNCTION("SUM(QUERY(Entregas_BD!D:L,""select K where D='""&amp;D257&amp;""'"",1))"),0.0)</f>
        <v>0</v>
      </c>
      <c r="S257" s="24">
        <f>IFERROR(__xludf.DUMMYFUNCTION("SUM(QUERY(Entregas_BD!D:L,""select L where D='""&amp;D257&amp;""'"",1))"),0.0)</f>
        <v>0</v>
      </c>
      <c r="T257" s="19">
        <f>IFERROR(__xludf.DUMMYFUNCTION("SUM(QUERY(Entregas_BD!D:AL,""select AG where D='""&amp;D257&amp;""'"",1))"),25.0)</f>
        <v>25</v>
      </c>
      <c r="U257" s="19">
        <f>IFERROR(__xludf.DUMMYFUNCTION("SUM(QUERY(Entregas_BD!D:AL,""select AH where D='""&amp;D257&amp;""'"",1))"),0.0)</f>
        <v>0</v>
      </c>
      <c r="V257" s="19">
        <f>IFERROR(__xludf.DUMMYFUNCTION("SUM(QUERY(Entregas_BD!D:AL,""select AI where D='""&amp;D257&amp;""'"",1))"),0.0)</f>
        <v>0</v>
      </c>
      <c r="W257" s="19">
        <f>IFERROR(__xludf.DUMMYFUNCTION("SUM(QUERY(Entregas_BD!D:AL,""select AJ where D='""&amp;D257&amp;""'"",1))"),0.0)</f>
        <v>0</v>
      </c>
      <c r="X257" s="19">
        <f>IFERROR(__xludf.DUMMYFUNCTION("SUM(QUERY(Entregas_BD!D:AL,""select AL where D='""&amp;D257&amp;""'"",1))"),0.0)</f>
        <v>0</v>
      </c>
      <c r="Y257" s="19">
        <f>IFERROR(__xludf.DUMMYFUNCTION("SUM(QUERY(Entregas_BD!D:AL,""select AK where D='""&amp;D257&amp;""'"",1))"),0.0)</f>
        <v>0</v>
      </c>
      <c r="Z257" s="19">
        <v>-25.0</v>
      </c>
      <c r="AA257" s="19">
        <v>0.0</v>
      </c>
      <c r="AB257" s="19">
        <v>0.0</v>
      </c>
      <c r="AC257" s="19">
        <v>0.0</v>
      </c>
      <c r="AD257" s="19">
        <v>0.0</v>
      </c>
      <c r="AE257" s="19">
        <v>0.0</v>
      </c>
      <c r="AF257" s="22"/>
      <c r="AG257" s="24">
        <f>IFERROR(__xludf.DUMMYFUNCTION("SUM(QUERY(Entregas_BD!D:W,""select U where D='""&amp;D257&amp;""'"",1))"),0.0)</f>
        <v>0</v>
      </c>
      <c r="AH257" s="24">
        <f>IFERROR(__xludf.DUMMYFUNCTION("SUM(QUERY(Entregas_BD!D:W,""select S where D='""&amp;D257&amp;""'"",1))"),0.0)</f>
        <v>0</v>
      </c>
      <c r="AI257" s="24">
        <f>IFERROR(__xludf.DUMMYFUNCTION("SUM(QUERY(Entregas_BD!D:W,""select T where D='""&amp;D257&amp;""'"",1))"),0.0)</f>
        <v>0</v>
      </c>
    </row>
    <row r="258" ht="19.5" customHeight="1">
      <c r="A258" s="63"/>
      <c r="B258" s="8"/>
      <c r="C258" s="9">
        <v>257.0</v>
      </c>
      <c r="D258" s="10" t="s">
        <v>672</v>
      </c>
      <c r="E258" s="10" t="s">
        <v>197</v>
      </c>
      <c r="F258" s="10" t="s">
        <v>243</v>
      </c>
      <c r="G258" s="10" t="s">
        <v>673</v>
      </c>
      <c r="H258" s="12" t="s">
        <v>632</v>
      </c>
      <c r="I258" s="11" t="s">
        <v>41</v>
      </c>
      <c r="J258" s="60"/>
      <c r="K258" s="12"/>
      <c r="L258" s="13"/>
      <c r="M258" s="28"/>
      <c r="N258" s="9">
        <f>IFERROR(__xludf.DUMMYFUNCTION("SUM(QUERY(Entregas_BD!D:L,""select G where D='""&amp;D258&amp;""'"",1))"),0.0)</f>
        <v>0</v>
      </c>
      <c r="O258" s="9">
        <f>IFERROR(__xludf.DUMMYFUNCTION("SUM(QUERY(Entregas_BD!D:L,""select H where D='""&amp;D258&amp;""'"",1))"),0.0)</f>
        <v>0</v>
      </c>
      <c r="P258" s="9">
        <f>IFERROR(__xludf.DUMMYFUNCTION("SUM(QUERY(Entregas_BD!D:L,""select I where D='""&amp;D258&amp;""'"",1))"),0.0)</f>
        <v>0</v>
      </c>
      <c r="Q258" s="9">
        <f>IFERROR(__xludf.DUMMYFUNCTION("SUM(QUERY(Entregas_BD!D:L,""select J where D='""&amp;D258&amp;""'"",1))"),0.0)</f>
        <v>0</v>
      </c>
      <c r="R258" s="15">
        <f>IFERROR(__xludf.DUMMYFUNCTION("SUM(QUERY(Entregas_BD!D:L,""select K where D='""&amp;D258&amp;""'"",1))"),0.0)</f>
        <v>0</v>
      </c>
      <c r="S258" s="15">
        <f>IFERROR(__xludf.DUMMYFUNCTION("SUM(QUERY(Entregas_BD!D:L,""select L where D='""&amp;D258&amp;""'"",1))"),0.0)</f>
        <v>0</v>
      </c>
      <c r="T258" s="9">
        <f>IFERROR(__xludf.DUMMYFUNCTION("SUM(QUERY(Entregas_BD!D:AL,""select AG where D='""&amp;D258&amp;""'"",1))"),50.0)</f>
        <v>50</v>
      </c>
      <c r="U258" s="9">
        <f>IFERROR(__xludf.DUMMYFUNCTION("SUM(QUERY(Entregas_BD!D:AL,""select AH where D='""&amp;D258&amp;""'"",1))"),0.0)</f>
        <v>0</v>
      </c>
      <c r="V258" s="9">
        <f>IFERROR(__xludf.DUMMYFUNCTION("SUM(QUERY(Entregas_BD!D:AL,""select AI where D='""&amp;D258&amp;""'"",1))"),0.0)</f>
        <v>0</v>
      </c>
      <c r="W258" s="9">
        <f>IFERROR(__xludf.DUMMYFUNCTION("SUM(QUERY(Entregas_BD!D:AL,""select AJ where D='""&amp;D258&amp;""'"",1))"),0.0)</f>
        <v>0</v>
      </c>
      <c r="X258" s="9">
        <f>IFERROR(__xludf.DUMMYFUNCTION("SUM(QUERY(Entregas_BD!D:AL,""select AL where D='""&amp;D258&amp;""'"",1))"),0.0)</f>
        <v>0</v>
      </c>
      <c r="Y258" s="9">
        <f>IFERROR(__xludf.DUMMYFUNCTION("SUM(QUERY(Entregas_BD!D:AL,""select AK where D='""&amp;D258&amp;""'"",1))"),0.0)</f>
        <v>0</v>
      </c>
      <c r="Z258" s="9">
        <v>-50.0</v>
      </c>
      <c r="AA258" s="9">
        <v>0.0</v>
      </c>
      <c r="AB258" s="9">
        <v>0.0</v>
      </c>
      <c r="AC258" s="9">
        <v>0.0</v>
      </c>
      <c r="AD258" s="9">
        <v>0.0</v>
      </c>
      <c r="AE258" s="9">
        <v>0.0</v>
      </c>
      <c r="AF258" s="28"/>
      <c r="AG258" s="15">
        <f>IFERROR(__xludf.DUMMYFUNCTION("SUM(QUERY(Entregas_BD!D:W,""select U where D='""&amp;D258&amp;""'"",1))"),0.0)</f>
        <v>0</v>
      </c>
      <c r="AH258" s="15">
        <f>IFERROR(__xludf.DUMMYFUNCTION("SUM(QUERY(Entregas_BD!D:W,""select S where D='""&amp;D258&amp;""'"",1))"),0.0)</f>
        <v>0</v>
      </c>
      <c r="AI258" s="15">
        <f>IFERROR(__xludf.DUMMYFUNCTION("SUM(QUERY(Entregas_BD!D:W,""select T where D='""&amp;D258&amp;""'"",1))"),0.0)</f>
        <v>0</v>
      </c>
    </row>
    <row r="259" ht="19.5" customHeight="1">
      <c r="A259" s="64"/>
      <c r="B259" s="32"/>
      <c r="C259" s="19">
        <v>258.0</v>
      </c>
      <c r="D259" s="20" t="s">
        <v>674</v>
      </c>
      <c r="E259" s="20" t="s">
        <v>44</v>
      </c>
      <c r="F259" s="20" t="s">
        <v>571</v>
      </c>
      <c r="G259" s="20" t="s">
        <v>675</v>
      </c>
      <c r="H259" s="34" t="s">
        <v>632</v>
      </c>
      <c r="I259" s="21" t="s">
        <v>41</v>
      </c>
      <c r="J259" s="61"/>
      <c r="K259" s="34"/>
      <c r="L259" s="42"/>
      <c r="M259" s="22"/>
      <c r="N259" s="19">
        <f>IFERROR(__xludf.DUMMYFUNCTION("SUM(QUERY(Entregas_BD!D:L,""select G where D='""&amp;D259&amp;""'"",1))"),0.0)</f>
        <v>0</v>
      </c>
      <c r="O259" s="19">
        <f>IFERROR(__xludf.DUMMYFUNCTION("SUM(QUERY(Entregas_BD!D:L,""select H where D='""&amp;D259&amp;""'"",1))"),0.0)</f>
        <v>0</v>
      </c>
      <c r="P259" s="19">
        <f>IFERROR(__xludf.DUMMYFUNCTION("SUM(QUERY(Entregas_BD!D:L,""select I where D='""&amp;D259&amp;""'"",1))"),0.0)</f>
        <v>0</v>
      </c>
      <c r="Q259" s="19">
        <f>IFERROR(__xludf.DUMMYFUNCTION("SUM(QUERY(Entregas_BD!D:L,""select J where D='""&amp;D259&amp;""'"",1))"),0.0)</f>
        <v>0</v>
      </c>
      <c r="R259" s="24">
        <f>IFERROR(__xludf.DUMMYFUNCTION("SUM(QUERY(Entregas_BD!D:L,""select K where D='""&amp;D259&amp;""'"",1))"),0.0)</f>
        <v>0</v>
      </c>
      <c r="S259" s="24">
        <f>IFERROR(__xludf.DUMMYFUNCTION("SUM(QUERY(Entregas_BD!D:L,""select L where D='""&amp;D259&amp;""'"",1))"),0.0)</f>
        <v>0</v>
      </c>
      <c r="T259" s="19">
        <f>IFERROR(__xludf.DUMMYFUNCTION("SUM(QUERY(Entregas_BD!D:AL,""select AG where D='""&amp;D259&amp;""'"",1))"),25.0)</f>
        <v>25</v>
      </c>
      <c r="U259" s="19">
        <f>IFERROR(__xludf.DUMMYFUNCTION("SUM(QUERY(Entregas_BD!D:AL,""select AH where D='""&amp;D259&amp;""'"",1))"),0.0)</f>
        <v>0</v>
      </c>
      <c r="V259" s="19">
        <f>IFERROR(__xludf.DUMMYFUNCTION("SUM(QUERY(Entregas_BD!D:AL,""select AI where D='""&amp;D259&amp;""'"",1))"),0.0)</f>
        <v>0</v>
      </c>
      <c r="W259" s="19">
        <f>IFERROR(__xludf.DUMMYFUNCTION("SUM(QUERY(Entregas_BD!D:AL,""select AJ where D='""&amp;D259&amp;""'"",1))"),25.0)</f>
        <v>25</v>
      </c>
      <c r="X259" s="19">
        <f>IFERROR(__xludf.DUMMYFUNCTION("SUM(QUERY(Entregas_BD!D:AL,""select AL where D='""&amp;D259&amp;""'"",1))"),0.0)</f>
        <v>0</v>
      </c>
      <c r="Y259" s="19">
        <f>IFERROR(__xludf.DUMMYFUNCTION("SUM(QUERY(Entregas_BD!D:AL,""select AK where D='""&amp;D259&amp;""'"",1))"),0.0)</f>
        <v>0</v>
      </c>
      <c r="Z259" s="19">
        <v>-25.0</v>
      </c>
      <c r="AA259" s="19">
        <v>0.0</v>
      </c>
      <c r="AB259" s="19">
        <v>0.0</v>
      </c>
      <c r="AC259" s="19">
        <v>-25.0</v>
      </c>
      <c r="AD259" s="19">
        <v>0.0</v>
      </c>
      <c r="AE259" s="19">
        <v>0.0</v>
      </c>
      <c r="AF259" s="22"/>
      <c r="AG259" s="24">
        <f>IFERROR(__xludf.DUMMYFUNCTION("SUM(QUERY(Entregas_BD!D:W,""select U where D='""&amp;D259&amp;""'"",1))"),0.0)</f>
        <v>0</v>
      </c>
      <c r="AH259" s="24">
        <f>IFERROR(__xludf.DUMMYFUNCTION("SUM(QUERY(Entregas_BD!D:W,""select S where D='""&amp;D259&amp;""'"",1))"),0.0)</f>
        <v>0</v>
      </c>
      <c r="AI259" s="24">
        <f>IFERROR(__xludf.DUMMYFUNCTION("SUM(QUERY(Entregas_BD!D:W,""select T where D='""&amp;D259&amp;""'"",1))"),0.0)</f>
        <v>0</v>
      </c>
    </row>
    <row r="260" ht="19.5" customHeight="1">
      <c r="A260" s="63"/>
      <c r="B260" s="8"/>
      <c r="C260" s="9">
        <v>259.0</v>
      </c>
      <c r="D260" s="10" t="s">
        <v>676</v>
      </c>
      <c r="E260" s="10" t="s">
        <v>197</v>
      </c>
      <c r="F260" s="10" t="s">
        <v>677</v>
      </c>
      <c r="G260" s="10" t="s">
        <v>678</v>
      </c>
      <c r="H260" s="12" t="s">
        <v>679</v>
      </c>
      <c r="I260" s="11" t="s">
        <v>41</v>
      </c>
      <c r="J260" s="60"/>
      <c r="K260" s="12"/>
      <c r="L260" s="13"/>
      <c r="M260" s="28"/>
      <c r="N260" s="9">
        <f>IFERROR(__xludf.DUMMYFUNCTION("SUM(QUERY(Entregas_BD!D:L,""select G where D='""&amp;D260&amp;""'"",1))"),0.0)</f>
        <v>0</v>
      </c>
      <c r="O260" s="9">
        <f>IFERROR(__xludf.DUMMYFUNCTION("SUM(QUERY(Entregas_BD!D:L,""select H where D='""&amp;D260&amp;""'"",1))"),0.0)</f>
        <v>0</v>
      </c>
      <c r="P260" s="9">
        <f>IFERROR(__xludf.DUMMYFUNCTION("SUM(QUERY(Entregas_BD!D:L,""select I where D='""&amp;D260&amp;""'"",1))"),0.0)</f>
        <v>0</v>
      </c>
      <c r="Q260" s="9">
        <f>IFERROR(__xludf.DUMMYFUNCTION("SUM(QUERY(Entregas_BD!D:L,""select J where D='""&amp;D260&amp;""'"",1))"),0.0)</f>
        <v>0</v>
      </c>
      <c r="R260" s="15">
        <f>IFERROR(__xludf.DUMMYFUNCTION("SUM(QUERY(Entregas_BD!D:L,""select K where D='""&amp;D260&amp;""'"",1))"),0.0)</f>
        <v>0</v>
      </c>
      <c r="S260" s="15">
        <f>IFERROR(__xludf.DUMMYFUNCTION("SUM(QUERY(Entregas_BD!D:L,""select L where D='""&amp;D260&amp;""'"",1))"),0.0)</f>
        <v>0</v>
      </c>
      <c r="T260" s="9">
        <f>IFERROR(__xludf.DUMMYFUNCTION("SUM(QUERY(Entregas_BD!D:AL,""select AG where D='""&amp;D260&amp;""'"",1))"),50.0)</f>
        <v>50</v>
      </c>
      <c r="U260" s="9">
        <f>IFERROR(__xludf.DUMMYFUNCTION("SUM(QUERY(Entregas_BD!D:AL,""select AH where D='""&amp;D260&amp;""'"",1))"),0.0)</f>
        <v>0</v>
      </c>
      <c r="V260" s="9">
        <f>IFERROR(__xludf.DUMMYFUNCTION("SUM(QUERY(Entregas_BD!D:AL,""select AI where D='""&amp;D260&amp;""'"",1))"),0.0)</f>
        <v>0</v>
      </c>
      <c r="W260" s="9">
        <f>IFERROR(__xludf.DUMMYFUNCTION("SUM(QUERY(Entregas_BD!D:AL,""select AJ where D='""&amp;D260&amp;""'"",1))"),0.0)</f>
        <v>0</v>
      </c>
      <c r="X260" s="9">
        <f>IFERROR(__xludf.DUMMYFUNCTION("SUM(QUERY(Entregas_BD!D:AL,""select AL where D='""&amp;D260&amp;""'"",1))"),0.0)</f>
        <v>0</v>
      </c>
      <c r="Y260" s="9">
        <f>IFERROR(__xludf.DUMMYFUNCTION("SUM(QUERY(Entregas_BD!D:AL,""select AK where D='""&amp;D260&amp;""'"",1))"),0.0)</f>
        <v>0</v>
      </c>
      <c r="Z260" s="9">
        <v>-50.0</v>
      </c>
      <c r="AA260" s="9">
        <v>0.0</v>
      </c>
      <c r="AB260" s="9">
        <v>0.0</v>
      </c>
      <c r="AC260" s="9">
        <v>0.0</v>
      </c>
      <c r="AD260" s="9">
        <v>0.0</v>
      </c>
      <c r="AE260" s="9">
        <v>0.0</v>
      </c>
      <c r="AF260" s="28"/>
      <c r="AG260" s="15">
        <f>IFERROR(__xludf.DUMMYFUNCTION("SUM(QUERY(Entregas_BD!D:W,""select U where D='""&amp;D260&amp;""'"",1))"),0.0)</f>
        <v>0</v>
      </c>
      <c r="AH260" s="15">
        <f>IFERROR(__xludf.DUMMYFUNCTION("SUM(QUERY(Entregas_BD!D:W,""select S where D='""&amp;D260&amp;""'"",1))"),0.0)</f>
        <v>0</v>
      </c>
      <c r="AI260" s="15">
        <f>IFERROR(__xludf.DUMMYFUNCTION("SUM(QUERY(Entregas_BD!D:W,""select T where D='""&amp;D260&amp;""'"",1))"),0.0)</f>
        <v>0</v>
      </c>
    </row>
    <row r="261" ht="19.5" customHeight="1">
      <c r="A261" s="64"/>
      <c r="B261" s="32"/>
      <c r="C261" s="19">
        <v>260.0</v>
      </c>
      <c r="D261" s="20" t="s">
        <v>680</v>
      </c>
      <c r="E261" s="20" t="s">
        <v>63</v>
      </c>
      <c r="F261" s="20" t="s">
        <v>609</v>
      </c>
      <c r="G261" s="20" t="s">
        <v>681</v>
      </c>
      <c r="H261" s="34" t="s">
        <v>682</v>
      </c>
      <c r="I261" s="21" t="s">
        <v>41</v>
      </c>
      <c r="J261" s="61"/>
      <c r="K261" s="34"/>
      <c r="L261" s="42"/>
      <c r="M261" s="22"/>
      <c r="N261" s="19">
        <f>IFERROR(__xludf.DUMMYFUNCTION("SUM(QUERY(Entregas_BD!D:L,""select G where D='""&amp;D261&amp;""'"",1))"),0.0)</f>
        <v>0</v>
      </c>
      <c r="O261" s="19">
        <f>IFERROR(__xludf.DUMMYFUNCTION("SUM(QUERY(Entregas_BD!D:L,""select H where D='""&amp;D261&amp;""'"",1))"),0.0)</f>
        <v>0</v>
      </c>
      <c r="P261" s="19">
        <f>IFERROR(__xludf.DUMMYFUNCTION("SUM(QUERY(Entregas_BD!D:L,""select I where D='""&amp;D261&amp;""'"",1))"),0.0)</f>
        <v>0</v>
      </c>
      <c r="Q261" s="19">
        <f>IFERROR(__xludf.DUMMYFUNCTION("SUM(QUERY(Entregas_BD!D:L,""select J where D='""&amp;D261&amp;""'"",1))"),0.0)</f>
        <v>0</v>
      </c>
      <c r="R261" s="24">
        <f>IFERROR(__xludf.DUMMYFUNCTION("SUM(QUERY(Entregas_BD!D:L,""select K where D='""&amp;D261&amp;""'"",1))"),0.0)</f>
        <v>0</v>
      </c>
      <c r="S261" s="24">
        <f>IFERROR(__xludf.DUMMYFUNCTION("SUM(QUERY(Entregas_BD!D:L,""select L where D='""&amp;D261&amp;""'"",1))"),0.0)</f>
        <v>0</v>
      </c>
      <c r="T261" s="19">
        <f>IFERROR(__xludf.DUMMYFUNCTION("SUM(QUERY(Entregas_BD!D:AL,""select AG where D='""&amp;D261&amp;""'"",1))"),50.0)</f>
        <v>50</v>
      </c>
      <c r="U261" s="19">
        <f>IFERROR(__xludf.DUMMYFUNCTION("SUM(QUERY(Entregas_BD!D:AL,""select AH where D='""&amp;D261&amp;""'"",1))"),0.0)</f>
        <v>0</v>
      </c>
      <c r="V261" s="19">
        <f>IFERROR(__xludf.DUMMYFUNCTION("SUM(QUERY(Entregas_BD!D:AL,""select AI where D='""&amp;D261&amp;""'"",1))"),0.0)</f>
        <v>0</v>
      </c>
      <c r="W261" s="19">
        <f>IFERROR(__xludf.DUMMYFUNCTION("SUM(QUERY(Entregas_BD!D:AL,""select AJ where D='""&amp;D261&amp;""'"",1))"),50.0)</f>
        <v>50</v>
      </c>
      <c r="X261" s="19">
        <f>IFERROR(__xludf.DUMMYFUNCTION("SUM(QUERY(Entregas_BD!D:AL,""select AL where D='""&amp;D261&amp;""'"",1))"),0.0)</f>
        <v>0</v>
      </c>
      <c r="Y261" s="19">
        <f>IFERROR(__xludf.DUMMYFUNCTION("SUM(QUERY(Entregas_BD!D:AL,""select AK where D='""&amp;D261&amp;""'"",1))"),0.0)</f>
        <v>0</v>
      </c>
      <c r="Z261" s="19">
        <v>-50.0</v>
      </c>
      <c r="AA261" s="19">
        <v>0.0</v>
      </c>
      <c r="AB261" s="19">
        <v>0.0</v>
      </c>
      <c r="AC261" s="19">
        <v>-50.0</v>
      </c>
      <c r="AD261" s="19">
        <v>0.0</v>
      </c>
      <c r="AE261" s="19">
        <v>0.0</v>
      </c>
      <c r="AF261" s="22"/>
      <c r="AG261" s="24">
        <f>IFERROR(__xludf.DUMMYFUNCTION("SUM(QUERY(Entregas_BD!D:W,""select U where D='""&amp;D261&amp;""'"",1))"),0.0)</f>
        <v>0</v>
      </c>
      <c r="AH261" s="24">
        <f>IFERROR(__xludf.DUMMYFUNCTION("SUM(QUERY(Entregas_BD!D:W,""select S where D='""&amp;D261&amp;""'"",1))"),0.0)</f>
        <v>0</v>
      </c>
      <c r="AI261" s="24">
        <f>IFERROR(__xludf.DUMMYFUNCTION("SUM(QUERY(Entregas_BD!D:W,""select T where D='""&amp;D261&amp;""'"",1))"),0.0)</f>
        <v>0</v>
      </c>
    </row>
    <row r="262" ht="19.5" customHeight="1">
      <c r="A262" s="63"/>
      <c r="B262" s="8"/>
      <c r="C262" s="9">
        <v>261.0</v>
      </c>
      <c r="D262" s="10" t="s">
        <v>683</v>
      </c>
      <c r="E262" s="10" t="s">
        <v>197</v>
      </c>
      <c r="F262" s="10" t="s">
        <v>243</v>
      </c>
      <c r="G262" s="10" t="s">
        <v>684</v>
      </c>
      <c r="H262" s="12" t="s">
        <v>632</v>
      </c>
      <c r="I262" s="11" t="s">
        <v>41</v>
      </c>
      <c r="J262" s="60"/>
      <c r="K262" s="12"/>
      <c r="L262" s="13"/>
      <c r="M262" s="28"/>
      <c r="N262" s="9">
        <f>IFERROR(__xludf.DUMMYFUNCTION("SUM(QUERY(Entregas_BD!D:L,""select G where D='""&amp;D262&amp;""'"",1))"),0.0)</f>
        <v>0</v>
      </c>
      <c r="O262" s="9">
        <f>IFERROR(__xludf.DUMMYFUNCTION("SUM(QUERY(Entregas_BD!D:L,""select H where D='""&amp;D262&amp;""'"",1))"),0.0)</f>
        <v>0</v>
      </c>
      <c r="P262" s="9">
        <f>IFERROR(__xludf.DUMMYFUNCTION("SUM(QUERY(Entregas_BD!D:L,""select I where D='""&amp;D262&amp;""'"",1))"),0.0)</f>
        <v>0</v>
      </c>
      <c r="Q262" s="9">
        <f>IFERROR(__xludf.DUMMYFUNCTION("SUM(QUERY(Entregas_BD!D:L,""select J where D='""&amp;D262&amp;""'"",1))"),0.0)</f>
        <v>0</v>
      </c>
      <c r="R262" s="15">
        <f>IFERROR(__xludf.DUMMYFUNCTION("SUM(QUERY(Entregas_BD!D:L,""select K where D='""&amp;D262&amp;""'"",1))"),0.0)</f>
        <v>0</v>
      </c>
      <c r="S262" s="15">
        <f>IFERROR(__xludf.DUMMYFUNCTION("SUM(QUERY(Entregas_BD!D:L,""select L where D='""&amp;D262&amp;""'"",1))"),0.0)</f>
        <v>0</v>
      </c>
      <c r="T262" s="9">
        <f>IFERROR(__xludf.DUMMYFUNCTION("SUM(QUERY(Entregas_BD!D:AL,""select AG where D='""&amp;D262&amp;""'"",1))"),0.0)</f>
        <v>0</v>
      </c>
      <c r="U262" s="9">
        <f>IFERROR(__xludf.DUMMYFUNCTION("SUM(QUERY(Entregas_BD!D:AL,""select AH where D='""&amp;D262&amp;""'"",1))"),0.0)</f>
        <v>0</v>
      </c>
      <c r="V262" s="9">
        <f>IFERROR(__xludf.DUMMYFUNCTION("SUM(QUERY(Entregas_BD!D:AL,""select AI where D='""&amp;D262&amp;""'"",1))"),0.0)</f>
        <v>0</v>
      </c>
      <c r="W262" s="9">
        <f>IFERROR(__xludf.DUMMYFUNCTION("SUM(QUERY(Entregas_BD!D:AL,""select AJ where D='""&amp;D262&amp;""'"",1))"),0.0)</f>
        <v>0</v>
      </c>
      <c r="X262" s="9">
        <f>IFERROR(__xludf.DUMMYFUNCTION("SUM(QUERY(Entregas_BD!D:AL,""select AL where D='""&amp;D262&amp;""'"",1))"),0.0)</f>
        <v>0</v>
      </c>
      <c r="Y262" s="9">
        <f>IFERROR(__xludf.DUMMYFUNCTION("SUM(QUERY(Entregas_BD!D:AL,""select AK where D='""&amp;D262&amp;""'"",1))"),0.0)</f>
        <v>0</v>
      </c>
      <c r="Z262" s="9">
        <v>0.0</v>
      </c>
      <c r="AA262" s="9">
        <v>0.0</v>
      </c>
      <c r="AB262" s="9">
        <v>0.0</v>
      </c>
      <c r="AC262" s="9">
        <v>0.0</v>
      </c>
      <c r="AD262" s="9">
        <v>0.0</v>
      </c>
      <c r="AE262" s="9">
        <v>0.0</v>
      </c>
      <c r="AF262" s="28"/>
      <c r="AG262" s="15">
        <f>IFERROR(__xludf.DUMMYFUNCTION("SUM(QUERY(Entregas_BD!D:W,""select U where D='""&amp;D262&amp;""'"",1))"),0.0)</f>
        <v>0</v>
      </c>
      <c r="AH262" s="15">
        <f>IFERROR(__xludf.DUMMYFUNCTION("SUM(QUERY(Entregas_BD!D:W,""select S where D='""&amp;D262&amp;""'"",1))"),0.0)</f>
        <v>0</v>
      </c>
      <c r="AI262" s="15">
        <f>IFERROR(__xludf.DUMMYFUNCTION("SUM(QUERY(Entregas_BD!D:W,""select T where D='""&amp;D262&amp;""'"",1))"),0.0)</f>
        <v>0</v>
      </c>
    </row>
    <row r="263" ht="19.5" customHeight="1">
      <c r="A263" s="64"/>
      <c r="B263" s="32"/>
      <c r="C263" s="19">
        <v>262.0</v>
      </c>
      <c r="D263" s="20" t="s">
        <v>685</v>
      </c>
      <c r="E263" s="20" t="s">
        <v>58</v>
      </c>
      <c r="F263" s="20" t="s">
        <v>597</v>
      </c>
      <c r="G263" s="20" t="s">
        <v>686</v>
      </c>
      <c r="H263" s="34" t="s">
        <v>632</v>
      </c>
      <c r="I263" s="21" t="s">
        <v>41</v>
      </c>
      <c r="J263" s="61"/>
      <c r="K263" s="34"/>
      <c r="L263" s="42"/>
      <c r="M263" s="22"/>
      <c r="N263" s="19">
        <f>IFERROR(__xludf.DUMMYFUNCTION("SUM(QUERY(Entregas_BD!D:L,""select G where D='""&amp;D263&amp;""'"",1))"),0.0)</f>
        <v>0</v>
      </c>
      <c r="O263" s="19">
        <f>IFERROR(__xludf.DUMMYFUNCTION("SUM(QUERY(Entregas_BD!D:L,""select H where D='""&amp;D263&amp;""'"",1))"),0.0)</f>
        <v>0</v>
      </c>
      <c r="P263" s="19">
        <f>IFERROR(__xludf.DUMMYFUNCTION("SUM(QUERY(Entregas_BD!D:L,""select I where D='""&amp;D263&amp;""'"",1))"),0.0)</f>
        <v>0</v>
      </c>
      <c r="Q263" s="19">
        <f>IFERROR(__xludf.DUMMYFUNCTION("SUM(QUERY(Entregas_BD!D:L,""select J where D='""&amp;D263&amp;""'"",1))"),0.0)</f>
        <v>0</v>
      </c>
      <c r="R263" s="24">
        <f>IFERROR(__xludf.DUMMYFUNCTION("SUM(QUERY(Entregas_BD!D:L,""select K where D='""&amp;D263&amp;""'"",1))"),0.0)</f>
        <v>0</v>
      </c>
      <c r="S263" s="24">
        <f>IFERROR(__xludf.DUMMYFUNCTION("SUM(QUERY(Entregas_BD!D:L,""select L where D='""&amp;D263&amp;""'"",1))"),0.0)</f>
        <v>0</v>
      </c>
      <c r="T263" s="19">
        <f>IFERROR(__xludf.DUMMYFUNCTION("SUM(QUERY(Entregas_BD!D:AL,""select AG where D='""&amp;D263&amp;""'"",1))"),25.0)</f>
        <v>25</v>
      </c>
      <c r="U263" s="19">
        <f>IFERROR(__xludf.DUMMYFUNCTION("SUM(QUERY(Entregas_BD!D:AL,""select AH where D='""&amp;D263&amp;""'"",1))"),0.0)</f>
        <v>0</v>
      </c>
      <c r="V263" s="19">
        <f>IFERROR(__xludf.DUMMYFUNCTION("SUM(QUERY(Entregas_BD!D:AL,""select AI where D='""&amp;D263&amp;""'"",1))"),0.0)</f>
        <v>0</v>
      </c>
      <c r="W263" s="19">
        <f>IFERROR(__xludf.DUMMYFUNCTION("SUM(QUERY(Entregas_BD!D:AL,""select AJ where D='""&amp;D263&amp;""'"",1))"),0.0)</f>
        <v>0</v>
      </c>
      <c r="X263" s="19">
        <f>IFERROR(__xludf.DUMMYFUNCTION("SUM(QUERY(Entregas_BD!D:AL,""select AL where D='""&amp;D263&amp;""'"",1))"),0.0)</f>
        <v>0</v>
      </c>
      <c r="Y263" s="19">
        <f>IFERROR(__xludf.DUMMYFUNCTION("SUM(QUERY(Entregas_BD!D:AL,""select AK where D='""&amp;D263&amp;""'"",1))"),0.0)</f>
        <v>0</v>
      </c>
      <c r="Z263" s="19">
        <v>-25.0</v>
      </c>
      <c r="AA263" s="19">
        <v>0.0</v>
      </c>
      <c r="AB263" s="19">
        <v>0.0</v>
      </c>
      <c r="AC263" s="19">
        <v>0.0</v>
      </c>
      <c r="AD263" s="19">
        <v>0.0</v>
      </c>
      <c r="AE263" s="19">
        <v>0.0</v>
      </c>
      <c r="AF263" s="22"/>
      <c r="AG263" s="24">
        <f>IFERROR(__xludf.DUMMYFUNCTION("SUM(QUERY(Entregas_BD!D:W,""select U where D='""&amp;D263&amp;""'"",1))"),0.0)</f>
        <v>0</v>
      </c>
      <c r="AH263" s="24">
        <f>IFERROR(__xludf.DUMMYFUNCTION("SUM(QUERY(Entregas_BD!D:W,""select S where D='""&amp;D263&amp;""'"",1))"),0.0)</f>
        <v>0</v>
      </c>
      <c r="AI263" s="24">
        <f>IFERROR(__xludf.DUMMYFUNCTION("SUM(QUERY(Entregas_BD!D:W,""select T where D='""&amp;D263&amp;""'"",1))"),0.0)</f>
        <v>0</v>
      </c>
    </row>
    <row r="264" ht="19.5" customHeight="1">
      <c r="A264" s="63"/>
      <c r="B264" s="8"/>
      <c r="C264" s="9">
        <v>263.0</v>
      </c>
      <c r="D264" s="10" t="s">
        <v>687</v>
      </c>
      <c r="E264" s="10" t="s">
        <v>197</v>
      </c>
      <c r="F264" s="10" t="s">
        <v>243</v>
      </c>
      <c r="G264" s="10" t="s">
        <v>149</v>
      </c>
      <c r="H264" s="12" t="s">
        <v>617</v>
      </c>
      <c r="I264" s="11" t="s">
        <v>41</v>
      </c>
      <c r="J264" s="60"/>
      <c r="K264" s="12"/>
      <c r="L264" s="13"/>
      <c r="M264" s="28"/>
      <c r="N264" s="9">
        <f>IFERROR(__xludf.DUMMYFUNCTION("SUM(QUERY(Entregas_BD!D:L,""select G where D='""&amp;D264&amp;""'"",1))"),0.0)</f>
        <v>0</v>
      </c>
      <c r="O264" s="9">
        <f>IFERROR(__xludf.DUMMYFUNCTION("SUM(QUERY(Entregas_BD!D:L,""select H where D='""&amp;D264&amp;""'"",1))"),0.0)</f>
        <v>0</v>
      </c>
      <c r="P264" s="9">
        <f>IFERROR(__xludf.DUMMYFUNCTION("SUM(QUERY(Entregas_BD!D:L,""select I where D='""&amp;D264&amp;""'"",1))"),0.0)</f>
        <v>0</v>
      </c>
      <c r="Q264" s="9">
        <f>IFERROR(__xludf.DUMMYFUNCTION("SUM(QUERY(Entregas_BD!D:L,""select J where D='""&amp;D264&amp;""'"",1))"),0.0)</f>
        <v>0</v>
      </c>
      <c r="R264" s="15">
        <f>IFERROR(__xludf.DUMMYFUNCTION("SUM(QUERY(Entregas_BD!D:L,""select K where D='""&amp;D264&amp;""'"",1))"),0.0)</f>
        <v>0</v>
      </c>
      <c r="S264" s="15">
        <f>IFERROR(__xludf.DUMMYFUNCTION("SUM(QUERY(Entregas_BD!D:L,""select L where D='""&amp;D264&amp;""'"",1))"),0.0)</f>
        <v>0</v>
      </c>
      <c r="T264" s="9">
        <f>IFERROR(__xludf.DUMMYFUNCTION("SUM(QUERY(Entregas_BD!D:AL,""select AG where D='""&amp;D264&amp;""'"",1))"),0.0)</f>
        <v>0</v>
      </c>
      <c r="U264" s="9">
        <f>IFERROR(__xludf.DUMMYFUNCTION("SUM(QUERY(Entregas_BD!D:AL,""select AH where D='""&amp;D264&amp;""'"",1))"),0.0)</f>
        <v>0</v>
      </c>
      <c r="V264" s="9">
        <f>IFERROR(__xludf.DUMMYFUNCTION("SUM(QUERY(Entregas_BD!D:AL,""select AI where D='""&amp;D264&amp;""'"",1))"),0.0)</f>
        <v>0</v>
      </c>
      <c r="W264" s="9">
        <f>IFERROR(__xludf.DUMMYFUNCTION("SUM(QUERY(Entregas_BD!D:AL,""select AJ where D='""&amp;D264&amp;""'"",1))"),0.0)</f>
        <v>0</v>
      </c>
      <c r="X264" s="9">
        <f>IFERROR(__xludf.DUMMYFUNCTION("SUM(QUERY(Entregas_BD!D:AL,""select AL where D='""&amp;D264&amp;""'"",1))"),0.0)</f>
        <v>0</v>
      </c>
      <c r="Y264" s="9">
        <f>IFERROR(__xludf.DUMMYFUNCTION("SUM(QUERY(Entregas_BD!D:AL,""select AK where D='""&amp;D264&amp;""'"",1))"),0.0)</f>
        <v>0</v>
      </c>
      <c r="Z264" s="9">
        <v>0.0</v>
      </c>
      <c r="AA264" s="9">
        <v>0.0</v>
      </c>
      <c r="AB264" s="9">
        <v>0.0</v>
      </c>
      <c r="AC264" s="9">
        <v>0.0</v>
      </c>
      <c r="AD264" s="9">
        <v>0.0</v>
      </c>
      <c r="AE264" s="9">
        <v>0.0</v>
      </c>
      <c r="AF264" s="28"/>
      <c r="AG264" s="15">
        <f>IFERROR(__xludf.DUMMYFUNCTION("SUM(QUERY(Entregas_BD!D:W,""select U where D='""&amp;D264&amp;""'"",1))"),0.0)</f>
        <v>0</v>
      </c>
      <c r="AH264" s="15">
        <f>IFERROR(__xludf.DUMMYFUNCTION("SUM(QUERY(Entregas_BD!D:W,""select S where D='""&amp;D264&amp;""'"",1))"),0.0)</f>
        <v>0</v>
      </c>
      <c r="AI264" s="15">
        <f>IFERROR(__xludf.DUMMYFUNCTION("SUM(QUERY(Entregas_BD!D:W,""select T where D='""&amp;D264&amp;""'"",1))"),0.0)</f>
        <v>0</v>
      </c>
    </row>
    <row r="265" ht="19.5" customHeight="1">
      <c r="A265" s="64"/>
      <c r="B265" s="32"/>
      <c r="C265" s="19">
        <v>264.0</v>
      </c>
      <c r="D265" s="20" t="s">
        <v>688</v>
      </c>
      <c r="E265" s="20" t="s">
        <v>197</v>
      </c>
      <c r="F265" s="20" t="s">
        <v>243</v>
      </c>
      <c r="G265" s="20" t="s">
        <v>689</v>
      </c>
      <c r="H265" s="34" t="s">
        <v>690</v>
      </c>
      <c r="I265" s="21" t="s">
        <v>41</v>
      </c>
      <c r="J265" s="61"/>
      <c r="K265" s="34"/>
      <c r="L265" s="42"/>
      <c r="M265" s="22"/>
      <c r="N265" s="19">
        <f>IFERROR(__xludf.DUMMYFUNCTION("SUM(QUERY(Entregas_BD!D:L,""select G where D='""&amp;D265&amp;""'"",1))"),0.0)</f>
        <v>0</v>
      </c>
      <c r="O265" s="19">
        <f>IFERROR(__xludf.DUMMYFUNCTION("SUM(QUERY(Entregas_BD!D:L,""select H where D='""&amp;D265&amp;""'"",1))"),0.0)</f>
        <v>0</v>
      </c>
      <c r="P265" s="19">
        <f>IFERROR(__xludf.DUMMYFUNCTION("SUM(QUERY(Entregas_BD!D:L,""select I where D='""&amp;D265&amp;""'"",1))"),0.0)</f>
        <v>0</v>
      </c>
      <c r="Q265" s="19">
        <f>IFERROR(__xludf.DUMMYFUNCTION("SUM(QUERY(Entregas_BD!D:L,""select J where D='""&amp;D265&amp;""'"",1))"),0.0)</f>
        <v>0</v>
      </c>
      <c r="R265" s="24">
        <f>IFERROR(__xludf.DUMMYFUNCTION("SUM(QUERY(Entregas_BD!D:L,""select K where D='""&amp;D265&amp;""'"",1))"),0.0)</f>
        <v>0</v>
      </c>
      <c r="S265" s="24">
        <f>IFERROR(__xludf.DUMMYFUNCTION("SUM(QUERY(Entregas_BD!D:L,""select L where D='""&amp;D265&amp;""'"",1))"),0.0)</f>
        <v>0</v>
      </c>
      <c r="T265" s="19">
        <f>IFERROR(__xludf.DUMMYFUNCTION("SUM(QUERY(Entregas_BD!D:AL,""select AG where D='""&amp;D265&amp;""'"",1))"),0.0)</f>
        <v>0</v>
      </c>
      <c r="U265" s="19">
        <f>IFERROR(__xludf.DUMMYFUNCTION("SUM(QUERY(Entregas_BD!D:AL,""select AH where D='""&amp;D265&amp;""'"",1))"),0.0)</f>
        <v>0</v>
      </c>
      <c r="V265" s="19">
        <f>IFERROR(__xludf.DUMMYFUNCTION("SUM(QUERY(Entregas_BD!D:AL,""select AI where D='""&amp;D265&amp;""'"",1))"),0.0)</f>
        <v>0</v>
      </c>
      <c r="W265" s="19">
        <f>IFERROR(__xludf.DUMMYFUNCTION("SUM(QUERY(Entregas_BD!D:AL,""select AJ where D='""&amp;D265&amp;""'"",1))"),0.0)</f>
        <v>0</v>
      </c>
      <c r="X265" s="19">
        <f>IFERROR(__xludf.DUMMYFUNCTION("SUM(QUERY(Entregas_BD!D:AL,""select AL where D='""&amp;D265&amp;""'"",1))"),0.0)</f>
        <v>0</v>
      </c>
      <c r="Y265" s="19">
        <f>IFERROR(__xludf.DUMMYFUNCTION("SUM(QUERY(Entregas_BD!D:AL,""select AK where D='""&amp;D265&amp;""'"",1))"),0.0)</f>
        <v>0</v>
      </c>
      <c r="Z265" s="19">
        <v>0.0</v>
      </c>
      <c r="AA265" s="19">
        <v>0.0</v>
      </c>
      <c r="AB265" s="19">
        <v>0.0</v>
      </c>
      <c r="AC265" s="19">
        <v>0.0</v>
      </c>
      <c r="AD265" s="19">
        <v>0.0</v>
      </c>
      <c r="AE265" s="19">
        <v>0.0</v>
      </c>
      <c r="AF265" s="22"/>
      <c r="AG265" s="24">
        <f>IFERROR(__xludf.DUMMYFUNCTION("SUM(QUERY(Entregas_BD!D:W,""select U where D='""&amp;D265&amp;""'"",1))"),0.0)</f>
        <v>0</v>
      </c>
      <c r="AH265" s="24">
        <f>IFERROR(__xludf.DUMMYFUNCTION("SUM(QUERY(Entregas_BD!D:W,""select S where D='""&amp;D265&amp;""'"",1))"),0.0)</f>
        <v>0</v>
      </c>
      <c r="AI265" s="24">
        <f>IFERROR(__xludf.DUMMYFUNCTION("SUM(QUERY(Entregas_BD!D:W,""select T where D='""&amp;D265&amp;""'"",1))"),0.0)</f>
        <v>0</v>
      </c>
    </row>
    <row r="266" ht="19.5" customHeight="1">
      <c r="A266" s="63"/>
      <c r="B266" s="8"/>
      <c r="C266" s="9">
        <v>265.0</v>
      </c>
      <c r="D266" s="10" t="s">
        <v>691</v>
      </c>
      <c r="E266" s="10" t="s">
        <v>38</v>
      </c>
      <c r="F266" s="10" t="s">
        <v>692</v>
      </c>
      <c r="G266" s="10" t="s">
        <v>149</v>
      </c>
      <c r="H266" s="12" t="s">
        <v>693</v>
      </c>
      <c r="I266" s="11" t="s">
        <v>41</v>
      </c>
      <c r="J266" s="60"/>
      <c r="K266" s="12"/>
      <c r="L266" s="13"/>
      <c r="M266" s="28"/>
      <c r="N266" s="9">
        <f>IFERROR(__xludf.DUMMYFUNCTION("SUM(QUERY(Entregas_BD!D:L,""select G where D='""&amp;D266&amp;""'"",1))"),0.0)</f>
        <v>0</v>
      </c>
      <c r="O266" s="9">
        <f>IFERROR(__xludf.DUMMYFUNCTION("SUM(QUERY(Entregas_BD!D:L,""select H where D='""&amp;D266&amp;""'"",1))"),0.0)</f>
        <v>0</v>
      </c>
      <c r="P266" s="9">
        <f>IFERROR(__xludf.DUMMYFUNCTION("SUM(QUERY(Entregas_BD!D:L,""select I where D='""&amp;D266&amp;""'"",1))"),0.0)</f>
        <v>0</v>
      </c>
      <c r="Q266" s="9">
        <f>IFERROR(__xludf.DUMMYFUNCTION("SUM(QUERY(Entregas_BD!D:L,""select J where D='""&amp;D266&amp;""'"",1))"),0.0)</f>
        <v>0</v>
      </c>
      <c r="R266" s="15">
        <f>IFERROR(__xludf.DUMMYFUNCTION("SUM(QUERY(Entregas_BD!D:L,""select K where D='""&amp;D266&amp;""'"",1))"),0.0)</f>
        <v>0</v>
      </c>
      <c r="S266" s="15">
        <f>IFERROR(__xludf.DUMMYFUNCTION("SUM(QUERY(Entregas_BD!D:L,""select L where D='""&amp;D266&amp;""'"",1))"),0.0)</f>
        <v>0</v>
      </c>
      <c r="T266" s="9">
        <f>IFERROR(__xludf.DUMMYFUNCTION("SUM(QUERY(Entregas_BD!D:AL,""select AG where D='""&amp;D266&amp;""'"",1))"),0.0)</f>
        <v>0</v>
      </c>
      <c r="U266" s="9">
        <f>IFERROR(__xludf.DUMMYFUNCTION("SUM(QUERY(Entregas_BD!D:AL,""select AH where D='""&amp;D266&amp;""'"",1))"),0.0)</f>
        <v>0</v>
      </c>
      <c r="V266" s="9">
        <f>IFERROR(__xludf.DUMMYFUNCTION("SUM(QUERY(Entregas_BD!D:AL,""select AI where D='""&amp;D266&amp;""'"",1))"),0.0)</f>
        <v>0</v>
      </c>
      <c r="W266" s="9">
        <f>IFERROR(__xludf.DUMMYFUNCTION("SUM(QUERY(Entregas_BD!D:AL,""select AJ where D='""&amp;D266&amp;""'"",1))"),0.0)</f>
        <v>0</v>
      </c>
      <c r="X266" s="9">
        <f>IFERROR(__xludf.DUMMYFUNCTION("SUM(QUERY(Entregas_BD!D:AL,""select AL where D='""&amp;D266&amp;""'"",1))"),0.0)</f>
        <v>0</v>
      </c>
      <c r="Y266" s="9">
        <f>IFERROR(__xludf.DUMMYFUNCTION("SUM(QUERY(Entregas_BD!D:AL,""select AK where D='""&amp;D266&amp;""'"",1))"),0.0)</f>
        <v>0</v>
      </c>
      <c r="Z266" s="9">
        <v>0.0</v>
      </c>
      <c r="AA266" s="9">
        <v>0.0</v>
      </c>
      <c r="AB266" s="9">
        <v>0.0</v>
      </c>
      <c r="AC266" s="9">
        <v>0.0</v>
      </c>
      <c r="AD266" s="9">
        <v>0.0</v>
      </c>
      <c r="AE266" s="9">
        <v>0.0</v>
      </c>
      <c r="AF266" s="28"/>
      <c r="AG266" s="15">
        <f>IFERROR(__xludf.DUMMYFUNCTION("SUM(QUERY(Entregas_BD!D:W,""select U where D='""&amp;D266&amp;""'"",1))"),0.0)</f>
        <v>0</v>
      </c>
      <c r="AH266" s="15">
        <f>IFERROR(__xludf.DUMMYFUNCTION("SUM(QUERY(Entregas_BD!D:W,""select S where D='""&amp;D266&amp;""'"",1))"),0.0)</f>
        <v>0</v>
      </c>
      <c r="AI266" s="15">
        <f>IFERROR(__xludf.DUMMYFUNCTION("SUM(QUERY(Entregas_BD!D:W,""select T where D='""&amp;D266&amp;""'"",1))"),0.0)</f>
        <v>0</v>
      </c>
    </row>
    <row r="267" ht="19.5" customHeight="1">
      <c r="A267" s="64"/>
      <c r="B267" s="32"/>
      <c r="C267" s="19">
        <v>266.0</v>
      </c>
      <c r="D267" s="20" t="s">
        <v>694</v>
      </c>
      <c r="E267" s="20" t="s">
        <v>479</v>
      </c>
      <c r="F267" s="20" t="s">
        <v>580</v>
      </c>
      <c r="G267" s="20" t="s">
        <v>79</v>
      </c>
      <c r="H267" s="34" t="s">
        <v>695</v>
      </c>
      <c r="I267" s="21" t="s">
        <v>41</v>
      </c>
      <c r="J267" s="61"/>
      <c r="K267" s="34"/>
      <c r="L267" s="42"/>
      <c r="M267" s="22"/>
      <c r="N267" s="19">
        <f>IFERROR(__xludf.DUMMYFUNCTION("SUM(QUERY(Entregas_BD!D:L,""select G where D='""&amp;D267&amp;""'"",1))"),0.0)</f>
        <v>0</v>
      </c>
      <c r="O267" s="19">
        <f>IFERROR(__xludf.DUMMYFUNCTION("SUM(QUERY(Entregas_BD!D:L,""select H where D='""&amp;D267&amp;""'"",1))"),0.0)</f>
        <v>0</v>
      </c>
      <c r="P267" s="19">
        <f>IFERROR(__xludf.DUMMYFUNCTION("SUM(QUERY(Entregas_BD!D:L,""select I where D='""&amp;D267&amp;""'"",1))"),0.0)</f>
        <v>0</v>
      </c>
      <c r="Q267" s="19">
        <f>IFERROR(__xludf.DUMMYFUNCTION("SUM(QUERY(Entregas_BD!D:L,""select J where D='""&amp;D267&amp;""'"",1))"),0.0)</f>
        <v>0</v>
      </c>
      <c r="R267" s="24">
        <f>IFERROR(__xludf.DUMMYFUNCTION("SUM(QUERY(Entregas_BD!D:L,""select K where D='""&amp;D267&amp;""'"",1))"),0.0)</f>
        <v>0</v>
      </c>
      <c r="S267" s="24">
        <f>IFERROR(__xludf.DUMMYFUNCTION("SUM(QUERY(Entregas_BD!D:L,""select L where D='""&amp;D267&amp;""'"",1))"),0.0)</f>
        <v>0</v>
      </c>
      <c r="T267" s="19">
        <f>IFERROR(__xludf.DUMMYFUNCTION("SUM(QUERY(Entregas_BD!D:AL,""select AG where D='""&amp;D267&amp;""'"",1))"),0.0)</f>
        <v>0</v>
      </c>
      <c r="U267" s="19">
        <f>IFERROR(__xludf.DUMMYFUNCTION("SUM(QUERY(Entregas_BD!D:AL,""select AH where D='""&amp;D267&amp;""'"",1))"),0.0)</f>
        <v>0</v>
      </c>
      <c r="V267" s="19">
        <f>IFERROR(__xludf.DUMMYFUNCTION("SUM(QUERY(Entregas_BD!D:AL,""select AI where D='""&amp;D267&amp;""'"",1))"),0.0)</f>
        <v>0</v>
      </c>
      <c r="W267" s="19">
        <f>IFERROR(__xludf.DUMMYFUNCTION("SUM(QUERY(Entregas_BD!D:AL,""select AJ where D='""&amp;D267&amp;""'"",1))"),0.0)</f>
        <v>0</v>
      </c>
      <c r="X267" s="19">
        <f>IFERROR(__xludf.DUMMYFUNCTION("SUM(QUERY(Entregas_BD!D:AL,""select AL where D='""&amp;D267&amp;""'"",1))"),0.0)</f>
        <v>0</v>
      </c>
      <c r="Y267" s="19">
        <f>IFERROR(__xludf.DUMMYFUNCTION("SUM(QUERY(Entregas_BD!D:AL,""select AK where D='""&amp;D267&amp;""'"",1))"),0.0)</f>
        <v>0</v>
      </c>
      <c r="Z267" s="19">
        <v>0.0</v>
      </c>
      <c r="AA267" s="19">
        <v>0.0</v>
      </c>
      <c r="AB267" s="19">
        <v>0.0</v>
      </c>
      <c r="AC267" s="19">
        <v>0.0</v>
      </c>
      <c r="AD267" s="19">
        <v>0.0</v>
      </c>
      <c r="AE267" s="19">
        <v>0.0</v>
      </c>
      <c r="AF267" s="22"/>
      <c r="AG267" s="24">
        <f>IFERROR(__xludf.DUMMYFUNCTION("SUM(QUERY(Entregas_BD!D:W,""select U where D='""&amp;D267&amp;""'"",1))"),0.0)</f>
        <v>0</v>
      </c>
      <c r="AH267" s="24">
        <f>IFERROR(__xludf.DUMMYFUNCTION("SUM(QUERY(Entregas_BD!D:W,""select S where D='""&amp;D267&amp;""'"",1))"),0.0)</f>
        <v>0</v>
      </c>
      <c r="AI267" s="24">
        <f>IFERROR(__xludf.DUMMYFUNCTION("SUM(QUERY(Entregas_BD!D:W,""select T where D='""&amp;D267&amp;""'"",1))"),0.0)</f>
        <v>0</v>
      </c>
    </row>
    <row r="268" ht="19.5" customHeight="1">
      <c r="A268" s="63"/>
      <c r="B268" s="8"/>
      <c r="C268" s="9">
        <v>267.0</v>
      </c>
      <c r="D268" s="10" t="s">
        <v>696</v>
      </c>
      <c r="E268" s="10" t="s">
        <v>72</v>
      </c>
      <c r="F268" s="10" t="s">
        <v>45</v>
      </c>
      <c r="G268" s="10" t="s">
        <v>149</v>
      </c>
      <c r="H268" s="12" t="s">
        <v>697</v>
      </c>
      <c r="I268" s="11" t="s">
        <v>41</v>
      </c>
      <c r="J268" s="12"/>
      <c r="K268" s="12"/>
      <c r="L268" s="13"/>
      <c r="M268" s="28"/>
      <c r="N268" s="9">
        <f>IFERROR(__xludf.DUMMYFUNCTION("SUM(QUERY(Entregas_BD!D:L,""select G where D='""&amp;D268&amp;""'"",1))"),0.0)</f>
        <v>0</v>
      </c>
      <c r="O268" s="9">
        <f>IFERROR(__xludf.DUMMYFUNCTION("SUM(QUERY(Entregas_BD!D:L,""select H where D='""&amp;D268&amp;""'"",1))"),0.0)</f>
        <v>0</v>
      </c>
      <c r="P268" s="9">
        <f>IFERROR(__xludf.DUMMYFUNCTION("SUM(QUERY(Entregas_BD!D:L,""select I where D='""&amp;D268&amp;""'"",1))"),0.0)</f>
        <v>0</v>
      </c>
      <c r="Q268" s="9">
        <f>IFERROR(__xludf.DUMMYFUNCTION("SUM(QUERY(Entregas_BD!D:L,""select J where D='""&amp;D268&amp;""'"",1))"),0.0)</f>
        <v>0</v>
      </c>
      <c r="R268" s="15">
        <f>IFERROR(__xludf.DUMMYFUNCTION("SUM(QUERY(Entregas_BD!D:L,""select K where D='""&amp;D268&amp;""'"",1))"),0.0)</f>
        <v>0</v>
      </c>
      <c r="S268" s="15">
        <f>IFERROR(__xludf.DUMMYFUNCTION("SUM(QUERY(Entregas_BD!D:L,""select L where D='""&amp;D268&amp;""'"",1))"),0.0)</f>
        <v>0</v>
      </c>
      <c r="T268" s="9">
        <f>IFERROR(__xludf.DUMMYFUNCTION("SUM(QUERY(Entregas_BD!D:AL,""select AG where D='""&amp;D268&amp;""'"",1))"),0.0)</f>
        <v>0</v>
      </c>
      <c r="U268" s="9">
        <f>IFERROR(__xludf.DUMMYFUNCTION("SUM(QUERY(Entregas_BD!D:AL,""select AH where D='""&amp;D268&amp;""'"",1))"),0.0)</f>
        <v>0</v>
      </c>
      <c r="V268" s="9">
        <f>IFERROR(__xludf.DUMMYFUNCTION("SUM(QUERY(Entregas_BD!D:AL,""select AI where D='""&amp;D268&amp;""'"",1))"),0.0)</f>
        <v>0</v>
      </c>
      <c r="W268" s="9">
        <f>IFERROR(__xludf.DUMMYFUNCTION("SUM(QUERY(Entregas_BD!D:AL,""select AJ where D='""&amp;D268&amp;""'"",1))"),0.0)</f>
        <v>0</v>
      </c>
      <c r="X268" s="9">
        <f>IFERROR(__xludf.DUMMYFUNCTION("SUM(QUERY(Entregas_BD!D:AL,""select AL where D='""&amp;D268&amp;""'"",1))"),0.0)</f>
        <v>0</v>
      </c>
      <c r="Y268" s="9">
        <f>IFERROR(__xludf.DUMMYFUNCTION("SUM(QUERY(Entregas_BD!D:AL,""select AK where D='""&amp;D268&amp;""'"",1))"),0.0)</f>
        <v>0</v>
      </c>
      <c r="Z268" s="9">
        <v>0.0</v>
      </c>
      <c r="AA268" s="9">
        <v>0.0</v>
      </c>
      <c r="AB268" s="9">
        <v>0.0</v>
      </c>
      <c r="AC268" s="9">
        <v>0.0</v>
      </c>
      <c r="AD268" s="9">
        <v>0.0</v>
      </c>
      <c r="AE268" s="9">
        <v>0.0</v>
      </c>
      <c r="AF268" s="28"/>
      <c r="AG268" s="15">
        <f>IFERROR(__xludf.DUMMYFUNCTION("SUM(QUERY(Entregas_BD!D:W,""select U where D='""&amp;D268&amp;""'"",1))"),0.0)</f>
        <v>0</v>
      </c>
      <c r="AH268" s="15">
        <f>IFERROR(__xludf.DUMMYFUNCTION("SUM(QUERY(Entregas_BD!D:W,""select S where D='""&amp;D268&amp;""'"",1))"),0.0)</f>
        <v>0</v>
      </c>
      <c r="AI268" s="15">
        <f>IFERROR(__xludf.DUMMYFUNCTION("SUM(QUERY(Entregas_BD!D:W,""select T where D='""&amp;D268&amp;""'"",1))"),0.0)</f>
        <v>0</v>
      </c>
    </row>
    <row r="269" ht="19.5" customHeight="1">
      <c r="A269" s="64"/>
      <c r="B269" s="32"/>
      <c r="C269" s="19">
        <v>268.0</v>
      </c>
      <c r="D269" s="20" t="s">
        <v>698</v>
      </c>
      <c r="E269" s="20" t="s">
        <v>197</v>
      </c>
      <c r="F269" s="20" t="s">
        <v>243</v>
      </c>
      <c r="G269" s="20" t="s">
        <v>699</v>
      </c>
      <c r="H269" s="34" t="s">
        <v>632</v>
      </c>
      <c r="I269" s="21" t="s">
        <v>41</v>
      </c>
      <c r="J269" s="34"/>
      <c r="K269" s="34"/>
      <c r="L269" s="42"/>
      <c r="M269" s="22"/>
      <c r="N269" s="19">
        <f>IFERROR(__xludf.DUMMYFUNCTION("SUM(QUERY(Entregas_BD!D:L,""select G where D='""&amp;D269&amp;""'"",1))"),0.0)</f>
        <v>0</v>
      </c>
      <c r="O269" s="19">
        <f>IFERROR(__xludf.DUMMYFUNCTION("SUM(QUERY(Entregas_BD!D:L,""select H where D='""&amp;D269&amp;""'"",1))"),0.0)</f>
        <v>0</v>
      </c>
      <c r="P269" s="19">
        <f>IFERROR(__xludf.DUMMYFUNCTION("SUM(QUERY(Entregas_BD!D:L,""select I where D='""&amp;D269&amp;""'"",1))"),0.0)</f>
        <v>0</v>
      </c>
      <c r="Q269" s="19">
        <f>IFERROR(__xludf.DUMMYFUNCTION("SUM(QUERY(Entregas_BD!D:L,""select J where D='""&amp;D269&amp;""'"",1))"),0.0)</f>
        <v>0</v>
      </c>
      <c r="R269" s="24">
        <f>IFERROR(__xludf.DUMMYFUNCTION("SUM(QUERY(Entregas_BD!D:L,""select K where D='""&amp;D269&amp;""'"",1))"),0.0)</f>
        <v>0</v>
      </c>
      <c r="S269" s="24">
        <f>IFERROR(__xludf.DUMMYFUNCTION("SUM(QUERY(Entregas_BD!D:L,""select L where D='""&amp;D269&amp;""'"",1))"),0.0)</f>
        <v>0</v>
      </c>
      <c r="T269" s="19">
        <f>IFERROR(__xludf.DUMMYFUNCTION("SUM(QUERY(Entregas_BD!D:AL,""select AG where D='""&amp;D269&amp;""'"",1))"),0.0)</f>
        <v>0</v>
      </c>
      <c r="U269" s="19">
        <f>IFERROR(__xludf.DUMMYFUNCTION("SUM(QUERY(Entregas_BD!D:AL,""select AH where D='""&amp;D269&amp;""'"",1))"),0.0)</f>
        <v>0</v>
      </c>
      <c r="V269" s="19">
        <f>IFERROR(__xludf.DUMMYFUNCTION("SUM(QUERY(Entregas_BD!D:AL,""select AI where D='""&amp;D269&amp;""'"",1))"),0.0)</f>
        <v>0</v>
      </c>
      <c r="W269" s="19">
        <f>IFERROR(__xludf.DUMMYFUNCTION("SUM(QUERY(Entregas_BD!D:AL,""select AJ where D='""&amp;D269&amp;""'"",1))"),0.0)</f>
        <v>0</v>
      </c>
      <c r="X269" s="19">
        <f>IFERROR(__xludf.DUMMYFUNCTION("SUM(QUERY(Entregas_BD!D:AL,""select AL where D='""&amp;D269&amp;""'"",1))"),0.0)</f>
        <v>0</v>
      </c>
      <c r="Y269" s="19">
        <f>IFERROR(__xludf.DUMMYFUNCTION("SUM(QUERY(Entregas_BD!D:AL,""select AK where D='""&amp;D269&amp;""'"",1))"),0.0)</f>
        <v>0</v>
      </c>
      <c r="Z269" s="19">
        <v>0.0</v>
      </c>
      <c r="AA269" s="19">
        <v>0.0</v>
      </c>
      <c r="AB269" s="19">
        <v>0.0</v>
      </c>
      <c r="AC269" s="19">
        <v>0.0</v>
      </c>
      <c r="AD269" s="19">
        <v>0.0</v>
      </c>
      <c r="AE269" s="19">
        <v>0.0</v>
      </c>
      <c r="AF269" s="22"/>
      <c r="AG269" s="24">
        <f>IFERROR(__xludf.DUMMYFUNCTION("SUM(QUERY(Entregas_BD!D:W,""select U where D='""&amp;D269&amp;""'"",1))"),0.0)</f>
        <v>0</v>
      </c>
      <c r="AH269" s="24">
        <f>IFERROR(__xludf.DUMMYFUNCTION("SUM(QUERY(Entregas_BD!D:W,""select S where D='""&amp;D269&amp;""'"",1))"),0.0)</f>
        <v>0</v>
      </c>
      <c r="AI269" s="24">
        <f>IFERROR(__xludf.DUMMYFUNCTION("SUM(QUERY(Entregas_BD!D:W,""select T where D='""&amp;D269&amp;""'"",1))"),0.0)</f>
        <v>0</v>
      </c>
    </row>
    <row r="270" ht="19.5" customHeight="1">
      <c r="A270" s="63"/>
      <c r="B270" s="8"/>
      <c r="C270" s="9">
        <v>269.0</v>
      </c>
      <c r="D270" s="10" t="s">
        <v>700</v>
      </c>
      <c r="E270" s="10" t="s">
        <v>197</v>
      </c>
      <c r="F270" s="10" t="s">
        <v>243</v>
      </c>
      <c r="G270" s="10" t="s">
        <v>701</v>
      </c>
      <c r="H270" s="12" t="s">
        <v>632</v>
      </c>
      <c r="I270" s="11" t="s">
        <v>41</v>
      </c>
      <c r="J270" s="12"/>
      <c r="K270" s="12"/>
      <c r="L270" s="13"/>
      <c r="M270" s="28"/>
      <c r="N270" s="9">
        <f>IFERROR(__xludf.DUMMYFUNCTION("SUM(QUERY(Entregas_BD!D:L,""select G where D='""&amp;D270&amp;""'"",1))"),0.0)</f>
        <v>0</v>
      </c>
      <c r="O270" s="9">
        <f>IFERROR(__xludf.DUMMYFUNCTION("SUM(QUERY(Entregas_BD!D:L,""select H where D='""&amp;D270&amp;""'"",1))"),0.0)</f>
        <v>0</v>
      </c>
      <c r="P270" s="9">
        <f>IFERROR(__xludf.DUMMYFUNCTION("SUM(QUERY(Entregas_BD!D:L,""select I where D='""&amp;D270&amp;""'"",1))"),0.0)</f>
        <v>0</v>
      </c>
      <c r="Q270" s="9">
        <f>IFERROR(__xludf.DUMMYFUNCTION("SUM(QUERY(Entregas_BD!D:L,""select J where D='""&amp;D270&amp;""'"",1))"),0.0)</f>
        <v>0</v>
      </c>
      <c r="R270" s="15">
        <f>IFERROR(__xludf.DUMMYFUNCTION("SUM(QUERY(Entregas_BD!D:L,""select K where D='""&amp;D270&amp;""'"",1))"),0.0)</f>
        <v>0</v>
      </c>
      <c r="S270" s="15">
        <f>IFERROR(__xludf.DUMMYFUNCTION("SUM(QUERY(Entregas_BD!D:L,""select L where D='""&amp;D270&amp;""'"",1))"),0.0)</f>
        <v>0</v>
      </c>
      <c r="T270" s="9">
        <f>IFERROR(__xludf.DUMMYFUNCTION("SUM(QUERY(Entregas_BD!D:AL,""select AG where D='""&amp;D270&amp;""'"",1))"),0.0)</f>
        <v>0</v>
      </c>
      <c r="U270" s="9">
        <f>IFERROR(__xludf.DUMMYFUNCTION("SUM(QUERY(Entregas_BD!D:AL,""select AH where D='""&amp;D270&amp;""'"",1))"),0.0)</f>
        <v>0</v>
      </c>
      <c r="V270" s="9">
        <f>IFERROR(__xludf.DUMMYFUNCTION("SUM(QUERY(Entregas_BD!D:AL,""select AI where D='""&amp;D270&amp;""'"",1))"),0.0)</f>
        <v>0</v>
      </c>
      <c r="W270" s="9">
        <f>IFERROR(__xludf.DUMMYFUNCTION("SUM(QUERY(Entregas_BD!D:AL,""select AJ where D='""&amp;D270&amp;""'"",1))"),0.0)</f>
        <v>0</v>
      </c>
      <c r="X270" s="9">
        <f>IFERROR(__xludf.DUMMYFUNCTION("SUM(QUERY(Entregas_BD!D:AL,""select AL where D='""&amp;D270&amp;""'"",1))"),0.0)</f>
        <v>0</v>
      </c>
      <c r="Y270" s="9">
        <f>IFERROR(__xludf.DUMMYFUNCTION("SUM(QUERY(Entregas_BD!D:AL,""select AK where D='""&amp;D270&amp;""'"",1))"),0.0)</f>
        <v>0</v>
      </c>
      <c r="Z270" s="9">
        <v>0.0</v>
      </c>
      <c r="AA270" s="9">
        <v>0.0</v>
      </c>
      <c r="AB270" s="9">
        <v>0.0</v>
      </c>
      <c r="AC270" s="9">
        <v>0.0</v>
      </c>
      <c r="AD270" s="9">
        <v>0.0</v>
      </c>
      <c r="AE270" s="9">
        <v>0.0</v>
      </c>
      <c r="AF270" s="28"/>
      <c r="AG270" s="15">
        <f>IFERROR(__xludf.DUMMYFUNCTION("SUM(QUERY(Entregas_BD!D:W,""select U where D='""&amp;D270&amp;""'"",1))"),0.0)</f>
        <v>0</v>
      </c>
      <c r="AH270" s="15">
        <f>IFERROR(__xludf.DUMMYFUNCTION("SUM(QUERY(Entregas_BD!D:W,""select S where D='""&amp;D270&amp;""'"",1))"),0.0)</f>
        <v>0</v>
      </c>
      <c r="AI270" s="15">
        <f>IFERROR(__xludf.DUMMYFUNCTION("SUM(QUERY(Entregas_BD!D:W,""select T where D='""&amp;D270&amp;""'"",1))"),0.0)</f>
        <v>0</v>
      </c>
    </row>
    <row r="271" ht="19.5" customHeight="1">
      <c r="A271" s="64"/>
      <c r="B271" s="32"/>
      <c r="C271" s="19">
        <v>270.0</v>
      </c>
      <c r="D271" s="20" t="s">
        <v>702</v>
      </c>
      <c r="E271" s="20" t="s">
        <v>197</v>
      </c>
      <c r="F271" s="20" t="s">
        <v>243</v>
      </c>
      <c r="G271" s="20" t="s">
        <v>643</v>
      </c>
      <c r="H271" s="34" t="s">
        <v>632</v>
      </c>
      <c r="I271" s="21" t="s">
        <v>41</v>
      </c>
      <c r="J271" s="34"/>
      <c r="K271" s="34"/>
      <c r="L271" s="42"/>
      <c r="M271" s="22"/>
      <c r="N271" s="19">
        <f>IFERROR(__xludf.DUMMYFUNCTION("SUM(QUERY(Entregas_BD!D:L,""select G where D='""&amp;D271&amp;""'"",1))"),0.0)</f>
        <v>0</v>
      </c>
      <c r="O271" s="19">
        <f>IFERROR(__xludf.DUMMYFUNCTION("SUM(QUERY(Entregas_BD!D:L,""select H where D='""&amp;D271&amp;""'"",1))"),0.0)</f>
        <v>0</v>
      </c>
      <c r="P271" s="19">
        <f>IFERROR(__xludf.DUMMYFUNCTION("SUM(QUERY(Entregas_BD!D:L,""select I where D='""&amp;D271&amp;""'"",1))"),0.0)</f>
        <v>0</v>
      </c>
      <c r="Q271" s="19">
        <f>IFERROR(__xludf.DUMMYFUNCTION("SUM(QUERY(Entregas_BD!D:L,""select J where D='""&amp;D271&amp;""'"",1))"),0.0)</f>
        <v>0</v>
      </c>
      <c r="R271" s="24">
        <f>IFERROR(__xludf.DUMMYFUNCTION("SUM(QUERY(Entregas_BD!D:L,""select K where D='""&amp;D271&amp;""'"",1))"),0.0)</f>
        <v>0</v>
      </c>
      <c r="S271" s="24">
        <f>IFERROR(__xludf.DUMMYFUNCTION("SUM(QUERY(Entregas_BD!D:L,""select L where D='""&amp;D271&amp;""'"",1))"),0.0)</f>
        <v>0</v>
      </c>
      <c r="T271" s="19">
        <f>IFERROR(__xludf.DUMMYFUNCTION("SUM(QUERY(Entregas_BD!D:AL,""select AG where D='""&amp;D271&amp;""'"",1))"),0.0)</f>
        <v>0</v>
      </c>
      <c r="U271" s="19">
        <f>IFERROR(__xludf.DUMMYFUNCTION("SUM(QUERY(Entregas_BD!D:AL,""select AH where D='""&amp;D271&amp;""'"",1))"),0.0)</f>
        <v>0</v>
      </c>
      <c r="V271" s="19">
        <f>IFERROR(__xludf.DUMMYFUNCTION("SUM(QUERY(Entregas_BD!D:AL,""select AI where D='""&amp;D271&amp;""'"",1))"),0.0)</f>
        <v>0</v>
      </c>
      <c r="W271" s="19">
        <f>IFERROR(__xludf.DUMMYFUNCTION("SUM(QUERY(Entregas_BD!D:AL,""select AJ where D='""&amp;D271&amp;""'"",1))"),0.0)</f>
        <v>0</v>
      </c>
      <c r="X271" s="19">
        <f>IFERROR(__xludf.DUMMYFUNCTION("SUM(QUERY(Entregas_BD!D:AL,""select AL where D='""&amp;D271&amp;""'"",1))"),0.0)</f>
        <v>0</v>
      </c>
      <c r="Y271" s="19">
        <f>IFERROR(__xludf.DUMMYFUNCTION("SUM(QUERY(Entregas_BD!D:AL,""select AK where D='""&amp;D271&amp;""'"",1))"),0.0)</f>
        <v>0</v>
      </c>
      <c r="Z271" s="19">
        <v>0.0</v>
      </c>
      <c r="AA271" s="19">
        <v>0.0</v>
      </c>
      <c r="AB271" s="19">
        <v>0.0</v>
      </c>
      <c r="AC271" s="19">
        <v>0.0</v>
      </c>
      <c r="AD271" s="19">
        <v>0.0</v>
      </c>
      <c r="AE271" s="19">
        <v>0.0</v>
      </c>
      <c r="AF271" s="22"/>
      <c r="AG271" s="24">
        <f>IFERROR(__xludf.DUMMYFUNCTION("SUM(QUERY(Entregas_BD!D:W,""select U where D='""&amp;D271&amp;""'"",1))"),0.0)</f>
        <v>0</v>
      </c>
      <c r="AH271" s="24">
        <f>IFERROR(__xludf.DUMMYFUNCTION("SUM(QUERY(Entregas_BD!D:W,""select S where D='""&amp;D271&amp;""'"",1))"),0.0)</f>
        <v>0</v>
      </c>
      <c r="AI271" s="24">
        <f>IFERROR(__xludf.DUMMYFUNCTION("SUM(QUERY(Entregas_BD!D:W,""select T where D='""&amp;D271&amp;""'"",1))"),0.0)</f>
        <v>0</v>
      </c>
    </row>
    <row r="272" ht="19.5" customHeight="1">
      <c r="A272" s="63"/>
      <c r="B272" s="8"/>
      <c r="C272" s="9">
        <v>271.0</v>
      </c>
      <c r="D272" s="10" t="s">
        <v>703</v>
      </c>
      <c r="E272" s="10" t="s">
        <v>197</v>
      </c>
      <c r="F272" s="10" t="s">
        <v>243</v>
      </c>
      <c r="G272" s="10" t="s">
        <v>643</v>
      </c>
      <c r="H272" s="12" t="s">
        <v>632</v>
      </c>
      <c r="I272" s="11" t="s">
        <v>41</v>
      </c>
      <c r="J272" s="12"/>
      <c r="K272" s="12"/>
      <c r="L272" s="13"/>
      <c r="M272" s="28"/>
      <c r="N272" s="9">
        <f>IFERROR(__xludf.DUMMYFUNCTION("SUM(QUERY(Entregas_BD!D:L,""select G where D='""&amp;D272&amp;""'"",1))"),0.0)</f>
        <v>0</v>
      </c>
      <c r="O272" s="9">
        <f>IFERROR(__xludf.DUMMYFUNCTION("SUM(QUERY(Entregas_BD!D:L,""select H where D='""&amp;D272&amp;""'"",1))"),0.0)</f>
        <v>0</v>
      </c>
      <c r="P272" s="9">
        <f>IFERROR(__xludf.DUMMYFUNCTION("SUM(QUERY(Entregas_BD!D:L,""select I where D='""&amp;D272&amp;""'"",1))"),0.0)</f>
        <v>0</v>
      </c>
      <c r="Q272" s="9">
        <f>IFERROR(__xludf.DUMMYFUNCTION("SUM(QUERY(Entregas_BD!D:L,""select J where D='""&amp;D272&amp;""'"",1))"),0.0)</f>
        <v>0</v>
      </c>
      <c r="R272" s="15">
        <f>IFERROR(__xludf.DUMMYFUNCTION("SUM(QUERY(Entregas_BD!D:L,""select K where D='""&amp;D272&amp;""'"",1))"),0.0)</f>
        <v>0</v>
      </c>
      <c r="S272" s="15">
        <f>IFERROR(__xludf.DUMMYFUNCTION("SUM(QUERY(Entregas_BD!D:L,""select L where D='""&amp;D272&amp;""'"",1))"),0.0)</f>
        <v>0</v>
      </c>
      <c r="T272" s="9">
        <f>IFERROR(__xludf.DUMMYFUNCTION("SUM(QUERY(Entregas_BD!D:AL,""select AG where D='""&amp;D272&amp;""'"",1))"),0.0)</f>
        <v>0</v>
      </c>
      <c r="U272" s="9">
        <f>IFERROR(__xludf.DUMMYFUNCTION("SUM(QUERY(Entregas_BD!D:AL,""select AH where D='""&amp;D272&amp;""'"",1))"),0.0)</f>
        <v>0</v>
      </c>
      <c r="V272" s="9">
        <f>IFERROR(__xludf.DUMMYFUNCTION("SUM(QUERY(Entregas_BD!D:AL,""select AI where D='""&amp;D272&amp;""'"",1))"),0.0)</f>
        <v>0</v>
      </c>
      <c r="W272" s="9">
        <f>IFERROR(__xludf.DUMMYFUNCTION("SUM(QUERY(Entregas_BD!D:AL,""select AJ where D='""&amp;D272&amp;""'"",1))"),0.0)</f>
        <v>0</v>
      </c>
      <c r="X272" s="9">
        <f>IFERROR(__xludf.DUMMYFUNCTION("SUM(QUERY(Entregas_BD!D:AL,""select AL where D='""&amp;D272&amp;""'"",1))"),0.0)</f>
        <v>0</v>
      </c>
      <c r="Y272" s="9">
        <f>IFERROR(__xludf.DUMMYFUNCTION("SUM(QUERY(Entregas_BD!D:AL,""select AK where D='""&amp;D272&amp;""'"",1))"),0.0)</f>
        <v>0</v>
      </c>
      <c r="Z272" s="9">
        <v>0.0</v>
      </c>
      <c r="AA272" s="9">
        <v>0.0</v>
      </c>
      <c r="AB272" s="9">
        <v>0.0</v>
      </c>
      <c r="AC272" s="9">
        <v>0.0</v>
      </c>
      <c r="AD272" s="9">
        <v>0.0</v>
      </c>
      <c r="AE272" s="9">
        <v>0.0</v>
      </c>
      <c r="AF272" s="28"/>
      <c r="AG272" s="15">
        <f>IFERROR(__xludf.DUMMYFUNCTION("SUM(QUERY(Entregas_BD!D:W,""select U where D='""&amp;D272&amp;""'"",1))"),0.0)</f>
        <v>0</v>
      </c>
      <c r="AH272" s="15">
        <f>IFERROR(__xludf.DUMMYFUNCTION("SUM(QUERY(Entregas_BD!D:W,""select S where D='""&amp;D272&amp;""'"",1))"),0.0)</f>
        <v>0</v>
      </c>
      <c r="AI272" s="15">
        <f>IFERROR(__xludf.DUMMYFUNCTION("SUM(QUERY(Entregas_BD!D:W,""select T where D='""&amp;D272&amp;""'"",1))"),0.0)</f>
        <v>0</v>
      </c>
    </row>
    <row r="273" ht="19.5" customHeight="1">
      <c r="A273" s="64"/>
      <c r="B273" s="32"/>
      <c r="C273" s="19">
        <v>272.0</v>
      </c>
      <c r="D273" s="20" t="s">
        <v>704</v>
      </c>
      <c r="E273" s="20" t="s">
        <v>197</v>
      </c>
      <c r="F273" s="20" t="s">
        <v>243</v>
      </c>
      <c r="G273" s="20" t="s">
        <v>244</v>
      </c>
      <c r="H273" s="34" t="s">
        <v>632</v>
      </c>
      <c r="I273" s="21" t="s">
        <v>41</v>
      </c>
      <c r="J273" s="34"/>
      <c r="K273" s="34"/>
      <c r="L273" s="42"/>
      <c r="M273" s="22"/>
      <c r="N273" s="19">
        <f>IFERROR(__xludf.DUMMYFUNCTION("SUM(QUERY(Entregas_BD!D:L,""select G where D='""&amp;D273&amp;""'"",1))"),0.0)</f>
        <v>0</v>
      </c>
      <c r="O273" s="19">
        <f>IFERROR(__xludf.DUMMYFUNCTION("SUM(QUERY(Entregas_BD!D:L,""select H where D='""&amp;D273&amp;""'"",1))"),0.0)</f>
        <v>0</v>
      </c>
      <c r="P273" s="19">
        <f>IFERROR(__xludf.DUMMYFUNCTION("SUM(QUERY(Entregas_BD!D:L,""select I where D='""&amp;D273&amp;""'"",1))"),0.0)</f>
        <v>0</v>
      </c>
      <c r="Q273" s="19">
        <f>IFERROR(__xludf.DUMMYFUNCTION("SUM(QUERY(Entregas_BD!D:L,""select J where D='""&amp;D273&amp;""'"",1))"),0.0)</f>
        <v>0</v>
      </c>
      <c r="R273" s="24">
        <f>IFERROR(__xludf.DUMMYFUNCTION("SUM(QUERY(Entregas_BD!D:L,""select K where D='""&amp;D273&amp;""'"",1))"),0.0)</f>
        <v>0</v>
      </c>
      <c r="S273" s="24">
        <f>IFERROR(__xludf.DUMMYFUNCTION("SUM(QUERY(Entregas_BD!D:L,""select L where D='""&amp;D273&amp;""'"",1))"),0.0)</f>
        <v>0</v>
      </c>
      <c r="T273" s="19">
        <f>IFERROR(__xludf.DUMMYFUNCTION("SUM(QUERY(Entregas_BD!D:AL,""select AG where D='""&amp;D273&amp;""'"",1))"),0.0)</f>
        <v>0</v>
      </c>
      <c r="U273" s="19">
        <f>IFERROR(__xludf.DUMMYFUNCTION("SUM(QUERY(Entregas_BD!D:AL,""select AH where D='""&amp;D273&amp;""'"",1))"),0.0)</f>
        <v>0</v>
      </c>
      <c r="V273" s="19">
        <f>IFERROR(__xludf.DUMMYFUNCTION("SUM(QUERY(Entregas_BD!D:AL,""select AI where D='""&amp;D273&amp;""'"",1))"),0.0)</f>
        <v>0</v>
      </c>
      <c r="W273" s="19">
        <f>IFERROR(__xludf.DUMMYFUNCTION("SUM(QUERY(Entregas_BD!D:AL,""select AJ where D='""&amp;D273&amp;""'"",1))"),0.0)</f>
        <v>0</v>
      </c>
      <c r="X273" s="19">
        <f>IFERROR(__xludf.DUMMYFUNCTION("SUM(QUERY(Entregas_BD!D:AL,""select AL where D='""&amp;D273&amp;""'"",1))"),0.0)</f>
        <v>0</v>
      </c>
      <c r="Y273" s="19">
        <f>IFERROR(__xludf.DUMMYFUNCTION("SUM(QUERY(Entregas_BD!D:AL,""select AK where D='""&amp;D273&amp;""'"",1))"),0.0)</f>
        <v>0</v>
      </c>
      <c r="Z273" s="19">
        <v>0.0</v>
      </c>
      <c r="AA273" s="19">
        <v>0.0</v>
      </c>
      <c r="AB273" s="19">
        <v>0.0</v>
      </c>
      <c r="AC273" s="19">
        <v>0.0</v>
      </c>
      <c r="AD273" s="19">
        <v>0.0</v>
      </c>
      <c r="AE273" s="19">
        <v>0.0</v>
      </c>
      <c r="AF273" s="22"/>
      <c r="AG273" s="24">
        <f>IFERROR(__xludf.DUMMYFUNCTION("SUM(QUERY(Entregas_BD!D:W,""select U where D='""&amp;D273&amp;""'"",1))"),0.0)</f>
        <v>0</v>
      </c>
      <c r="AH273" s="24">
        <f>IFERROR(__xludf.DUMMYFUNCTION("SUM(QUERY(Entregas_BD!D:W,""select S where D='""&amp;D273&amp;""'"",1))"),0.0)</f>
        <v>0</v>
      </c>
      <c r="AI273" s="24">
        <f>IFERROR(__xludf.DUMMYFUNCTION("SUM(QUERY(Entregas_BD!D:W,""select T where D='""&amp;D273&amp;""'"",1))"),0.0)</f>
        <v>0</v>
      </c>
    </row>
    <row r="274" ht="19.5" customHeight="1">
      <c r="A274" s="63"/>
      <c r="B274" s="8"/>
      <c r="C274" s="9">
        <v>273.0</v>
      </c>
      <c r="D274" s="10" t="s">
        <v>705</v>
      </c>
      <c r="E274" s="10" t="s">
        <v>197</v>
      </c>
      <c r="F274" s="10" t="s">
        <v>243</v>
      </c>
      <c r="G274" s="10" t="s">
        <v>631</v>
      </c>
      <c r="H274" s="12" t="s">
        <v>632</v>
      </c>
      <c r="I274" s="11" t="s">
        <v>41</v>
      </c>
      <c r="J274" s="12"/>
      <c r="K274" s="12"/>
      <c r="L274" s="13"/>
      <c r="M274" s="28"/>
      <c r="N274" s="9">
        <f>IFERROR(__xludf.DUMMYFUNCTION("SUM(QUERY(Entregas_BD!D:L,""select G where D='""&amp;D274&amp;""'"",1))"),0.0)</f>
        <v>0</v>
      </c>
      <c r="O274" s="9">
        <f>IFERROR(__xludf.DUMMYFUNCTION("SUM(QUERY(Entregas_BD!D:L,""select H where D='""&amp;D274&amp;""'"",1))"),0.0)</f>
        <v>0</v>
      </c>
      <c r="P274" s="9">
        <f>IFERROR(__xludf.DUMMYFUNCTION("SUM(QUERY(Entregas_BD!D:L,""select I where D='""&amp;D274&amp;""'"",1))"),0.0)</f>
        <v>0</v>
      </c>
      <c r="Q274" s="9">
        <f>IFERROR(__xludf.DUMMYFUNCTION("SUM(QUERY(Entregas_BD!D:L,""select J where D='""&amp;D274&amp;""'"",1))"),0.0)</f>
        <v>0</v>
      </c>
      <c r="R274" s="15">
        <f>IFERROR(__xludf.DUMMYFUNCTION("SUM(QUERY(Entregas_BD!D:L,""select K where D='""&amp;D274&amp;""'"",1))"),0.0)</f>
        <v>0</v>
      </c>
      <c r="S274" s="15">
        <f>IFERROR(__xludf.DUMMYFUNCTION("SUM(QUERY(Entregas_BD!D:L,""select L where D='""&amp;D274&amp;""'"",1))"),0.0)</f>
        <v>0</v>
      </c>
      <c r="T274" s="9">
        <f>IFERROR(__xludf.DUMMYFUNCTION("SUM(QUERY(Entregas_BD!D:AL,""select AG where D='""&amp;D274&amp;""'"",1))"),0.0)</f>
        <v>0</v>
      </c>
      <c r="U274" s="9">
        <f>IFERROR(__xludf.DUMMYFUNCTION("SUM(QUERY(Entregas_BD!D:AL,""select AH where D='""&amp;D274&amp;""'"",1))"),0.0)</f>
        <v>0</v>
      </c>
      <c r="V274" s="9">
        <f>IFERROR(__xludf.DUMMYFUNCTION("SUM(QUERY(Entregas_BD!D:AL,""select AI where D='""&amp;D274&amp;""'"",1))"),0.0)</f>
        <v>0</v>
      </c>
      <c r="W274" s="9">
        <f>IFERROR(__xludf.DUMMYFUNCTION("SUM(QUERY(Entregas_BD!D:AL,""select AJ where D='""&amp;D274&amp;""'"",1))"),25.0)</f>
        <v>25</v>
      </c>
      <c r="X274" s="9">
        <f>IFERROR(__xludf.DUMMYFUNCTION("SUM(QUERY(Entregas_BD!D:AL,""select AL where D='""&amp;D274&amp;""'"",1))"),0.0)</f>
        <v>0</v>
      </c>
      <c r="Y274" s="9">
        <f>IFERROR(__xludf.DUMMYFUNCTION("SUM(QUERY(Entregas_BD!D:AL,""select AK where D='""&amp;D274&amp;""'"",1))"),0.0)</f>
        <v>0</v>
      </c>
      <c r="Z274" s="9">
        <v>0.0</v>
      </c>
      <c r="AA274" s="9">
        <v>0.0</v>
      </c>
      <c r="AB274" s="9">
        <v>0.0</v>
      </c>
      <c r="AC274" s="9">
        <v>-25.0</v>
      </c>
      <c r="AD274" s="9">
        <v>0.0</v>
      </c>
      <c r="AE274" s="9">
        <v>0.0</v>
      </c>
      <c r="AF274" s="28"/>
      <c r="AG274" s="15">
        <f>IFERROR(__xludf.DUMMYFUNCTION("SUM(QUERY(Entregas_BD!D:W,""select U where D='""&amp;D274&amp;""'"",1))"),0.0)</f>
        <v>0</v>
      </c>
      <c r="AH274" s="15">
        <f>IFERROR(__xludf.DUMMYFUNCTION("SUM(QUERY(Entregas_BD!D:W,""select S where D='""&amp;D274&amp;""'"",1))"),0.0)</f>
        <v>0</v>
      </c>
      <c r="AI274" s="15">
        <f>IFERROR(__xludf.DUMMYFUNCTION("SUM(QUERY(Entregas_BD!D:W,""select T where D='""&amp;D274&amp;""'"",1))"),0.0)</f>
        <v>0</v>
      </c>
    </row>
    <row r="275" ht="19.5" customHeight="1">
      <c r="A275" s="64"/>
      <c r="B275" s="32"/>
      <c r="C275" s="19">
        <v>274.0</v>
      </c>
      <c r="D275" s="20" t="s">
        <v>706</v>
      </c>
      <c r="E275" s="20" t="s">
        <v>197</v>
      </c>
      <c r="F275" s="20" t="s">
        <v>243</v>
      </c>
      <c r="G275" s="20" t="s">
        <v>707</v>
      </c>
      <c r="H275" s="34" t="s">
        <v>632</v>
      </c>
      <c r="I275" s="21" t="s">
        <v>41</v>
      </c>
      <c r="J275" s="34"/>
      <c r="K275" s="34"/>
      <c r="L275" s="42"/>
      <c r="M275" s="22"/>
      <c r="N275" s="19">
        <f>IFERROR(__xludf.DUMMYFUNCTION("SUM(QUERY(Entregas_BD!D:L,""select G where D='""&amp;D275&amp;""'"",1))"),0.0)</f>
        <v>0</v>
      </c>
      <c r="O275" s="19">
        <f>IFERROR(__xludf.DUMMYFUNCTION("SUM(QUERY(Entregas_BD!D:L,""select H where D='""&amp;D275&amp;""'"",1))"),0.0)</f>
        <v>0</v>
      </c>
      <c r="P275" s="19">
        <f>IFERROR(__xludf.DUMMYFUNCTION("SUM(QUERY(Entregas_BD!D:L,""select I where D='""&amp;D275&amp;""'"",1))"),0.0)</f>
        <v>0</v>
      </c>
      <c r="Q275" s="19">
        <f>IFERROR(__xludf.DUMMYFUNCTION("SUM(QUERY(Entregas_BD!D:L,""select J where D='""&amp;D275&amp;""'"",1))"),0.0)</f>
        <v>0</v>
      </c>
      <c r="R275" s="24">
        <f>IFERROR(__xludf.DUMMYFUNCTION("SUM(QUERY(Entregas_BD!D:L,""select K where D='""&amp;D275&amp;""'"",1))"),0.0)</f>
        <v>0</v>
      </c>
      <c r="S275" s="24">
        <f>IFERROR(__xludf.DUMMYFUNCTION("SUM(QUERY(Entregas_BD!D:L,""select L where D='""&amp;D275&amp;""'"",1))"),0.0)</f>
        <v>0</v>
      </c>
      <c r="T275" s="19">
        <f>IFERROR(__xludf.DUMMYFUNCTION("SUM(QUERY(Entregas_BD!D:AL,""select AG where D='""&amp;D275&amp;""'"",1))"),25.0)</f>
        <v>25</v>
      </c>
      <c r="U275" s="19">
        <f>IFERROR(__xludf.DUMMYFUNCTION("SUM(QUERY(Entregas_BD!D:AL,""select AH where D='""&amp;D275&amp;""'"",1))"),0.0)</f>
        <v>0</v>
      </c>
      <c r="V275" s="19">
        <f>IFERROR(__xludf.DUMMYFUNCTION("SUM(QUERY(Entregas_BD!D:AL,""select AI where D='""&amp;D275&amp;""'"",1))"),0.0)</f>
        <v>0</v>
      </c>
      <c r="W275" s="19">
        <f>IFERROR(__xludf.DUMMYFUNCTION("SUM(QUERY(Entregas_BD!D:AL,""select AJ where D='""&amp;D275&amp;""'"",1))"),0.0)</f>
        <v>0</v>
      </c>
      <c r="X275" s="19">
        <f>IFERROR(__xludf.DUMMYFUNCTION("SUM(QUERY(Entregas_BD!D:AL,""select AL where D='""&amp;D275&amp;""'"",1))"),0.0)</f>
        <v>0</v>
      </c>
      <c r="Y275" s="19">
        <f>IFERROR(__xludf.DUMMYFUNCTION("SUM(QUERY(Entregas_BD!D:AL,""select AK where D='""&amp;D275&amp;""'"",1))"),0.0)</f>
        <v>0</v>
      </c>
      <c r="Z275" s="19">
        <v>-25.0</v>
      </c>
      <c r="AA275" s="19">
        <v>0.0</v>
      </c>
      <c r="AB275" s="19">
        <v>0.0</v>
      </c>
      <c r="AC275" s="19">
        <v>0.0</v>
      </c>
      <c r="AD275" s="19">
        <v>0.0</v>
      </c>
      <c r="AE275" s="19">
        <v>0.0</v>
      </c>
      <c r="AF275" s="22"/>
      <c r="AG275" s="24">
        <f>IFERROR(__xludf.DUMMYFUNCTION("SUM(QUERY(Entregas_BD!D:W,""select U where D='""&amp;D275&amp;""'"",1))"),0.0)</f>
        <v>0</v>
      </c>
      <c r="AH275" s="24">
        <f>IFERROR(__xludf.DUMMYFUNCTION("SUM(QUERY(Entregas_BD!D:W,""select S where D='""&amp;D275&amp;""'"",1))"),0.0)</f>
        <v>0</v>
      </c>
      <c r="AI275" s="24">
        <f>IFERROR(__xludf.DUMMYFUNCTION("SUM(QUERY(Entregas_BD!D:W,""select T where D='""&amp;D275&amp;""'"",1))"),0.0)</f>
        <v>0</v>
      </c>
    </row>
    <row r="276" ht="19.5" customHeight="1">
      <c r="A276" s="63"/>
      <c r="B276" s="8"/>
      <c r="C276" s="9">
        <v>275.0</v>
      </c>
      <c r="D276" s="10" t="s">
        <v>708</v>
      </c>
      <c r="E276" s="10" t="s">
        <v>44</v>
      </c>
      <c r="F276" s="10" t="s">
        <v>571</v>
      </c>
      <c r="G276" s="10" t="s">
        <v>709</v>
      </c>
      <c r="H276" s="12" t="s">
        <v>710</v>
      </c>
      <c r="I276" s="11" t="s">
        <v>41</v>
      </c>
      <c r="J276" s="12"/>
      <c r="K276" s="12"/>
      <c r="L276" s="13"/>
      <c r="M276" s="28"/>
      <c r="N276" s="9">
        <f>IFERROR(__xludf.DUMMYFUNCTION("SUM(QUERY(Entregas_BD!D:L,""select G where D='""&amp;D276&amp;""'"",1))"),0.0)</f>
        <v>0</v>
      </c>
      <c r="O276" s="9">
        <f>IFERROR(__xludf.DUMMYFUNCTION("SUM(QUERY(Entregas_BD!D:L,""select H where D='""&amp;D276&amp;""'"",1))"),0.0)</f>
        <v>0</v>
      </c>
      <c r="P276" s="9">
        <f>IFERROR(__xludf.DUMMYFUNCTION("SUM(QUERY(Entregas_BD!D:L,""select I where D='""&amp;D276&amp;""'"",1))"),0.0)</f>
        <v>0</v>
      </c>
      <c r="Q276" s="9">
        <f>IFERROR(__xludf.DUMMYFUNCTION("SUM(QUERY(Entregas_BD!D:L,""select J where D='""&amp;D276&amp;""'"",1))"),0.0)</f>
        <v>0</v>
      </c>
      <c r="R276" s="15">
        <f>IFERROR(__xludf.DUMMYFUNCTION("SUM(QUERY(Entregas_BD!D:L,""select K where D='""&amp;D276&amp;""'"",1))"),0.0)</f>
        <v>0</v>
      </c>
      <c r="S276" s="15">
        <f>IFERROR(__xludf.DUMMYFUNCTION("SUM(QUERY(Entregas_BD!D:L,""select L where D='""&amp;D276&amp;""'"",1))"),0.0)</f>
        <v>0</v>
      </c>
      <c r="T276" s="9">
        <f>IFERROR(__xludf.DUMMYFUNCTION("SUM(QUERY(Entregas_BD!D:AL,""select AG where D='""&amp;D276&amp;""'"",1))"),50.0)</f>
        <v>50</v>
      </c>
      <c r="U276" s="9">
        <f>IFERROR(__xludf.DUMMYFUNCTION("SUM(QUERY(Entregas_BD!D:AL,""select AH where D='""&amp;D276&amp;""'"",1))"),0.0)</f>
        <v>0</v>
      </c>
      <c r="V276" s="9">
        <f>IFERROR(__xludf.DUMMYFUNCTION("SUM(QUERY(Entregas_BD!D:AL,""select AI where D='""&amp;D276&amp;""'"",1))"),0.0)</f>
        <v>0</v>
      </c>
      <c r="W276" s="9">
        <f>IFERROR(__xludf.DUMMYFUNCTION("SUM(QUERY(Entregas_BD!D:AL,""select AJ where D='""&amp;D276&amp;""'"",1))"),25.0)</f>
        <v>25</v>
      </c>
      <c r="X276" s="9">
        <f>IFERROR(__xludf.DUMMYFUNCTION("SUM(QUERY(Entregas_BD!D:AL,""select AL where D='""&amp;D276&amp;""'"",1))"),0.0)</f>
        <v>0</v>
      </c>
      <c r="Y276" s="9">
        <f>IFERROR(__xludf.DUMMYFUNCTION("SUM(QUERY(Entregas_BD!D:AL,""select AK where D='""&amp;D276&amp;""'"",1))"),0.0)</f>
        <v>0</v>
      </c>
      <c r="Z276" s="9">
        <v>-50.0</v>
      </c>
      <c r="AA276" s="9">
        <v>0.0</v>
      </c>
      <c r="AB276" s="9">
        <v>0.0</v>
      </c>
      <c r="AC276" s="9">
        <v>-25.0</v>
      </c>
      <c r="AD276" s="9">
        <v>0.0</v>
      </c>
      <c r="AE276" s="9">
        <v>0.0</v>
      </c>
      <c r="AF276" s="28"/>
      <c r="AG276" s="15">
        <f>IFERROR(__xludf.DUMMYFUNCTION("SUM(QUERY(Entregas_BD!D:W,""select U where D='""&amp;D276&amp;""'"",1))"),0.0)</f>
        <v>0</v>
      </c>
      <c r="AH276" s="15">
        <f>IFERROR(__xludf.DUMMYFUNCTION("SUM(QUERY(Entregas_BD!D:W,""select S where D='""&amp;D276&amp;""'"",1))"),0.0)</f>
        <v>0</v>
      </c>
      <c r="AI276" s="15">
        <f>IFERROR(__xludf.DUMMYFUNCTION("SUM(QUERY(Entregas_BD!D:W,""select T where D='""&amp;D276&amp;""'"",1))"),0.0)</f>
        <v>0</v>
      </c>
    </row>
    <row r="277" ht="19.5" customHeight="1">
      <c r="A277" s="64"/>
      <c r="B277" s="32"/>
      <c r="C277" s="19">
        <v>276.0</v>
      </c>
      <c r="D277" s="20" t="s">
        <v>711</v>
      </c>
      <c r="E277" s="20" t="s">
        <v>197</v>
      </c>
      <c r="F277" s="20" t="s">
        <v>243</v>
      </c>
      <c r="G277" s="20" t="s">
        <v>712</v>
      </c>
      <c r="H277" s="34" t="s">
        <v>632</v>
      </c>
      <c r="I277" s="21" t="s">
        <v>41</v>
      </c>
      <c r="J277" s="34"/>
      <c r="K277" s="34"/>
      <c r="L277" s="42"/>
      <c r="M277" s="22"/>
      <c r="N277" s="19">
        <f>IFERROR(__xludf.DUMMYFUNCTION("SUM(QUERY(Entregas_BD!D:L,""select G where D='""&amp;D277&amp;""'"",1))"),0.0)</f>
        <v>0</v>
      </c>
      <c r="O277" s="19">
        <f>IFERROR(__xludf.DUMMYFUNCTION("SUM(QUERY(Entregas_BD!D:L,""select H where D='""&amp;D277&amp;""'"",1))"),0.0)</f>
        <v>0</v>
      </c>
      <c r="P277" s="19">
        <f>IFERROR(__xludf.DUMMYFUNCTION("SUM(QUERY(Entregas_BD!D:L,""select I where D='""&amp;D277&amp;""'"",1))"),0.0)</f>
        <v>0</v>
      </c>
      <c r="Q277" s="19">
        <f>IFERROR(__xludf.DUMMYFUNCTION("SUM(QUERY(Entregas_BD!D:L,""select J where D='""&amp;D277&amp;""'"",1))"),0.0)</f>
        <v>0</v>
      </c>
      <c r="R277" s="24">
        <f>IFERROR(__xludf.DUMMYFUNCTION("SUM(QUERY(Entregas_BD!D:L,""select K where D='""&amp;D277&amp;""'"",1))"),0.0)</f>
        <v>0</v>
      </c>
      <c r="S277" s="24">
        <f>IFERROR(__xludf.DUMMYFUNCTION("SUM(QUERY(Entregas_BD!D:L,""select L where D='""&amp;D277&amp;""'"",1))"),0.0)</f>
        <v>0</v>
      </c>
      <c r="T277" s="19">
        <f>IFERROR(__xludf.DUMMYFUNCTION("SUM(QUERY(Entregas_BD!D:AL,""select AG where D='""&amp;D277&amp;""'"",1))"),25.0)</f>
        <v>25</v>
      </c>
      <c r="U277" s="19">
        <f>IFERROR(__xludf.DUMMYFUNCTION("SUM(QUERY(Entregas_BD!D:AL,""select AH where D='""&amp;D277&amp;""'"",1))"),0.0)</f>
        <v>0</v>
      </c>
      <c r="V277" s="19">
        <f>IFERROR(__xludf.DUMMYFUNCTION("SUM(QUERY(Entregas_BD!D:AL,""select AI where D='""&amp;D277&amp;""'"",1))"),0.0)</f>
        <v>0</v>
      </c>
      <c r="W277" s="19">
        <f>IFERROR(__xludf.DUMMYFUNCTION("SUM(QUERY(Entregas_BD!D:AL,""select AJ where D='""&amp;D277&amp;""'"",1))"),0.0)</f>
        <v>0</v>
      </c>
      <c r="X277" s="19">
        <f>IFERROR(__xludf.DUMMYFUNCTION("SUM(QUERY(Entregas_BD!D:AL,""select AL where D='""&amp;D277&amp;""'"",1))"),0.0)</f>
        <v>0</v>
      </c>
      <c r="Y277" s="19">
        <f>IFERROR(__xludf.DUMMYFUNCTION("SUM(QUERY(Entregas_BD!D:AL,""select AK where D='""&amp;D277&amp;""'"",1))"),0.0)</f>
        <v>0</v>
      </c>
      <c r="Z277" s="19">
        <v>-25.0</v>
      </c>
      <c r="AA277" s="19">
        <v>0.0</v>
      </c>
      <c r="AB277" s="19">
        <v>0.0</v>
      </c>
      <c r="AC277" s="19">
        <v>0.0</v>
      </c>
      <c r="AD277" s="19">
        <v>0.0</v>
      </c>
      <c r="AE277" s="19">
        <v>0.0</v>
      </c>
      <c r="AF277" s="22"/>
      <c r="AG277" s="24">
        <f>IFERROR(__xludf.DUMMYFUNCTION("SUM(QUERY(Entregas_BD!D:W,""select U where D='""&amp;D277&amp;""'"",1))"),0.0)</f>
        <v>0</v>
      </c>
      <c r="AH277" s="24">
        <f>IFERROR(__xludf.DUMMYFUNCTION("SUM(QUERY(Entregas_BD!D:W,""select S where D='""&amp;D277&amp;""'"",1))"),0.0)</f>
        <v>0</v>
      </c>
      <c r="AI277" s="24">
        <f>IFERROR(__xludf.DUMMYFUNCTION("SUM(QUERY(Entregas_BD!D:W,""select T where D='""&amp;D277&amp;""'"",1))"),0.0)</f>
        <v>0</v>
      </c>
    </row>
    <row r="278" ht="19.5" customHeight="1">
      <c r="A278" s="63"/>
      <c r="B278" s="8"/>
      <c r="C278" s="9">
        <v>277.0</v>
      </c>
      <c r="D278" s="10" t="s">
        <v>713</v>
      </c>
      <c r="E278" s="10" t="s">
        <v>197</v>
      </c>
      <c r="F278" s="10" t="s">
        <v>243</v>
      </c>
      <c r="G278" s="10" t="s">
        <v>714</v>
      </c>
      <c r="H278" s="12" t="s">
        <v>632</v>
      </c>
      <c r="I278" s="11" t="s">
        <v>41</v>
      </c>
      <c r="J278" s="12"/>
      <c r="K278" s="12"/>
      <c r="L278" s="13"/>
      <c r="M278" s="28"/>
      <c r="N278" s="9">
        <f>IFERROR(__xludf.DUMMYFUNCTION("SUM(QUERY(Entregas_BD!D:L,""select G where D='""&amp;D278&amp;""'"",1))"),0.0)</f>
        <v>0</v>
      </c>
      <c r="O278" s="9">
        <f>IFERROR(__xludf.DUMMYFUNCTION("SUM(QUERY(Entregas_BD!D:L,""select H where D='""&amp;D278&amp;""'"",1))"),0.0)</f>
        <v>0</v>
      </c>
      <c r="P278" s="9">
        <f>IFERROR(__xludf.DUMMYFUNCTION("SUM(QUERY(Entregas_BD!D:L,""select I where D='""&amp;D278&amp;""'"",1))"),0.0)</f>
        <v>0</v>
      </c>
      <c r="Q278" s="9">
        <f>IFERROR(__xludf.DUMMYFUNCTION("SUM(QUERY(Entregas_BD!D:L,""select J where D='""&amp;D278&amp;""'"",1))"),0.0)</f>
        <v>0</v>
      </c>
      <c r="R278" s="15">
        <f>IFERROR(__xludf.DUMMYFUNCTION("SUM(QUERY(Entregas_BD!D:L,""select K where D='""&amp;D278&amp;""'"",1))"),0.0)</f>
        <v>0</v>
      </c>
      <c r="S278" s="15">
        <f>IFERROR(__xludf.DUMMYFUNCTION("SUM(QUERY(Entregas_BD!D:L,""select L where D='""&amp;D278&amp;""'"",1))"),0.0)</f>
        <v>0</v>
      </c>
      <c r="T278" s="9">
        <f>IFERROR(__xludf.DUMMYFUNCTION("SUM(QUERY(Entregas_BD!D:AL,""select AG where D='""&amp;D278&amp;""'"",1))"),25.0)</f>
        <v>25</v>
      </c>
      <c r="U278" s="9">
        <f>IFERROR(__xludf.DUMMYFUNCTION("SUM(QUERY(Entregas_BD!D:AL,""select AH where D='""&amp;D278&amp;""'"",1))"),0.0)</f>
        <v>0</v>
      </c>
      <c r="V278" s="9">
        <f>IFERROR(__xludf.DUMMYFUNCTION("SUM(QUERY(Entregas_BD!D:AL,""select AI where D='""&amp;D278&amp;""'"",1))"),0.0)</f>
        <v>0</v>
      </c>
      <c r="W278" s="9">
        <f>IFERROR(__xludf.DUMMYFUNCTION("SUM(QUERY(Entregas_BD!D:AL,""select AJ where D='""&amp;D278&amp;""'"",1))"),0.0)</f>
        <v>0</v>
      </c>
      <c r="X278" s="9">
        <f>IFERROR(__xludf.DUMMYFUNCTION("SUM(QUERY(Entregas_BD!D:AL,""select AL where D='""&amp;D278&amp;""'"",1))"),0.0)</f>
        <v>0</v>
      </c>
      <c r="Y278" s="9">
        <f>IFERROR(__xludf.DUMMYFUNCTION("SUM(QUERY(Entregas_BD!D:AL,""select AK where D='""&amp;D278&amp;""'"",1))"),0.0)</f>
        <v>0</v>
      </c>
      <c r="Z278" s="9">
        <v>-25.0</v>
      </c>
      <c r="AA278" s="9">
        <v>0.0</v>
      </c>
      <c r="AB278" s="9">
        <v>0.0</v>
      </c>
      <c r="AC278" s="9">
        <v>0.0</v>
      </c>
      <c r="AD278" s="9">
        <v>0.0</v>
      </c>
      <c r="AE278" s="9">
        <v>0.0</v>
      </c>
      <c r="AF278" s="28"/>
      <c r="AG278" s="15">
        <f>IFERROR(__xludf.DUMMYFUNCTION("SUM(QUERY(Entregas_BD!D:W,""select U where D='""&amp;D278&amp;""'"",1))"),0.0)</f>
        <v>0</v>
      </c>
      <c r="AH278" s="15">
        <f>IFERROR(__xludf.DUMMYFUNCTION("SUM(QUERY(Entregas_BD!D:W,""select S where D='""&amp;D278&amp;""'"",1))"),0.0)</f>
        <v>0</v>
      </c>
      <c r="AI278" s="15">
        <f>IFERROR(__xludf.DUMMYFUNCTION("SUM(QUERY(Entregas_BD!D:W,""select T where D='""&amp;D278&amp;""'"",1))"),0.0)</f>
        <v>0</v>
      </c>
    </row>
    <row r="279" ht="19.5" customHeight="1">
      <c r="A279" s="64"/>
      <c r="B279" s="32"/>
      <c r="C279" s="19">
        <v>278.0</v>
      </c>
      <c r="D279" s="20" t="s">
        <v>715</v>
      </c>
      <c r="E279" s="20" t="s">
        <v>197</v>
      </c>
      <c r="F279" s="20" t="s">
        <v>716</v>
      </c>
      <c r="G279" s="20" t="s">
        <v>717</v>
      </c>
      <c r="H279" s="34" t="s">
        <v>593</v>
      </c>
      <c r="I279" s="21" t="s">
        <v>41</v>
      </c>
      <c r="J279" s="22"/>
      <c r="K279" s="34"/>
      <c r="L279" s="42"/>
      <c r="M279" s="22"/>
      <c r="N279" s="19">
        <f>IFERROR(__xludf.DUMMYFUNCTION("SUM(QUERY(Entregas_BD!D:L,""select G where D='""&amp;D279&amp;""'"",1))"),0.0)</f>
        <v>0</v>
      </c>
      <c r="O279" s="19">
        <f>IFERROR(__xludf.DUMMYFUNCTION("SUM(QUERY(Entregas_BD!D:L,""select H where D='""&amp;D279&amp;""'"",1))"),0.0)</f>
        <v>0</v>
      </c>
      <c r="P279" s="19">
        <f>IFERROR(__xludf.DUMMYFUNCTION("SUM(QUERY(Entregas_BD!D:L,""select I where D='""&amp;D279&amp;""'"",1))"),0.0)</f>
        <v>0</v>
      </c>
      <c r="Q279" s="19">
        <f>IFERROR(__xludf.DUMMYFUNCTION("SUM(QUERY(Entregas_BD!D:L,""select J where D='""&amp;D279&amp;""'"",1))"),0.0)</f>
        <v>0</v>
      </c>
      <c r="R279" s="24">
        <f>IFERROR(__xludf.DUMMYFUNCTION("SUM(QUERY(Entregas_BD!D:L,""select K where D='""&amp;D279&amp;""'"",1))"),0.0)</f>
        <v>0</v>
      </c>
      <c r="S279" s="24">
        <f>IFERROR(__xludf.DUMMYFUNCTION("SUM(QUERY(Entregas_BD!D:L,""select L where D='""&amp;D279&amp;""'"",1))"),0.0)</f>
        <v>0</v>
      </c>
      <c r="T279" s="19">
        <f>IFERROR(__xludf.DUMMYFUNCTION("SUM(QUERY(Entregas_BD!D:AL,""select AG where D='""&amp;D279&amp;""'"",1))"),0.0)</f>
        <v>0</v>
      </c>
      <c r="U279" s="19">
        <f>IFERROR(__xludf.DUMMYFUNCTION("SUM(QUERY(Entregas_BD!D:AL,""select AH where D='""&amp;D279&amp;""'"",1))"),0.0)</f>
        <v>0</v>
      </c>
      <c r="V279" s="19">
        <f>IFERROR(__xludf.DUMMYFUNCTION("SUM(QUERY(Entregas_BD!D:AL,""select AI where D='""&amp;D279&amp;""'"",1))"),0.0)</f>
        <v>0</v>
      </c>
      <c r="W279" s="19">
        <f>IFERROR(__xludf.DUMMYFUNCTION("SUM(QUERY(Entregas_BD!D:AL,""select AJ where D='""&amp;D279&amp;""'"",1))"),0.0)</f>
        <v>0</v>
      </c>
      <c r="X279" s="19">
        <f>IFERROR(__xludf.DUMMYFUNCTION("SUM(QUERY(Entregas_BD!D:AL,""select AL where D='""&amp;D279&amp;""'"",1))"),0.0)</f>
        <v>0</v>
      </c>
      <c r="Y279" s="19">
        <f>IFERROR(__xludf.DUMMYFUNCTION("SUM(QUERY(Entregas_BD!D:AL,""select AK where D='""&amp;D279&amp;""'"",1))"),0.0)</f>
        <v>0</v>
      </c>
      <c r="Z279" s="19">
        <v>0.0</v>
      </c>
      <c r="AA279" s="19">
        <v>0.0</v>
      </c>
      <c r="AB279" s="19">
        <v>0.0</v>
      </c>
      <c r="AC279" s="19">
        <v>0.0</v>
      </c>
      <c r="AD279" s="19">
        <v>0.0</v>
      </c>
      <c r="AE279" s="19">
        <v>0.0</v>
      </c>
      <c r="AF279" s="22"/>
      <c r="AG279" s="24">
        <f>IFERROR(__xludf.DUMMYFUNCTION("SUM(QUERY(Entregas_BD!D:W,""select U where D='""&amp;D279&amp;""'"",1))"),0.0)</f>
        <v>0</v>
      </c>
      <c r="AH279" s="24">
        <f>IFERROR(__xludf.DUMMYFUNCTION("SUM(QUERY(Entregas_BD!D:W,""select S where D='""&amp;D279&amp;""'"",1))"),0.0)</f>
        <v>0</v>
      </c>
      <c r="AI279" s="24">
        <f>IFERROR(__xludf.DUMMYFUNCTION("SUM(QUERY(Entregas_BD!D:W,""select T where D='""&amp;D279&amp;""'"",1))"),0.0)</f>
        <v>0</v>
      </c>
    </row>
    <row r="280" ht="19.5" customHeight="1">
      <c r="A280" s="63"/>
      <c r="B280" s="8"/>
      <c r="C280" s="9">
        <v>279.0</v>
      </c>
      <c r="D280" s="10" t="s">
        <v>718</v>
      </c>
      <c r="E280" s="10" t="s">
        <v>197</v>
      </c>
      <c r="F280" s="10" t="s">
        <v>243</v>
      </c>
      <c r="G280" s="10" t="s">
        <v>719</v>
      </c>
      <c r="H280" s="12" t="s">
        <v>632</v>
      </c>
      <c r="I280" s="11" t="s">
        <v>41</v>
      </c>
      <c r="J280" s="12"/>
      <c r="K280" s="12"/>
      <c r="L280" s="13"/>
      <c r="M280" s="28"/>
      <c r="N280" s="9">
        <f>IFERROR(__xludf.DUMMYFUNCTION("SUM(QUERY(Entregas_BD!D:L,""select G where D='""&amp;D280&amp;""'"",1))"),0.0)</f>
        <v>0</v>
      </c>
      <c r="O280" s="9">
        <f>IFERROR(__xludf.DUMMYFUNCTION("SUM(QUERY(Entregas_BD!D:L,""select H where D='""&amp;D280&amp;""'"",1))"),0.0)</f>
        <v>0</v>
      </c>
      <c r="P280" s="9">
        <f>IFERROR(__xludf.DUMMYFUNCTION("SUM(QUERY(Entregas_BD!D:L,""select I where D='""&amp;D280&amp;""'"",1))"),0.0)</f>
        <v>0</v>
      </c>
      <c r="Q280" s="9">
        <f>IFERROR(__xludf.DUMMYFUNCTION("SUM(QUERY(Entregas_BD!D:L,""select J where D='""&amp;D280&amp;""'"",1))"),0.0)</f>
        <v>0</v>
      </c>
      <c r="R280" s="15">
        <f>IFERROR(__xludf.DUMMYFUNCTION("SUM(QUERY(Entregas_BD!D:L,""select K where D='""&amp;D280&amp;""'"",1))"),0.0)</f>
        <v>0</v>
      </c>
      <c r="S280" s="15">
        <f>IFERROR(__xludf.DUMMYFUNCTION("SUM(QUERY(Entregas_BD!D:L,""select L where D='""&amp;D280&amp;""'"",1))"),0.0)</f>
        <v>0</v>
      </c>
      <c r="T280" s="9">
        <f>IFERROR(__xludf.DUMMYFUNCTION("SUM(QUERY(Entregas_BD!D:AL,""select AG where D='""&amp;D280&amp;""'"",1))"),25.0)</f>
        <v>25</v>
      </c>
      <c r="U280" s="9">
        <f>IFERROR(__xludf.DUMMYFUNCTION("SUM(QUERY(Entregas_BD!D:AL,""select AH where D='""&amp;D280&amp;""'"",1))"),0.0)</f>
        <v>0</v>
      </c>
      <c r="V280" s="9">
        <f>IFERROR(__xludf.DUMMYFUNCTION("SUM(QUERY(Entregas_BD!D:AL,""select AI where D='""&amp;D280&amp;""'"",1))"),0.0)</f>
        <v>0</v>
      </c>
      <c r="W280" s="9">
        <f>IFERROR(__xludf.DUMMYFUNCTION("SUM(QUERY(Entregas_BD!D:AL,""select AJ where D='""&amp;D280&amp;""'"",1))"),0.0)</f>
        <v>0</v>
      </c>
      <c r="X280" s="9">
        <f>IFERROR(__xludf.DUMMYFUNCTION("SUM(QUERY(Entregas_BD!D:AL,""select AL where D='""&amp;D280&amp;""'"",1))"),0.0)</f>
        <v>0</v>
      </c>
      <c r="Y280" s="9">
        <f>IFERROR(__xludf.DUMMYFUNCTION("SUM(QUERY(Entregas_BD!D:AL,""select AK where D='""&amp;D280&amp;""'"",1))"),0.0)</f>
        <v>0</v>
      </c>
      <c r="Z280" s="9">
        <v>-25.0</v>
      </c>
      <c r="AA280" s="9">
        <v>0.0</v>
      </c>
      <c r="AB280" s="9">
        <v>0.0</v>
      </c>
      <c r="AC280" s="9">
        <v>0.0</v>
      </c>
      <c r="AD280" s="9">
        <v>0.0</v>
      </c>
      <c r="AE280" s="9">
        <v>0.0</v>
      </c>
      <c r="AF280" s="28"/>
      <c r="AG280" s="15">
        <f>IFERROR(__xludf.DUMMYFUNCTION("SUM(QUERY(Entregas_BD!D:W,""select U where D='""&amp;D280&amp;""'"",1))"),0.0)</f>
        <v>0</v>
      </c>
      <c r="AH280" s="15">
        <f>IFERROR(__xludf.DUMMYFUNCTION("SUM(QUERY(Entregas_BD!D:W,""select S where D='""&amp;D280&amp;""'"",1))"),0.0)</f>
        <v>0</v>
      </c>
      <c r="AI280" s="15">
        <f>IFERROR(__xludf.DUMMYFUNCTION("SUM(QUERY(Entregas_BD!D:W,""select T where D='""&amp;D280&amp;""'"",1))"),0.0)</f>
        <v>0</v>
      </c>
    </row>
    <row r="281" ht="19.5" customHeight="1">
      <c r="A281" s="64"/>
      <c r="B281" s="32"/>
      <c r="C281" s="19">
        <v>280.0</v>
      </c>
      <c r="D281" s="20" t="s">
        <v>720</v>
      </c>
      <c r="E281" s="20" t="s">
        <v>197</v>
      </c>
      <c r="F281" s="20" t="s">
        <v>243</v>
      </c>
      <c r="G281" s="20" t="s">
        <v>654</v>
      </c>
      <c r="H281" s="34" t="s">
        <v>632</v>
      </c>
      <c r="I281" s="21" t="s">
        <v>41</v>
      </c>
      <c r="J281" s="34"/>
      <c r="K281" s="34"/>
      <c r="L281" s="42"/>
      <c r="M281" s="22"/>
      <c r="N281" s="19">
        <f>IFERROR(__xludf.DUMMYFUNCTION("SUM(QUERY(Entregas_BD!D:L,""select G where D='""&amp;D281&amp;""'"",1))"),0.0)</f>
        <v>0</v>
      </c>
      <c r="O281" s="19">
        <f>IFERROR(__xludf.DUMMYFUNCTION("SUM(QUERY(Entregas_BD!D:L,""select H where D='""&amp;D281&amp;""'"",1))"),0.0)</f>
        <v>0</v>
      </c>
      <c r="P281" s="19">
        <f>IFERROR(__xludf.DUMMYFUNCTION("SUM(QUERY(Entregas_BD!D:L,""select I where D='""&amp;D281&amp;""'"",1))"),0.0)</f>
        <v>0</v>
      </c>
      <c r="Q281" s="19">
        <f>IFERROR(__xludf.DUMMYFUNCTION("SUM(QUERY(Entregas_BD!D:L,""select J where D='""&amp;D281&amp;""'"",1))"),0.0)</f>
        <v>0</v>
      </c>
      <c r="R281" s="24">
        <f>IFERROR(__xludf.DUMMYFUNCTION("SUM(QUERY(Entregas_BD!D:L,""select K where D='""&amp;D281&amp;""'"",1))"),0.0)</f>
        <v>0</v>
      </c>
      <c r="S281" s="24">
        <f>IFERROR(__xludf.DUMMYFUNCTION("SUM(QUERY(Entregas_BD!D:L,""select L where D='""&amp;D281&amp;""'"",1))"),0.0)</f>
        <v>0</v>
      </c>
      <c r="T281" s="19">
        <f>IFERROR(__xludf.DUMMYFUNCTION("SUM(QUERY(Entregas_BD!D:AL,""select AG where D='""&amp;D281&amp;""'"",1))"),25.0)</f>
        <v>25</v>
      </c>
      <c r="U281" s="19">
        <f>IFERROR(__xludf.DUMMYFUNCTION("SUM(QUERY(Entregas_BD!D:AL,""select AH where D='""&amp;D281&amp;""'"",1))"),0.0)</f>
        <v>0</v>
      </c>
      <c r="V281" s="19">
        <f>IFERROR(__xludf.DUMMYFUNCTION("SUM(QUERY(Entregas_BD!D:AL,""select AI where D='""&amp;D281&amp;""'"",1))"),0.0)</f>
        <v>0</v>
      </c>
      <c r="W281" s="19">
        <f>IFERROR(__xludf.DUMMYFUNCTION("SUM(QUERY(Entregas_BD!D:AL,""select AJ where D='""&amp;D281&amp;""'"",1))"),0.0)</f>
        <v>0</v>
      </c>
      <c r="X281" s="19">
        <f>IFERROR(__xludf.DUMMYFUNCTION("SUM(QUERY(Entregas_BD!D:AL,""select AL where D='""&amp;D281&amp;""'"",1))"),0.0)</f>
        <v>0</v>
      </c>
      <c r="Y281" s="19">
        <f>IFERROR(__xludf.DUMMYFUNCTION("SUM(QUERY(Entregas_BD!D:AL,""select AK where D='""&amp;D281&amp;""'"",1))"),0.0)</f>
        <v>0</v>
      </c>
      <c r="Z281" s="19">
        <v>-25.0</v>
      </c>
      <c r="AA281" s="19">
        <v>0.0</v>
      </c>
      <c r="AB281" s="19">
        <v>0.0</v>
      </c>
      <c r="AC281" s="19">
        <v>0.0</v>
      </c>
      <c r="AD281" s="19">
        <v>0.0</v>
      </c>
      <c r="AE281" s="19">
        <v>0.0</v>
      </c>
      <c r="AF281" s="22"/>
      <c r="AG281" s="24">
        <f>IFERROR(__xludf.DUMMYFUNCTION("SUM(QUERY(Entregas_BD!D:W,""select U where D='""&amp;D281&amp;""'"",1))"),0.0)</f>
        <v>0</v>
      </c>
      <c r="AH281" s="24">
        <f>IFERROR(__xludf.DUMMYFUNCTION("SUM(QUERY(Entregas_BD!D:W,""select S where D='""&amp;D281&amp;""'"",1))"),0.0)</f>
        <v>0</v>
      </c>
      <c r="AI281" s="24">
        <f>IFERROR(__xludf.DUMMYFUNCTION("SUM(QUERY(Entregas_BD!D:W,""select T where D='""&amp;D281&amp;""'"",1))"),0.0)</f>
        <v>0</v>
      </c>
    </row>
    <row r="282" ht="19.5" customHeight="1">
      <c r="A282" s="63"/>
      <c r="B282" s="8"/>
      <c r="C282" s="9">
        <v>281.0</v>
      </c>
      <c r="D282" s="10" t="s">
        <v>721</v>
      </c>
      <c r="E282" s="10" t="s">
        <v>197</v>
      </c>
      <c r="F282" s="10" t="s">
        <v>243</v>
      </c>
      <c r="G282" s="10" t="s">
        <v>722</v>
      </c>
      <c r="H282" s="12" t="s">
        <v>632</v>
      </c>
      <c r="I282" s="11" t="s">
        <v>41</v>
      </c>
      <c r="J282" s="12"/>
      <c r="K282" s="12"/>
      <c r="L282" s="13"/>
      <c r="M282" s="28"/>
      <c r="N282" s="9">
        <f>IFERROR(__xludf.DUMMYFUNCTION("SUM(QUERY(Entregas_BD!D:L,""select G where D='""&amp;D282&amp;""'"",1))"),0.0)</f>
        <v>0</v>
      </c>
      <c r="O282" s="9">
        <f>IFERROR(__xludf.DUMMYFUNCTION("SUM(QUERY(Entregas_BD!D:L,""select H where D='""&amp;D282&amp;""'"",1))"),0.0)</f>
        <v>0</v>
      </c>
      <c r="P282" s="9">
        <f>IFERROR(__xludf.DUMMYFUNCTION("SUM(QUERY(Entregas_BD!D:L,""select I where D='""&amp;D282&amp;""'"",1))"),0.0)</f>
        <v>0</v>
      </c>
      <c r="Q282" s="9">
        <f>IFERROR(__xludf.DUMMYFUNCTION("SUM(QUERY(Entregas_BD!D:L,""select J where D='""&amp;D282&amp;""'"",1))"),0.0)</f>
        <v>0</v>
      </c>
      <c r="R282" s="15">
        <f>IFERROR(__xludf.DUMMYFUNCTION("SUM(QUERY(Entregas_BD!D:L,""select K where D='""&amp;D282&amp;""'"",1))"),0.0)</f>
        <v>0</v>
      </c>
      <c r="S282" s="15">
        <f>IFERROR(__xludf.DUMMYFUNCTION("SUM(QUERY(Entregas_BD!D:L,""select L where D='""&amp;D282&amp;""'"",1))"),0.0)</f>
        <v>0</v>
      </c>
      <c r="T282" s="9">
        <f>IFERROR(__xludf.DUMMYFUNCTION("SUM(QUERY(Entregas_BD!D:AL,""select AG where D='""&amp;D282&amp;""'"",1))"),25.0)</f>
        <v>25</v>
      </c>
      <c r="U282" s="9">
        <f>IFERROR(__xludf.DUMMYFUNCTION("SUM(QUERY(Entregas_BD!D:AL,""select AH where D='""&amp;D282&amp;""'"",1))"),0.0)</f>
        <v>0</v>
      </c>
      <c r="V282" s="9">
        <f>IFERROR(__xludf.DUMMYFUNCTION("SUM(QUERY(Entregas_BD!D:AL,""select AI where D='""&amp;D282&amp;""'"",1))"),0.0)</f>
        <v>0</v>
      </c>
      <c r="W282" s="9">
        <f>IFERROR(__xludf.DUMMYFUNCTION("SUM(QUERY(Entregas_BD!D:AL,""select AJ where D='""&amp;D282&amp;""'"",1))"),0.0)</f>
        <v>0</v>
      </c>
      <c r="X282" s="9">
        <f>IFERROR(__xludf.DUMMYFUNCTION("SUM(QUERY(Entregas_BD!D:AL,""select AL where D='""&amp;D282&amp;""'"",1))"),0.0)</f>
        <v>0</v>
      </c>
      <c r="Y282" s="9">
        <f>IFERROR(__xludf.DUMMYFUNCTION("SUM(QUERY(Entregas_BD!D:AL,""select AK where D='""&amp;D282&amp;""'"",1))"),0.0)</f>
        <v>0</v>
      </c>
      <c r="Z282" s="9">
        <v>-25.0</v>
      </c>
      <c r="AA282" s="9">
        <v>0.0</v>
      </c>
      <c r="AB282" s="9">
        <v>0.0</v>
      </c>
      <c r="AC282" s="9">
        <v>0.0</v>
      </c>
      <c r="AD282" s="9">
        <v>0.0</v>
      </c>
      <c r="AE282" s="9">
        <v>0.0</v>
      </c>
      <c r="AF282" s="28"/>
      <c r="AG282" s="15">
        <f>IFERROR(__xludf.DUMMYFUNCTION("SUM(QUERY(Entregas_BD!D:W,""select U where D='""&amp;D282&amp;""'"",1))"),0.0)</f>
        <v>0</v>
      </c>
      <c r="AH282" s="15">
        <f>IFERROR(__xludf.DUMMYFUNCTION("SUM(QUERY(Entregas_BD!D:W,""select S where D='""&amp;D282&amp;""'"",1))"),0.0)</f>
        <v>0</v>
      </c>
      <c r="AI282" s="15">
        <f>IFERROR(__xludf.DUMMYFUNCTION("SUM(QUERY(Entregas_BD!D:W,""select T where D='""&amp;D282&amp;""'"",1))"),0.0)</f>
        <v>0</v>
      </c>
    </row>
    <row r="283" ht="19.5" customHeight="1">
      <c r="A283" s="64"/>
      <c r="B283" s="32"/>
      <c r="C283" s="19">
        <v>282.0</v>
      </c>
      <c r="D283" s="20" t="s">
        <v>723</v>
      </c>
      <c r="E283" s="20" t="s">
        <v>479</v>
      </c>
      <c r="F283" s="20" t="s">
        <v>724</v>
      </c>
      <c r="G283" s="20" t="s">
        <v>725</v>
      </c>
      <c r="H283" s="34" t="s">
        <v>726</v>
      </c>
      <c r="I283" s="21" t="s">
        <v>41</v>
      </c>
      <c r="J283" s="61"/>
      <c r="K283" s="34"/>
      <c r="L283" s="42"/>
      <c r="M283" s="22"/>
      <c r="N283" s="19">
        <f>IFERROR(__xludf.DUMMYFUNCTION("SUM(QUERY(Entregas_BD!D:L,""select G where D='""&amp;D283&amp;""'"",1))"),0.0)</f>
        <v>0</v>
      </c>
      <c r="O283" s="19">
        <f>IFERROR(__xludf.DUMMYFUNCTION("SUM(QUERY(Entregas_BD!D:L,""select H where D='""&amp;D283&amp;""'"",1))"),0.0)</f>
        <v>0</v>
      </c>
      <c r="P283" s="19">
        <f>IFERROR(__xludf.DUMMYFUNCTION("SUM(QUERY(Entregas_BD!D:L,""select I where D='""&amp;D283&amp;""'"",1))"),0.0)</f>
        <v>0</v>
      </c>
      <c r="Q283" s="19">
        <f>IFERROR(__xludf.DUMMYFUNCTION("SUM(QUERY(Entregas_BD!D:L,""select J where D='""&amp;D283&amp;""'"",1))"),0.0)</f>
        <v>0</v>
      </c>
      <c r="R283" s="24">
        <f>IFERROR(__xludf.DUMMYFUNCTION("SUM(QUERY(Entregas_BD!D:L,""select K where D='""&amp;D283&amp;""'"",1))"),0.0)</f>
        <v>0</v>
      </c>
      <c r="S283" s="24">
        <f>IFERROR(__xludf.DUMMYFUNCTION("SUM(QUERY(Entregas_BD!D:L,""select L where D='""&amp;D283&amp;""'"",1))"),0.0)</f>
        <v>0</v>
      </c>
      <c r="T283" s="19">
        <f>IFERROR(__xludf.DUMMYFUNCTION("SUM(QUERY(Entregas_BD!D:AL,""select AG where D='""&amp;D283&amp;""'"",1))"),0.0)</f>
        <v>0</v>
      </c>
      <c r="U283" s="19">
        <f>IFERROR(__xludf.DUMMYFUNCTION("SUM(QUERY(Entregas_BD!D:AL,""select AH where D='""&amp;D283&amp;""'"",1))"),0.0)</f>
        <v>0</v>
      </c>
      <c r="V283" s="19">
        <f>IFERROR(__xludf.DUMMYFUNCTION("SUM(QUERY(Entregas_BD!D:AL,""select AI where D='""&amp;D283&amp;""'"",1))"),0.0)</f>
        <v>0</v>
      </c>
      <c r="W283" s="19">
        <f>IFERROR(__xludf.DUMMYFUNCTION("SUM(QUERY(Entregas_BD!D:AL,""select AJ where D='""&amp;D283&amp;""'"",1))"),0.0)</f>
        <v>0</v>
      </c>
      <c r="X283" s="19">
        <f>IFERROR(__xludf.DUMMYFUNCTION("SUM(QUERY(Entregas_BD!D:AL,""select AL where D='""&amp;D283&amp;""'"",1))"),0.0)</f>
        <v>0</v>
      </c>
      <c r="Y283" s="19">
        <f>IFERROR(__xludf.DUMMYFUNCTION("SUM(QUERY(Entregas_BD!D:AL,""select AK where D='""&amp;D283&amp;""'"",1))"),0.0)</f>
        <v>0</v>
      </c>
      <c r="Z283" s="19">
        <v>0.0</v>
      </c>
      <c r="AA283" s="19">
        <v>0.0</v>
      </c>
      <c r="AB283" s="19">
        <v>0.0</v>
      </c>
      <c r="AC283" s="19">
        <v>0.0</v>
      </c>
      <c r="AD283" s="19">
        <v>0.0</v>
      </c>
      <c r="AE283" s="19">
        <v>0.0</v>
      </c>
      <c r="AF283" s="22"/>
      <c r="AG283" s="24">
        <f>IFERROR(__xludf.DUMMYFUNCTION("SUM(QUERY(Entregas_BD!D:W,""select U where D='""&amp;D283&amp;""'"",1))"),0.0)</f>
        <v>0</v>
      </c>
      <c r="AH283" s="24">
        <f>IFERROR(__xludf.DUMMYFUNCTION("SUM(QUERY(Entregas_BD!D:W,""select S where D='""&amp;D283&amp;""'"",1))"),0.0)</f>
        <v>0</v>
      </c>
      <c r="AI283" s="24">
        <f>IFERROR(__xludf.DUMMYFUNCTION("SUM(QUERY(Entregas_BD!D:W,""select T where D='""&amp;D283&amp;""'"",1))"),0.0)</f>
        <v>0</v>
      </c>
    </row>
    <row r="284" ht="19.5" customHeight="1">
      <c r="A284" s="63"/>
      <c r="B284" s="8"/>
      <c r="C284" s="9">
        <v>283.0</v>
      </c>
      <c r="D284" s="10" t="s">
        <v>727</v>
      </c>
      <c r="E284" s="10" t="s">
        <v>44</v>
      </c>
      <c r="F284" s="10" t="s">
        <v>728</v>
      </c>
      <c r="G284" s="10" t="s">
        <v>729</v>
      </c>
      <c r="H284" s="12" t="s">
        <v>632</v>
      </c>
      <c r="I284" s="11" t="s">
        <v>41</v>
      </c>
      <c r="J284" s="12"/>
      <c r="K284" s="12"/>
      <c r="L284" s="13"/>
      <c r="M284" s="28"/>
      <c r="N284" s="9">
        <f>IFERROR(__xludf.DUMMYFUNCTION("SUM(QUERY(Entregas_BD!D:L,""select G where D='""&amp;D284&amp;""'"",1))"),0.0)</f>
        <v>0</v>
      </c>
      <c r="O284" s="9">
        <f>IFERROR(__xludf.DUMMYFUNCTION("SUM(QUERY(Entregas_BD!D:L,""select H where D='""&amp;D284&amp;""'"",1))"),0.0)</f>
        <v>0</v>
      </c>
      <c r="P284" s="9">
        <f>IFERROR(__xludf.DUMMYFUNCTION("SUM(QUERY(Entregas_BD!D:L,""select I where D='""&amp;D284&amp;""'"",1))"),0.0)</f>
        <v>0</v>
      </c>
      <c r="Q284" s="9">
        <f>IFERROR(__xludf.DUMMYFUNCTION("SUM(QUERY(Entregas_BD!D:L,""select J where D='""&amp;D284&amp;""'"",1))"),0.0)</f>
        <v>0</v>
      </c>
      <c r="R284" s="15">
        <f>IFERROR(__xludf.DUMMYFUNCTION("SUM(QUERY(Entregas_BD!D:L,""select K where D='""&amp;D284&amp;""'"",1))"),0.0)</f>
        <v>0</v>
      </c>
      <c r="S284" s="15">
        <f>IFERROR(__xludf.DUMMYFUNCTION("SUM(QUERY(Entregas_BD!D:L,""select L where D='""&amp;D284&amp;""'"",1))"),0.0)</f>
        <v>0</v>
      </c>
      <c r="T284" s="9">
        <f>IFERROR(__xludf.DUMMYFUNCTION("SUM(QUERY(Entregas_BD!D:AL,""select AG where D='""&amp;D284&amp;""'"",1))"),0.0)</f>
        <v>0</v>
      </c>
      <c r="U284" s="9">
        <f>IFERROR(__xludf.DUMMYFUNCTION("SUM(QUERY(Entregas_BD!D:AL,""select AH where D='""&amp;D284&amp;""'"",1))"),0.0)</f>
        <v>0</v>
      </c>
      <c r="V284" s="9">
        <f>IFERROR(__xludf.DUMMYFUNCTION("SUM(QUERY(Entregas_BD!D:AL,""select AI where D='""&amp;D284&amp;""'"",1))"),0.0)</f>
        <v>0</v>
      </c>
      <c r="W284" s="9">
        <f>IFERROR(__xludf.DUMMYFUNCTION("SUM(QUERY(Entregas_BD!D:AL,""select AJ where D='""&amp;D284&amp;""'"",1))"),0.0)</f>
        <v>0</v>
      </c>
      <c r="X284" s="9">
        <f>IFERROR(__xludf.DUMMYFUNCTION("SUM(QUERY(Entregas_BD!D:AL,""select AL where D='""&amp;D284&amp;""'"",1))"),0.0)</f>
        <v>0</v>
      </c>
      <c r="Y284" s="9">
        <f>IFERROR(__xludf.DUMMYFUNCTION("SUM(QUERY(Entregas_BD!D:AL,""select AK where D='""&amp;D284&amp;""'"",1))"),0.0)</f>
        <v>0</v>
      </c>
      <c r="Z284" s="9">
        <v>0.0</v>
      </c>
      <c r="AA284" s="9">
        <v>0.0</v>
      </c>
      <c r="AB284" s="9">
        <v>0.0</v>
      </c>
      <c r="AC284" s="9">
        <v>0.0</v>
      </c>
      <c r="AD284" s="9">
        <v>0.0</v>
      </c>
      <c r="AE284" s="9">
        <v>0.0</v>
      </c>
      <c r="AF284" s="28"/>
      <c r="AG284" s="15">
        <f>IFERROR(__xludf.DUMMYFUNCTION("SUM(QUERY(Entregas_BD!D:W,""select U where D='""&amp;D284&amp;""'"",1))"),0.0)</f>
        <v>0</v>
      </c>
      <c r="AH284" s="15">
        <f>IFERROR(__xludf.DUMMYFUNCTION("SUM(QUERY(Entregas_BD!D:W,""select S where D='""&amp;D284&amp;""'"",1))"),0.0)</f>
        <v>0</v>
      </c>
      <c r="AI284" s="15">
        <f>IFERROR(__xludf.DUMMYFUNCTION("SUM(QUERY(Entregas_BD!D:W,""select T where D='""&amp;D284&amp;""'"",1))"),0.0)</f>
        <v>0</v>
      </c>
    </row>
    <row r="285" ht="19.5" customHeight="1">
      <c r="A285" s="64"/>
      <c r="B285" s="32"/>
      <c r="C285" s="19">
        <v>284.0</v>
      </c>
      <c r="D285" s="20" t="s">
        <v>730</v>
      </c>
      <c r="E285" s="20" t="s">
        <v>63</v>
      </c>
      <c r="F285" s="20" t="s">
        <v>45</v>
      </c>
      <c r="G285" s="20" t="s">
        <v>731</v>
      </c>
      <c r="H285" s="34" t="s">
        <v>632</v>
      </c>
      <c r="I285" s="21" t="s">
        <v>41</v>
      </c>
      <c r="J285" s="34"/>
      <c r="K285" s="34"/>
      <c r="L285" s="42"/>
      <c r="M285" s="22"/>
      <c r="N285" s="19">
        <f>IFERROR(__xludf.DUMMYFUNCTION("SUM(QUERY(Entregas_BD!D:L,""select G where D='""&amp;D285&amp;""'"",1))"),0.0)</f>
        <v>0</v>
      </c>
      <c r="O285" s="19">
        <f>IFERROR(__xludf.DUMMYFUNCTION("SUM(QUERY(Entregas_BD!D:L,""select H where D='""&amp;D285&amp;""'"",1))"),0.0)</f>
        <v>0</v>
      </c>
      <c r="P285" s="19">
        <f>IFERROR(__xludf.DUMMYFUNCTION("SUM(QUERY(Entregas_BD!D:L,""select I where D='""&amp;D285&amp;""'"",1))"),0.0)</f>
        <v>0</v>
      </c>
      <c r="Q285" s="19">
        <f>IFERROR(__xludf.DUMMYFUNCTION("SUM(QUERY(Entregas_BD!D:L,""select J where D='""&amp;D285&amp;""'"",1))"),0.0)</f>
        <v>0</v>
      </c>
      <c r="R285" s="24">
        <f>IFERROR(__xludf.DUMMYFUNCTION("SUM(QUERY(Entregas_BD!D:L,""select K where D='""&amp;D285&amp;""'"",1))"),0.0)</f>
        <v>0</v>
      </c>
      <c r="S285" s="24">
        <f>IFERROR(__xludf.DUMMYFUNCTION("SUM(QUERY(Entregas_BD!D:L,""select L where D='""&amp;D285&amp;""'"",1))"),0.0)</f>
        <v>0</v>
      </c>
      <c r="T285" s="19">
        <f>IFERROR(__xludf.DUMMYFUNCTION("SUM(QUERY(Entregas_BD!D:AL,""select AG where D='""&amp;D285&amp;""'"",1))"),25.0)</f>
        <v>25</v>
      </c>
      <c r="U285" s="19">
        <f>IFERROR(__xludf.DUMMYFUNCTION("SUM(QUERY(Entregas_BD!D:AL,""select AH where D='""&amp;D285&amp;""'"",1))"),0.0)</f>
        <v>0</v>
      </c>
      <c r="V285" s="19">
        <f>IFERROR(__xludf.DUMMYFUNCTION("SUM(QUERY(Entregas_BD!D:AL,""select AI where D='""&amp;D285&amp;""'"",1))"),0.0)</f>
        <v>0</v>
      </c>
      <c r="W285" s="19">
        <f>IFERROR(__xludf.DUMMYFUNCTION("SUM(QUERY(Entregas_BD!D:AL,""select AJ where D='""&amp;D285&amp;""'"",1))"),0.0)</f>
        <v>0</v>
      </c>
      <c r="X285" s="19">
        <f>IFERROR(__xludf.DUMMYFUNCTION("SUM(QUERY(Entregas_BD!D:AL,""select AL where D='""&amp;D285&amp;""'"",1))"),0.0)</f>
        <v>0</v>
      </c>
      <c r="Y285" s="19">
        <f>IFERROR(__xludf.DUMMYFUNCTION("SUM(QUERY(Entregas_BD!D:AL,""select AK where D='""&amp;D285&amp;""'"",1))"),6.0)</f>
        <v>6</v>
      </c>
      <c r="Z285" s="19">
        <v>-25.0</v>
      </c>
      <c r="AA285" s="19">
        <v>0.0</v>
      </c>
      <c r="AB285" s="19">
        <v>0.0</v>
      </c>
      <c r="AC285" s="19">
        <v>0.0</v>
      </c>
      <c r="AD285" s="19">
        <v>-6.0</v>
      </c>
      <c r="AE285" s="19">
        <v>0.0</v>
      </c>
      <c r="AF285" s="22"/>
      <c r="AG285" s="24">
        <f>IFERROR(__xludf.DUMMYFUNCTION("SUM(QUERY(Entregas_BD!D:W,""select U where D='""&amp;D285&amp;""'"",1))"),0.0)</f>
        <v>0</v>
      </c>
      <c r="AH285" s="24">
        <f>IFERROR(__xludf.DUMMYFUNCTION("SUM(QUERY(Entregas_BD!D:W,""select S where D='""&amp;D285&amp;""'"",1))"),0.0)</f>
        <v>0</v>
      </c>
      <c r="AI285" s="24">
        <f>IFERROR(__xludf.DUMMYFUNCTION("SUM(QUERY(Entregas_BD!D:W,""select T where D='""&amp;D285&amp;""'"",1))"),0.0)</f>
        <v>0</v>
      </c>
    </row>
    <row r="286" ht="19.5" customHeight="1">
      <c r="A286" s="63"/>
      <c r="B286" s="8"/>
      <c r="C286" s="9">
        <v>285.0</v>
      </c>
      <c r="D286" s="10" t="s">
        <v>732</v>
      </c>
      <c r="E286" s="10" t="s">
        <v>324</v>
      </c>
      <c r="F286" s="10" t="s">
        <v>733</v>
      </c>
      <c r="G286" s="10" t="s">
        <v>734</v>
      </c>
      <c r="H286" s="12" t="s">
        <v>632</v>
      </c>
      <c r="I286" s="11" t="s">
        <v>41</v>
      </c>
      <c r="J286" s="12"/>
      <c r="K286" s="12"/>
      <c r="L286" s="13"/>
      <c r="M286" s="28"/>
      <c r="N286" s="9">
        <f>IFERROR(__xludf.DUMMYFUNCTION("SUM(QUERY(Entregas_BD!D:L,""select G where D='""&amp;D286&amp;""'"",1))"),0.0)</f>
        <v>0</v>
      </c>
      <c r="O286" s="9">
        <f>IFERROR(__xludf.DUMMYFUNCTION("SUM(QUERY(Entregas_BD!D:L,""select H where D='""&amp;D286&amp;""'"",1))"),0.0)</f>
        <v>0</v>
      </c>
      <c r="P286" s="9">
        <f>IFERROR(__xludf.DUMMYFUNCTION("SUM(QUERY(Entregas_BD!D:L,""select I where D='""&amp;D286&amp;""'"",1))"),0.0)</f>
        <v>0</v>
      </c>
      <c r="Q286" s="9">
        <f>IFERROR(__xludf.DUMMYFUNCTION("SUM(QUERY(Entregas_BD!D:L,""select J where D='""&amp;D286&amp;""'"",1))"),0.0)</f>
        <v>0</v>
      </c>
      <c r="R286" s="15">
        <f>IFERROR(__xludf.DUMMYFUNCTION("SUM(QUERY(Entregas_BD!D:L,""select K where D='""&amp;D286&amp;""'"",1))"),0.0)</f>
        <v>0</v>
      </c>
      <c r="S286" s="15">
        <f>IFERROR(__xludf.DUMMYFUNCTION("SUM(QUERY(Entregas_BD!D:L,""select L where D='""&amp;D286&amp;""'"",1))"),0.0)</f>
        <v>0</v>
      </c>
      <c r="T286" s="9">
        <f>IFERROR(__xludf.DUMMYFUNCTION("SUM(QUERY(Entregas_BD!D:AL,""select AG where D='""&amp;D286&amp;""'"",1))"),0.0)</f>
        <v>0</v>
      </c>
      <c r="U286" s="9">
        <f>IFERROR(__xludf.DUMMYFUNCTION("SUM(QUERY(Entregas_BD!D:AL,""select AH where D='""&amp;D286&amp;""'"",1))"),0.0)</f>
        <v>0</v>
      </c>
      <c r="V286" s="9">
        <f>IFERROR(__xludf.DUMMYFUNCTION("SUM(QUERY(Entregas_BD!D:AL,""select AI where D='""&amp;D286&amp;""'"",1))"),0.0)</f>
        <v>0</v>
      </c>
      <c r="W286" s="9">
        <f>IFERROR(__xludf.DUMMYFUNCTION("SUM(QUERY(Entregas_BD!D:AL,""select AJ where D='""&amp;D286&amp;""'"",1))"),0.0)</f>
        <v>0</v>
      </c>
      <c r="X286" s="9">
        <f>IFERROR(__xludf.DUMMYFUNCTION("SUM(QUERY(Entregas_BD!D:AL,""select AL where D='""&amp;D286&amp;""'"",1))"),0.0)</f>
        <v>0</v>
      </c>
      <c r="Y286" s="9">
        <f>IFERROR(__xludf.DUMMYFUNCTION("SUM(QUERY(Entregas_BD!D:AL,""select AK where D='""&amp;D286&amp;""'"",1))"),0.0)</f>
        <v>0</v>
      </c>
      <c r="Z286" s="9">
        <v>0.0</v>
      </c>
      <c r="AA286" s="9">
        <v>0.0</v>
      </c>
      <c r="AB286" s="9">
        <v>0.0</v>
      </c>
      <c r="AC286" s="9">
        <v>0.0</v>
      </c>
      <c r="AD286" s="9">
        <v>0.0</v>
      </c>
      <c r="AE286" s="9">
        <v>0.0</v>
      </c>
      <c r="AF286" s="28"/>
      <c r="AG286" s="15">
        <f>IFERROR(__xludf.DUMMYFUNCTION("SUM(QUERY(Entregas_BD!D:W,""select U where D='""&amp;D286&amp;""'"",1))"),0.0)</f>
        <v>0</v>
      </c>
      <c r="AH286" s="15">
        <f>IFERROR(__xludf.DUMMYFUNCTION("SUM(QUERY(Entregas_BD!D:W,""select S where D='""&amp;D286&amp;""'"",1))"),0.0)</f>
        <v>0</v>
      </c>
      <c r="AI286" s="15">
        <f>IFERROR(__xludf.DUMMYFUNCTION("SUM(QUERY(Entregas_BD!D:W,""select T where D='""&amp;D286&amp;""'"",1))"),0.0)</f>
        <v>0</v>
      </c>
    </row>
    <row r="287" ht="19.5" customHeight="1">
      <c r="A287" s="64"/>
      <c r="B287" s="32"/>
      <c r="C287" s="19">
        <v>286.0</v>
      </c>
      <c r="D287" s="20" t="s">
        <v>735</v>
      </c>
      <c r="E287" s="20" t="s">
        <v>58</v>
      </c>
      <c r="F287" s="20" t="s">
        <v>45</v>
      </c>
      <c r="G287" s="20" t="s">
        <v>736</v>
      </c>
      <c r="H287" s="34" t="s">
        <v>632</v>
      </c>
      <c r="I287" s="21" t="s">
        <v>41</v>
      </c>
      <c r="J287" s="34"/>
      <c r="K287" s="34"/>
      <c r="L287" s="42"/>
      <c r="M287" s="22"/>
      <c r="N287" s="19">
        <f>IFERROR(__xludf.DUMMYFUNCTION("SUM(QUERY(Entregas_BD!D:L,""select G where D='""&amp;D287&amp;""'"",1))"),0.0)</f>
        <v>0</v>
      </c>
      <c r="O287" s="19">
        <f>IFERROR(__xludf.DUMMYFUNCTION("SUM(QUERY(Entregas_BD!D:L,""select H where D='""&amp;D287&amp;""'"",1))"),0.0)</f>
        <v>0</v>
      </c>
      <c r="P287" s="19">
        <f>IFERROR(__xludf.DUMMYFUNCTION("SUM(QUERY(Entregas_BD!D:L,""select I where D='""&amp;D287&amp;""'"",1))"),0.0)</f>
        <v>0</v>
      </c>
      <c r="Q287" s="19">
        <f>IFERROR(__xludf.DUMMYFUNCTION("SUM(QUERY(Entregas_BD!D:L,""select J where D='""&amp;D287&amp;""'"",1))"),0.0)</f>
        <v>0</v>
      </c>
      <c r="R287" s="24">
        <f>IFERROR(__xludf.DUMMYFUNCTION("SUM(QUERY(Entregas_BD!D:L,""select K where D='""&amp;D287&amp;""'"",1))"),0.0)</f>
        <v>0</v>
      </c>
      <c r="S287" s="24">
        <f>IFERROR(__xludf.DUMMYFUNCTION("SUM(QUERY(Entregas_BD!D:L,""select L where D='""&amp;D287&amp;""'"",1))"),0.0)</f>
        <v>0</v>
      </c>
      <c r="T287" s="19">
        <f>IFERROR(__xludf.DUMMYFUNCTION("SUM(QUERY(Entregas_BD!D:AL,""select AG where D='""&amp;D287&amp;""'"",1))"),0.0)</f>
        <v>0</v>
      </c>
      <c r="U287" s="19">
        <f>IFERROR(__xludf.DUMMYFUNCTION("SUM(QUERY(Entregas_BD!D:AL,""select AH where D='""&amp;D287&amp;""'"",1))"),0.0)</f>
        <v>0</v>
      </c>
      <c r="V287" s="19">
        <f>IFERROR(__xludf.DUMMYFUNCTION("SUM(QUERY(Entregas_BD!D:AL,""select AI where D='""&amp;D287&amp;""'"",1))"),0.0)</f>
        <v>0</v>
      </c>
      <c r="W287" s="19">
        <f>IFERROR(__xludf.DUMMYFUNCTION("SUM(QUERY(Entregas_BD!D:AL,""select AJ where D='""&amp;D287&amp;""'"",1))"),0.0)</f>
        <v>0</v>
      </c>
      <c r="X287" s="19">
        <f>IFERROR(__xludf.DUMMYFUNCTION("SUM(QUERY(Entregas_BD!D:AL,""select AL where D='""&amp;D287&amp;""'"",1))"),0.0)</f>
        <v>0</v>
      </c>
      <c r="Y287" s="19">
        <f>IFERROR(__xludf.DUMMYFUNCTION("SUM(QUERY(Entregas_BD!D:AL,""select AK where D='""&amp;D287&amp;""'"",1))"),0.0)</f>
        <v>0</v>
      </c>
      <c r="Z287" s="19">
        <v>0.0</v>
      </c>
      <c r="AA287" s="19">
        <v>0.0</v>
      </c>
      <c r="AB287" s="19">
        <v>0.0</v>
      </c>
      <c r="AC287" s="19">
        <v>0.0</v>
      </c>
      <c r="AD287" s="19">
        <v>0.0</v>
      </c>
      <c r="AE287" s="19">
        <v>0.0</v>
      </c>
      <c r="AF287" s="22"/>
      <c r="AG287" s="24">
        <f>IFERROR(__xludf.DUMMYFUNCTION("SUM(QUERY(Entregas_BD!D:W,""select U where D='""&amp;D287&amp;""'"",1))"),0.0)</f>
        <v>0</v>
      </c>
      <c r="AH287" s="24">
        <f>IFERROR(__xludf.DUMMYFUNCTION("SUM(QUERY(Entregas_BD!D:W,""select S where D='""&amp;D287&amp;""'"",1))"),0.0)</f>
        <v>0</v>
      </c>
      <c r="AI287" s="24">
        <f>IFERROR(__xludf.DUMMYFUNCTION("SUM(QUERY(Entregas_BD!D:W,""select T where D='""&amp;D287&amp;""'"",1))"),0.0)</f>
        <v>0</v>
      </c>
    </row>
    <row r="288" ht="19.5" customHeight="1">
      <c r="A288" s="63"/>
      <c r="B288" s="8"/>
      <c r="C288" s="9">
        <v>287.0</v>
      </c>
      <c r="D288" s="10" t="s">
        <v>737</v>
      </c>
      <c r="E288" s="10" t="s">
        <v>72</v>
      </c>
      <c r="F288" s="10" t="s">
        <v>45</v>
      </c>
      <c r="G288" s="10" t="s">
        <v>182</v>
      </c>
      <c r="H288" s="12" t="s">
        <v>632</v>
      </c>
      <c r="I288" s="11" t="s">
        <v>41</v>
      </c>
      <c r="J288" s="12"/>
      <c r="K288" s="12"/>
      <c r="L288" s="13"/>
      <c r="M288" s="28"/>
      <c r="N288" s="9">
        <f>IFERROR(__xludf.DUMMYFUNCTION("SUM(QUERY(Entregas_BD!D:L,""select G where D='""&amp;D288&amp;""'"",1))"),0.0)</f>
        <v>0</v>
      </c>
      <c r="O288" s="9">
        <f>IFERROR(__xludf.DUMMYFUNCTION("SUM(QUERY(Entregas_BD!D:L,""select H where D='""&amp;D288&amp;""'"",1))"),0.0)</f>
        <v>0</v>
      </c>
      <c r="P288" s="9">
        <f>IFERROR(__xludf.DUMMYFUNCTION("SUM(QUERY(Entregas_BD!D:L,""select I where D='""&amp;D288&amp;""'"",1))"),0.0)</f>
        <v>0</v>
      </c>
      <c r="Q288" s="9">
        <f>IFERROR(__xludf.DUMMYFUNCTION("SUM(QUERY(Entregas_BD!D:L,""select J where D='""&amp;D288&amp;""'"",1))"),0.0)</f>
        <v>0</v>
      </c>
      <c r="R288" s="15">
        <f>IFERROR(__xludf.DUMMYFUNCTION("SUM(QUERY(Entregas_BD!D:L,""select K where D='""&amp;D288&amp;""'"",1))"),0.0)</f>
        <v>0</v>
      </c>
      <c r="S288" s="15">
        <f>IFERROR(__xludf.DUMMYFUNCTION("SUM(QUERY(Entregas_BD!D:L,""select L where D='""&amp;D288&amp;""'"",1))"),0.0)</f>
        <v>0</v>
      </c>
      <c r="T288" s="9">
        <f>IFERROR(__xludf.DUMMYFUNCTION("SUM(QUERY(Entregas_BD!D:AL,""select AG where D='""&amp;D288&amp;""'"",1))"),0.0)</f>
        <v>0</v>
      </c>
      <c r="U288" s="9">
        <f>IFERROR(__xludf.DUMMYFUNCTION("SUM(QUERY(Entregas_BD!D:AL,""select AH where D='""&amp;D288&amp;""'"",1))"),0.0)</f>
        <v>0</v>
      </c>
      <c r="V288" s="9">
        <f>IFERROR(__xludf.DUMMYFUNCTION("SUM(QUERY(Entregas_BD!D:AL,""select AI where D='""&amp;D288&amp;""'"",1))"),0.0)</f>
        <v>0</v>
      </c>
      <c r="W288" s="9">
        <f>IFERROR(__xludf.DUMMYFUNCTION("SUM(QUERY(Entregas_BD!D:AL,""select AJ where D='""&amp;D288&amp;""'"",1))"),0.0)</f>
        <v>0</v>
      </c>
      <c r="X288" s="9">
        <f>IFERROR(__xludf.DUMMYFUNCTION("SUM(QUERY(Entregas_BD!D:AL,""select AL where D='""&amp;D288&amp;""'"",1))"),0.0)</f>
        <v>0</v>
      </c>
      <c r="Y288" s="9">
        <f>IFERROR(__xludf.DUMMYFUNCTION("SUM(QUERY(Entregas_BD!D:AL,""select AK where D='""&amp;D288&amp;""'"",1))"),0.0)</f>
        <v>0</v>
      </c>
      <c r="Z288" s="9">
        <v>0.0</v>
      </c>
      <c r="AA288" s="9">
        <v>0.0</v>
      </c>
      <c r="AB288" s="9">
        <v>0.0</v>
      </c>
      <c r="AC288" s="9">
        <v>0.0</v>
      </c>
      <c r="AD288" s="9">
        <v>0.0</v>
      </c>
      <c r="AE288" s="9">
        <v>0.0</v>
      </c>
      <c r="AF288" s="28"/>
      <c r="AG288" s="15">
        <f>IFERROR(__xludf.DUMMYFUNCTION("SUM(QUERY(Entregas_BD!D:W,""select U where D='""&amp;D288&amp;""'"",1))"),0.0)</f>
        <v>0</v>
      </c>
      <c r="AH288" s="15">
        <f>IFERROR(__xludf.DUMMYFUNCTION("SUM(QUERY(Entregas_BD!D:W,""select S where D='""&amp;D288&amp;""'"",1))"),0.0)</f>
        <v>0</v>
      </c>
      <c r="AI288" s="15">
        <f>IFERROR(__xludf.DUMMYFUNCTION("SUM(QUERY(Entregas_BD!D:W,""select T where D='""&amp;D288&amp;""'"",1))"),0.0)</f>
        <v>0</v>
      </c>
    </row>
    <row r="289" ht="19.5" customHeight="1">
      <c r="A289" s="64"/>
      <c r="B289" s="32"/>
      <c r="C289" s="19">
        <v>288.0</v>
      </c>
      <c r="D289" s="20" t="s">
        <v>738</v>
      </c>
      <c r="E289" s="20" t="s">
        <v>44</v>
      </c>
      <c r="F289" s="20" t="s">
        <v>45</v>
      </c>
      <c r="G289" s="20" t="s">
        <v>606</v>
      </c>
      <c r="H289" s="34" t="s">
        <v>632</v>
      </c>
      <c r="I289" s="21" t="s">
        <v>41</v>
      </c>
      <c r="J289" s="34"/>
      <c r="K289" s="34"/>
      <c r="L289" s="42"/>
      <c r="M289" s="22"/>
      <c r="N289" s="19">
        <f>IFERROR(__xludf.DUMMYFUNCTION("SUM(QUERY(Entregas_BD!D:L,""select G where D='""&amp;D289&amp;""'"",1))"),0.0)</f>
        <v>0</v>
      </c>
      <c r="O289" s="19">
        <f>IFERROR(__xludf.DUMMYFUNCTION("SUM(QUERY(Entregas_BD!D:L,""select H where D='""&amp;D289&amp;""'"",1))"),0.0)</f>
        <v>0</v>
      </c>
      <c r="P289" s="19">
        <f>IFERROR(__xludf.DUMMYFUNCTION("SUM(QUERY(Entregas_BD!D:L,""select I where D='""&amp;D289&amp;""'"",1))"),0.0)</f>
        <v>0</v>
      </c>
      <c r="Q289" s="19">
        <f>IFERROR(__xludf.DUMMYFUNCTION("SUM(QUERY(Entregas_BD!D:L,""select J where D='""&amp;D289&amp;""'"",1))"),0.0)</f>
        <v>0</v>
      </c>
      <c r="R289" s="24">
        <f>IFERROR(__xludf.DUMMYFUNCTION("SUM(QUERY(Entregas_BD!D:L,""select K where D='""&amp;D289&amp;""'"",1))"),0.0)</f>
        <v>0</v>
      </c>
      <c r="S289" s="24">
        <f>IFERROR(__xludf.DUMMYFUNCTION("SUM(QUERY(Entregas_BD!D:L,""select L where D='""&amp;D289&amp;""'"",1))"),0.0)</f>
        <v>0</v>
      </c>
      <c r="T289" s="19">
        <f>IFERROR(__xludf.DUMMYFUNCTION("SUM(QUERY(Entregas_BD!D:AL,""select AG where D='""&amp;D289&amp;""'"",1))"),0.0)</f>
        <v>0</v>
      </c>
      <c r="U289" s="19">
        <f>IFERROR(__xludf.DUMMYFUNCTION("SUM(QUERY(Entregas_BD!D:AL,""select AH where D='""&amp;D289&amp;""'"",1))"),0.0)</f>
        <v>0</v>
      </c>
      <c r="V289" s="19">
        <f>IFERROR(__xludf.DUMMYFUNCTION("SUM(QUERY(Entregas_BD!D:AL,""select AI where D='""&amp;D289&amp;""'"",1))"),0.0)</f>
        <v>0</v>
      </c>
      <c r="W289" s="19">
        <f>IFERROR(__xludf.DUMMYFUNCTION("SUM(QUERY(Entregas_BD!D:AL,""select AJ where D='""&amp;D289&amp;""'"",1))"),0.0)</f>
        <v>0</v>
      </c>
      <c r="X289" s="19">
        <f>IFERROR(__xludf.DUMMYFUNCTION("SUM(QUERY(Entregas_BD!D:AL,""select AL where D='""&amp;D289&amp;""'"",1))"),0.0)</f>
        <v>0</v>
      </c>
      <c r="Y289" s="19">
        <f>IFERROR(__xludf.DUMMYFUNCTION("SUM(QUERY(Entregas_BD!D:AL,""select AK where D='""&amp;D289&amp;""'"",1))"),0.0)</f>
        <v>0</v>
      </c>
      <c r="Z289" s="19">
        <v>0.0</v>
      </c>
      <c r="AA289" s="19">
        <v>0.0</v>
      </c>
      <c r="AB289" s="19">
        <v>0.0</v>
      </c>
      <c r="AC289" s="19">
        <v>0.0</v>
      </c>
      <c r="AD289" s="19">
        <v>0.0</v>
      </c>
      <c r="AE289" s="19">
        <v>0.0</v>
      </c>
      <c r="AF289" s="22"/>
      <c r="AG289" s="24">
        <f>IFERROR(__xludf.DUMMYFUNCTION("SUM(QUERY(Entregas_BD!D:W,""select U where D='""&amp;D289&amp;""'"",1))"),0.0)</f>
        <v>0</v>
      </c>
      <c r="AH289" s="24">
        <f>IFERROR(__xludf.DUMMYFUNCTION("SUM(QUERY(Entregas_BD!D:W,""select S where D='""&amp;D289&amp;""'"",1))"),0.0)</f>
        <v>0</v>
      </c>
      <c r="AI289" s="24">
        <f>IFERROR(__xludf.DUMMYFUNCTION("SUM(QUERY(Entregas_BD!D:W,""select T where D='""&amp;D289&amp;""'"",1))"),0.0)</f>
        <v>0</v>
      </c>
    </row>
    <row r="290" ht="19.5" customHeight="1">
      <c r="A290" s="63"/>
      <c r="B290" s="8"/>
      <c r="C290" s="9">
        <v>289.0</v>
      </c>
      <c r="D290" s="10" t="s">
        <v>739</v>
      </c>
      <c r="E290" s="10" t="s">
        <v>54</v>
      </c>
      <c r="F290" s="10" t="s">
        <v>45</v>
      </c>
      <c r="G290" s="10" t="s">
        <v>430</v>
      </c>
      <c r="H290" s="12" t="s">
        <v>617</v>
      </c>
      <c r="I290" s="11" t="s">
        <v>41</v>
      </c>
      <c r="J290" s="60"/>
      <c r="K290" s="12"/>
      <c r="L290" s="13"/>
      <c r="M290" s="28"/>
      <c r="N290" s="9">
        <f>IFERROR(__xludf.DUMMYFUNCTION("SUM(QUERY(Entregas_BD!D:L,""select G where D='""&amp;D290&amp;""'"",1))"),0.0)</f>
        <v>0</v>
      </c>
      <c r="O290" s="9">
        <f>IFERROR(__xludf.DUMMYFUNCTION("SUM(QUERY(Entregas_BD!D:L,""select H where D='""&amp;D290&amp;""'"",1))"),0.0)</f>
        <v>0</v>
      </c>
      <c r="P290" s="9">
        <f>IFERROR(__xludf.DUMMYFUNCTION("SUM(QUERY(Entregas_BD!D:L,""select I where D='""&amp;D290&amp;""'"",1))"),0.0)</f>
        <v>0</v>
      </c>
      <c r="Q290" s="9">
        <f>IFERROR(__xludf.DUMMYFUNCTION("SUM(QUERY(Entregas_BD!D:L,""select J where D='""&amp;D290&amp;""'"",1))"),0.0)</f>
        <v>0</v>
      </c>
      <c r="R290" s="15">
        <f>IFERROR(__xludf.DUMMYFUNCTION("SUM(QUERY(Entregas_BD!D:L,""select K where D='""&amp;D290&amp;""'"",1))"),0.0)</f>
        <v>0</v>
      </c>
      <c r="S290" s="15">
        <f>IFERROR(__xludf.DUMMYFUNCTION("SUM(QUERY(Entregas_BD!D:L,""select L where D='""&amp;D290&amp;""'"",1))"),0.0)</f>
        <v>0</v>
      </c>
      <c r="T290" s="9">
        <f>IFERROR(__xludf.DUMMYFUNCTION("SUM(QUERY(Entregas_BD!D:AL,""select AG where D='""&amp;D290&amp;""'"",1))"),0.0)</f>
        <v>0</v>
      </c>
      <c r="U290" s="9">
        <f>IFERROR(__xludf.DUMMYFUNCTION("SUM(QUERY(Entregas_BD!D:AL,""select AH where D='""&amp;D290&amp;""'"",1))"),0.0)</f>
        <v>0</v>
      </c>
      <c r="V290" s="9">
        <f>IFERROR(__xludf.DUMMYFUNCTION("SUM(QUERY(Entregas_BD!D:AL,""select AI where D='""&amp;D290&amp;""'"",1))"),0.0)</f>
        <v>0</v>
      </c>
      <c r="W290" s="9">
        <f>IFERROR(__xludf.DUMMYFUNCTION("SUM(QUERY(Entregas_BD!D:AL,""select AJ where D='""&amp;D290&amp;""'"",1))"),0.0)</f>
        <v>0</v>
      </c>
      <c r="X290" s="9">
        <f>IFERROR(__xludf.DUMMYFUNCTION("SUM(QUERY(Entregas_BD!D:AL,""select AL where D='""&amp;D290&amp;""'"",1))"),0.0)</f>
        <v>0</v>
      </c>
      <c r="Y290" s="9">
        <f>IFERROR(__xludf.DUMMYFUNCTION("SUM(QUERY(Entregas_BD!D:AL,""select AK where D='""&amp;D290&amp;""'"",1))"),0.0)</f>
        <v>0</v>
      </c>
      <c r="Z290" s="9">
        <v>0.0</v>
      </c>
      <c r="AA290" s="9">
        <v>0.0</v>
      </c>
      <c r="AB290" s="9">
        <v>0.0</v>
      </c>
      <c r="AC290" s="9">
        <v>0.0</v>
      </c>
      <c r="AD290" s="9">
        <v>0.0</v>
      </c>
      <c r="AE290" s="9">
        <v>0.0</v>
      </c>
      <c r="AF290" s="28"/>
      <c r="AG290" s="15">
        <f>IFERROR(__xludf.DUMMYFUNCTION("SUM(QUERY(Entregas_BD!D:W,""select U where D='""&amp;D290&amp;""'"",1))"),0.0)</f>
        <v>0</v>
      </c>
      <c r="AH290" s="15">
        <f>IFERROR(__xludf.DUMMYFUNCTION("SUM(QUERY(Entregas_BD!D:W,""select S where D='""&amp;D290&amp;""'"",1))"),0.0)</f>
        <v>0</v>
      </c>
      <c r="AI290" s="15">
        <f>IFERROR(__xludf.DUMMYFUNCTION("SUM(QUERY(Entregas_BD!D:W,""select T where D='""&amp;D290&amp;""'"",1))"),0.0)</f>
        <v>0</v>
      </c>
    </row>
    <row r="291" ht="19.5" customHeight="1">
      <c r="A291" s="64"/>
      <c r="B291" s="32"/>
      <c r="C291" s="19">
        <v>290.0</v>
      </c>
      <c r="D291" s="20" t="s">
        <v>740</v>
      </c>
      <c r="E291" s="20" t="s">
        <v>44</v>
      </c>
      <c r="F291" s="20" t="s">
        <v>571</v>
      </c>
      <c r="G291" s="20" t="s">
        <v>741</v>
      </c>
      <c r="H291" s="34" t="s">
        <v>632</v>
      </c>
      <c r="I291" s="21" t="s">
        <v>41</v>
      </c>
      <c r="J291" s="34"/>
      <c r="K291" s="34"/>
      <c r="L291" s="42"/>
      <c r="M291" s="22"/>
      <c r="N291" s="19">
        <f>IFERROR(__xludf.DUMMYFUNCTION("SUM(QUERY(Entregas_BD!D:L,""select G where D='""&amp;D291&amp;""'"",1))"),0.0)</f>
        <v>0</v>
      </c>
      <c r="O291" s="19">
        <f>IFERROR(__xludf.DUMMYFUNCTION("SUM(QUERY(Entregas_BD!D:L,""select H where D='""&amp;D291&amp;""'"",1))"),0.0)</f>
        <v>0</v>
      </c>
      <c r="P291" s="19">
        <f>IFERROR(__xludf.DUMMYFUNCTION("SUM(QUERY(Entregas_BD!D:L,""select I where D='""&amp;D291&amp;""'"",1))"),0.0)</f>
        <v>0</v>
      </c>
      <c r="Q291" s="19">
        <f>IFERROR(__xludf.DUMMYFUNCTION("SUM(QUERY(Entregas_BD!D:L,""select J where D='""&amp;D291&amp;""'"",1))"),0.0)</f>
        <v>0</v>
      </c>
      <c r="R291" s="24">
        <f>IFERROR(__xludf.DUMMYFUNCTION("SUM(QUERY(Entregas_BD!D:L,""select K where D='""&amp;D291&amp;""'"",1))"),0.0)</f>
        <v>0</v>
      </c>
      <c r="S291" s="24">
        <f>IFERROR(__xludf.DUMMYFUNCTION("SUM(QUERY(Entregas_BD!D:L,""select L where D='""&amp;D291&amp;""'"",1))"),0.0)</f>
        <v>0</v>
      </c>
      <c r="T291" s="19">
        <f>IFERROR(__xludf.DUMMYFUNCTION("SUM(QUERY(Entregas_BD!D:AL,""select AG where D='""&amp;D291&amp;""'"",1))"),50.0)</f>
        <v>50</v>
      </c>
      <c r="U291" s="19">
        <f>IFERROR(__xludf.DUMMYFUNCTION("SUM(QUERY(Entregas_BD!D:AL,""select AH where D='""&amp;D291&amp;""'"",1))"),0.0)</f>
        <v>0</v>
      </c>
      <c r="V291" s="19">
        <f>IFERROR(__xludf.DUMMYFUNCTION("SUM(QUERY(Entregas_BD!D:AL,""select AI where D='""&amp;D291&amp;""'"",1))"),0.0)</f>
        <v>0</v>
      </c>
      <c r="W291" s="19">
        <f>IFERROR(__xludf.DUMMYFUNCTION("SUM(QUERY(Entregas_BD!D:AL,""select AJ where D='""&amp;D291&amp;""'"",1))"),25.0)</f>
        <v>25</v>
      </c>
      <c r="X291" s="19">
        <f>IFERROR(__xludf.DUMMYFUNCTION("SUM(QUERY(Entregas_BD!D:AL,""select AL where D='""&amp;D291&amp;""'"",1))"),0.0)</f>
        <v>0</v>
      </c>
      <c r="Y291" s="19">
        <f>IFERROR(__xludf.DUMMYFUNCTION("SUM(QUERY(Entregas_BD!D:AL,""select AK where D='""&amp;D291&amp;""'"",1))"),0.0)</f>
        <v>0</v>
      </c>
      <c r="Z291" s="19">
        <v>-50.0</v>
      </c>
      <c r="AA291" s="19">
        <v>0.0</v>
      </c>
      <c r="AB291" s="19">
        <v>0.0</v>
      </c>
      <c r="AC291" s="19">
        <v>-25.0</v>
      </c>
      <c r="AD291" s="19">
        <v>0.0</v>
      </c>
      <c r="AE291" s="19">
        <v>0.0</v>
      </c>
      <c r="AF291" s="22"/>
      <c r="AG291" s="24">
        <f>IFERROR(__xludf.DUMMYFUNCTION("SUM(QUERY(Entregas_BD!D:W,""select U where D='""&amp;D291&amp;""'"",1))"),0.0)</f>
        <v>0</v>
      </c>
      <c r="AH291" s="24">
        <f>IFERROR(__xludf.DUMMYFUNCTION("SUM(QUERY(Entregas_BD!D:W,""select S where D='""&amp;D291&amp;""'"",1))"),0.0)</f>
        <v>0</v>
      </c>
      <c r="AI291" s="24">
        <f>IFERROR(__xludf.DUMMYFUNCTION("SUM(QUERY(Entregas_BD!D:W,""select T where D='""&amp;D291&amp;""'"",1))"),0.0)</f>
        <v>0</v>
      </c>
    </row>
    <row r="292" ht="19.5" customHeight="1">
      <c r="A292" s="63"/>
      <c r="B292" s="8"/>
      <c r="C292" s="9">
        <v>291.0</v>
      </c>
      <c r="D292" s="10" t="s">
        <v>742</v>
      </c>
      <c r="E292" s="10" t="s">
        <v>197</v>
      </c>
      <c r="F292" s="10" t="s">
        <v>716</v>
      </c>
      <c r="G292" s="10" t="s">
        <v>743</v>
      </c>
      <c r="H292" s="12" t="s">
        <v>632</v>
      </c>
      <c r="I292" s="11" t="s">
        <v>41</v>
      </c>
      <c r="J292" s="12"/>
      <c r="K292" s="12"/>
      <c r="L292" s="13"/>
      <c r="M292" s="28"/>
      <c r="N292" s="9">
        <f>IFERROR(__xludf.DUMMYFUNCTION("SUM(QUERY(Entregas_BD!D:L,""select G where D='""&amp;D292&amp;""'"",1))"),0.0)</f>
        <v>0</v>
      </c>
      <c r="O292" s="9">
        <f>IFERROR(__xludf.DUMMYFUNCTION("SUM(QUERY(Entregas_BD!D:L,""select H where D='""&amp;D292&amp;""'"",1))"),0.0)</f>
        <v>0</v>
      </c>
      <c r="P292" s="9">
        <f>IFERROR(__xludf.DUMMYFUNCTION("SUM(QUERY(Entregas_BD!D:L,""select I where D='""&amp;D292&amp;""'"",1))"),0.0)</f>
        <v>0</v>
      </c>
      <c r="Q292" s="9">
        <f>IFERROR(__xludf.DUMMYFUNCTION("SUM(QUERY(Entregas_BD!D:L,""select J where D='""&amp;D292&amp;""'"",1))"),0.0)</f>
        <v>0</v>
      </c>
      <c r="R292" s="15">
        <f>IFERROR(__xludf.DUMMYFUNCTION("SUM(QUERY(Entregas_BD!D:L,""select K where D='""&amp;D292&amp;""'"",1))"),0.0)</f>
        <v>0</v>
      </c>
      <c r="S292" s="15">
        <f>IFERROR(__xludf.DUMMYFUNCTION("SUM(QUERY(Entregas_BD!D:L,""select L where D='""&amp;D292&amp;""'"",1))"),0.0)</f>
        <v>0</v>
      </c>
      <c r="T292" s="9">
        <f>IFERROR(__xludf.DUMMYFUNCTION("SUM(QUERY(Entregas_BD!D:AL,""select AG where D='""&amp;D292&amp;""'"",1))"),25.0)</f>
        <v>25</v>
      </c>
      <c r="U292" s="9">
        <f>IFERROR(__xludf.DUMMYFUNCTION("SUM(QUERY(Entregas_BD!D:AL,""select AH where D='""&amp;D292&amp;""'"",1))"),0.0)</f>
        <v>0</v>
      </c>
      <c r="V292" s="9">
        <f>IFERROR(__xludf.DUMMYFUNCTION("SUM(QUERY(Entregas_BD!D:AL,""select AI where D='""&amp;D292&amp;""'"",1))"),0.0)</f>
        <v>0</v>
      </c>
      <c r="W292" s="9">
        <f>IFERROR(__xludf.DUMMYFUNCTION("SUM(QUERY(Entregas_BD!D:AL,""select AJ where D='""&amp;D292&amp;""'"",1))"),0.0)</f>
        <v>0</v>
      </c>
      <c r="X292" s="9">
        <f>IFERROR(__xludf.DUMMYFUNCTION("SUM(QUERY(Entregas_BD!D:AL,""select AL where D='""&amp;D292&amp;""'"",1))"),0.0)</f>
        <v>0</v>
      </c>
      <c r="Y292" s="9">
        <f>IFERROR(__xludf.DUMMYFUNCTION("SUM(QUERY(Entregas_BD!D:AL,""select AK where D='""&amp;D292&amp;""'"",1))"),6.0)</f>
        <v>6</v>
      </c>
      <c r="Z292" s="9">
        <v>-25.0</v>
      </c>
      <c r="AA292" s="9">
        <v>0.0</v>
      </c>
      <c r="AB292" s="9">
        <v>0.0</v>
      </c>
      <c r="AC292" s="9">
        <v>0.0</v>
      </c>
      <c r="AD292" s="9">
        <v>-6.0</v>
      </c>
      <c r="AE292" s="9">
        <v>0.0</v>
      </c>
      <c r="AF292" s="28"/>
      <c r="AG292" s="15">
        <f>IFERROR(__xludf.DUMMYFUNCTION("SUM(QUERY(Entregas_BD!D:W,""select U where D='""&amp;D292&amp;""'"",1))"),0.0)</f>
        <v>0</v>
      </c>
      <c r="AH292" s="15">
        <f>IFERROR(__xludf.DUMMYFUNCTION("SUM(QUERY(Entregas_BD!D:W,""select S where D='""&amp;D292&amp;""'"",1))"),0.0)</f>
        <v>0</v>
      </c>
      <c r="AI292" s="15">
        <f>IFERROR(__xludf.DUMMYFUNCTION("SUM(QUERY(Entregas_BD!D:W,""select T where D='""&amp;D292&amp;""'"",1))"),0.0)</f>
        <v>0</v>
      </c>
    </row>
    <row r="293" ht="19.5" customHeight="1">
      <c r="A293" s="64"/>
      <c r="B293" s="32"/>
      <c r="C293" s="19">
        <v>292.0</v>
      </c>
      <c r="D293" s="20" t="s">
        <v>744</v>
      </c>
      <c r="E293" s="20" t="s">
        <v>58</v>
      </c>
      <c r="F293" s="20" t="s">
        <v>45</v>
      </c>
      <c r="G293" s="20" t="s">
        <v>745</v>
      </c>
      <c r="H293" s="34" t="s">
        <v>746</v>
      </c>
      <c r="I293" s="21" t="s">
        <v>41</v>
      </c>
      <c r="J293" s="61"/>
      <c r="K293" s="34"/>
      <c r="L293" s="42"/>
      <c r="M293" s="22"/>
      <c r="N293" s="19">
        <f>IFERROR(__xludf.DUMMYFUNCTION("SUM(QUERY(Entregas_BD!D:L,""select G where D='""&amp;D293&amp;""'"",1))"),0.0)</f>
        <v>0</v>
      </c>
      <c r="O293" s="19">
        <f>IFERROR(__xludf.DUMMYFUNCTION("SUM(QUERY(Entregas_BD!D:L,""select H where D='""&amp;D293&amp;""'"",1))"),0.0)</f>
        <v>0</v>
      </c>
      <c r="P293" s="19">
        <f>IFERROR(__xludf.DUMMYFUNCTION("SUM(QUERY(Entregas_BD!D:L,""select I where D='""&amp;D293&amp;""'"",1))"),0.0)</f>
        <v>0</v>
      </c>
      <c r="Q293" s="19">
        <f>IFERROR(__xludf.DUMMYFUNCTION("SUM(QUERY(Entregas_BD!D:L,""select J where D='""&amp;D293&amp;""'"",1))"),0.0)</f>
        <v>0</v>
      </c>
      <c r="R293" s="24">
        <f>IFERROR(__xludf.DUMMYFUNCTION("SUM(QUERY(Entregas_BD!D:L,""select K where D='""&amp;D293&amp;""'"",1))"),0.0)</f>
        <v>0</v>
      </c>
      <c r="S293" s="24">
        <f>IFERROR(__xludf.DUMMYFUNCTION("SUM(QUERY(Entregas_BD!D:L,""select L where D='""&amp;D293&amp;""'"",1))"),0.0)</f>
        <v>0</v>
      </c>
      <c r="T293" s="19">
        <f>IFERROR(__xludf.DUMMYFUNCTION("SUM(QUERY(Entregas_BD!D:AL,""select AG where D='""&amp;D293&amp;""'"",1))"),50.0)</f>
        <v>50</v>
      </c>
      <c r="U293" s="19">
        <f>IFERROR(__xludf.DUMMYFUNCTION("SUM(QUERY(Entregas_BD!D:AL,""select AH where D='""&amp;D293&amp;""'"",1))"),0.0)</f>
        <v>0</v>
      </c>
      <c r="V293" s="19">
        <f>IFERROR(__xludf.DUMMYFUNCTION("SUM(QUERY(Entregas_BD!D:AL,""select AI where D='""&amp;D293&amp;""'"",1))"),0.0)</f>
        <v>0</v>
      </c>
      <c r="W293" s="19">
        <f>IFERROR(__xludf.DUMMYFUNCTION("SUM(QUERY(Entregas_BD!D:AL,""select AJ where D='""&amp;D293&amp;""'"",1))"),0.0)</f>
        <v>0</v>
      </c>
      <c r="X293" s="19">
        <f>IFERROR(__xludf.DUMMYFUNCTION("SUM(QUERY(Entregas_BD!D:AL,""select AL where D='""&amp;D293&amp;""'"",1))"),0.0)</f>
        <v>0</v>
      </c>
      <c r="Y293" s="19">
        <f>IFERROR(__xludf.DUMMYFUNCTION("SUM(QUERY(Entregas_BD!D:AL,""select AK where D='""&amp;D293&amp;""'"",1))"),20.0)</f>
        <v>20</v>
      </c>
      <c r="Z293" s="19">
        <v>-50.0</v>
      </c>
      <c r="AA293" s="19">
        <v>0.0</v>
      </c>
      <c r="AB293" s="19">
        <v>0.0</v>
      </c>
      <c r="AC293" s="19">
        <v>0.0</v>
      </c>
      <c r="AD293" s="19">
        <v>-20.0</v>
      </c>
      <c r="AE293" s="19">
        <v>0.0</v>
      </c>
      <c r="AF293" s="22"/>
      <c r="AG293" s="24">
        <f>IFERROR(__xludf.DUMMYFUNCTION("SUM(QUERY(Entregas_BD!D:W,""select U where D='""&amp;D293&amp;""'"",1))"),0.0)</f>
        <v>0</v>
      </c>
      <c r="AH293" s="24">
        <f>IFERROR(__xludf.DUMMYFUNCTION("SUM(QUERY(Entregas_BD!D:W,""select S where D='""&amp;D293&amp;""'"",1))"),0.0)</f>
        <v>0</v>
      </c>
      <c r="AI293" s="24">
        <f>IFERROR(__xludf.DUMMYFUNCTION("SUM(QUERY(Entregas_BD!D:W,""select T where D='""&amp;D293&amp;""'"",1))"),0.0)</f>
        <v>0</v>
      </c>
    </row>
    <row r="294" ht="19.5" customHeight="1">
      <c r="A294" s="63"/>
      <c r="B294" s="8"/>
      <c r="C294" s="9">
        <v>293.0</v>
      </c>
      <c r="D294" s="10" t="s">
        <v>747</v>
      </c>
      <c r="E294" s="10" t="s">
        <v>44</v>
      </c>
      <c r="F294" s="10" t="s">
        <v>45</v>
      </c>
      <c r="G294" s="10" t="s">
        <v>300</v>
      </c>
      <c r="H294" s="12" t="s">
        <v>632</v>
      </c>
      <c r="I294" s="11" t="s">
        <v>41</v>
      </c>
      <c r="J294" s="60"/>
      <c r="K294" s="12"/>
      <c r="L294" s="13"/>
      <c r="M294" s="28"/>
      <c r="N294" s="9">
        <f>IFERROR(__xludf.DUMMYFUNCTION("SUM(QUERY(Entregas_BD!D:L,""select G where D='""&amp;D294&amp;""'"",1))"),0.0)</f>
        <v>0</v>
      </c>
      <c r="O294" s="9">
        <f>IFERROR(__xludf.DUMMYFUNCTION("SUM(QUERY(Entregas_BD!D:L,""select H where D='""&amp;D294&amp;""'"",1))"),0.0)</f>
        <v>0</v>
      </c>
      <c r="P294" s="9">
        <f>IFERROR(__xludf.DUMMYFUNCTION("SUM(QUERY(Entregas_BD!D:L,""select I where D='""&amp;D294&amp;""'"",1))"),0.0)</f>
        <v>0</v>
      </c>
      <c r="Q294" s="9">
        <f>IFERROR(__xludf.DUMMYFUNCTION("SUM(QUERY(Entregas_BD!D:L,""select J where D='""&amp;D294&amp;""'"",1))"),0.0)</f>
        <v>0</v>
      </c>
      <c r="R294" s="15">
        <f>IFERROR(__xludf.DUMMYFUNCTION("SUM(QUERY(Entregas_BD!D:L,""select K where D='""&amp;D294&amp;""'"",1))"),0.0)</f>
        <v>0</v>
      </c>
      <c r="S294" s="15">
        <f>IFERROR(__xludf.DUMMYFUNCTION("SUM(QUERY(Entregas_BD!D:L,""select L where D='""&amp;D294&amp;""'"",1))"),0.0)</f>
        <v>0</v>
      </c>
      <c r="T294" s="9">
        <f>IFERROR(__xludf.DUMMYFUNCTION("SUM(QUERY(Entregas_BD!D:AL,""select AG where D='""&amp;D294&amp;""'"",1))"),25.0)</f>
        <v>25</v>
      </c>
      <c r="U294" s="9">
        <f>IFERROR(__xludf.DUMMYFUNCTION("SUM(QUERY(Entregas_BD!D:AL,""select AH where D='""&amp;D294&amp;""'"",1))"),0.0)</f>
        <v>0</v>
      </c>
      <c r="V294" s="9">
        <f>IFERROR(__xludf.DUMMYFUNCTION("SUM(QUERY(Entregas_BD!D:AL,""select AI where D='""&amp;D294&amp;""'"",1))"),0.0)</f>
        <v>0</v>
      </c>
      <c r="W294" s="9">
        <f>IFERROR(__xludf.DUMMYFUNCTION("SUM(QUERY(Entregas_BD!D:AL,""select AJ where D='""&amp;D294&amp;""'"",1))"),25.0)</f>
        <v>25</v>
      </c>
      <c r="X294" s="9">
        <f>IFERROR(__xludf.DUMMYFUNCTION("SUM(QUERY(Entregas_BD!D:AL,""select AL where D='""&amp;D294&amp;""'"",1))"),0.0)</f>
        <v>0</v>
      </c>
      <c r="Y294" s="9">
        <f>IFERROR(__xludf.DUMMYFUNCTION("SUM(QUERY(Entregas_BD!D:AL,""select AK where D='""&amp;D294&amp;""'"",1))"),0.0)</f>
        <v>0</v>
      </c>
      <c r="Z294" s="9">
        <v>-25.0</v>
      </c>
      <c r="AA294" s="9">
        <v>0.0</v>
      </c>
      <c r="AB294" s="9">
        <v>0.0</v>
      </c>
      <c r="AC294" s="9">
        <v>-25.0</v>
      </c>
      <c r="AD294" s="9">
        <v>0.0</v>
      </c>
      <c r="AE294" s="9">
        <v>0.0</v>
      </c>
      <c r="AF294" s="28"/>
      <c r="AG294" s="15">
        <f>IFERROR(__xludf.DUMMYFUNCTION("SUM(QUERY(Entregas_BD!D:W,""select U where D='""&amp;D294&amp;""'"",1))"),0.0)</f>
        <v>0</v>
      </c>
      <c r="AH294" s="15">
        <f>IFERROR(__xludf.DUMMYFUNCTION("SUM(QUERY(Entregas_BD!D:W,""select S where D='""&amp;D294&amp;""'"",1))"),0.0)</f>
        <v>0</v>
      </c>
      <c r="AI294" s="15">
        <f>IFERROR(__xludf.DUMMYFUNCTION("SUM(QUERY(Entregas_BD!D:W,""select T where D='""&amp;D294&amp;""'"",1))"),0.0)</f>
        <v>0</v>
      </c>
    </row>
    <row r="295" ht="19.5" customHeight="1">
      <c r="A295" s="64"/>
      <c r="B295" s="32"/>
      <c r="C295" s="19">
        <v>294.0</v>
      </c>
      <c r="D295" s="20" t="s">
        <v>748</v>
      </c>
      <c r="E295" s="20" t="s">
        <v>63</v>
      </c>
      <c r="F295" s="20" t="s">
        <v>749</v>
      </c>
      <c r="G295" s="20" t="s">
        <v>149</v>
      </c>
      <c r="H295" s="34" t="s">
        <v>750</v>
      </c>
      <c r="I295" s="21" t="s">
        <v>41</v>
      </c>
      <c r="J295" s="61"/>
      <c r="K295" s="34"/>
      <c r="L295" s="42"/>
      <c r="M295" s="22"/>
      <c r="N295" s="19">
        <f>IFERROR(__xludf.DUMMYFUNCTION("SUM(QUERY(Entregas_BD!D:L,""select G where D='""&amp;D295&amp;""'"",1))"),0.0)</f>
        <v>0</v>
      </c>
      <c r="O295" s="19">
        <f>IFERROR(__xludf.DUMMYFUNCTION("SUM(QUERY(Entregas_BD!D:L,""select H where D='""&amp;D295&amp;""'"",1))"),0.0)</f>
        <v>0</v>
      </c>
      <c r="P295" s="19">
        <f>IFERROR(__xludf.DUMMYFUNCTION("SUM(QUERY(Entregas_BD!D:L,""select I where D='""&amp;D295&amp;""'"",1))"),0.0)</f>
        <v>0</v>
      </c>
      <c r="Q295" s="19">
        <f>IFERROR(__xludf.DUMMYFUNCTION("SUM(QUERY(Entregas_BD!D:L,""select J where D='""&amp;D295&amp;""'"",1))"),0.0)</f>
        <v>0</v>
      </c>
      <c r="R295" s="24">
        <f>IFERROR(__xludf.DUMMYFUNCTION("SUM(QUERY(Entregas_BD!D:L,""select K where D='""&amp;D295&amp;""'"",1))"),0.0)</f>
        <v>0</v>
      </c>
      <c r="S295" s="24">
        <f>IFERROR(__xludf.DUMMYFUNCTION("SUM(QUERY(Entregas_BD!D:L,""select L where D='""&amp;D295&amp;""'"",1))"),0.0)</f>
        <v>0</v>
      </c>
      <c r="T295" s="19">
        <f>IFERROR(__xludf.DUMMYFUNCTION("SUM(QUERY(Entregas_BD!D:AL,""select AG where D='""&amp;D295&amp;""'"",1))"),50.0)</f>
        <v>50</v>
      </c>
      <c r="U295" s="19">
        <f>IFERROR(__xludf.DUMMYFUNCTION("SUM(QUERY(Entregas_BD!D:AL,""select AH where D='""&amp;D295&amp;""'"",1))"),0.0)</f>
        <v>0</v>
      </c>
      <c r="V295" s="19">
        <f>IFERROR(__xludf.DUMMYFUNCTION("SUM(QUERY(Entregas_BD!D:AL,""select AI where D='""&amp;D295&amp;""'"",1))"),0.0)</f>
        <v>0</v>
      </c>
      <c r="W295" s="19">
        <f>IFERROR(__xludf.DUMMYFUNCTION("SUM(QUERY(Entregas_BD!D:AL,""select AJ where D='""&amp;D295&amp;""'"",1))"),0.0)</f>
        <v>0</v>
      </c>
      <c r="X295" s="19">
        <f>IFERROR(__xludf.DUMMYFUNCTION("SUM(QUERY(Entregas_BD!D:AL,""select AL where D='""&amp;D295&amp;""'"",1))"),0.0)</f>
        <v>0</v>
      </c>
      <c r="Y295" s="19">
        <f>IFERROR(__xludf.DUMMYFUNCTION("SUM(QUERY(Entregas_BD!D:AL,""select AK where D='""&amp;D295&amp;""'"",1))"),0.0)</f>
        <v>0</v>
      </c>
      <c r="Z295" s="19">
        <v>-50.0</v>
      </c>
      <c r="AA295" s="19">
        <v>0.0</v>
      </c>
      <c r="AB295" s="19">
        <v>0.0</v>
      </c>
      <c r="AC295" s="19">
        <v>0.0</v>
      </c>
      <c r="AD295" s="19">
        <v>0.0</v>
      </c>
      <c r="AE295" s="19">
        <v>0.0</v>
      </c>
      <c r="AF295" s="22"/>
      <c r="AG295" s="24">
        <f>IFERROR(__xludf.DUMMYFUNCTION("SUM(QUERY(Entregas_BD!D:W,""select U where D='""&amp;D295&amp;""'"",1))"),0.0)</f>
        <v>0</v>
      </c>
      <c r="AH295" s="24">
        <f>IFERROR(__xludf.DUMMYFUNCTION("SUM(QUERY(Entregas_BD!D:W,""select S where D='""&amp;D295&amp;""'"",1))"),0.0)</f>
        <v>0</v>
      </c>
      <c r="AI295" s="24">
        <f>IFERROR(__xludf.DUMMYFUNCTION("SUM(QUERY(Entregas_BD!D:W,""select T where D='""&amp;D295&amp;""'"",1))"),0.0)</f>
        <v>0</v>
      </c>
    </row>
    <row r="296" ht="19.5" customHeight="1">
      <c r="A296" s="63"/>
      <c r="B296" s="8"/>
      <c r="C296" s="9">
        <v>295.0</v>
      </c>
      <c r="D296" s="10" t="s">
        <v>751</v>
      </c>
      <c r="E296" s="10" t="s">
        <v>197</v>
      </c>
      <c r="F296" s="10" t="s">
        <v>583</v>
      </c>
      <c r="G296" s="10" t="s">
        <v>149</v>
      </c>
      <c r="H296" s="12" t="s">
        <v>632</v>
      </c>
      <c r="I296" s="11" t="s">
        <v>41</v>
      </c>
      <c r="J296" s="60"/>
      <c r="K296" s="12"/>
      <c r="L296" s="13"/>
      <c r="M296" s="28"/>
      <c r="N296" s="9">
        <f>IFERROR(__xludf.DUMMYFUNCTION("SUM(QUERY(Entregas_BD!D:L,""select G where D='""&amp;D296&amp;""'"",1))"),0.0)</f>
        <v>0</v>
      </c>
      <c r="O296" s="9">
        <f>IFERROR(__xludf.DUMMYFUNCTION("SUM(QUERY(Entregas_BD!D:L,""select H where D='""&amp;D296&amp;""'"",1))"),0.0)</f>
        <v>0</v>
      </c>
      <c r="P296" s="9">
        <f>IFERROR(__xludf.DUMMYFUNCTION("SUM(QUERY(Entregas_BD!D:L,""select I where D='""&amp;D296&amp;""'"",1))"),0.0)</f>
        <v>0</v>
      </c>
      <c r="Q296" s="9">
        <f>IFERROR(__xludf.DUMMYFUNCTION("SUM(QUERY(Entregas_BD!D:L,""select J where D='""&amp;D296&amp;""'"",1))"),0.0)</f>
        <v>0</v>
      </c>
      <c r="R296" s="15">
        <f>IFERROR(__xludf.DUMMYFUNCTION("SUM(QUERY(Entregas_BD!D:L,""select K where D='""&amp;D296&amp;""'"",1))"),0.0)</f>
        <v>0</v>
      </c>
      <c r="S296" s="15">
        <f>IFERROR(__xludf.DUMMYFUNCTION("SUM(QUERY(Entregas_BD!D:L,""select L where D='""&amp;D296&amp;""'"",1))"),0.0)</f>
        <v>0</v>
      </c>
      <c r="T296" s="9">
        <f>IFERROR(__xludf.DUMMYFUNCTION("SUM(QUERY(Entregas_BD!D:AL,""select AG where D='""&amp;D296&amp;""'"",1))"),0.0)</f>
        <v>0</v>
      </c>
      <c r="U296" s="9">
        <f>IFERROR(__xludf.DUMMYFUNCTION("SUM(QUERY(Entregas_BD!D:AL,""select AH where D='""&amp;D296&amp;""'"",1))"),0.0)</f>
        <v>0</v>
      </c>
      <c r="V296" s="9">
        <f>IFERROR(__xludf.DUMMYFUNCTION("SUM(QUERY(Entregas_BD!D:AL,""select AI where D='""&amp;D296&amp;""'"",1))"),0.0)</f>
        <v>0</v>
      </c>
      <c r="W296" s="9">
        <f>IFERROR(__xludf.DUMMYFUNCTION("SUM(QUERY(Entregas_BD!D:AL,""select AJ where D='""&amp;D296&amp;""'"",1))"),0.0)</f>
        <v>0</v>
      </c>
      <c r="X296" s="9">
        <f>IFERROR(__xludf.DUMMYFUNCTION("SUM(QUERY(Entregas_BD!D:AL,""select AL where D='""&amp;D296&amp;""'"",1))"),0.0)</f>
        <v>0</v>
      </c>
      <c r="Y296" s="9">
        <f>IFERROR(__xludf.DUMMYFUNCTION("SUM(QUERY(Entregas_BD!D:AL,""select AK where D='""&amp;D296&amp;""'"",1))"),0.0)</f>
        <v>0</v>
      </c>
      <c r="Z296" s="9">
        <v>0.0</v>
      </c>
      <c r="AA296" s="9">
        <v>0.0</v>
      </c>
      <c r="AB296" s="9">
        <v>0.0</v>
      </c>
      <c r="AC296" s="9">
        <v>0.0</v>
      </c>
      <c r="AD296" s="9">
        <v>0.0</v>
      </c>
      <c r="AE296" s="9">
        <v>0.0</v>
      </c>
      <c r="AF296" s="28"/>
      <c r="AG296" s="15">
        <f>IFERROR(__xludf.DUMMYFUNCTION("SUM(QUERY(Entregas_BD!D:W,""select U where D='""&amp;D296&amp;""'"",1))"),0.0)</f>
        <v>0</v>
      </c>
      <c r="AH296" s="15">
        <f>IFERROR(__xludf.DUMMYFUNCTION("SUM(QUERY(Entregas_BD!D:W,""select S where D='""&amp;D296&amp;""'"",1))"),0.0)</f>
        <v>0</v>
      </c>
      <c r="AI296" s="15">
        <f>IFERROR(__xludf.DUMMYFUNCTION("SUM(QUERY(Entregas_BD!D:W,""select T where D='""&amp;D296&amp;""'"",1))"),0.0)</f>
        <v>0</v>
      </c>
    </row>
    <row r="297" ht="19.5" customHeight="1">
      <c r="A297" s="64"/>
      <c r="B297" s="32"/>
      <c r="C297" s="19">
        <v>296.0</v>
      </c>
      <c r="D297" s="20" t="s">
        <v>752</v>
      </c>
      <c r="E297" s="20" t="s">
        <v>44</v>
      </c>
      <c r="F297" s="20" t="s">
        <v>571</v>
      </c>
      <c r="G297" s="20" t="s">
        <v>675</v>
      </c>
      <c r="H297" s="34" t="s">
        <v>632</v>
      </c>
      <c r="I297" s="21" t="s">
        <v>41</v>
      </c>
      <c r="J297" s="61"/>
      <c r="K297" s="34"/>
      <c r="L297" s="42"/>
      <c r="M297" s="22"/>
      <c r="N297" s="19">
        <f>IFERROR(__xludf.DUMMYFUNCTION("SUM(QUERY(Entregas_BD!D:L,""select G where D='""&amp;D297&amp;""'"",1))"),0.0)</f>
        <v>0</v>
      </c>
      <c r="O297" s="19">
        <f>IFERROR(__xludf.DUMMYFUNCTION("SUM(QUERY(Entregas_BD!D:L,""select H where D='""&amp;D297&amp;""'"",1))"),0.0)</f>
        <v>0</v>
      </c>
      <c r="P297" s="19">
        <f>IFERROR(__xludf.DUMMYFUNCTION("SUM(QUERY(Entregas_BD!D:L,""select I where D='""&amp;D297&amp;""'"",1))"),0.0)</f>
        <v>0</v>
      </c>
      <c r="Q297" s="19">
        <f>IFERROR(__xludf.DUMMYFUNCTION("SUM(QUERY(Entregas_BD!D:L,""select J where D='""&amp;D297&amp;""'"",1))"),0.0)</f>
        <v>0</v>
      </c>
      <c r="R297" s="24">
        <f>IFERROR(__xludf.DUMMYFUNCTION("SUM(QUERY(Entregas_BD!D:L,""select K where D='""&amp;D297&amp;""'"",1))"),0.0)</f>
        <v>0</v>
      </c>
      <c r="S297" s="24">
        <f>IFERROR(__xludf.DUMMYFUNCTION("SUM(QUERY(Entregas_BD!D:L,""select L where D='""&amp;D297&amp;""'"",1))"),0.0)</f>
        <v>0</v>
      </c>
      <c r="T297" s="19">
        <f>IFERROR(__xludf.DUMMYFUNCTION("SUM(QUERY(Entregas_BD!D:AL,""select AG where D='""&amp;D297&amp;""'"",1))"),0.0)</f>
        <v>0</v>
      </c>
      <c r="U297" s="19">
        <f>IFERROR(__xludf.DUMMYFUNCTION("SUM(QUERY(Entregas_BD!D:AL,""select AH where D='""&amp;D297&amp;""'"",1))"),0.0)</f>
        <v>0</v>
      </c>
      <c r="V297" s="19">
        <f>IFERROR(__xludf.DUMMYFUNCTION("SUM(QUERY(Entregas_BD!D:AL,""select AI where D='""&amp;D297&amp;""'"",1))"),0.0)</f>
        <v>0</v>
      </c>
      <c r="W297" s="19">
        <f>IFERROR(__xludf.DUMMYFUNCTION("SUM(QUERY(Entregas_BD!D:AL,""select AJ where D='""&amp;D297&amp;""'"",1))"),0.0)</f>
        <v>0</v>
      </c>
      <c r="X297" s="19">
        <f>IFERROR(__xludf.DUMMYFUNCTION("SUM(QUERY(Entregas_BD!D:AL,""select AL where D='""&amp;D297&amp;""'"",1))"),0.0)</f>
        <v>0</v>
      </c>
      <c r="Y297" s="19">
        <f>IFERROR(__xludf.DUMMYFUNCTION("SUM(QUERY(Entregas_BD!D:AL,""select AK where D='""&amp;D297&amp;""'"",1))"),0.0)</f>
        <v>0</v>
      </c>
      <c r="Z297" s="19">
        <v>0.0</v>
      </c>
      <c r="AA297" s="19">
        <v>0.0</v>
      </c>
      <c r="AB297" s="19">
        <v>0.0</v>
      </c>
      <c r="AC297" s="19">
        <v>0.0</v>
      </c>
      <c r="AD297" s="19">
        <v>0.0</v>
      </c>
      <c r="AE297" s="19">
        <v>0.0</v>
      </c>
      <c r="AF297" s="22"/>
      <c r="AG297" s="24">
        <f>IFERROR(__xludf.DUMMYFUNCTION("SUM(QUERY(Entregas_BD!D:W,""select U where D='""&amp;D297&amp;""'"",1))"),0.0)</f>
        <v>0</v>
      </c>
      <c r="AH297" s="24">
        <f>IFERROR(__xludf.DUMMYFUNCTION("SUM(QUERY(Entregas_BD!D:W,""select S where D='""&amp;D297&amp;""'"",1))"),0.0)</f>
        <v>0</v>
      </c>
      <c r="AI297" s="24">
        <f>IFERROR(__xludf.DUMMYFUNCTION("SUM(QUERY(Entregas_BD!D:W,""select T where D='""&amp;D297&amp;""'"",1))"),0.0)</f>
        <v>0</v>
      </c>
    </row>
    <row r="298" ht="19.5" customHeight="1">
      <c r="A298" s="63"/>
      <c r="B298" s="8"/>
      <c r="C298" s="9">
        <v>297.0</v>
      </c>
      <c r="D298" s="10" t="s">
        <v>753</v>
      </c>
      <c r="E298" s="10" t="s">
        <v>197</v>
      </c>
      <c r="F298" s="10" t="s">
        <v>677</v>
      </c>
      <c r="G298" s="10" t="s">
        <v>754</v>
      </c>
      <c r="H298" s="12" t="s">
        <v>755</v>
      </c>
      <c r="I298" s="11" t="s">
        <v>41</v>
      </c>
      <c r="J298" s="60"/>
      <c r="K298" s="12"/>
      <c r="L298" s="13"/>
      <c r="M298" s="28"/>
      <c r="N298" s="9">
        <f>IFERROR(__xludf.DUMMYFUNCTION("SUM(QUERY(Entregas_BD!D:L,""select G where D='""&amp;D298&amp;""'"",1))"),0.0)</f>
        <v>0</v>
      </c>
      <c r="O298" s="9">
        <f>IFERROR(__xludf.DUMMYFUNCTION("SUM(QUERY(Entregas_BD!D:L,""select H where D='""&amp;D298&amp;""'"",1))"),0.0)</f>
        <v>0</v>
      </c>
      <c r="P298" s="9">
        <f>IFERROR(__xludf.DUMMYFUNCTION("SUM(QUERY(Entregas_BD!D:L,""select I where D='""&amp;D298&amp;""'"",1))"),0.0)</f>
        <v>0</v>
      </c>
      <c r="Q298" s="9">
        <f>IFERROR(__xludf.DUMMYFUNCTION("SUM(QUERY(Entregas_BD!D:L,""select J where D='""&amp;D298&amp;""'"",1))"),0.0)</f>
        <v>0</v>
      </c>
      <c r="R298" s="15">
        <f>IFERROR(__xludf.DUMMYFUNCTION("SUM(QUERY(Entregas_BD!D:L,""select K where D='""&amp;D298&amp;""'"",1))"),0.0)</f>
        <v>0</v>
      </c>
      <c r="S298" s="15">
        <f>IFERROR(__xludf.DUMMYFUNCTION("SUM(QUERY(Entregas_BD!D:L,""select L where D='""&amp;D298&amp;""'"",1))"),0.0)</f>
        <v>0</v>
      </c>
      <c r="T298" s="9">
        <f>IFERROR(__xludf.DUMMYFUNCTION("SUM(QUERY(Entregas_BD!D:AL,""select AG where D='""&amp;D298&amp;""'"",1))"),0.0)</f>
        <v>0</v>
      </c>
      <c r="U298" s="9">
        <f>IFERROR(__xludf.DUMMYFUNCTION("SUM(QUERY(Entregas_BD!D:AL,""select AH where D='""&amp;D298&amp;""'"",1))"),0.0)</f>
        <v>0</v>
      </c>
      <c r="V298" s="9">
        <f>IFERROR(__xludf.DUMMYFUNCTION("SUM(QUERY(Entregas_BD!D:AL,""select AI where D='""&amp;D298&amp;""'"",1))"),0.0)</f>
        <v>0</v>
      </c>
      <c r="W298" s="9">
        <f>IFERROR(__xludf.DUMMYFUNCTION("SUM(QUERY(Entregas_BD!D:AL,""select AJ where D='""&amp;D298&amp;""'"",1))"),0.0)</f>
        <v>0</v>
      </c>
      <c r="X298" s="9">
        <f>IFERROR(__xludf.DUMMYFUNCTION("SUM(QUERY(Entregas_BD!D:AL,""select AL where D='""&amp;D298&amp;""'"",1))"),0.0)</f>
        <v>0</v>
      </c>
      <c r="Y298" s="9">
        <f>IFERROR(__xludf.DUMMYFUNCTION("SUM(QUERY(Entregas_BD!D:AL,""select AK where D='""&amp;D298&amp;""'"",1))"),0.0)</f>
        <v>0</v>
      </c>
      <c r="Z298" s="9">
        <v>0.0</v>
      </c>
      <c r="AA298" s="9">
        <v>0.0</v>
      </c>
      <c r="AB298" s="9">
        <v>0.0</v>
      </c>
      <c r="AC298" s="9">
        <v>0.0</v>
      </c>
      <c r="AD298" s="9">
        <v>0.0</v>
      </c>
      <c r="AE298" s="9">
        <v>0.0</v>
      </c>
      <c r="AF298" s="28"/>
      <c r="AG298" s="15">
        <f>IFERROR(__xludf.DUMMYFUNCTION("SUM(QUERY(Entregas_BD!D:W,""select U where D='""&amp;D298&amp;""'"",1))"),0.0)</f>
        <v>0</v>
      </c>
      <c r="AH298" s="15">
        <f>IFERROR(__xludf.DUMMYFUNCTION("SUM(QUERY(Entregas_BD!D:W,""select S where D='""&amp;D298&amp;""'"",1))"),0.0)</f>
        <v>0</v>
      </c>
      <c r="AI298" s="15">
        <f>IFERROR(__xludf.DUMMYFUNCTION("SUM(QUERY(Entregas_BD!D:W,""select T where D='""&amp;D298&amp;""'"",1))"),0.0)</f>
        <v>0</v>
      </c>
    </row>
    <row r="299" ht="19.5" customHeight="1">
      <c r="A299" s="64"/>
      <c r="B299" s="32"/>
      <c r="C299" s="19">
        <v>298.0</v>
      </c>
      <c r="D299" s="20" t="s">
        <v>756</v>
      </c>
      <c r="E299" s="20" t="s">
        <v>197</v>
      </c>
      <c r="F299" s="20" t="s">
        <v>494</v>
      </c>
      <c r="G299" s="20" t="s">
        <v>757</v>
      </c>
      <c r="H299" s="34" t="s">
        <v>632</v>
      </c>
      <c r="I299" s="21" t="s">
        <v>41</v>
      </c>
      <c r="J299" s="34"/>
      <c r="K299" s="34"/>
      <c r="L299" s="42"/>
      <c r="M299" s="22"/>
      <c r="N299" s="19">
        <f>IFERROR(__xludf.DUMMYFUNCTION("SUM(QUERY(Entregas_BD!D:L,""select G where D='""&amp;D299&amp;""'"",1))"),0.0)</f>
        <v>0</v>
      </c>
      <c r="O299" s="19">
        <f>IFERROR(__xludf.DUMMYFUNCTION("SUM(QUERY(Entregas_BD!D:L,""select H where D='""&amp;D299&amp;""'"",1))"),0.0)</f>
        <v>0</v>
      </c>
      <c r="P299" s="19">
        <f>IFERROR(__xludf.DUMMYFUNCTION("SUM(QUERY(Entregas_BD!D:L,""select I where D='""&amp;D299&amp;""'"",1))"),0.0)</f>
        <v>0</v>
      </c>
      <c r="Q299" s="19">
        <f>IFERROR(__xludf.DUMMYFUNCTION("SUM(QUERY(Entregas_BD!D:L,""select J where D='""&amp;D299&amp;""'"",1))"),0.0)</f>
        <v>0</v>
      </c>
      <c r="R299" s="24">
        <f>IFERROR(__xludf.DUMMYFUNCTION("SUM(QUERY(Entregas_BD!D:L,""select K where D='""&amp;D299&amp;""'"",1))"),0.0)</f>
        <v>0</v>
      </c>
      <c r="S299" s="24">
        <f>IFERROR(__xludf.DUMMYFUNCTION("SUM(QUERY(Entregas_BD!D:L,""select L where D='""&amp;D299&amp;""'"",1))"),0.0)</f>
        <v>0</v>
      </c>
      <c r="T299" s="19">
        <f>IFERROR(__xludf.DUMMYFUNCTION("SUM(QUERY(Entregas_BD!D:AL,""select AG where D='""&amp;D299&amp;""'"",1))"),0.0)</f>
        <v>0</v>
      </c>
      <c r="U299" s="19">
        <f>IFERROR(__xludf.DUMMYFUNCTION("SUM(QUERY(Entregas_BD!D:AL,""select AH where D='""&amp;D299&amp;""'"",1))"),0.0)</f>
        <v>0</v>
      </c>
      <c r="V299" s="19">
        <f>IFERROR(__xludf.DUMMYFUNCTION("SUM(QUERY(Entregas_BD!D:AL,""select AI where D='""&amp;D299&amp;""'"",1))"),0.0)</f>
        <v>0</v>
      </c>
      <c r="W299" s="19">
        <f>IFERROR(__xludf.DUMMYFUNCTION("SUM(QUERY(Entregas_BD!D:AL,""select AJ where D='""&amp;D299&amp;""'"",1))"),0.0)</f>
        <v>0</v>
      </c>
      <c r="X299" s="19">
        <f>IFERROR(__xludf.DUMMYFUNCTION("SUM(QUERY(Entregas_BD!D:AL,""select AL where D='""&amp;D299&amp;""'"",1))"),0.0)</f>
        <v>0</v>
      </c>
      <c r="Y299" s="19">
        <f>IFERROR(__xludf.DUMMYFUNCTION("SUM(QUERY(Entregas_BD!D:AL,""select AK where D='""&amp;D299&amp;""'"",1))"),0.0)</f>
        <v>0</v>
      </c>
      <c r="Z299" s="19">
        <v>0.0</v>
      </c>
      <c r="AA299" s="19">
        <v>0.0</v>
      </c>
      <c r="AB299" s="19">
        <v>0.0</v>
      </c>
      <c r="AC299" s="19">
        <v>0.0</v>
      </c>
      <c r="AD299" s="19">
        <v>0.0</v>
      </c>
      <c r="AE299" s="19">
        <v>0.0</v>
      </c>
      <c r="AF299" s="22"/>
      <c r="AG299" s="24">
        <f>IFERROR(__xludf.DUMMYFUNCTION("SUM(QUERY(Entregas_BD!D:W,""select U where D='""&amp;D299&amp;""'"",1))"),0.0)</f>
        <v>0</v>
      </c>
      <c r="AH299" s="24">
        <f>IFERROR(__xludf.DUMMYFUNCTION("SUM(QUERY(Entregas_BD!D:W,""select S where D='""&amp;D299&amp;""'"",1))"),0.0)</f>
        <v>0</v>
      </c>
      <c r="AI299" s="24">
        <f>IFERROR(__xludf.DUMMYFUNCTION("SUM(QUERY(Entregas_BD!D:W,""select T where D='""&amp;D299&amp;""'"",1))"),0.0)</f>
        <v>0</v>
      </c>
    </row>
    <row r="300" ht="19.5" customHeight="1">
      <c r="A300" s="63"/>
      <c r="B300" s="8"/>
      <c r="C300" s="9">
        <v>299.0</v>
      </c>
      <c r="D300" s="10" t="s">
        <v>758</v>
      </c>
      <c r="E300" s="10" t="s">
        <v>58</v>
      </c>
      <c r="F300" s="10" t="s">
        <v>45</v>
      </c>
      <c r="G300" s="10" t="s">
        <v>759</v>
      </c>
      <c r="H300" s="12" t="s">
        <v>632</v>
      </c>
      <c r="I300" s="11" t="s">
        <v>41</v>
      </c>
      <c r="J300" s="12"/>
      <c r="K300" s="12"/>
      <c r="L300" s="13"/>
      <c r="M300" s="28"/>
      <c r="N300" s="9">
        <f>IFERROR(__xludf.DUMMYFUNCTION("SUM(QUERY(Entregas_BD!D:L,""select G where D='""&amp;D300&amp;""'"",1))"),0.0)</f>
        <v>0</v>
      </c>
      <c r="O300" s="9">
        <f>IFERROR(__xludf.DUMMYFUNCTION("SUM(QUERY(Entregas_BD!D:L,""select H where D='""&amp;D300&amp;""'"",1))"),0.0)</f>
        <v>0</v>
      </c>
      <c r="P300" s="9">
        <f>IFERROR(__xludf.DUMMYFUNCTION("SUM(QUERY(Entregas_BD!D:L,""select I where D='""&amp;D300&amp;""'"",1))"),0.0)</f>
        <v>0</v>
      </c>
      <c r="Q300" s="9">
        <f>IFERROR(__xludf.DUMMYFUNCTION("SUM(QUERY(Entregas_BD!D:L,""select J where D='""&amp;D300&amp;""'"",1))"),0.0)</f>
        <v>0</v>
      </c>
      <c r="R300" s="15">
        <f>IFERROR(__xludf.DUMMYFUNCTION("SUM(QUERY(Entregas_BD!D:L,""select K where D='""&amp;D300&amp;""'"",1))"),0.0)</f>
        <v>0</v>
      </c>
      <c r="S300" s="15">
        <f>IFERROR(__xludf.DUMMYFUNCTION("SUM(QUERY(Entregas_BD!D:L,""select L where D='""&amp;D300&amp;""'"",1))"),0.0)</f>
        <v>0</v>
      </c>
      <c r="T300" s="9">
        <f>IFERROR(__xludf.DUMMYFUNCTION("SUM(QUERY(Entregas_BD!D:AL,""select AG where D='""&amp;D300&amp;""'"",1))"),50.0)</f>
        <v>50</v>
      </c>
      <c r="U300" s="9">
        <f>IFERROR(__xludf.DUMMYFUNCTION("SUM(QUERY(Entregas_BD!D:AL,""select AH where D='""&amp;D300&amp;""'"",1))"),0.0)</f>
        <v>0</v>
      </c>
      <c r="V300" s="9">
        <f>IFERROR(__xludf.DUMMYFUNCTION("SUM(QUERY(Entregas_BD!D:AL,""select AI where D='""&amp;D300&amp;""'"",1))"),0.0)</f>
        <v>0</v>
      </c>
      <c r="W300" s="9">
        <f>IFERROR(__xludf.DUMMYFUNCTION("SUM(QUERY(Entregas_BD!D:AL,""select AJ where D='""&amp;D300&amp;""'"",1))"),0.0)</f>
        <v>0</v>
      </c>
      <c r="X300" s="9">
        <f>IFERROR(__xludf.DUMMYFUNCTION("SUM(QUERY(Entregas_BD!D:AL,""select AL where D='""&amp;D300&amp;""'"",1))"),0.0)</f>
        <v>0</v>
      </c>
      <c r="Y300" s="9">
        <f>IFERROR(__xludf.DUMMYFUNCTION("SUM(QUERY(Entregas_BD!D:AL,""select AK where D='""&amp;D300&amp;""'"",1))"),0.0)</f>
        <v>0</v>
      </c>
      <c r="Z300" s="9">
        <v>-50.0</v>
      </c>
      <c r="AA300" s="9">
        <v>0.0</v>
      </c>
      <c r="AB300" s="9">
        <v>0.0</v>
      </c>
      <c r="AC300" s="9">
        <v>0.0</v>
      </c>
      <c r="AD300" s="9">
        <v>0.0</v>
      </c>
      <c r="AE300" s="9">
        <v>0.0</v>
      </c>
      <c r="AF300" s="28"/>
      <c r="AG300" s="15">
        <f>IFERROR(__xludf.DUMMYFUNCTION("SUM(QUERY(Entregas_BD!D:W,""select U where D='""&amp;D300&amp;""'"",1))"),0.0)</f>
        <v>0</v>
      </c>
      <c r="AH300" s="15">
        <f>IFERROR(__xludf.DUMMYFUNCTION("SUM(QUERY(Entregas_BD!D:W,""select S where D='""&amp;D300&amp;""'"",1))"),0.0)</f>
        <v>0</v>
      </c>
      <c r="AI300" s="15">
        <f>IFERROR(__xludf.DUMMYFUNCTION("SUM(QUERY(Entregas_BD!D:W,""select T where D='""&amp;D300&amp;""'"",1))"),0.0)</f>
        <v>0</v>
      </c>
    </row>
    <row r="301" ht="19.5" customHeight="1">
      <c r="A301" s="64"/>
      <c r="B301" s="32"/>
      <c r="C301" s="19">
        <v>300.0</v>
      </c>
      <c r="D301" s="20" t="s">
        <v>760</v>
      </c>
      <c r="E301" s="20" t="s">
        <v>58</v>
      </c>
      <c r="F301" s="20" t="s">
        <v>45</v>
      </c>
      <c r="G301" s="20" t="s">
        <v>378</v>
      </c>
      <c r="H301" s="34" t="s">
        <v>622</v>
      </c>
      <c r="I301" s="21" t="s">
        <v>41</v>
      </c>
      <c r="J301" s="34"/>
      <c r="K301" s="34"/>
      <c r="L301" s="42"/>
      <c r="M301" s="22"/>
      <c r="N301" s="19">
        <f>IFERROR(__xludf.DUMMYFUNCTION("SUM(QUERY(Entregas_BD!D:L,""select G where D='""&amp;D301&amp;""'"",1))"),0.0)</f>
        <v>0</v>
      </c>
      <c r="O301" s="19">
        <f>IFERROR(__xludf.DUMMYFUNCTION("SUM(QUERY(Entregas_BD!D:L,""select H where D='""&amp;D301&amp;""'"",1))"),0.0)</f>
        <v>0</v>
      </c>
      <c r="P301" s="19">
        <f>IFERROR(__xludf.DUMMYFUNCTION("SUM(QUERY(Entregas_BD!D:L,""select I where D='""&amp;D301&amp;""'"",1))"),0.0)</f>
        <v>0</v>
      </c>
      <c r="Q301" s="19">
        <f>IFERROR(__xludf.DUMMYFUNCTION("SUM(QUERY(Entregas_BD!D:L,""select J where D='""&amp;D301&amp;""'"",1))"),0.0)</f>
        <v>0</v>
      </c>
      <c r="R301" s="24">
        <f>IFERROR(__xludf.DUMMYFUNCTION("SUM(QUERY(Entregas_BD!D:L,""select K where D='""&amp;D301&amp;""'"",1))"),0.0)</f>
        <v>0</v>
      </c>
      <c r="S301" s="24">
        <f>IFERROR(__xludf.DUMMYFUNCTION("SUM(QUERY(Entregas_BD!D:L,""select L where D='""&amp;D301&amp;""'"",1))"),0.0)</f>
        <v>0</v>
      </c>
      <c r="T301" s="19">
        <f>IFERROR(__xludf.DUMMYFUNCTION("SUM(QUERY(Entregas_BD!D:AL,""select AG where D='""&amp;D301&amp;""'"",1))"),0.0)</f>
        <v>0</v>
      </c>
      <c r="U301" s="19">
        <f>IFERROR(__xludf.DUMMYFUNCTION("SUM(QUERY(Entregas_BD!D:AL,""select AH where D='""&amp;D301&amp;""'"",1))"),0.0)</f>
        <v>0</v>
      </c>
      <c r="V301" s="19">
        <f>IFERROR(__xludf.DUMMYFUNCTION("SUM(QUERY(Entregas_BD!D:AL,""select AI where D='""&amp;D301&amp;""'"",1))"),0.0)</f>
        <v>0</v>
      </c>
      <c r="W301" s="19">
        <f>IFERROR(__xludf.DUMMYFUNCTION("SUM(QUERY(Entregas_BD!D:AL,""select AJ where D='""&amp;D301&amp;""'"",1))"),0.0)</f>
        <v>0</v>
      </c>
      <c r="X301" s="19">
        <f>IFERROR(__xludf.DUMMYFUNCTION("SUM(QUERY(Entregas_BD!D:AL,""select AL where D='""&amp;D301&amp;""'"",1))"),0.0)</f>
        <v>0</v>
      </c>
      <c r="Y301" s="19">
        <f>IFERROR(__xludf.DUMMYFUNCTION("SUM(QUERY(Entregas_BD!D:AL,""select AK where D='""&amp;D301&amp;""'"",1))"),0.0)</f>
        <v>0</v>
      </c>
      <c r="Z301" s="19">
        <v>0.0</v>
      </c>
      <c r="AA301" s="19">
        <v>0.0</v>
      </c>
      <c r="AB301" s="19">
        <v>0.0</v>
      </c>
      <c r="AC301" s="19">
        <v>0.0</v>
      </c>
      <c r="AD301" s="19">
        <v>0.0</v>
      </c>
      <c r="AE301" s="19">
        <v>0.0</v>
      </c>
      <c r="AF301" s="22"/>
      <c r="AG301" s="24">
        <f>IFERROR(__xludf.DUMMYFUNCTION("SUM(QUERY(Entregas_BD!D:W,""select U where D='""&amp;D301&amp;""'"",1))"),0.0)</f>
        <v>0</v>
      </c>
      <c r="AH301" s="24">
        <f>IFERROR(__xludf.DUMMYFUNCTION("SUM(QUERY(Entregas_BD!D:W,""select S where D='""&amp;D301&amp;""'"",1))"),0.0)</f>
        <v>0</v>
      </c>
      <c r="AI301" s="24">
        <f>IFERROR(__xludf.DUMMYFUNCTION("SUM(QUERY(Entregas_BD!D:W,""select T where D='""&amp;D301&amp;""'"",1))"),0.0)</f>
        <v>0</v>
      </c>
    </row>
    <row r="302" ht="19.5" customHeight="1">
      <c r="A302" s="63"/>
      <c r="B302" s="8"/>
      <c r="C302" s="9">
        <v>301.0</v>
      </c>
      <c r="D302" s="10" t="s">
        <v>761</v>
      </c>
      <c r="E302" s="10" t="s">
        <v>72</v>
      </c>
      <c r="F302" s="10" t="s">
        <v>45</v>
      </c>
      <c r="G302" s="10" t="s">
        <v>79</v>
      </c>
      <c r="H302" s="12" t="s">
        <v>617</v>
      </c>
      <c r="I302" s="11" t="s">
        <v>41</v>
      </c>
      <c r="J302" s="28"/>
      <c r="K302" s="12"/>
      <c r="L302" s="13"/>
      <c r="M302" s="28"/>
      <c r="N302" s="9">
        <f>IFERROR(__xludf.DUMMYFUNCTION("SUM(QUERY(Entregas_BD!D:L,""select G where D='""&amp;D302&amp;""'"",1))"),0.0)</f>
        <v>0</v>
      </c>
      <c r="O302" s="9">
        <f>IFERROR(__xludf.DUMMYFUNCTION("SUM(QUERY(Entregas_BD!D:L,""select H where D='""&amp;D302&amp;""'"",1))"),0.0)</f>
        <v>0</v>
      </c>
      <c r="P302" s="9">
        <f>IFERROR(__xludf.DUMMYFUNCTION("SUM(QUERY(Entregas_BD!D:L,""select I where D='""&amp;D302&amp;""'"",1))"),0.0)</f>
        <v>0</v>
      </c>
      <c r="Q302" s="9">
        <f>IFERROR(__xludf.DUMMYFUNCTION("SUM(QUERY(Entregas_BD!D:L,""select J where D='""&amp;D302&amp;""'"",1))"),0.0)</f>
        <v>0</v>
      </c>
      <c r="R302" s="15">
        <f>IFERROR(__xludf.DUMMYFUNCTION("SUM(QUERY(Entregas_BD!D:L,""select K where D='""&amp;D302&amp;""'"",1))"),0.0)</f>
        <v>0</v>
      </c>
      <c r="S302" s="15">
        <f>IFERROR(__xludf.DUMMYFUNCTION("SUM(QUERY(Entregas_BD!D:L,""select L where D='""&amp;D302&amp;""'"",1))"),0.0)</f>
        <v>0</v>
      </c>
      <c r="T302" s="9">
        <f>IFERROR(__xludf.DUMMYFUNCTION("SUM(QUERY(Entregas_BD!D:AL,""select AG where D='""&amp;D302&amp;""'"",1))"),0.0)</f>
        <v>0</v>
      </c>
      <c r="U302" s="9">
        <f>IFERROR(__xludf.DUMMYFUNCTION("SUM(QUERY(Entregas_BD!D:AL,""select AH where D='""&amp;D302&amp;""'"",1))"),0.0)</f>
        <v>0</v>
      </c>
      <c r="V302" s="9">
        <f>IFERROR(__xludf.DUMMYFUNCTION("SUM(QUERY(Entregas_BD!D:AL,""select AI where D='""&amp;D302&amp;""'"",1))"),0.0)</f>
        <v>0</v>
      </c>
      <c r="W302" s="9">
        <f>IFERROR(__xludf.DUMMYFUNCTION("SUM(QUERY(Entregas_BD!D:AL,""select AJ where D='""&amp;D302&amp;""'"",1))"),0.0)</f>
        <v>0</v>
      </c>
      <c r="X302" s="9">
        <f>IFERROR(__xludf.DUMMYFUNCTION("SUM(QUERY(Entregas_BD!D:AL,""select AL where D='""&amp;D302&amp;""'"",1))"),0.0)</f>
        <v>0</v>
      </c>
      <c r="Y302" s="9">
        <f>IFERROR(__xludf.DUMMYFUNCTION("SUM(QUERY(Entregas_BD!D:AL,""select AK where D='""&amp;D302&amp;""'"",1))"),0.0)</f>
        <v>0</v>
      </c>
      <c r="Z302" s="9">
        <v>0.0</v>
      </c>
      <c r="AA302" s="9">
        <v>0.0</v>
      </c>
      <c r="AB302" s="9">
        <v>0.0</v>
      </c>
      <c r="AC302" s="9">
        <v>0.0</v>
      </c>
      <c r="AD302" s="9">
        <v>0.0</v>
      </c>
      <c r="AE302" s="9">
        <v>0.0</v>
      </c>
      <c r="AF302" s="28"/>
      <c r="AG302" s="15">
        <f>IFERROR(__xludf.DUMMYFUNCTION("SUM(QUERY(Entregas_BD!D:W,""select U where D='""&amp;D302&amp;""'"",1))"),0.0)</f>
        <v>0</v>
      </c>
      <c r="AH302" s="15">
        <f>IFERROR(__xludf.DUMMYFUNCTION("SUM(QUERY(Entregas_BD!D:W,""select S where D='""&amp;D302&amp;""'"",1))"),0.0)</f>
        <v>0</v>
      </c>
      <c r="AI302" s="15">
        <f>IFERROR(__xludf.DUMMYFUNCTION("SUM(QUERY(Entregas_BD!D:W,""select T where D='""&amp;D302&amp;""'"",1))"),0.0)</f>
        <v>0</v>
      </c>
    </row>
    <row r="303" ht="19.5" customHeight="1">
      <c r="A303" s="64"/>
      <c r="B303" s="32"/>
      <c r="C303" s="19">
        <v>302.0</v>
      </c>
      <c r="D303" s="20" t="s">
        <v>762</v>
      </c>
      <c r="E303" s="20" t="s">
        <v>197</v>
      </c>
      <c r="F303" s="20" t="s">
        <v>763</v>
      </c>
      <c r="G303" s="20" t="s">
        <v>764</v>
      </c>
      <c r="H303" s="34" t="s">
        <v>593</v>
      </c>
      <c r="I303" s="21" t="s">
        <v>41</v>
      </c>
      <c r="J303" s="34"/>
      <c r="K303" s="34"/>
      <c r="L303" s="42"/>
      <c r="M303" s="22"/>
      <c r="N303" s="19">
        <f>IFERROR(__xludf.DUMMYFUNCTION("SUM(QUERY(Entregas_BD!D:L,""select G where D='""&amp;D303&amp;""'"",1))"),0.0)</f>
        <v>0</v>
      </c>
      <c r="O303" s="19">
        <f>IFERROR(__xludf.DUMMYFUNCTION("SUM(QUERY(Entregas_BD!D:L,""select H where D='""&amp;D303&amp;""'"",1))"),0.0)</f>
        <v>0</v>
      </c>
      <c r="P303" s="19">
        <f>IFERROR(__xludf.DUMMYFUNCTION("SUM(QUERY(Entregas_BD!D:L,""select I where D='""&amp;D303&amp;""'"",1))"),0.0)</f>
        <v>0</v>
      </c>
      <c r="Q303" s="19">
        <f>IFERROR(__xludf.DUMMYFUNCTION("SUM(QUERY(Entregas_BD!D:L,""select J where D='""&amp;D303&amp;""'"",1))"),0.0)</f>
        <v>0</v>
      </c>
      <c r="R303" s="24">
        <f>IFERROR(__xludf.DUMMYFUNCTION("SUM(QUERY(Entregas_BD!D:L,""select K where D='""&amp;D303&amp;""'"",1))"),0.0)</f>
        <v>0</v>
      </c>
      <c r="S303" s="24">
        <f>IFERROR(__xludf.DUMMYFUNCTION("SUM(QUERY(Entregas_BD!D:L,""select L where D='""&amp;D303&amp;""'"",1))"),0.0)</f>
        <v>0</v>
      </c>
      <c r="T303" s="19">
        <f>IFERROR(__xludf.DUMMYFUNCTION("SUM(QUERY(Entregas_BD!D:AL,""select AG where D='""&amp;D303&amp;""'"",1))"),100.0)</f>
        <v>100</v>
      </c>
      <c r="U303" s="19">
        <f>IFERROR(__xludf.DUMMYFUNCTION("SUM(QUERY(Entregas_BD!D:AL,""select AH where D='""&amp;D303&amp;""'"",1))"),0.0)</f>
        <v>0</v>
      </c>
      <c r="V303" s="19">
        <f>IFERROR(__xludf.DUMMYFUNCTION("SUM(QUERY(Entregas_BD!D:AL,""select AI where D='""&amp;D303&amp;""'"",1))"),0.0)</f>
        <v>0</v>
      </c>
      <c r="W303" s="19">
        <f>IFERROR(__xludf.DUMMYFUNCTION("SUM(QUERY(Entregas_BD!D:AL,""select AJ where D='""&amp;D303&amp;""'"",1))"),0.0)</f>
        <v>0</v>
      </c>
      <c r="X303" s="19">
        <f>IFERROR(__xludf.DUMMYFUNCTION("SUM(QUERY(Entregas_BD!D:AL,""select AL where D='""&amp;D303&amp;""'"",1))"),0.0)</f>
        <v>0</v>
      </c>
      <c r="Y303" s="19">
        <f>IFERROR(__xludf.DUMMYFUNCTION("SUM(QUERY(Entregas_BD!D:AL,""select AK where D='""&amp;D303&amp;""'"",1))"),0.0)</f>
        <v>0</v>
      </c>
      <c r="Z303" s="19">
        <v>-100.0</v>
      </c>
      <c r="AA303" s="19">
        <v>0.0</v>
      </c>
      <c r="AB303" s="19">
        <v>0.0</v>
      </c>
      <c r="AC303" s="19">
        <v>0.0</v>
      </c>
      <c r="AD303" s="19">
        <v>0.0</v>
      </c>
      <c r="AE303" s="19">
        <v>0.0</v>
      </c>
      <c r="AF303" s="22"/>
      <c r="AG303" s="24">
        <f>IFERROR(__xludf.DUMMYFUNCTION("SUM(QUERY(Entregas_BD!D:W,""select U where D='""&amp;D303&amp;""'"",1))"),0.0)</f>
        <v>0</v>
      </c>
      <c r="AH303" s="24">
        <f>IFERROR(__xludf.DUMMYFUNCTION("SUM(QUERY(Entregas_BD!D:W,""select S where D='""&amp;D303&amp;""'"",1))"),0.0)</f>
        <v>0</v>
      </c>
      <c r="AI303" s="24">
        <f>IFERROR(__xludf.DUMMYFUNCTION("SUM(QUERY(Entregas_BD!D:W,""select T where D='""&amp;D303&amp;""'"",1))"),0.0)</f>
        <v>0</v>
      </c>
    </row>
    <row r="304" ht="19.5" customHeight="1">
      <c r="A304" s="63"/>
      <c r="B304" s="8"/>
      <c r="C304" s="9">
        <v>303.0</v>
      </c>
      <c r="D304" s="10" t="s">
        <v>765</v>
      </c>
      <c r="E304" s="10" t="s">
        <v>63</v>
      </c>
      <c r="F304" s="10" t="s">
        <v>45</v>
      </c>
      <c r="G304" s="10" t="s">
        <v>240</v>
      </c>
      <c r="H304" s="12" t="s">
        <v>632</v>
      </c>
      <c r="I304" s="11" t="s">
        <v>41</v>
      </c>
      <c r="J304" s="60"/>
      <c r="K304" s="12"/>
      <c r="L304" s="13"/>
      <c r="M304" s="28"/>
      <c r="N304" s="9">
        <f>IFERROR(__xludf.DUMMYFUNCTION("SUM(QUERY(Entregas_BD!D:L,""select G where D='""&amp;D304&amp;""'"",1))"),0.0)</f>
        <v>0</v>
      </c>
      <c r="O304" s="9">
        <f>IFERROR(__xludf.DUMMYFUNCTION("SUM(QUERY(Entregas_BD!D:L,""select H where D='""&amp;D304&amp;""'"",1))"),0.0)</f>
        <v>0</v>
      </c>
      <c r="P304" s="9">
        <f>IFERROR(__xludf.DUMMYFUNCTION("SUM(QUERY(Entregas_BD!D:L,""select I where D='""&amp;D304&amp;""'"",1))"),0.0)</f>
        <v>0</v>
      </c>
      <c r="Q304" s="9">
        <f>IFERROR(__xludf.DUMMYFUNCTION("SUM(QUERY(Entregas_BD!D:L,""select J where D='""&amp;D304&amp;""'"",1))"),0.0)</f>
        <v>0</v>
      </c>
      <c r="R304" s="15">
        <f>IFERROR(__xludf.DUMMYFUNCTION("SUM(QUERY(Entregas_BD!D:L,""select K where D='""&amp;D304&amp;""'"",1))"),0.0)</f>
        <v>0</v>
      </c>
      <c r="S304" s="15">
        <f>IFERROR(__xludf.DUMMYFUNCTION("SUM(QUERY(Entregas_BD!D:L,""select L where D='""&amp;D304&amp;""'"",1))"),0.0)</f>
        <v>0</v>
      </c>
      <c r="T304" s="9">
        <f>IFERROR(__xludf.DUMMYFUNCTION("SUM(QUERY(Entregas_BD!D:AL,""select AG where D='""&amp;D304&amp;""'"",1))"),50.0)</f>
        <v>50</v>
      </c>
      <c r="U304" s="9">
        <f>IFERROR(__xludf.DUMMYFUNCTION("SUM(QUERY(Entregas_BD!D:AL,""select AH where D='""&amp;D304&amp;""'"",1))"),0.0)</f>
        <v>0</v>
      </c>
      <c r="V304" s="9">
        <f>IFERROR(__xludf.DUMMYFUNCTION("SUM(QUERY(Entregas_BD!D:AL,""select AI where D='""&amp;D304&amp;""'"",1))"),0.0)</f>
        <v>0</v>
      </c>
      <c r="W304" s="9">
        <f>IFERROR(__xludf.DUMMYFUNCTION("SUM(QUERY(Entregas_BD!D:AL,""select AJ where D='""&amp;D304&amp;""'"",1))"),0.0)</f>
        <v>0</v>
      </c>
      <c r="X304" s="9">
        <f>IFERROR(__xludf.DUMMYFUNCTION("SUM(QUERY(Entregas_BD!D:AL,""select AL where D='""&amp;D304&amp;""'"",1))"),0.0)</f>
        <v>0</v>
      </c>
      <c r="Y304" s="9">
        <f>IFERROR(__xludf.DUMMYFUNCTION("SUM(QUERY(Entregas_BD!D:AL,""select AK where D='""&amp;D304&amp;""'"",1))"),0.0)</f>
        <v>0</v>
      </c>
      <c r="Z304" s="9">
        <v>-50.0</v>
      </c>
      <c r="AA304" s="9">
        <v>0.0</v>
      </c>
      <c r="AB304" s="9">
        <v>0.0</v>
      </c>
      <c r="AC304" s="9">
        <v>0.0</v>
      </c>
      <c r="AD304" s="9">
        <v>0.0</v>
      </c>
      <c r="AE304" s="9">
        <v>0.0</v>
      </c>
      <c r="AF304" s="28"/>
      <c r="AG304" s="15">
        <f>IFERROR(__xludf.DUMMYFUNCTION("SUM(QUERY(Entregas_BD!D:W,""select U where D='""&amp;D304&amp;""'"",1))"),0.0)</f>
        <v>0</v>
      </c>
      <c r="AH304" s="15">
        <f>IFERROR(__xludf.DUMMYFUNCTION("SUM(QUERY(Entregas_BD!D:W,""select S where D='""&amp;D304&amp;""'"",1))"),0.0)</f>
        <v>0</v>
      </c>
      <c r="AI304" s="15">
        <f>IFERROR(__xludf.DUMMYFUNCTION("SUM(QUERY(Entregas_BD!D:W,""select T where D='""&amp;D304&amp;""'"",1))"),0.0)</f>
        <v>0</v>
      </c>
    </row>
    <row r="305" ht="19.5" customHeight="1">
      <c r="A305" s="64"/>
      <c r="B305" s="32"/>
      <c r="C305" s="19">
        <v>304.0</v>
      </c>
      <c r="D305" s="20" t="s">
        <v>766</v>
      </c>
      <c r="E305" s="20" t="s">
        <v>63</v>
      </c>
      <c r="F305" s="20" t="s">
        <v>571</v>
      </c>
      <c r="G305" s="20" t="s">
        <v>767</v>
      </c>
      <c r="H305" s="34" t="s">
        <v>632</v>
      </c>
      <c r="I305" s="21" t="s">
        <v>41</v>
      </c>
      <c r="J305" s="34"/>
      <c r="K305" s="34"/>
      <c r="L305" s="42"/>
      <c r="M305" s="22"/>
      <c r="N305" s="19">
        <f>IFERROR(__xludf.DUMMYFUNCTION("SUM(QUERY(Entregas_BD!D:L,""select G where D='""&amp;D305&amp;""'"",1))"),0.0)</f>
        <v>0</v>
      </c>
      <c r="O305" s="19">
        <f>IFERROR(__xludf.DUMMYFUNCTION("SUM(QUERY(Entregas_BD!D:L,""select H where D='""&amp;D305&amp;""'"",1))"),0.0)</f>
        <v>0</v>
      </c>
      <c r="P305" s="19">
        <f>IFERROR(__xludf.DUMMYFUNCTION("SUM(QUERY(Entregas_BD!D:L,""select I where D='""&amp;D305&amp;""'"",1))"),0.0)</f>
        <v>0</v>
      </c>
      <c r="Q305" s="19">
        <f>IFERROR(__xludf.DUMMYFUNCTION("SUM(QUERY(Entregas_BD!D:L,""select J where D='""&amp;D305&amp;""'"",1))"),0.0)</f>
        <v>0</v>
      </c>
      <c r="R305" s="24">
        <f>IFERROR(__xludf.DUMMYFUNCTION("SUM(QUERY(Entregas_BD!D:L,""select K where D='""&amp;D305&amp;""'"",1))"),0.0)</f>
        <v>0</v>
      </c>
      <c r="S305" s="24">
        <f>IFERROR(__xludf.DUMMYFUNCTION("SUM(QUERY(Entregas_BD!D:L,""select L where D='""&amp;D305&amp;""'"",1))"),0.0)</f>
        <v>0</v>
      </c>
      <c r="T305" s="19">
        <f>IFERROR(__xludf.DUMMYFUNCTION("SUM(QUERY(Entregas_BD!D:AL,""select AG where D='""&amp;D305&amp;""'"",1))"),50.0)</f>
        <v>50</v>
      </c>
      <c r="U305" s="19">
        <f>IFERROR(__xludf.DUMMYFUNCTION("SUM(QUERY(Entregas_BD!D:AL,""select AH where D='""&amp;D305&amp;""'"",1))"),0.0)</f>
        <v>0</v>
      </c>
      <c r="V305" s="19">
        <f>IFERROR(__xludf.DUMMYFUNCTION("SUM(QUERY(Entregas_BD!D:AL,""select AI where D='""&amp;D305&amp;""'"",1))"),0.0)</f>
        <v>0</v>
      </c>
      <c r="W305" s="19">
        <f>IFERROR(__xludf.DUMMYFUNCTION("SUM(QUERY(Entregas_BD!D:AL,""select AJ where D='""&amp;D305&amp;""'"",1))"),0.0)</f>
        <v>0</v>
      </c>
      <c r="X305" s="19">
        <f>IFERROR(__xludf.DUMMYFUNCTION("SUM(QUERY(Entregas_BD!D:AL,""select AL where D='""&amp;D305&amp;""'"",1))"),50.0)</f>
        <v>50</v>
      </c>
      <c r="Y305" s="19">
        <f>IFERROR(__xludf.DUMMYFUNCTION("SUM(QUERY(Entregas_BD!D:AL,""select AK where D='""&amp;D305&amp;""'"",1))"),0.0)</f>
        <v>0</v>
      </c>
      <c r="Z305" s="19">
        <v>-50.0</v>
      </c>
      <c r="AA305" s="19">
        <v>0.0</v>
      </c>
      <c r="AB305" s="19">
        <v>0.0</v>
      </c>
      <c r="AC305" s="19">
        <v>0.0</v>
      </c>
      <c r="AD305" s="19">
        <v>0.0</v>
      </c>
      <c r="AE305" s="19">
        <v>-50.0</v>
      </c>
      <c r="AF305" s="22"/>
      <c r="AG305" s="24">
        <f>IFERROR(__xludf.DUMMYFUNCTION("SUM(QUERY(Entregas_BD!D:W,""select U where D='""&amp;D305&amp;""'"",1))"),0.0)</f>
        <v>0</v>
      </c>
      <c r="AH305" s="24">
        <f>IFERROR(__xludf.DUMMYFUNCTION("SUM(QUERY(Entregas_BD!D:W,""select S where D='""&amp;D305&amp;""'"",1))"),0.0)</f>
        <v>0</v>
      </c>
      <c r="AI305" s="24">
        <f>IFERROR(__xludf.DUMMYFUNCTION("SUM(QUERY(Entregas_BD!D:W,""select T where D='""&amp;D305&amp;""'"",1))"),0.0)</f>
        <v>0</v>
      </c>
    </row>
    <row r="306" ht="19.5" customHeight="1">
      <c r="A306" s="63"/>
      <c r="B306" s="8"/>
      <c r="C306" s="9">
        <v>305.0</v>
      </c>
      <c r="D306" s="10" t="s">
        <v>768</v>
      </c>
      <c r="E306" s="10" t="s">
        <v>197</v>
      </c>
      <c r="F306" s="10" t="s">
        <v>647</v>
      </c>
      <c r="G306" s="10" t="s">
        <v>648</v>
      </c>
      <c r="H306" s="12" t="s">
        <v>632</v>
      </c>
      <c r="I306" s="11" t="s">
        <v>41</v>
      </c>
      <c r="J306" s="12"/>
      <c r="K306" s="12"/>
      <c r="L306" s="13"/>
      <c r="M306" s="28"/>
      <c r="N306" s="9">
        <f>IFERROR(__xludf.DUMMYFUNCTION("SUM(QUERY(Entregas_BD!D:L,""select G where D='""&amp;D306&amp;""'"",1))"),0.0)</f>
        <v>0</v>
      </c>
      <c r="O306" s="9">
        <f>IFERROR(__xludf.DUMMYFUNCTION("SUM(QUERY(Entregas_BD!D:L,""select H where D='""&amp;D306&amp;""'"",1))"),0.0)</f>
        <v>0</v>
      </c>
      <c r="P306" s="9">
        <f>IFERROR(__xludf.DUMMYFUNCTION("SUM(QUERY(Entregas_BD!D:L,""select I where D='""&amp;D306&amp;""'"",1))"),0.0)</f>
        <v>0</v>
      </c>
      <c r="Q306" s="9">
        <f>IFERROR(__xludf.DUMMYFUNCTION("SUM(QUERY(Entregas_BD!D:L,""select J where D='""&amp;D306&amp;""'"",1))"),0.0)</f>
        <v>0</v>
      </c>
      <c r="R306" s="15">
        <f>IFERROR(__xludf.DUMMYFUNCTION("SUM(QUERY(Entregas_BD!D:L,""select K where D='""&amp;D306&amp;""'"",1))"),0.0)</f>
        <v>0</v>
      </c>
      <c r="S306" s="15">
        <f>IFERROR(__xludf.DUMMYFUNCTION("SUM(QUERY(Entregas_BD!D:L,""select L where D='""&amp;D306&amp;""'"",1))"),0.0)</f>
        <v>0</v>
      </c>
      <c r="T306" s="9">
        <f>IFERROR(__xludf.DUMMYFUNCTION("SUM(QUERY(Entregas_BD!D:AL,""select AG where D='""&amp;D306&amp;""'"",1))"),50.0)</f>
        <v>50</v>
      </c>
      <c r="U306" s="9">
        <f>IFERROR(__xludf.DUMMYFUNCTION("SUM(QUERY(Entregas_BD!D:AL,""select AH where D='""&amp;D306&amp;""'"",1))"),0.0)</f>
        <v>0</v>
      </c>
      <c r="V306" s="9">
        <f>IFERROR(__xludf.DUMMYFUNCTION("SUM(QUERY(Entregas_BD!D:AL,""select AI where D='""&amp;D306&amp;""'"",1))"),0.0)</f>
        <v>0</v>
      </c>
      <c r="W306" s="9">
        <f>IFERROR(__xludf.DUMMYFUNCTION("SUM(QUERY(Entregas_BD!D:AL,""select AJ where D='""&amp;D306&amp;""'"",1))"),25.0)</f>
        <v>25</v>
      </c>
      <c r="X306" s="9">
        <f>IFERROR(__xludf.DUMMYFUNCTION("SUM(QUERY(Entregas_BD!D:AL,""select AL where D='""&amp;D306&amp;""'"",1))"),0.0)</f>
        <v>0</v>
      </c>
      <c r="Y306" s="9">
        <f>IFERROR(__xludf.DUMMYFUNCTION("SUM(QUERY(Entregas_BD!D:AL,""select AK where D='""&amp;D306&amp;""'"",1))"),0.0)</f>
        <v>0</v>
      </c>
      <c r="Z306" s="9">
        <v>-50.0</v>
      </c>
      <c r="AA306" s="9">
        <v>0.0</v>
      </c>
      <c r="AB306" s="9">
        <v>0.0</v>
      </c>
      <c r="AC306" s="9">
        <v>-25.0</v>
      </c>
      <c r="AD306" s="9">
        <v>0.0</v>
      </c>
      <c r="AE306" s="9">
        <v>0.0</v>
      </c>
      <c r="AF306" s="28"/>
      <c r="AG306" s="15">
        <f>IFERROR(__xludf.DUMMYFUNCTION("SUM(QUERY(Entregas_BD!D:W,""select U where D='""&amp;D306&amp;""'"",1))"),0.0)</f>
        <v>0</v>
      </c>
      <c r="AH306" s="15">
        <f>IFERROR(__xludf.DUMMYFUNCTION("SUM(QUERY(Entregas_BD!D:W,""select S where D='""&amp;D306&amp;""'"",1))"),0.0)</f>
        <v>0</v>
      </c>
      <c r="AI306" s="15">
        <f>IFERROR(__xludf.DUMMYFUNCTION("SUM(QUERY(Entregas_BD!D:W,""select T where D='""&amp;D306&amp;""'"",1))"),0.0)</f>
        <v>0</v>
      </c>
    </row>
    <row r="307" ht="19.5" customHeight="1">
      <c r="A307" s="64"/>
      <c r="B307" s="32"/>
      <c r="C307" s="19">
        <v>306.0</v>
      </c>
      <c r="D307" s="65" t="s">
        <v>769</v>
      </c>
      <c r="E307" s="20" t="s">
        <v>58</v>
      </c>
      <c r="F307" s="20" t="s">
        <v>45</v>
      </c>
      <c r="G307" s="20" t="s">
        <v>174</v>
      </c>
      <c r="H307" s="44" t="s">
        <v>770</v>
      </c>
      <c r="I307" s="21" t="s">
        <v>41</v>
      </c>
      <c r="J307" s="34"/>
      <c r="K307" s="25"/>
      <c r="L307" s="42"/>
      <c r="M307" s="34"/>
      <c r="N307" s="19">
        <f>IFERROR(__xludf.DUMMYFUNCTION("SUM(QUERY(Entregas_BD!D:L,""select G where D='""&amp;D307&amp;""'"",1))"),0.0)</f>
        <v>0</v>
      </c>
      <c r="O307" s="19">
        <f>IFERROR(__xludf.DUMMYFUNCTION("SUM(QUERY(Entregas_BD!D:L,""select H where D='""&amp;D307&amp;""'"",1))"),0.0)</f>
        <v>0</v>
      </c>
      <c r="P307" s="19">
        <f>IFERROR(__xludf.DUMMYFUNCTION("SUM(QUERY(Entregas_BD!D:L,""select I where D='""&amp;D307&amp;""'"",1))"),0.0)</f>
        <v>0</v>
      </c>
      <c r="Q307" s="19">
        <f>IFERROR(__xludf.DUMMYFUNCTION("SUM(QUERY(Entregas_BD!D:L,""select J where D='""&amp;D307&amp;""'"",1))"),0.0)</f>
        <v>0</v>
      </c>
      <c r="R307" s="24">
        <f>IFERROR(__xludf.DUMMYFUNCTION("SUM(QUERY(Entregas_BD!D:L,""select K where D='""&amp;D307&amp;""'"",1))"),0.0)</f>
        <v>0</v>
      </c>
      <c r="S307" s="24">
        <f>IFERROR(__xludf.DUMMYFUNCTION("SUM(QUERY(Entregas_BD!D:L,""select L where D='""&amp;D307&amp;""'"",1))"),0.0)</f>
        <v>0</v>
      </c>
      <c r="T307" s="19">
        <f>IFERROR(__xludf.DUMMYFUNCTION("SUM(QUERY(Entregas_BD!D:AL,""select AG where D='""&amp;D307&amp;""'"",1))"),17.0)</f>
        <v>17</v>
      </c>
      <c r="U307" s="19">
        <f>IFERROR(__xludf.DUMMYFUNCTION("SUM(QUERY(Entregas_BD!D:AL,""select AH where D='""&amp;D307&amp;""'"",1))"),0.0)</f>
        <v>0</v>
      </c>
      <c r="V307" s="19">
        <f>IFERROR(__xludf.DUMMYFUNCTION("SUM(QUERY(Entregas_BD!D:AL,""select AI where D='""&amp;D307&amp;""'"",1))"),0.0)</f>
        <v>0</v>
      </c>
      <c r="W307" s="19">
        <f>IFERROR(__xludf.DUMMYFUNCTION("SUM(QUERY(Entregas_BD!D:AL,""select AJ where D='""&amp;D307&amp;""'"",1))"),0.0)</f>
        <v>0</v>
      </c>
      <c r="X307" s="19">
        <f>IFERROR(__xludf.DUMMYFUNCTION("SUM(QUERY(Entregas_BD!D:AL,""select AL where D='""&amp;D307&amp;""'"",1))"),0.0)</f>
        <v>0</v>
      </c>
      <c r="Y307" s="19">
        <f>IFERROR(__xludf.DUMMYFUNCTION("SUM(QUERY(Entregas_BD!D:AL,""select AK where D='""&amp;D307&amp;""'"",1))"),0.0)</f>
        <v>0</v>
      </c>
      <c r="Z307" s="19">
        <v>-17.0</v>
      </c>
      <c r="AA307" s="19">
        <v>0.0</v>
      </c>
      <c r="AB307" s="19">
        <v>0.0</v>
      </c>
      <c r="AC307" s="19">
        <v>0.0</v>
      </c>
      <c r="AD307" s="19">
        <v>0.0</v>
      </c>
      <c r="AE307" s="19">
        <v>0.0</v>
      </c>
      <c r="AF307" s="22"/>
      <c r="AG307" s="24">
        <f>IFERROR(__xludf.DUMMYFUNCTION("SUM(QUERY(Entregas_BD!D:W,""select U where D='""&amp;D307&amp;""'"",1))"),0.0)</f>
        <v>0</v>
      </c>
      <c r="AH307" s="24">
        <f>IFERROR(__xludf.DUMMYFUNCTION("SUM(QUERY(Entregas_BD!D:W,""select S where D='""&amp;D307&amp;""'"",1))"),0.0)</f>
        <v>0</v>
      </c>
      <c r="AI307" s="24">
        <f>IFERROR(__xludf.DUMMYFUNCTION("SUM(QUERY(Entregas_BD!D:W,""select T where D='""&amp;D307&amp;""'"",1))"),0.0)</f>
        <v>0</v>
      </c>
    </row>
    <row r="308" ht="19.5" customHeight="1">
      <c r="A308" s="63"/>
      <c r="B308" s="8"/>
      <c r="C308" s="9">
        <v>307.0</v>
      </c>
      <c r="D308" s="54" t="s">
        <v>771</v>
      </c>
      <c r="E308" s="10" t="s">
        <v>58</v>
      </c>
      <c r="F308" s="10" t="s">
        <v>45</v>
      </c>
      <c r="G308" s="10" t="s">
        <v>772</v>
      </c>
      <c r="H308" s="45" t="s">
        <v>770</v>
      </c>
      <c r="I308" s="11" t="s">
        <v>41</v>
      </c>
      <c r="J308" s="12"/>
      <c r="K308" s="37"/>
      <c r="L308" s="13"/>
      <c r="M308" s="12"/>
      <c r="N308" s="9">
        <f>IFERROR(__xludf.DUMMYFUNCTION("SUM(QUERY(Entregas_BD!D:L,""select G where D='""&amp;D308&amp;""'"",1))"),0.0)</f>
        <v>0</v>
      </c>
      <c r="O308" s="9">
        <f>IFERROR(__xludf.DUMMYFUNCTION("SUM(QUERY(Entregas_BD!D:L,""select H where D='""&amp;D308&amp;""'"",1))"),0.0)</f>
        <v>0</v>
      </c>
      <c r="P308" s="9">
        <f>IFERROR(__xludf.DUMMYFUNCTION("SUM(QUERY(Entregas_BD!D:L,""select I where D='""&amp;D308&amp;""'"",1))"),0.0)</f>
        <v>0</v>
      </c>
      <c r="Q308" s="9">
        <f>IFERROR(__xludf.DUMMYFUNCTION("SUM(QUERY(Entregas_BD!D:L,""select J where D='""&amp;D308&amp;""'"",1))"),0.0)</f>
        <v>0</v>
      </c>
      <c r="R308" s="15">
        <f>IFERROR(__xludf.DUMMYFUNCTION("SUM(QUERY(Entregas_BD!D:L,""select K where D='""&amp;D308&amp;""'"",1))"),0.0)</f>
        <v>0</v>
      </c>
      <c r="S308" s="15">
        <f>IFERROR(__xludf.DUMMYFUNCTION("SUM(QUERY(Entregas_BD!D:L,""select L where D='""&amp;D308&amp;""'"",1))"),0.0)</f>
        <v>0</v>
      </c>
      <c r="T308" s="9">
        <f>IFERROR(__xludf.DUMMYFUNCTION("SUM(QUERY(Entregas_BD!D:AL,""select AG where D='""&amp;D308&amp;""'"",1))"),10.0)</f>
        <v>10</v>
      </c>
      <c r="U308" s="9">
        <f>IFERROR(__xludf.DUMMYFUNCTION("SUM(QUERY(Entregas_BD!D:AL,""select AH where D='""&amp;D308&amp;""'"",1))"),0.0)</f>
        <v>0</v>
      </c>
      <c r="V308" s="9">
        <f>IFERROR(__xludf.DUMMYFUNCTION("SUM(QUERY(Entregas_BD!D:AL,""select AI where D='""&amp;D308&amp;""'"",1))"),0.0)</f>
        <v>0</v>
      </c>
      <c r="W308" s="9">
        <f>IFERROR(__xludf.DUMMYFUNCTION("SUM(QUERY(Entregas_BD!D:AL,""select AJ where D='""&amp;D308&amp;""'"",1))"),0.0)</f>
        <v>0</v>
      </c>
      <c r="X308" s="9">
        <f>IFERROR(__xludf.DUMMYFUNCTION("SUM(QUERY(Entregas_BD!D:AL,""select AL where D='""&amp;D308&amp;""'"",1))"),0.0)</f>
        <v>0</v>
      </c>
      <c r="Y308" s="9">
        <f>IFERROR(__xludf.DUMMYFUNCTION("SUM(QUERY(Entregas_BD!D:AL,""select AK where D='""&amp;D308&amp;""'"",1))"),0.0)</f>
        <v>0</v>
      </c>
      <c r="Z308" s="9">
        <v>-10.0</v>
      </c>
      <c r="AA308" s="9">
        <v>0.0</v>
      </c>
      <c r="AB308" s="9">
        <v>0.0</v>
      </c>
      <c r="AC308" s="9">
        <v>0.0</v>
      </c>
      <c r="AD308" s="9">
        <v>0.0</v>
      </c>
      <c r="AE308" s="9">
        <v>0.0</v>
      </c>
      <c r="AF308" s="37"/>
      <c r="AG308" s="15">
        <f>IFERROR(__xludf.DUMMYFUNCTION("SUM(QUERY(Entregas_BD!D:W,""select U where D='""&amp;D308&amp;""'"",1))"),0.0)</f>
        <v>0</v>
      </c>
      <c r="AH308" s="15">
        <f>IFERROR(__xludf.DUMMYFUNCTION("SUM(QUERY(Entregas_BD!D:W,""select S where D='""&amp;D308&amp;""'"",1))"),0.0)</f>
        <v>0</v>
      </c>
      <c r="AI308" s="15">
        <f>IFERROR(__xludf.DUMMYFUNCTION("SUM(QUERY(Entregas_BD!D:W,""select T where D='""&amp;D308&amp;""'"",1))"),0.0)</f>
        <v>0</v>
      </c>
    </row>
    <row r="309" ht="19.5" customHeight="1">
      <c r="A309" s="64"/>
      <c r="B309" s="32"/>
      <c r="C309" s="19">
        <v>308.0</v>
      </c>
      <c r="D309" s="20" t="s">
        <v>773</v>
      </c>
      <c r="E309" s="20" t="s">
        <v>54</v>
      </c>
      <c r="F309" s="20" t="s">
        <v>45</v>
      </c>
      <c r="G309" s="20" t="s">
        <v>440</v>
      </c>
      <c r="H309" s="44" t="s">
        <v>40</v>
      </c>
      <c r="I309" s="21" t="s">
        <v>41</v>
      </c>
      <c r="J309" s="34"/>
      <c r="K309" s="34"/>
      <c r="L309" s="42"/>
      <c r="M309" s="34"/>
      <c r="N309" s="19">
        <f>IFERROR(__xludf.DUMMYFUNCTION("SUM(QUERY(Entregas_BD!D:L,""select G where D='""&amp;D309&amp;""'"",1))"),0.0)</f>
        <v>0</v>
      </c>
      <c r="O309" s="19">
        <f>IFERROR(__xludf.DUMMYFUNCTION("SUM(QUERY(Entregas_BD!D:L,""select H where D='""&amp;D309&amp;""'"",1))"),0.0)</f>
        <v>0</v>
      </c>
      <c r="P309" s="19">
        <f>IFERROR(__xludf.DUMMYFUNCTION("SUM(QUERY(Entregas_BD!D:L,""select I where D='""&amp;D309&amp;""'"",1))"),0.0)</f>
        <v>0</v>
      </c>
      <c r="Q309" s="19">
        <f>IFERROR(__xludf.DUMMYFUNCTION("SUM(QUERY(Entregas_BD!D:L,""select J where D='""&amp;D309&amp;""'"",1))"),0.0)</f>
        <v>0</v>
      </c>
      <c r="R309" s="24">
        <f>IFERROR(__xludf.DUMMYFUNCTION("SUM(QUERY(Entregas_BD!D:L,""select K where D='""&amp;D309&amp;""'"",1))"),0.0)</f>
        <v>0</v>
      </c>
      <c r="S309" s="24">
        <f>IFERROR(__xludf.DUMMYFUNCTION("SUM(QUERY(Entregas_BD!D:L,""select L where D='""&amp;D309&amp;""'"",1))"),0.0)</f>
        <v>0</v>
      </c>
      <c r="T309" s="19">
        <f>IFERROR(__xludf.DUMMYFUNCTION("SUM(QUERY(Entregas_BD!D:AL,""select AG where D='""&amp;D309&amp;""'"",1))"),75.0)</f>
        <v>75</v>
      </c>
      <c r="U309" s="19">
        <f>IFERROR(__xludf.DUMMYFUNCTION("SUM(QUERY(Entregas_BD!D:AL,""select AH where D='""&amp;D309&amp;""'"",1))"),0.0)</f>
        <v>0</v>
      </c>
      <c r="V309" s="19">
        <f>IFERROR(__xludf.DUMMYFUNCTION("SUM(QUERY(Entregas_BD!D:AL,""select AI where D='""&amp;D309&amp;""'"",1))"),0.0)</f>
        <v>0</v>
      </c>
      <c r="W309" s="19">
        <f>IFERROR(__xludf.DUMMYFUNCTION("SUM(QUERY(Entregas_BD!D:AL,""select AJ where D='""&amp;D309&amp;""'"",1))"),0.0)</f>
        <v>0</v>
      </c>
      <c r="X309" s="19">
        <f>IFERROR(__xludf.DUMMYFUNCTION("SUM(QUERY(Entregas_BD!D:AL,""select AL where D='""&amp;D309&amp;""'"",1))"),0.0)</f>
        <v>0</v>
      </c>
      <c r="Y309" s="19">
        <f>IFERROR(__xludf.DUMMYFUNCTION("SUM(QUERY(Entregas_BD!D:AL,""select AK where D='""&amp;D309&amp;""'"",1))"),0.0)</f>
        <v>0</v>
      </c>
      <c r="Z309" s="19">
        <v>-75.0</v>
      </c>
      <c r="AA309" s="19">
        <v>0.0</v>
      </c>
      <c r="AB309" s="19">
        <v>0.0</v>
      </c>
      <c r="AC309" s="19">
        <v>0.0</v>
      </c>
      <c r="AD309" s="19">
        <v>0.0</v>
      </c>
      <c r="AE309" s="19">
        <v>0.0</v>
      </c>
      <c r="AF309" s="22"/>
      <c r="AG309" s="24">
        <f>IFERROR(__xludf.DUMMYFUNCTION("SUM(QUERY(Entregas_BD!D:W,""select U where D='""&amp;D309&amp;""'"",1))"),0.0)</f>
        <v>0</v>
      </c>
      <c r="AH309" s="24">
        <f>IFERROR(__xludf.DUMMYFUNCTION("SUM(QUERY(Entregas_BD!D:W,""select S where D='""&amp;D309&amp;""'"",1))"),0.0)</f>
        <v>0</v>
      </c>
      <c r="AI309" s="24">
        <f>IFERROR(__xludf.DUMMYFUNCTION("SUM(QUERY(Entregas_BD!D:W,""select T where D='""&amp;D309&amp;""'"",1))"),0.0)</f>
        <v>0</v>
      </c>
    </row>
    <row r="310" ht="19.5" customHeight="1">
      <c r="A310" s="63"/>
      <c r="B310" s="8"/>
      <c r="C310" s="9">
        <v>309.0</v>
      </c>
      <c r="D310" s="10" t="s">
        <v>774</v>
      </c>
      <c r="E310" s="10" t="s">
        <v>54</v>
      </c>
      <c r="F310" s="10" t="s">
        <v>45</v>
      </c>
      <c r="G310" s="10" t="s">
        <v>440</v>
      </c>
      <c r="H310" s="45" t="s">
        <v>775</v>
      </c>
      <c r="I310" s="11" t="s">
        <v>41</v>
      </c>
      <c r="J310" s="12"/>
      <c r="K310" s="12"/>
      <c r="L310" s="13"/>
      <c r="M310" s="12"/>
      <c r="N310" s="9">
        <f>IFERROR(__xludf.DUMMYFUNCTION("SUM(QUERY(Entregas_BD!D:L,""select G where D='""&amp;D310&amp;""'"",1))"),0.0)</f>
        <v>0</v>
      </c>
      <c r="O310" s="9">
        <f>IFERROR(__xludf.DUMMYFUNCTION("SUM(QUERY(Entregas_BD!D:L,""select H where D='""&amp;D310&amp;""'"",1))"),0.0)</f>
        <v>0</v>
      </c>
      <c r="P310" s="9">
        <f>IFERROR(__xludf.DUMMYFUNCTION("SUM(QUERY(Entregas_BD!D:L,""select I where D='""&amp;D310&amp;""'"",1))"),0.0)</f>
        <v>0</v>
      </c>
      <c r="Q310" s="9">
        <f>IFERROR(__xludf.DUMMYFUNCTION("SUM(QUERY(Entregas_BD!D:L,""select J where D='""&amp;D310&amp;""'"",1))"),0.0)</f>
        <v>0</v>
      </c>
      <c r="R310" s="15">
        <f>IFERROR(__xludf.DUMMYFUNCTION("SUM(QUERY(Entregas_BD!D:L,""select K where D='""&amp;D310&amp;""'"",1))"),0.0)</f>
        <v>0</v>
      </c>
      <c r="S310" s="15">
        <f>IFERROR(__xludf.DUMMYFUNCTION("SUM(QUERY(Entregas_BD!D:L,""select L where D='""&amp;D310&amp;""'"",1))"),0.0)</f>
        <v>0</v>
      </c>
      <c r="T310" s="9">
        <f>IFERROR(__xludf.DUMMYFUNCTION("SUM(QUERY(Entregas_BD!D:AL,""select AG where D='""&amp;D310&amp;""'"",1))"),75.0)</f>
        <v>75</v>
      </c>
      <c r="U310" s="9">
        <f>IFERROR(__xludf.DUMMYFUNCTION("SUM(QUERY(Entregas_BD!D:AL,""select AH where D='""&amp;D310&amp;""'"",1))"),0.0)</f>
        <v>0</v>
      </c>
      <c r="V310" s="9">
        <f>IFERROR(__xludf.DUMMYFUNCTION("SUM(QUERY(Entregas_BD!D:AL,""select AI where D='""&amp;D310&amp;""'"",1))"),0.0)</f>
        <v>0</v>
      </c>
      <c r="W310" s="9">
        <f>IFERROR(__xludf.DUMMYFUNCTION("SUM(QUERY(Entregas_BD!D:AL,""select AJ where D='""&amp;D310&amp;""'"",1))"),0.0)</f>
        <v>0</v>
      </c>
      <c r="X310" s="9">
        <f>IFERROR(__xludf.DUMMYFUNCTION("SUM(QUERY(Entregas_BD!D:AL,""select AL where D='""&amp;D310&amp;""'"",1))"),0.0)</f>
        <v>0</v>
      </c>
      <c r="Y310" s="9">
        <f>IFERROR(__xludf.DUMMYFUNCTION("SUM(QUERY(Entregas_BD!D:AL,""select AK where D='""&amp;D310&amp;""'"",1))"),0.0)</f>
        <v>0</v>
      </c>
      <c r="Z310" s="9">
        <v>-75.0</v>
      </c>
      <c r="AA310" s="9">
        <v>0.0</v>
      </c>
      <c r="AB310" s="9">
        <v>0.0</v>
      </c>
      <c r="AC310" s="9">
        <v>0.0</v>
      </c>
      <c r="AD310" s="9">
        <v>0.0</v>
      </c>
      <c r="AE310" s="9">
        <v>0.0</v>
      </c>
      <c r="AF310" s="28"/>
      <c r="AG310" s="15">
        <f>IFERROR(__xludf.DUMMYFUNCTION("SUM(QUERY(Entregas_BD!D:W,""select U where D='""&amp;D310&amp;""'"",1))"),0.0)</f>
        <v>0</v>
      </c>
      <c r="AH310" s="15">
        <f>IFERROR(__xludf.DUMMYFUNCTION("SUM(QUERY(Entregas_BD!D:W,""select S where D='""&amp;D310&amp;""'"",1))"),0.0)</f>
        <v>0</v>
      </c>
      <c r="AI310" s="15">
        <f>IFERROR(__xludf.DUMMYFUNCTION("SUM(QUERY(Entregas_BD!D:W,""select T where D='""&amp;D310&amp;""'"",1))"),0.0)</f>
        <v>0</v>
      </c>
    </row>
    <row r="311" ht="19.5" customHeight="1">
      <c r="A311" s="64"/>
      <c r="B311" s="32"/>
      <c r="C311" s="19">
        <v>310.0</v>
      </c>
      <c r="D311" s="20" t="s">
        <v>776</v>
      </c>
      <c r="E311" s="20" t="s">
        <v>58</v>
      </c>
      <c r="F311" s="20" t="s">
        <v>45</v>
      </c>
      <c r="G311" s="20" t="s">
        <v>598</v>
      </c>
      <c r="H311" s="19" t="s">
        <v>40</v>
      </c>
      <c r="I311" s="21" t="s">
        <v>41</v>
      </c>
      <c r="J311" s="34"/>
      <c r="K311" s="25"/>
      <c r="L311" s="42"/>
      <c r="M311" s="34"/>
      <c r="N311" s="19">
        <f>IFERROR(__xludf.DUMMYFUNCTION("SUM(QUERY(Entregas_BD!D:L,""select G where D='""&amp;D311&amp;""'"",1))"),0.0)</f>
        <v>0</v>
      </c>
      <c r="O311" s="19">
        <f>IFERROR(__xludf.DUMMYFUNCTION("SUM(QUERY(Entregas_BD!D:L,""select H where D='""&amp;D311&amp;""'"",1))"),0.0)</f>
        <v>0</v>
      </c>
      <c r="P311" s="19">
        <f>IFERROR(__xludf.DUMMYFUNCTION("SUM(QUERY(Entregas_BD!D:L,""select I where D='""&amp;D311&amp;""'"",1))"),0.0)</f>
        <v>0</v>
      </c>
      <c r="Q311" s="19">
        <f>IFERROR(__xludf.DUMMYFUNCTION("SUM(QUERY(Entregas_BD!D:L,""select J where D='""&amp;D311&amp;""'"",1))"),0.0)</f>
        <v>0</v>
      </c>
      <c r="R311" s="24">
        <f>IFERROR(__xludf.DUMMYFUNCTION("SUM(QUERY(Entregas_BD!D:L,""select K where D='""&amp;D311&amp;""'"",1))"),0.0)</f>
        <v>0</v>
      </c>
      <c r="S311" s="24">
        <f>IFERROR(__xludf.DUMMYFUNCTION("SUM(QUERY(Entregas_BD!D:L,""select L where D='""&amp;D311&amp;""'"",1))"),0.0)</f>
        <v>0</v>
      </c>
      <c r="T311" s="19">
        <f>IFERROR(__xludf.DUMMYFUNCTION("SUM(QUERY(Entregas_BD!D:AL,""select AG where D='""&amp;D311&amp;""'"",1))"),14.0)</f>
        <v>14</v>
      </c>
      <c r="U311" s="19">
        <f>IFERROR(__xludf.DUMMYFUNCTION("SUM(QUERY(Entregas_BD!D:AL,""select AH where D='""&amp;D311&amp;""'"",1))"),0.0)</f>
        <v>0</v>
      </c>
      <c r="V311" s="19">
        <f>IFERROR(__xludf.DUMMYFUNCTION("SUM(QUERY(Entregas_BD!D:AL,""select AI where D='""&amp;D311&amp;""'"",1))"),0.0)</f>
        <v>0</v>
      </c>
      <c r="W311" s="19">
        <f>IFERROR(__xludf.DUMMYFUNCTION("SUM(QUERY(Entregas_BD!D:AL,""select AJ where D='""&amp;D311&amp;""'"",1))"),0.0)</f>
        <v>0</v>
      </c>
      <c r="X311" s="19">
        <f>IFERROR(__xludf.DUMMYFUNCTION("SUM(QUERY(Entregas_BD!D:AL,""select AL where D='""&amp;D311&amp;""'"",1))"),0.0)</f>
        <v>0</v>
      </c>
      <c r="Y311" s="19">
        <f>IFERROR(__xludf.DUMMYFUNCTION("SUM(QUERY(Entregas_BD!D:AL,""select AK where D='""&amp;D311&amp;""'"",1))"),0.0)</f>
        <v>0</v>
      </c>
      <c r="Z311" s="19">
        <v>-14.0</v>
      </c>
      <c r="AA311" s="19">
        <v>0.0</v>
      </c>
      <c r="AB311" s="19">
        <v>0.0</v>
      </c>
      <c r="AC311" s="19">
        <v>0.0</v>
      </c>
      <c r="AD311" s="19">
        <v>0.0</v>
      </c>
      <c r="AE311" s="19">
        <v>0.0</v>
      </c>
      <c r="AF311" s="22"/>
      <c r="AG311" s="24">
        <f>IFERROR(__xludf.DUMMYFUNCTION("SUM(QUERY(Entregas_BD!D:W,""select U where D='""&amp;D311&amp;""'"",1))"),0.0)</f>
        <v>0</v>
      </c>
      <c r="AH311" s="24">
        <f>IFERROR(__xludf.DUMMYFUNCTION("SUM(QUERY(Entregas_BD!D:W,""select S where D='""&amp;D311&amp;""'"",1))"),0.0)</f>
        <v>0</v>
      </c>
      <c r="AI311" s="24">
        <f>IFERROR(__xludf.DUMMYFUNCTION("SUM(QUERY(Entregas_BD!D:W,""select T where D='""&amp;D311&amp;""'"",1))"),0.0)</f>
        <v>0</v>
      </c>
    </row>
    <row r="312" ht="19.5" customHeight="1">
      <c r="A312" s="63"/>
      <c r="B312" s="8"/>
      <c r="C312" s="9">
        <v>311.0</v>
      </c>
      <c r="D312" s="54" t="s">
        <v>777</v>
      </c>
      <c r="E312" s="10" t="s">
        <v>58</v>
      </c>
      <c r="F312" s="10" t="s">
        <v>45</v>
      </c>
      <c r="G312" s="10" t="s">
        <v>778</v>
      </c>
      <c r="H312" s="45" t="s">
        <v>770</v>
      </c>
      <c r="I312" s="11" t="s">
        <v>41</v>
      </c>
      <c r="J312" s="12"/>
      <c r="K312" s="37"/>
      <c r="L312" s="13"/>
      <c r="M312" s="12"/>
      <c r="N312" s="9">
        <f>IFERROR(__xludf.DUMMYFUNCTION("SUM(QUERY(Entregas_BD!D:L,""select G where D='""&amp;D312&amp;""'"",1))"),0.0)</f>
        <v>0</v>
      </c>
      <c r="O312" s="9">
        <f>IFERROR(__xludf.DUMMYFUNCTION("SUM(QUERY(Entregas_BD!D:L,""select H where D='""&amp;D312&amp;""'"",1))"),0.0)</f>
        <v>0</v>
      </c>
      <c r="P312" s="9">
        <f>IFERROR(__xludf.DUMMYFUNCTION("SUM(QUERY(Entregas_BD!D:L,""select I where D='""&amp;D312&amp;""'"",1))"),0.0)</f>
        <v>0</v>
      </c>
      <c r="Q312" s="9">
        <f>IFERROR(__xludf.DUMMYFUNCTION("SUM(QUERY(Entregas_BD!D:L,""select J where D='""&amp;D312&amp;""'"",1))"),0.0)</f>
        <v>0</v>
      </c>
      <c r="R312" s="15">
        <f>IFERROR(__xludf.DUMMYFUNCTION("SUM(QUERY(Entregas_BD!D:L,""select K where D='""&amp;D312&amp;""'"",1))"),0.0)</f>
        <v>0</v>
      </c>
      <c r="S312" s="15">
        <f>IFERROR(__xludf.DUMMYFUNCTION("SUM(QUERY(Entregas_BD!D:L,""select L where D='""&amp;D312&amp;""'"",1))"),0.0)</f>
        <v>0</v>
      </c>
      <c r="T312" s="9">
        <f>IFERROR(__xludf.DUMMYFUNCTION("SUM(QUERY(Entregas_BD!D:AL,""select AG where D='""&amp;D312&amp;""'"",1))"),15.0)</f>
        <v>15</v>
      </c>
      <c r="U312" s="9">
        <f>IFERROR(__xludf.DUMMYFUNCTION("SUM(QUERY(Entregas_BD!D:AL,""select AH where D='""&amp;D312&amp;""'"",1))"),0.0)</f>
        <v>0</v>
      </c>
      <c r="V312" s="9">
        <f>IFERROR(__xludf.DUMMYFUNCTION("SUM(QUERY(Entregas_BD!D:AL,""select AI where D='""&amp;D312&amp;""'"",1))"),0.0)</f>
        <v>0</v>
      </c>
      <c r="W312" s="9">
        <f>IFERROR(__xludf.DUMMYFUNCTION("SUM(QUERY(Entregas_BD!D:AL,""select AJ where D='""&amp;D312&amp;""'"",1))"),0.0)</f>
        <v>0</v>
      </c>
      <c r="X312" s="9">
        <f>IFERROR(__xludf.DUMMYFUNCTION("SUM(QUERY(Entregas_BD!D:AL,""select AL where D='""&amp;D312&amp;""'"",1))"),0.0)</f>
        <v>0</v>
      </c>
      <c r="Y312" s="9">
        <f>IFERROR(__xludf.DUMMYFUNCTION("SUM(QUERY(Entregas_BD!D:AL,""select AK where D='""&amp;D312&amp;""'"",1))"),0.0)</f>
        <v>0</v>
      </c>
      <c r="Z312" s="9">
        <v>-15.0</v>
      </c>
      <c r="AA312" s="9">
        <v>0.0</v>
      </c>
      <c r="AB312" s="9">
        <v>0.0</v>
      </c>
      <c r="AC312" s="9">
        <v>0.0</v>
      </c>
      <c r="AD312" s="9">
        <v>0.0</v>
      </c>
      <c r="AE312" s="9">
        <v>0.0</v>
      </c>
      <c r="AF312" s="37"/>
      <c r="AG312" s="15">
        <f>IFERROR(__xludf.DUMMYFUNCTION("SUM(QUERY(Entregas_BD!D:W,""select U where D='""&amp;D312&amp;""'"",1))"),0.0)</f>
        <v>0</v>
      </c>
      <c r="AH312" s="15">
        <f>IFERROR(__xludf.DUMMYFUNCTION("SUM(QUERY(Entregas_BD!D:W,""select S where D='""&amp;D312&amp;""'"",1))"),0.0)</f>
        <v>0</v>
      </c>
      <c r="AI312" s="15">
        <f>IFERROR(__xludf.DUMMYFUNCTION("SUM(QUERY(Entregas_BD!D:W,""select T where D='""&amp;D312&amp;""'"",1))"),0.0)</f>
        <v>0</v>
      </c>
    </row>
    <row r="313" ht="19.5" customHeight="1">
      <c r="A313" s="64"/>
      <c r="B313" s="32"/>
      <c r="C313" s="19">
        <v>312.0</v>
      </c>
      <c r="D313" s="20" t="s">
        <v>779</v>
      </c>
      <c r="E313" s="20" t="s">
        <v>58</v>
      </c>
      <c r="F313" s="20" t="s">
        <v>45</v>
      </c>
      <c r="G313" s="20" t="s">
        <v>560</v>
      </c>
      <c r="H313" s="44" t="s">
        <v>770</v>
      </c>
      <c r="I313" s="21" t="s">
        <v>41</v>
      </c>
      <c r="J313" s="34"/>
      <c r="K313" s="34"/>
      <c r="L313" s="42"/>
      <c r="M313" s="34"/>
      <c r="N313" s="19">
        <f>IFERROR(__xludf.DUMMYFUNCTION("SUM(QUERY(Entregas_BD!D:L,""select G where D='""&amp;D313&amp;""'"",1))"),0.0)</f>
        <v>0</v>
      </c>
      <c r="O313" s="19">
        <f>IFERROR(__xludf.DUMMYFUNCTION("SUM(QUERY(Entregas_BD!D:L,""select H where D='""&amp;D313&amp;""'"",1))"),0.0)</f>
        <v>0</v>
      </c>
      <c r="P313" s="19">
        <f>IFERROR(__xludf.DUMMYFUNCTION("SUM(QUERY(Entregas_BD!D:L,""select I where D='""&amp;D313&amp;""'"",1))"),0.0)</f>
        <v>0</v>
      </c>
      <c r="Q313" s="19">
        <f>IFERROR(__xludf.DUMMYFUNCTION("SUM(QUERY(Entregas_BD!D:L,""select J where D='""&amp;D313&amp;""'"",1))"),0.0)</f>
        <v>0</v>
      </c>
      <c r="R313" s="24">
        <f>IFERROR(__xludf.DUMMYFUNCTION("SUM(QUERY(Entregas_BD!D:L,""select K where D='""&amp;D313&amp;""'"",1))"),0.0)</f>
        <v>0</v>
      </c>
      <c r="S313" s="24">
        <f>IFERROR(__xludf.DUMMYFUNCTION("SUM(QUERY(Entregas_BD!D:L,""select L where D='""&amp;D313&amp;""'"",1))"),0.0)</f>
        <v>0</v>
      </c>
      <c r="T313" s="19">
        <f>IFERROR(__xludf.DUMMYFUNCTION("SUM(QUERY(Entregas_BD!D:AL,""select AG where D='""&amp;D313&amp;""'"",1))"),50.0)</f>
        <v>50</v>
      </c>
      <c r="U313" s="19">
        <f>IFERROR(__xludf.DUMMYFUNCTION("SUM(QUERY(Entregas_BD!D:AL,""select AH where D='""&amp;D313&amp;""'"",1))"),0.0)</f>
        <v>0</v>
      </c>
      <c r="V313" s="19">
        <f>IFERROR(__xludf.DUMMYFUNCTION("SUM(QUERY(Entregas_BD!D:AL,""select AI where D='""&amp;D313&amp;""'"",1))"),0.0)</f>
        <v>0</v>
      </c>
      <c r="W313" s="19">
        <f>IFERROR(__xludf.DUMMYFUNCTION("SUM(QUERY(Entregas_BD!D:AL,""select AJ where D='""&amp;D313&amp;""'"",1))"),0.0)</f>
        <v>0</v>
      </c>
      <c r="X313" s="19">
        <f>IFERROR(__xludf.DUMMYFUNCTION("SUM(QUERY(Entregas_BD!D:AL,""select AL where D='""&amp;D313&amp;""'"",1))"),0.0)</f>
        <v>0</v>
      </c>
      <c r="Y313" s="19">
        <f>IFERROR(__xludf.DUMMYFUNCTION("SUM(QUERY(Entregas_BD!D:AL,""select AK where D='""&amp;D313&amp;""'"",1))"),0.0)</f>
        <v>0</v>
      </c>
      <c r="Z313" s="19">
        <v>-50.0</v>
      </c>
      <c r="AA313" s="19">
        <v>0.0</v>
      </c>
      <c r="AB313" s="19">
        <v>0.0</v>
      </c>
      <c r="AC313" s="19">
        <v>0.0</v>
      </c>
      <c r="AD313" s="19">
        <v>0.0</v>
      </c>
      <c r="AE313" s="19">
        <v>0.0</v>
      </c>
      <c r="AF313" s="25"/>
      <c r="AG313" s="24">
        <f>IFERROR(__xludf.DUMMYFUNCTION("SUM(QUERY(Entregas_BD!D:W,""select U where D='""&amp;D313&amp;""'"",1))"),0.0)</f>
        <v>0</v>
      </c>
      <c r="AH313" s="24">
        <f>IFERROR(__xludf.DUMMYFUNCTION("SUM(QUERY(Entregas_BD!D:W,""select S where D='""&amp;D313&amp;""'"",1))"),0.0)</f>
        <v>0</v>
      </c>
      <c r="AI313" s="24">
        <f>IFERROR(__xludf.DUMMYFUNCTION("SUM(QUERY(Entregas_BD!D:W,""select T where D='""&amp;D313&amp;""'"",1))"),0.0)</f>
        <v>0</v>
      </c>
    </row>
    <row r="314" ht="19.5" customHeight="1">
      <c r="A314" s="63"/>
      <c r="B314" s="8"/>
      <c r="C314" s="9">
        <v>313.0</v>
      </c>
      <c r="D314" s="10" t="s">
        <v>780</v>
      </c>
      <c r="E314" s="10" t="s">
        <v>44</v>
      </c>
      <c r="F314" s="10" t="s">
        <v>45</v>
      </c>
      <c r="G314" s="10" t="s">
        <v>177</v>
      </c>
      <c r="H314" s="12" t="s">
        <v>622</v>
      </c>
      <c r="I314" s="11" t="s">
        <v>41</v>
      </c>
      <c r="J314" s="12"/>
      <c r="K314" s="12"/>
      <c r="L314" s="13"/>
      <c r="M314" s="12"/>
      <c r="N314" s="9">
        <f>IFERROR(__xludf.DUMMYFUNCTION("SUM(QUERY(Entregas_BD!D:L,""select G where D='""&amp;D314&amp;""'"",1))"),0.0)</f>
        <v>0</v>
      </c>
      <c r="O314" s="9">
        <f>IFERROR(__xludf.DUMMYFUNCTION("SUM(QUERY(Entregas_BD!D:L,""select H where D='""&amp;D314&amp;""'"",1))"),0.0)</f>
        <v>0</v>
      </c>
      <c r="P314" s="9">
        <f>IFERROR(__xludf.DUMMYFUNCTION("SUM(QUERY(Entregas_BD!D:L,""select I where D='""&amp;D314&amp;""'"",1))"),0.0)</f>
        <v>0</v>
      </c>
      <c r="Q314" s="9">
        <f>IFERROR(__xludf.DUMMYFUNCTION("SUM(QUERY(Entregas_BD!D:L,""select J where D='""&amp;D314&amp;""'"",1))"),0.0)</f>
        <v>0</v>
      </c>
      <c r="R314" s="15">
        <f>IFERROR(__xludf.DUMMYFUNCTION("SUM(QUERY(Entregas_BD!D:L,""select K where D='""&amp;D314&amp;""'"",1))"),0.0)</f>
        <v>0</v>
      </c>
      <c r="S314" s="15">
        <f>IFERROR(__xludf.DUMMYFUNCTION("SUM(QUERY(Entregas_BD!D:L,""select L where D='""&amp;D314&amp;""'"",1))"),0.0)</f>
        <v>0</v>
      </c>
      <c r="T314" s="9">
        <f>IFERROR(__xludf.DUMMYFUNCTION("SUM(QUERY(Entregas_BD!D:AL,""select AG where D='""&amp;D314&amp;""'"",1))"),50.0)</f>
        <v>50</v>
      </c>
      <c r="U314" s="9">
        <f>IFERROR(__xludf.DUMMYFUNCTION("SUM(QUERY(Entregas_BD!D:AL,""select AH where D='""&amp;D314&amp;""'"",1))"),0.0)</f>
        <v>0</v>
      </c>
      <c r="V314" s="9">
        <f>IFERROR(__xludf.DUMMYFUNCTION("SUM(QUERY(Entregas_BD!D:AL,""select AI where D='""&amp;D314&amp;""'"",1))"),0.0)</f>
        <v>0</v>
      </c>
      <c r="W314" s="9">
        <f>IFERROR(__xludf.DUMMYFUNCTION("SUM(QUERY(Entregas_BD!D:AL,""select AJ where D='""&amp;D314&amp;""'"",1))"),0.0)</f>
        <v>0</v>
      </c>
      <c r="X314" s="9">
        <f>IFERROR(__xludf.DUMMYFUNCTION("SUM(QUERY(Entregas_BD!D:AL,""select AL where D='""&amp;D314&amp;""'"",1))"),0.0)</f>
        <v>0</v>
      </c>
      <c r="Y314" s="9">
        <f>IFERROR(__xludf.DUMMYFUNCTION("SUM(QUERY(Entregas_BD!D:AL,""select AK where D='""&amp;D314&amp;""'"",1))"),0.0)</f>
        <v>0</v>
      </c>
      <c r="Z314" s="9">
        <v>-50.0</v>
      </c>
      <c r="AA314" s="9">
        <v>0.0</v>
      </c>
      <c r="AB314" s="9">
        <v>0.0</v>
      </c>
      <c r="AC314" s="9">
        <v>0.0</v>
      </c>
      <c r="AD314" s="9">
        <v>0.0</v>
      </c>
      <c r="AE314" s="9">
        <v>0.0</v>
      </c>
      <c r="AF314" s="28"/>
      <c r="AG314" s="15">
        <f>IFERROR(__xludf.DUMMYFUNCTION("SUM(QUERY(Entregas_BD!D:W,""select U where D='""&amp;D314&amp;""'"",1))"),0.0)</f>
        <v>0</v>
      </c>
      <c r="AH314" s="15">
        <f>IFERROR(__xludf.DUMMYFUNCTION("SUM(QUERY(Entregas_BD!D:W,""select S where D='""&amp;D314&amp;""'"",1))"),0.0)</f>
        <v>0</v>
      </c>
      <c r="AI314" s="15">
        <f>IFERROR(__xludf.DUMMYFUNCTION("SUM(QUERY(Entregas_BD!D:W,""select T where D='""&amp;D314&amp;""'"",1))"),0.0)</f>
        <v>0</v>
      </c>
    </row>
    <row r="315" ht="19.5" customHeight="1">
      <c r="A315" s="64"/>
      <c r="B315" s="32"/>
      <c r="C315" s="19">
        <v>314.0</v>
      </c>
      <c r="D315" s="65" t="s">
        <v>781</v>
      </c>
      <c r="E315" s="20" t="s">
        <v>72</v>
      </c>
      <c r="F315" s="20" t="s">
        <v>45</v>
      </c>
      <c r="G315" s="50"/>
      <c r="H315" s="44" t="s">
        <v>770</v>
      </c>
      <c r="I315" s="21" t="s">
        <v>41</v>
      </c>
      <c r="J315" s="34"/>
      <c r="K315" s="34"/>
      <c r="L315" s="42"/>
      <c r="M315" s="34"/>
      <c r="N315" s="19">
        <f>IFERROR(__xludf.DUMMYFUNCTION("SUM(QUERY(Entregas_BD!D:L,""select G where D='""&amp;D315&amp;""'"",1))"),0.0)</f>
        <v>0</v>
      </c>
      <c r="O315" s="19">
        <f>IFERROR(__xludf.DUMMYFUNCTION("SUM(QUERY(Entregas_BD!D:L,""select H where D='""&amp;D315&amp;""'"",1))"),0.0)</f>
        <v>0</v>
      </c>
      <c r="P315" s="19">
        <f>IFERROR(__xludf.DUMMYFUNCTION("SUM(QUERY(Entregas_BD!D:L,""select I where D='""&amp;D315&amp;""'"",1))"),0.0)</f>
        <v>0</v>
      </c>
      <c r="Q315" s="19">
        <f>IFERROR(__xludf.DUMMYFUNCTION("SUM(QUERY(Entregas_BD!D:L,""select J where D='""&amp;D315&amp;""'"",1))"),0.0)</f>
        <v>0</v>
      </c>
      <c r="R315" s="24">
        <f>IFERROR(__xludf.DUMMYFUNCTION("SUM(QUERY(Entregas_BD!D:L,""select K where D='""&amp;D315&amp;""'"",1))"),0.0)</f>
        <v>0</v>
      </c>
      <c r="S315" s="24">
        <f>IFERROR(__xludf.DUMMYFUNCTION("SUM(QUERY(Entregas_BD!D:L,""select L where D='""&amp;D315&amp;""'"",1))"),0.0)</f>
        <v>0</v>
      </c>
      <c r="T315" s="19">
        <f>IFERROR(__xludf.DUMMYFUNCTION("SUM(QUERY(Entregas_BD!D:AL,""select AG where D='""&amp;D315&amp;""'"",1))"),10.0)</f>
        <v>10</v>
      </c>
      <c r="U315" s="19">
        <f>IFERROR(__xludf.DUMMYFUNCTION("SUM(QUERY(Entregas_BD!D:AL,""select AH where D='""&amp;D315&amp;""'"",1))"),0.0)</f>
        <v>0</v>
      </c>
      <c r="V315" s="19">
        <f>IFERROR(__xludf.DUMMYFUNCTION("SUM(QUERY(Entregas_BD!D:AL,""select AI where D='""&amp;D315&amp;""'"",1))"),0.0)</f>
        <v>0</v>
      </c>
      <c r="W315" s="19">
        <f>IFERROR(__xludf.DUMMYFUNCTION("SUM(QUERY(Entregas_BD!D:AL,""select AJ where D='""&amp;D315&amp;""'"",1))"),0.0)</f>
        <v>0</v>
      </c>
      <c r="X315" s="19">
        <f>IFERROR(__xludf.DUMMYFUNCTION("SUM(QUERY(Entregas_BD!D:AL,""select AL where D='""&amp;D315&amp;""'"",1))"),0.0)</f>
        <v>0</v>
      </c>
      <c r="Y315" s="19">
        <f>IFERROR(__xludf.DUMMYFUNCTION("SUM(QUERY(Entregas_BD!D:AL,""select AK where D='""&amp;D315&amp;""'"",1))"),0.0)</f>
        <v>0</v>
      </c>
      <c r="Z315" s="19">
        <v>-10.0</v>
      </c>
      <c r="AA315" s="19">
        <v>0.0</v>
      </c>
      <c r="AB315" s="19">
        <v>0.0</v>
      </c>
      <c r="AC315" s="19">
        <v>0.0</v>
      </c>
      <c r="AD315" s="19">
        <v>0.0</v>
      </c>
      <c r="AE315" s="19">
        <v>0.0</v>
      </c>
      <c r="AF315" s="25"/>
      <c r="AG315" s="24">
        <f>IFERROR(__xludf.DUMMYFUNCTION("SUM(QUERY(Entregas_BD!D:W,""select U where D='""&amp;D315&amp;""'"",1))"),0.0)</f>
        <v>0</v>
      </c>
      <c r="AH315" s="24">
        <f>IFERROR(__xludf.DUMMYFUNCTION("SUM(QUERY(Entregas_BD!D:W,""select S where D='""&amp;D315&amp;""'"",1))"),0.0)</f>
        <v>0</v>
      </c>
      <c r="AI315" s="24">
        <f>IFERROR(__xludf.DUMMYFUNCTION("SUM(QUERY(Entregas_BD!D:W,""select T where D='""&amp;D315&amp;""'"",1))"),0.0)</f>
        <v>0</v>
      </c>
    </row>
    <row r="316" ht="19.5" customHeight="1">
      <c r="A316" s="63"/>
      <c r="B316" s="8"/>
      <c r="C316" s="9">
        <v>315.0</v>
      </c>
      <c r="D316" s="10" t="s">
        <v>782</v>
      </c>
      <c r="E316" s="10" t="s">
        <v>63</v>
      </c>
      <c r="F316" s="10" t="s">
        <v>139</v>
      </c>
      <c r="G316" s="10" t="s">
        <v>783</v>
      </c>
      <c r="H316" s="45" t="s">
        <v>770</v>
      </c>
      <c r="I316" s="11" t="s">
        <v>41</v>
      </c>
      <c r="J316" s="12"/>
      <c r="K316" s="12"/>
      <c r="L316" s="13"/>
      <c r="M316" s="12"/>
      <c r="N316" s="9">
        <f>IFERROR(__xludf.DUMMYFUNCTION("SUM(QUERY(Entregas_BD!D:L,""select G where D='""&amp;D316&amp;""'"",1))"),0.0)</f>
        <v>0</v>
      </c>
      <c r="O316" s="9">
        <f>IFERROR(__xludf.DUMMYFUNCTION("SUM(QUERY(Entregas_BD!D:L,""select H where D='""&amp;D316&amp;""'"",1))"),0.0)</f>
        <v>0</v>
      </c>
      <c r="P316" s="9">
        <f>IFERROR(__xludf.DUMMYFUNCTION("SUM(QUERY(Entregas_BD!D:L,""select I where D='""&amp;D316&amp;""'"",1))"),0.0)</f>
        <v>0</v>
      </c>
      <c r="Q316" s="9">
        <f>IFERROR(__xludf.DUMMYFUNCTION("SUM(QUERY(Entregas_BD!D:L,""select J where D='""&amp;D316&amp;""'"",1))"),0.0)</f>
        <v>0</v>
      </c>
      <c r="R316" s="15">
        <f>IFERROR(__xludf.DUMMYFUNCTION("SUM(QUERY(Entregas_BD!D:L,""select K where D='""&amp;D316&amp;""'"",1))"),0.0)</f>
        <v>0</v>
      </c>
      <c r="S316" s="15">
        <f>IFERROR(__xludf.DUMMYFUNCTION("SUM(QUERY(Entregas_BD!D:L,""select L where D='""&amp;D316&amp;""'"",1))"),0.0)</f>
        <v>0</v>
      </c>
      <c r="T316" s="9">
        <f>IFERROR(__xludf.DUMMYFUNCTION("SUM(QUERY(Entregas_BD!D:AL,""select AG where D='""&amp;D316&amp;""'"",1))"),15.0)</f>
        <v>15</v>
      </c>
      <c r="U316" s="9">
        <f>IFERROR(__xludf.DUMMYFUNCTION("SUM(QUERY(Entregas_BD!D:AL,""select AH where D='""&amp;D316&amp;""'"",1))"),0.0)</f>
        <v>0</v>
      </c>
      <c r="V316" s="9">
        <f>IFERROR(__xludf.DUMMYFUNCTION("SUM(QUERY(Entregas_BD!D:AL,""select AI where D='""&amp;D316&amp;""'"",1))"),0.0)</f>
        <v>0</v>
      </c>
      <c r="W316" s="9">
        <f>IFERROR(__xludf.DUMMYFUNCTION("SUM(QUERY(Entregas_BD!D:AL,""select AJ where D='""&amp;D316&amp;""'"",1))"),0.0)</f>
        <v>0</v>
      </c>
      <c r="X316" s="9">
        <f>IFERROR(__xludf.DUMMYFUNCTION("SUM(QUERY(Entregas_BD!D:AL,""select AL where D='""&amp;D316&amp;""'"",1))"),0.0)</f>
        <v>0</v>
      </c>
      <c r="Y316" s="9">
        <f>IFERROR(__xludf.DUMMYFUNCTION("SUM(QUERY(Entregas_BD!D:AL,""select AK where D='""&amp;D316&amp;""'"",1))"),0.0)</f>
        <v>0</v>
      </c>
      <c r="Z316" s="9">
        <v>-15.0</v>
      </c>
      <c r="AA316" s="9">
        <v>0.0</v>
      </c>
      <c r="AB316" s="9">
        <v>0.0</v>
      </c>
      <c r="AC316" s="9">
        <v>0.0</v>
      </c>
      <c r="AD316" s="9">
        <v>0.0</v>
      </c>
      <c r="AE316" s="9">
        <v>0.0</v>
      </c>
      <c r="AF316" s="37"/>
      <c r="AG316" s="15">
        <f>IFERROR(__xludf.DUMMYFUNCTION("SUM(QUERY(Entregas_BD!D:W,""select U where D='""&amp;D316&amp;""'"",1))"),0.0)</f>
        <v>0</v>
      </c>
      <c r="AH316" s="15">
        <f>IFERROR(__xludf.DUMMYFUNCTION("SUM(QUERY(Entregas_BD!D:W,""select S where D='""&amp;D316&amp;""'"",1))"),0.0)</f>
        <v>0</v>
      </c>
      <c r="AI316" s="15">
        <f>IFERROR(__xludf.DUMMYFUNCTION("SUM(QUERY(Entregas_BD!D:W,""select T where D='""&amp;D316&amp;""'"",1))"),0.0)</f>
        <v>0</v>
      </c>
    </row>
    <row r="317" ht="19.5" customHeight="1">
      <c r="A317" s="64"/>
      <c r="B317" s="32"/>
      <c r="C317" s="19">
        <v>316.0</v>
      </c>
      <c r="D317" s="20" t="s">
        <v>784</v>
      </c>
      <c r="E317" s="20" t="s">
        <v>58</v>
      </c>
      <c r="F317" s="20" t="s">
        <v>45</v>
      </c>
      <c r="G317" s="20" t="s">
        <v>598</v>
      </c>
      <c r="H317" s="34" t="s">
        <v>632</v>
      </c>
      <c r="I317" s="21" t="s">
        <v>41</v>
      </c>
      <c r="J317" s="34"/>
      <c r="K317" s="66"/>
      <c r="L317" s="67"/>
      <c r="M317" s="68"/>
      <c r="N317" s="19">
        <f>IFERROR(__xludf.DUMMYFUNCTION("SUM(QUERY(Entregas_BD!D:L,""select G where D='""&amp;D317&amp;""'"",1))"),0.0)</f>
        <v>0</v>
      </c>
      <c r="O317" s="19">
        <f>IFERROR(__xludf.DUMMYFUNCTION("SUM(QUERY(Entregas_BD!D:L,""select H where D='""&amp;D317&amp;""'"",1))"),0.0)</f>
        <v>0</v>
      </c>
      <c r="P317" s="19">
        <f>IFERROR(__xludf.DUMMYFUNCTION("SUM(QUERY(Entregas_BD!D:L,""select I where D='""&amp;D317&amp;""'"",1))"),0.0)</f>
        <v>0</v>
      </c>
      <c r="Q317" s="19">
        <f>IFERROR(__xludf.DUMMYFUNCTION("SUM(QUERY(Entregas_BD!D:L,""select J where D='""&amp;D317&amp;""'"",1))"),0.0)</f>
        <v>0</v>
      </c>
      <c r="R317" s="24">
        <f>IFERROR(__xludf.DUMMYFUNCTION("SUM(QUERY(Entregas_BD!D:L,""select K where D='""&amp;D317&amp;""'"",1))"),0.0)</f>
        <v>0</v>
      </c>
      <c r="S317" s="24">
        <f>IFERROR(__xludf.DUMMYFUNCTION("SUM(QUERY(Entregas_BD!D:L,""select L where D='""&amp;D317&amp;""'"",1))"),0.0)</f>
        <v>0</v>
      </c>
      <c r="T317" s="19">
        <f>IFERROR(__xludf.DUMMYFUNCTION("SUM(QUERY(Entregas_BD!D:AL,""select AG where D='""&amp;D317&amp;""'"",1))"),0.0)</f>
        <v>0</v>
      </c>
      <c r="U317" s="19">
        <f>IFERROR(__xludf.DUMMYFUNCTION("SUM(QUERY(Entregas_BD!D:AL,""select AH where D='""&amp;D317&amp;""'"",1))"),0.0)</f>
        <v>0</v>
      </c>
      <c r="V317" s="19">
        <f>IFERROR(__xludf.DUMMYFUNCTION("SUM(QUERY(Entregas_BD!D:AL,""select AI where D='""&amp;D317&amp;""'"",1))"),0.0)</f>
        <v>0</v>
      </c>
      <c r="W317" s="19">
        <f>IFERROR(__xludf.DUMMYFUNCTION("SUM(QUERY(Entregas_BD!D:AL,""select AJ where D='""&amp;D317&amp;""'"",1))"),0.0)</f>
        <v>0</v>
      </c>
      <c r="X317" s="19">
        <f>IFERROR(__xludf.DUMMYFUNCTION("SUM(QUERY(Entregas_BD!D:AL,""select AL where D='""&amp;D317&amp;""'"",1))"),0.0)</f>
        <v>0</v>
      </c>
      <c r="Y317" s="19">
        <f>IFERROR(__xludf.DUMMYFUNCTION("SUM(QUERY(Entregas_BD!D:AL,""select AK where D='""&amp;D317&amp;""'"",1))"),0.0)</f>
        <v>0</v>
      </c>
      <c r="Z317" s="19">
        <v>0.0</v>
      </c>
      <c r="AA317" s="19">
        <v>0.0</v>
      </c>
      <c r="AB317" s="19">
        <v>0.0</v>
      </c>
      <c r="AC317" s="19">
        <v>0.0</v>
      </c>
      <c r="AD317" s="19">
        <v>0.0</v>
      </c>
      <c r="AE317" s="19">
        <v>0.0</v>
      </c>
      <c r="AF317" s="25"/>
      <c r="AG317" s="24">
        <f>IFERROR(__xludf.DUMMYFUNCTION("SUM(QUERY(Entregas_BD!D:W,""select U where D='""&amp;D317&amp;""'"",1))"),0.0)</f>
        <v>0</v>
      </c>
      <c r="AH317" s="24">
        <f>IFERROR(__xludf.DUMMYFUNCTION("SUM(QUERY(Entregas_BD!D:W,""select S where D='""&amp;D317&amp;""'"",1))"),0.0)</f>
        <v>0</v>
      </c>
      <c r="AI317" s="24">
        <f>IFERROR(__xludf.DUMMYFUNCTION("SUM(QUERY(Entregas_BD!D:W,""select T where D='""&amp;D317&amp;""'"",1))"),0.0)</f>
        <v>0</v>
      </c>
    </row>
    <row r="318" ht="19.5" customHeight="1">
      <c r="A318" s="63"/>
      <c r="B318" s="8"/>
      <c r="C318" s="9">
        <v>317.0</v>
      </c>
      <c r="D318" s="10" t="s">
        <v>785</v>
      </c>
      <c r="E318" s="10" t="s">
        <v>44</v>
      </c>
      <c r="F318" s="10" t="s">
        <v>45</v>
      </c>
      <c r="G318" s="10" t="s">
        <v>46</v>
      </c>
      <c r="H318" s="45" t="s">
        <v>622</v>
      </c>
      <c r="I318" s="11" t="s">
        <v>41</v>
      </c>
      <c r="J318" s="12"/>
      <c r="K318" s="12"/>
      <c r="L318" s="13"/>
      <c r="M318" s="12"/>
      <c r="N318" s="9">
        <f>IFERROR(__xludf.DUMMYFUNCTION("SUM(QUERY(Entregas_BD!D:L,""select G where D='""&amp;D318&amp;""'"",1))"),0.0)</f>
        <v>0</v>
      </c>
      <c r="O318" s="9">
        <f>IFERROR(__xludf.DUMMYFUNCTION("SUM(QUERY(Entregas_BD!D:L,""select H where D='""&amp;D318&amp;""'"",1))"),0.0)</f>
        <v>0</v>
      </c>
      <c r="P318" s="9">
        <f>IFERROR(__xludf.DUMMYFUNCTION("SUM(QUERY(Entregas_BD!D:L,""select I where D='""&amp;D318&amp;""'"",1))"),0.0)</f>
        <v>0</v>
      </c>
      <c r="Q318" s="9">
        <f>IFERROR(__xludf.DUMMYFUNCTION("SUM(QUERY(Entregas_BD!D:L,""select J where D='""&amp;D318&amp;""'"",1))"),0.0)</f>
        <v>0</v>
      </c>
      <c r="R318" s="15">
        <f>IFERROR(__xludf.DUMMYFUNCTION("SUM(QUERY(Entregas_BD!D:L,""select K where D='""&amp;D318&amp;""'"",1))"),0.0)</f>
        <v>0</v>
      </c>
      <c r="S318" s="15">
        <f>IFERROR(__xludf.DUMMYFUNCTION("SUM(QUERY(Entregas_BD!D:L,""select L where D='""&amp;D318&amp;""'"",1))"),0.0)</f>
        <v>0</v>
      </c>
      <c r="T318" s="9">
        <f>IFERROR(__xludf.DUMMYFUNCTION("SUM(QUERY(Entregas_BD!D:AL,""select AG where D='""&amp;D318&amp;""'"",1))"),50.0)</f>
        <v>50</v>
      </c>
      <c r="U318" s="9">
        <f>IFERROR(__xludf.DUMMYFUNCTION("SUM(QUERY(Entregas_BD!D:AL,""select AH where D='""&amp;D318&amp;""'"",1))"),0.0)</f>
        <v>0</v>
      </c>
      <c r="V318" s="9">
        <f>IFERROR(__xludf.DUMMYFUNCTION("SUM(QUERY(Entregas_BD!D:AL,""select AI where D='""&amp;D318&amp;""'"",1))"),0.0)</f>
        <v>0</v>
      </c>
      <c r="W318" s="9">
        <f>IFERROR(__xludf.DUMMYFUNCTION("SUM(QUERY(Entregas_BD!D:AL,""select AJ where D='""&amp;D318&amp;""'"",1))"),0.0)</f>
        <v>0</v>
      </c>
      <c r="X318" s="9">
        <f>IFERROR(__xludf.DUMMYFUNCTION("SUM(QUERY(Entregas_BD!D:AL,""select AL where D='""&amp;D318&amp;""'"",1))"),50.0)</f>
        <v>50</v>
      </c>
      <c r="Y318" s="9">
        <f>IFERROR(__xludf.DUMMYFUNCTION("SUM(QUERY(Entregas_BD!D:AL,""select AK where D='""&amp;D318&amp;""'"",1))"),0.0)</f>
        <v>0</v>
      </c>
      <c r="Z318" s="9">
        <v>-50.0</v>
      </c>
      <c r="AA318" s="9">
        <v>0.0</v>
      </c>
      <c r="AB318" s="9">
        <v>0.0</v>
      </c>
      <c r="AC318" s="9">
        <v>0.0</v>
      </c>
      <c r="AD318" s="9">
        <v>0.0</v>
      </c>
      <c r="AE318" s="9">
        <v>-50.0</v>
      </c>
      <c r="AF318" s="37"/>
      <c r="AG318" s="15">
        <f>IFERROR(__xludf.DUMMYFUNCTION("SUM(QUERY(Entregas_BD!D:W,""select U where D='""&amp;D318&amp;""'"",1))"),0.0)</f>
        <v>0</v>
      </c>
      <c r="AH318" s="15">
        <f>IFERROR(__xludf.DUMMYFUNCTION("SUM(QUERY(Entregas_BD!D:W,""select S where D='""&amp;D318&amp;""'"",1))"),0.0)</f>
        <v>0</v>
      </c>
      <c r="AI318" s="15">
        <f>IFERROR(__xludf.DUMMYFUNCTION("SUM(QUERY(Entregas_BD!D:W,""select T where D='""&amp;D318&amp;""'"",1))"),0.0)</f>
        <v>0</v>
      </c>
    </row>
    <row r="319" ht="19.5" customHeight="1">
      <c r="A319" s="64"/>
      <c r="B319" s="32"/>
      <c r="C319" s="19">
        <v>318.0</v>
      </c>
      <c r="D319" s="65" t="s">
        <v>786</v>
      </c>
      <c r="E319" s="20" t="s">
        <v>58</v>
      </c>
      <c r="F319" s="20" t="s">
        <v>45</v>
      </c>
      <c r="G319" s="20" t="s">
        <v>736</v>
      </c>
      <c r="H319" s="34" t="s">
        <v>622</v>
      </c>
      <c r="I319" s="21" t="s">
        <v>41</v>
      </c>
      <c r="J319" s="34"/>
      <c r="K319" s="25"/>
      <c r="L319" s="42"/>
      <c r="M319" s="34"/>
      <c r="N319" s="19">
        <f>IFERROR(__xludf.DUMMYFUNCTION("SUM(QUERY(Entregas_BD!D:L,""select G where D='""&amp;D319&amp;""'"",1))"),0.0)</f>
        <v>0</v>
      </c>
      <c r="O319" s="19">
        <f>IFERROR(__xludf.DUMMYFUNCTION("SUM(QUERY(Entregas_BD!D:L,""select H where D='""&amp;D319&amp;""'"",1))"),0.0)</f>
        <v>0</v>
      </c>
      <c r="P319" s="19">
        <f>IFERROR(__xludf.DUMMYFUNCTION("SUM(QUERY(Entregas_BD!D:L,""select I where D='""&amp;D319&amp;""'"",1))"),0.0)</f>
        <v>0</v>
      </c>
      <c r="Q319" s="19">
        <f>IFERROR(__xludf.DUMMYFUNCTION("SUM(QUERY(Entregas_BD!D:L,""select J where D='""&amp;D319&amp;""'"",1))"),0.0)</f>
        <v>0</v>
      </c>
      <c r="R319" s="24">
        <f>IFERROR(__xludf.DUMMYFUNCTION("SUM(QUERY(Entregas_BD!D:L,""select K where D='""&amp;D319&amp;""'"",1))"),0.0)</f>
        <v>0</v>
      </c>
      <c r="S319" s="24">
        <f>IFERROR(__xludf.DUMMYFUNCTION("SUM(QUERY(Entregas_BD!D:L,""select L where D='""&amp;D319&amp;""'"",1))"),0.0)</f>
        <v>0</v>
      </c>
      <c r="T319" s="19">
        <f>IFERROR(__xludf.DUMMYFUNCTION("SUM(QUERY(Entregas_BD!D:AL,""select AG where D='""&amp;D319&amp;""'"",1))"),130.0)</f>
        <v>130</v>
      </c>
      <c r="U319" s="19">
        <f>IFERROR(__xludf.DUMMYFUNCTION("SUM(QUERY(Entregas_BD!D:AL,""select AH where D='""&amp;D319&amp;""'"",1))"),0.0)</f>
        <v>0</v>
      </c>
      <c r="V319" s="19">
        <f>IFERROR(__xludf.DUMMYFUNCTION("SUM(QUERY(Entregas_BD!D:AL,""select AI where D='""&amp;D319&amp;""'"",1))"),0.0)</f>
        <v>0</v>
      </c>
      <c r="W319" s="19">
        <f>IFERROR(__xludf.DUMMYFUNCTION("SUM(QUERY(Entregas_BD!D:AL,""select AJ where D='""&amp;D319&amp;""'"",1))"),0.0)</f>
        <v>0</v>
      </c>
      <c r="X319" s="19">
        <f>IFERROR(__xludf.DUMMYFUNCTION("SUM(QUERY(Entregas_BD!D:AL,""select AL where D='""&amp;D319&amp;""'"",1))"),10.0)</f>
        <v>10</v>
      </c>
      <c r="Y319" s="19">
        <f>IFERROR(__xludf.DUMMYFUNCTION("SUM(QUERY(Entregas_BD!D:AL,""select AK where D='""&amp;D319&amp;""'"",1))"),0.0)</f>
        <v>0</v>
      </c>
      <c r="Z319" s="19">
        <v>-130.0</v>
      </c>
      <c r="AA319" s="19">
        <v>0.0</v>
      </c>
      <c r="AB319" s="19">
        <v>0.0</v>
      </c>
      <c r="AC319" s="19">
        <v>0.0</v>
      </c>
      <c r="AD319" s="19">
        <v>0.0</v>
      </c>
      <c r="AE319" s="19">
        <v>-10.0</v>
      </c>
      <c r="AF319" s="25"/>
      <c r="AG319" s="24">
        <f>IFERROR(__xludf.DUMMYFUNCTION("SUM(QUERY(Entregas_BD!D:W,""select U where D='""&amp;D319&amp;""'"",1))"),0.0)</f>
        <v>0</v>
      </c>
      <c r="AH319" s="24">
        <f>IFERROR(__xludf.DUMMYFUNCTION("SUM(QUERY(Entregas_BD!D:W,""select S where D='""&amp;D319&amp;""'"",1))"),0.0)</f>
        <v>0</v>
      </c>
      <c r="AI319" s="24">
        <f>IFERROR(__xludf.DUMMYFUNCTION("SUM(QUERY(Entregas_BD!D:W,""select T where D='""&amp;D319&amp;""'"",1))"),0.0)</f>
        <v>0</v>
      </c>
    </row>
    <row r="320" ht="19.5" customHeight="1">
      <c r="A320" s="63"/>
      <c r="B320" s="8"/>
      <c r="C320" s="9">
        <v>319.0</v>
      </c>
      <c r="D320" s="54" t="s">
        <v>786</v>
      </c>
      <c r="E320" s="10" t="s">
        <v>58</v>
      </c>
      <c r="F320" s="10" t="s">
        <v>45</v>
      </c>
      <c r="G320" s="10" t="s">
        <v>736</v>
      </c>
      <c r="H320" s="12" t="s">
        <v>622</v>
      </c>
      <c r="I320" s="11" t="s">
        <v>41</v>
      </c>
      <c r="J320" s="12"/>
      <c r="K320" s="37"/>
      <c r="L320" s="13"/>
      <c r="M320" s="12"/>
      <c r="N320" s="9">
        <f>IFERROR(__xludf.DUMMYFUNCTION("SUM(QUERY(Entregas_BD!D:L,""select G where D='""&amp;D320&amp;""'"",1))"),0.0)</f>
        <v>0</v>
      </c>
      <c r="O320" s="9">
        <f>IFERROR(__xludf.DUMMYFUNCTION("SUM(QUERY(Entregas_BD!D:L,""select H where D='""&amp;D320&amp;""'"",1))"),0.0)</f>
        <v>0</v>
      </c>
      <c r="P320" s="9">
        <f>IFERROR(__xludf.DUMMYFUNCTION("SUM(QUERY(Entregas_BD!D:L,""select I where D='""&amp;D320&amp;""'"",1))"),0.0)</f>
        <v>0</v>
      </c>
      <c r="Q320" s="9">
        <f>IFERROR(__xludf.DUMMYFUNCTION("SUM(QUERY(Entregas_BD!D:L,""select J where D='""&amp;D320&amp;""'"",1))"),0.0)</f>
        <v>0</v>
      </c>
      <c r="R320" s="15">
        <f>IFERROR(__xludf.DUMMYFUNCTION("SUM(QUERY(Entregas_BD!D:L,""select K where D='""&amp;D320&amp;""'"",1))"),0.0)</f>
        <v>0</v>
      </c>
      <c r="S320" s="15">
        <f>IFERROR(__xludf.DUMMYFUNCTION("SUM(QUERY(Entregas_BD!D:L,""select L where D='""&amp;D320&amp;""'"",1))"),0.0)</f>
        <v>0</v>
      </c>
      <c r="T320" s="9">
        <f>IFERROR(__xludf.DUMMYFUNCTION("SUM(QUERY(Entregas_BD!D:AL,""select AG where D='""&amp;D320&amp;""'"",1))"),130.0)</f>
        <v>130</v>
      </c>
      <c r="U320" s="9">
        <f>IFERROR(__xludf.DUMMYFUNCTION("SUM(QUERY(Entregas_BD!D:AL,""select AH where D='""&amp;D320&amp;""'"",1))"),0.0)</f>
        <v>0</v>
      </c>
      <c r="V320" s="9">
        <f>IFERROR(__xludf.DUMMYFUNCTION("SUM(QUERY(Entregas_BD!D:AL,""select AI where D='""&amp;D320&amp;""'"",1))"),0.0)</f>
        <v>0</v>
      </c>
      <c r="W320" s="9">
        <f>IFERROR(__xludf.DUMMYFUNCTION("SUM(QUERY(Entregas_BD!D:AL,""select AJ where D='""&amp;D320&amp;""'"",1))"),0.0)</f>
        <v>0</v>
      </c>
      <c r="X320" s="9">
        <f>IFERROR(__xludf.DUMMYFUNCTION("SUM(QUERY(Entregas_BD!D:AL,""select AL where D='""&amp;D320&amp;""'"",1))"),10.0)</f>
        <v>10</v>
      </c>
      <c r="Y320" s="9">
        <f>IFERROR(__xludf.DUMMYFUNCTION("SUM(QUERY(Entregas_BD!D:AL,""select AK where D='""&amp;D320&amp;""'"",1))"),0.0)</f>
        <v>0</v>
      </c>
      <c r="Z320" s="9">
        <v>-130.0</v>
      </c>
      <c r="AA320" s="9">
        <v>0.0</v>
      </c>
      <c r="AB320" s="9">
        <v>0.0</v>
      </c>
      <c r="AC320" s="9">
        <v>0.0</v>
      </c>
      <c r="AD320" s="9">
        <v>0.0</v>
      </c>
      <c r="AE320" s="9">
        <v>-10.0</v>
      </c>
      <c r="AF320" s="37"/>
      <c r="AG320" s="15">
        <f>IFERROR(__xludf.DUMMYFUNCTION("SUM(QUERY(Entregas_BD!D:W,""select U where D='""&amp;D320&amp;""'"",1))"),0.0)</f>
        <v>0</v>
      </c>
      <c r="AH320" s="15">
        <f>IFERROR(__xludf.DUMMYFUNCTION("SUM(QUERY(Entregas_BD!D:W,""select S where D='""&amp;D320&amp;""'"",1))"),0.0)</f>
        <v>0</v>
      </c>
      <c r="AI320" s="15">
        <f>IFERROR(__xludf.DUMMYFUNCTION("SUM(QUERY(Entregas_BD!D:W,""select T where D='""&amp;D320&amp;""'"",1))"),0.0)</f>
        <v>0</v>
      </c>
    </row>
    <row r="321" ht="19.5" customHeight="1">
      <c r="A321" s="64"/>
      <c r="B321" s="32"/>
      <c r="C321" s="19">
        <v>320.0</v>
      </c>
      <c r="D321" s="20" t="s">
        <v>787</v>
      </c>
      <c r="E321" s="20" t="s">
        <v>54</v>
      </c>
      <c r="F321" s="20" t="s">
        <v>45</v>
      </c>
      <c r="G321" s="20" t="s">
        <v>109</v>
      </c>
      <c r="H321" s="34" t="s">
        <v>622</v>
      </c>
      <c r="I321" s="21" t="s">
        <v>41</v>
      </c>
      <c r="J321" s="34"/>
      <c r="K321" s="34"/>
      <c r="L321" s="42"/>
      <c r="M321" s="34"/>
      <c r="N321" s="19">
        <f>IFERROR(__xludf.DUMMYFUNCTION("SUM(QUERY(Entregas_BD!D:L,""select G where D='""&amp;D321&amp;""'"",1))"),0.0)</f>
        <v>0</v>
      </c>
      <c r="O321" s="19">
        <f>IFERROR(__xludf.DUMMYFUNCTION("SUM(QUERY(Entregas_BD!D:L,""select H where D='""&amp;D321&amp;""'"",1))"),0.0)</f>
        <v>0</v>
      </c>
      <c r="P321" s="19">
        <f>IFERROR(__xludf.DUMMYFUNCTION("SUM(QUERY(Entregas_BD!D:L,""select I where D='""&amp;D321&amp;""'"",1))"),0.0)</f>
        <v>0</v>
      </c>
      <c r="Q321" s="19">
        <f>IFERROR(__xludf.DUMMYFUNCTION("SUM(QUERY(Entregas_BD!D:L,""select J where D='""&amp;D321&amp;""'"",1))"),0.0)</f>
        <v>0</v>
      </c>
      <c r="R321" s="24">
        <f>IFERROR(__xludf.DUMMYFUNCTION("SUM(QUERY(Entregas_BD!D:L,""select K where D='""&amp;D321&amp;""'"",1))"),0.0)</f>
        <v>0</v>
      </c>
      <c r="S321" s="24">
        <f>IFERROR(__xludf.DUMMYFUNCTION("SUM(QUERY(Entregas_BD!D:L,""select L where D='""&amp;D321&amp;""'"",1))"),0.0)</f>
        <v>0</v>
      </c>
      <c r="T321" s="19">
        <f>IFERROR(__xludf.DUMMYFUNCTION("SUM(QUERY(Entregas_BD!D:AL,""select AG where D='""&amp;D321&amp;""'"",1))"),50.0)</f>
        <v>50</v>
      </c>
      <c r="U321" s="19">
        <f>IFERROR(__xludf.DUMMYFUNCTION("SUM(QUERY(Entregas_BD!D:AL,""select AH where D='""&amp;D321&amp;""'"",1))"),0.0)</f>
        <v>0</v>
      </c>
      <c r="V321" s="19">
        <f>IFERROR(__xludf.DUMMYFUNCTION("SUM(QUERY(Entregas_BD!D:AL,""select AI where D='""&amp;D321&amp;""'"",1))"),0.0)</f>
        <v>0</v>
      </c>
      <c r="W321" s="19">
        <f>IFERROR(__xludf.DUMMYFUNCTION("SUM(QUERY(Entregas_BD!D:AL,""select AJ where D='""&amp;D321&amp;""'"",1))"),0.0)</f>
        <v>0</v>
      </c>
      <c r="X321" s="19">
        <f>IFERROR(__xludf.DUMMYFUNCTION("SUM(QUERY(Entregas_BD!D:AL,""select AL where D='""&amp;D321&amp;""'"",1))"),0.0)</f>
        <v>0</v>
      </c>
      <c r="Y321" s="19">
        <f>IFERROR(__xludf.DUMMYFUNCTION("SUM(QUERY(Entregas_BD!D:AL,""select AK where D='""&amp;D321&amp;""'"",1))"),6.0)</f>
        <v>6</v>
      </c>
      <c r="Z321" s="19">
        <v>-50.0</v>
      </c>
      <c r="AA321" s="19">
        <v>0.0</v>
      </c>
      <c r="AB321" s="19">
        <v>0.0</v>
      </c>
      <c r="AC321" s="19">
        <v>0.0</v>
      </c>
      <c r="AD321" s="19">
        <v>-6.0</v>
      </c>
      <c r="AE321" s="19">
        <v>0.0</v>
      </c>
      <c r="AF321" s="25"/>
      <c r="AG321" s="24">
        <f>IFERROR(__xludf.DUMMYFUNCTION("SUM(QUERY(Entregas_BD!D:W,""select U where D='""&amp;D321&amp;""'"",1))"),0.0)</f>
        <v>0</v>
      </c>
      <c r="AH321" s="24">
        <f>IFERROR(__xludf.DUMMYFUNCTION("SUM(QUERY(Entregas_BD!D:W,""select S where D='""&amp;D321&amp;""'"",1))"),0.0)</f>
        <v>0</v>
      </c>
      <c r="AI321" s="24">
        <f>IFERROR(__xludf.DUMMYFUNCTION("SUM(QUERY(Entregas_BD!D:W,""select T where D='""&amp;D321&amp;""'"",1))"),0.0)</f>
        <v>0</v>
      </c>
    </row>
    <row r="322" ht="19.5" customHeight="1">
      <c r="A322" s="63"/>
      <c r="B322" s="8"/>
      <c r="C322" s="9">
        <v>321.0</v>
      </c>
      <c r="D322" s="45" t="s">
        <v>788</v>
      </c>
      <c r="E322" s="10" t="s">
        <v>58</v>
      </c>
      <c r="F322" s="10" t="s">
        <v>45</v>
      </c>
      <c r="G322" s="10" t="s">
        <v>736</v>
      </c>
      <c r="H322" s="45" t="s">
        <v>770</v>
      </c>
      <c r="I322" s="11" t="s">
        <v>41</v>
      </c>
      <c r="J322" s="12"/>
      <c r="K322" s="37"/>
      <c r="L322" s="13"/>
      <c r="M322" s="12"/>
      <c r="N322" s="9">
        <f>IFERROR(__xludf.DUMMYFUNCTION("SUM(QUERY(Entregas_BD!D:L,""select G where D='""&amp;D322&amp;""'"",1))"),0.0)</f>
        <v>0</v>
      </c>
      <c r="O322" s="9">
        <f>IFERROR(__xludf.DUMMYFUNCTION("SUM(QUERY(Entregas_BD!D:L,""select H where D='""&amp;D322&amp;""'"",1))"),0.0)</f>
        <v>0</v>
      </c>
      <c r="P322" s="9">
        <f>IFERROR(__xludf.DUMMYFUNCTION("SUM(QUERY(Entregas_BD!D:L,""select I where D='""&amp;D322&amp;""'"",1))"),0.0)</f>
        <v>0</v>
      </c>
      <c r="Q322" s="9">
        <f>IFERROR(__xludf.DUMMYFUNCTION("SUM(QUERY(Entregas_BD!D:L,""select J where D='""&amp;D322&amp;""'"",1))"),0.0)</f>
        <v>0</v>
      </c>
      <c r="R322" s="15">
        <f>IFERROR(__xludf.DUMMYFUNCTION("SUM(QUERY(Entregas_BD!D:L,""select K where D='""&amp;D322&amp;""'"",1))"),0.0)</f>
        <v>0</v>
      </c>
      <c r="S322" s="15">
        <f>IFERROR(__xludf.DUMMYFUNCTION("SUM(QUERY(Entregas_BD!D:L,""select L where D='""&amp;D322&amp;""'"",1))"),0.0)</f>
        <v>0</v>
      </c>
      <c r="T322" s="9">
        <f>IFERROR(__xludf.DUMMYFUNCTION("SUM(QUERY(Entregas_BD!D:AL,""select AG where D='""&amp;D322&amp;""'"",1))"),12.0)</f>
        <v>12</v>
      </c>
      <c r="U322" s="9">
        <f>IFERROR(__xludf.DUMMYFUNCTION("SUM(QUERY(Entregas_BD!D:AL,""select AH where D='""&amp;D322&amp;""'"",1))"),0.0)</f>
        <v>0</v>
      </c>
      <c r="V322" s="9">
        <f>IFERROR(__xludf.DUMMYFUNCTION("SUM(QUERY(Entregas_BD!D:AL,""select AI where D='""&amp;D322&amp;""'"",1))"),0.0)</f>
        <v>0</v>
      </c>
      <c r="W322" s="9">
        <f>IFERROR(__xludf.DUMMYFUNCTION("SUM(QUERY(Entregas_BD!D:AL,""select AJ where D='""&amp;D322&amp;""'"",1))"),0.0)</f>
        <v>0</v>
      </c>
      <c r="X322" s="9">
        <f>IFERROR(__xludf.DUMMYFUNCTION("SUM(QUERY(Entregas_BD!D:AL,""select AL where D='""&amp;D322&amp;""'"",1))"),0.0)</f>
        <v>0</v>
      </c>
      <c r="Y322" s="9">
        <f>IFERROR(__xludf.DUMMYFUNCTION("SUM(QUERY(Entregas_BD!D:AL,""select AK where D='""&amp;D322&amp;""'"",1))"),0.0)</f>
        <v>0</v>
      </c>
      <c r="Z322" s="9">
        <v>-12.0</v>
      </c>
      <c r="AA322" s="9">
        <v>0.0</v>
      </c>
      <c r="AB322" s="9">
        <v>0.0</v>
      </c>
      <c r="AC322" s="9">
        <v>0.0</v>
      </c>
      <c r="AD322" s="9">
        <v>0.0</v>
      </c>
      <c r="AE322" s="9">
        <v>0.0</v>
      </c>
      <c r="AF322" s="37"/>
      <c r="AG322" s="15">
        <f>IFERROR(__xludf.DUMMYFUNCTION("SUM(QUERY(Entregas_BD!D:W,""select U where D='""&amp;D322&amp;""'"",1))"),0.0)</f>
        <v>0</v>
      </c>
      <c r="AH322" s="15">
        <f>IFERROR(__xludf.DUMMYFUNCTION("SUM(QUERY(Entregas_BD!D:W,""select S where D='""&amp;D322&amp;""'"",1))"),0.0)</f>
        <v>0</v>
      </c>
      <c r="AI322" s="15">
        <f>IFERROR(__xludf.DUMMYFUNCTION("SUM(QUERY(Entregas_BD!D:W,""select T where D='""&amp;D322&amp;""'"",1))"),0.0)</f>
        <v>0</v>
      </c>
    </row>
    <row r="323" ht="19.5" customHeight="1">
      <c r="A323" s="64"/>
      <c r="B323" s="32"/>
      <c r="C323" s="19">
        <v>322.0</v>
      </c>
      <c r="D323" s="34" t="s">
        <v>789</v>
      </c>
      <c r="E323" s="20" t="s">
        <v>58</v>
      </c>
      <c r="F323" s="20" t="s">
        <v>45</v>
      </c>
      <c r="G323" s="20" t="s">
        <v>778</v>
      </c>
      <c r="H323" s="34" t="s">
        <v>632</v>
      </c>
      <c r="I323" s="21" t="s">
        <v>41</v>
      </c>
      <c r="J323" s="34"/>
      <c r="K323" s="25"/>
      <c r="L323" s="42"/>
      <c r="M323" s="34"/>
      <c r="N323" s="19">
        <f>IFERROR(__xludf.DUMMYFUNCTION("SUM(QUERY(Entregas_BD!D:L,""select G where D='""&amp;D323&amp;""'"",1))"),0.0)</f>
        <v>0</v>
      </c>
      <c r="O323" s="19">
        <f>IFERROR(__xludf.DUMMYFUNCTION("SUM(QUERY(Entregas_BD!D:L,""select H where D='""&amp;D323&amp;""'"",1))"),0.0)</f>
        <v>0</v>
      </c>
      <c r="P323" s="19">
        <f>IFERROR(__xludf.DUMMYFUNCTION("SUM(QUERY(Entregas_BD!D:L,""select I where D='""&amp;D323&amp;""'"",1))"),0.0)</f>
        <v>0</v>
      </c>
      <c r="Q323" s="19">
        <f>IFERROR(__xludf.DUMMYFUNCTION("SUM(QUERY(Entregas_BD!D:L,""select J where D='""&amp;D323&amp;""'"",1))"),0.0)</f>
        <v>0</v>
      </c>
      <c r="R323" s="24">
        <f>IFERROR(__xludf.DUMMYFUNCTION("SUM(QUERY(Entregas_BD!D:L,""select K where D='""&amp;D323&amp;""'"",1))"),0.0)</f>
        <v>0</v>
      </c>
      <c r="S323" s="24">
        <f>IFERROR(__xludf.DUMMYFUNCTION("SUM(QUERY(Entregas_BD!D:L,""select L where D='""&amp;D323&amp;""'"",1))"),0.0)</f>
        <v>0</v>
      </c>
      <c r="T323" s="19">
        <f>IFERROR(__xludf.DUMMYFUNCTION("SUM(QUERY(Entregas_BD!D:AL,""select AG where D='""&amp;D323&amp;""'"",1))"),10.0)</f>
        <v>10</v>
      </c>
      <c r="U323" s="19">
        <f>IFERROR(__xludf.DUMMYFUNCTION("SUM(QUERY(Entregas_BD!D:AL,""select AH where D='""&amp;D323&amp;""'"",1))"),0.0)</f>
        <v>0</v>
      </c>
      <c r="V323" s="19">
        <f>IFERROR(__xludf.DUMMYFUNCTION("SUM(QUERY(Entregas_BD!D:AL,""select AI where D='""&amp;D323&amp;""'"",1))"),0.0)</f>
        <v>0</v>
      </c>
      <c r="W323" s="19">
        <f>IFERROR(__xludf.DUMMYFUNCTION("SUM(QUERY(Entregas_BD!D:AL,""select AJ where D='""&amp;D323&amp;""'"",1))"),0.0)</f>
        <v>0</v>
      </c>
      <c r="X323" s="19">
        <f>IFERROR(__xludf.DUMMYFUNCTION("SUM(QUERY(Entregas_BD!D:AL,""select AL where D='""&amp;D323&amp;""'"",1))"),0.0)</f>
        <v>0</v>
      </c>
      <c r="Y323" s="19">
        <f>IFERROR(__xludf.DUMMYFUNCTION("SUM(QUERY(Entregas_BD!D:AL,""select AK where D='""&amp;D323&amp;""'"",1))"),0.0)</f>
        <v>0</v>
      </c>
      <c r="Z323" s="19">
        <v>-10.0</v>
      </c>
      <c r="AA323" s="19">
        <v>0.0</v>
      </c>
      <c r="AB323" s="19">
        <v>0.0</v>
      </c>
      <c r="AC323" s="19">
        <v>0.0</v>
      </c>
      <c r="AD323" s="19">
        <v>0.0</v>
      </c>
      <c r="AE323" s="19">
        <v>0.0</v>
      </c>
      <c r="AF323" s="22"/>
      <c r="AG323" s="24">
        <f>IFERROR(__xludf.DUMMYFUNCTION("SUM(QUERY(Entregas_BD!D:W,""select U where D='""&amp;D323&amp;""'"",1))"),0.0)</f>
        <v>0</v>
      </c>
      <c r="AH323" s="24">
        <f>IFERROR(__xludf.DUMMYFUNCTION("SUM(QUERY(Entregas_BD!D:W,""select S where D='""&amp;D323&amp;""'"",1))"),0.0)</f>
        <v>0</v>
      </c>
      <c r="AI323" s="24">
        <f>IFERROR(__xludf.DUMMYFUNCTION("SUM(QUERY(Entregas_BD!D:W,""select T where D='""&amp;D323&amp;""'"",1))"),0.0)</f>
        <v>0</v>
      </c>
    </row>
    <row r="324" ht="19.5" customHeight="1">
      <c r="A324" s="63"/>
      <c r="B324" s="8"/>
      <c r="C324" s="9">
        <v>323.0</v>
      </c>
      <c r="D324" s="10" t="s">
        <v>790</v>
      </c>
      <c r="E324" s="10" t="s">
        <v>153</v>
      </c>
      <c r="F324" s="10" t="s">
        <v>791</v>
      </c>
      <c r="G324" s="69"/>
      <c r="H324" s="45" t="s">
        <v>770</v>
      </c>
      <c r="I324" s="11" t="s">
        <v>41</v>
      </c>
      <c r="J324" s="12"/>
      <c r="K324" s="12"/>
      <c r="L324" s="13"/>
      <c r="M324" s="12"/>
      <c r="N324" s="9">
        <f>IFERROR(__xludf.DUMMYFUNCTION("SUM(QUERY(Entregas_BD!D:L,""select G where D='""&amp;D324&amp;""'"",1))"),0.0)</f>
        <v>0</v>
      </c>
      <c r="O324" s="9">
        <f>IFERROR(__xludf.DUMMYFUNCTION("SUM(QUERY(Entregas_BD!D:L,""select H where D='""&amp;D324&amp;""'"",1))"),0.0)</f>
        <v>0</v>
      </c>
      <c r="P324" s="9">
        <f>IFERROR(__xludf.DUMMYFUNCTION("SUM(QUERY(Entregas_BD!D:L,""select I where D='""&amp;D324&amp;""'"",1))"),0.0)</f>
        <v>0</v>
      </c>
      <c r="Q324" s="9">
        <f>IFERROR(__xludf.DUMMYFUNCTION("SUM(QUERY(Entregas_BD!D:L,""select J where D='""&amp;D324&amp;""'"",1))"),0.0)</f>
        <v>0</v>
      </c>
      <c r="R324" s="15">
        <f>IFERROR(__xludf.DUMMYFUNCTION("SUM(QUERY(Entregas_BD!D:L,""select K where D='""&amp;D324&amp;""'"",1))"),0.0)</f>
        <v>0</v>
      </c>
      <c r="S324" s="15">
        <f>IFERROR(__xludf.DUMMYFUNCTION("SUM(QUERY(Entregas_BD!D:L,""select L where D='""&amp;D324&amp;""'"",1))"),0.0)</f>
        <v>0</v>
      </c>
      <c r="T324" s="9">
        <f>IFERROR(__xludf.DUMMYFUNCTION("SUM(QUERY(Entregas_BD!D:AL,""select AG where D='""&amp;D324&amp;""'"",1))"),5.0)</f>
        <v>5</v>
      </c>
      <c r="U324" s="9">
        <f>IFERROR(__xludf.DUMMYFUNCTION("SUM(QUERY(Entregas_BD!D:AL,""select AH where D='""&amp;D324&amp;""'"",1))"),0.0)</f>
        <v>0</v>
      </c>
      <c r="V324" s="9">
        <f>IFERROR(__xludf.DUMMYFUNCTION("SUM(QUERY(Entregas_BD!D:AL,""select AI where D='""&amp;D324&amp;""'"",1))"),0.0)</f>
        <v>0</v>
      </c>
      <c r="W324" s="9">
        <f>IFERROR(__xludf.DUMMYFUNCTION("SUM(QUERY(Entregas_BD!D:AL,""select AJ where D='""&amp;D324&amp;""'"",1))"),0.0)</f>
        <v>0</v>
      </c>
      <c r="X324" s="9">
        <f>IFERROR(__xludf.DUMMYFUNCTION("SUM(QUERY(Entregas_BD!D:AL,""select AL where D='""&amp;D324&amp;""'"",1))"),0.0)</f>
        <v>0</v>
      </c>
      <c r="Y324" s="9">
        <f>IFERROR(__xludf.DUMMYFUNCTION("SUM(QUERY(Entregas_BD!D:AL,""select AK where D='""&amp;D324&amp;""'"",1))"),0.0)</f>
        <v>0</v>
      </c>
      <c r="Z324" s="9">
        <v>-5.0</v>
      </c>
      <c r="AA324" s="9">
        <v>0.0</v>
      </c>
      <c r="AB324" s="9">
        <v>0.0</v>
      </c>
      <c r="AC324" s="9">
        <v>0.0</v>
      </c>
      <c r="AD324" s="9">
        <v>0.0</v>
      </c>
      <c r="AE324" s="9">
        <v>0.0</v>
      </c>
      <c r="AF324" s="28"/>
      <c r="AG324" s="15">
        <f>IFERROR(__xludf.DUMMYFUNCTION("SUM(QUERY(Entregas_BD!D:W,""select U where D='""&amp;D324&amp;""'"",1))"),0.0)</f>
        <v>0</v>
      </c>
      <c r="AH324" s="15">
        <f>IFERROR(__xludf.DUMMYFUNCTION("SUM(QUERY(Entregas_BD!D:W,""select S where D='""&amp;D324&amp;""'"",1))"),0.0)</f>
        <v>0</v>
      </c>
      <c r="AI324" s="15">
        <f>IFERROR(__xludf.DUMMYFUNCTION("SUM(QUERY(Entregas_BD!D:W,""select T where D='""&amp;D324&amp;""'"",1))"),0.0)</f>
        <v>0</v>
      </c>
    </row>
    <row r="325" ht="19.5" customHeight="1">
      <c r="A325" s="64"/>
      <c r="B325" s="32"/>
      <c r="C325" s="19">
        <v>324.0</v>
      </c>
      <c r="D325" s="20" t="s">
        <v>792</v>
      </c>
      <c r="E325" s="20" t="s">
        <v>72</v>
      </c>
      <c r="F325" s="20" t="s">
        <v>45</v>
      </c>
      <c r="G325" s="20" t="s">
        <v>182</v>
      </c>
      <c r="H325" s="44" t="s">
        <v>40</v>
      </c>
      <c r="I325" s="21" t="s">
        <v>41</v>
      </c>
      <c r="J325" s="34"/>
      <c r="K325" s="34"/>
      <c r="L325" s="42"/>
      <c r="M325" s="34"/>
      <c r="N325" s="19">
        <f>IFERROR(__xludf.DUMMYFUNCTION("SUM(QUERY(Entregas_BD!D:L,""select G where D='""&amp;D325&amp;""'"",1))"),0.0)</f>
        <v>0</v>
      </c>
      <c r="O325" s="19">
        <f>IFERROR(__xludf.DUMMYFUNCTION("SUM(QUERY(Entregas_BD!D:L,""select H where D='""&amp;D325&amp;""'"",1))"),0.0)</f>
        <v>0</v>
      </c>
      <c r="P325" s="19">
        <f>IFERROR(__xludf.DUMMYFUNCTION("SUM(QUERY(Entregas_BD!D:L,""select I where D='""&amp;D325&amp;""'"",1))"),0.0)</f>
        <v>0</v>
      </c>
      <c r="Q325" s="19">
        <f>IFERROR(__xludf.DUMMYFUNCTION("SUM(QUERY(Entregas_BD!D:L,""select J where D='""&amp;D325&amp;""'"",1))"),0.0)</f>
        <v>0</v>
      </c>
      <c r="R325" s="24">
        <f>IFERROR(__xludf.DUMMYFUNCTION("SUM(QUERY(Entregas_BD!D:L,""select K where D='""&amp;D325&amp;""'"",1))"),0.0)</f>
        <v>0</v>
      </c>
      <c r="S325" s="24">
        <f>IFERROR(__xludf.DUMMYFUNCTION("SUM(QUERY(Entregas_BD!D:L,""select L where D='""&amp;D325&amp;""'"",1))"),0.0)</f>
        <v>0</v>
      </c>
      <c r="T325" s="19">
        <f>IFERROR(__xludf.DUMMYFUNCTION("SUM(QUERY(Entregas_BD!D:AL,""select AG where D='""&amp;D325&amp;""'"",1))"),100.0)</f>
        <v>100</v>
      </c>
      <c r="U325" s="19">
        <f>IFERROR(__xludf.DUMMYFUNCTION("SUM(QUERY(Entregas_BD!D:AL,""select AH where D='""&amp;D325&amp;""'"",1))"),0.0)</f>
        <v>0</v>
      </c>
      <c r="V325" s="19">
        <f>IFERROR(__xludf.DUMMYFUNCTION("SUM(QUERY(Entregas_BD!D:AL,""select AI where D='""&amp;D325&amp;""'"",1))"),0.0)</f>
        <v>0</v>
      </c>
      <c r="W325" s="19">
        <f>IFERROR(__xludf.DUMMYFUNCTION("SUM(QUERY(Entregas_BD!D:AL,""select AJ where D='""&amp;D325&amp;""'"",1))"),0.0)</f>
        <v>0</v>
      </c>
      <c r="X325" s="19">
        <f>IFERROR(__xludf.DUMMYFUNCTION("SUM(QUERY(Entregas_BD!D:AL,""select AL where D='""&amp;D325&amp;""'"",1))"),0.0)</f>
        <v>0</v>
      </c>
      <c r="Y325" s="19">
        <f>IFERROR(__xludf.DUMMYFUNCTION("SUM(QUERY(Entregas_BD!D:AL,""select AK where D='""&amp;D325&amp;""'"",1))"),0.0)</f>
        <v>0</v>
      </c>
      <c r="Z325" s="19">
        <v>-100.0</v>
      </c>
      <c r="AA325" s="19">
        <v>0.0</v>
      </c>
      <c r="AB325" s="19">
        <v>0.0</v>
      </c>
      <c r="AC325" s="19">
        <v>0.0</v>
      </c>
      <c r="AD325" s="19">
        <v>0.0</v>
      </c>
      <c r="AE325" s="19">
        <v>0.0</v>
      </c>
      <c r="AF325" s="22"/>
      <c r="AG325" s="24">
        <f>IFERROR(__xludf.DUMMYFUNCTION("SUM(QUERY(Entregas_BD!D:W,""select U where D='""&amp;D325&amp;""'"",1))"),0.0)</f>
        <v>0</v>
      </c>
      <c r="AH325" s="24">
        <f>IFERROR(__xludf.DUMMYFUNCTION("SUM(QUERY(Entregas_BD!D:W,""select S where D='""&amp;D325&amp;""'"",1))"),0.0)</f>
        <v>0</v>
      </c>
      <c r="AI325" s="24">
        <f>IFERROR(__xludf.DUMMYFUNCTION("SUM(QUERY(Entregas_BD!D:W,""select T where D='""&amp;D325&amp;""'"",1))"),0.0)</f>
        <v>0</v>
      </c>
    </row>
    <row r="326" ht="19.5" customHeight="1">
      <c r="A326" s="63"/>
      <c r="B326" s="8"/>
      <c r="C326" s="9">
        <v>325.0</v>
      </c>
      <c r="D326" s="12" t="s">
        <v>793</v>
      </c>
      <c r="E326" s="10" t="s">
        <v>58</v>
      </c>
      <c r="F326" s="10" t="s">
        <v>45</v>
      </c>
      <c r="G326" s="10" t="s">
        <v>598</v>
      </c>
      <c r="H326" s="12" t="s">
        <v>632</v>
      </c>
      <c r="I326" s="11" t="s">
        <v>41</v>
      </c>
      <c r="J326" s="12"/>
      <c r="K326" s="37"/>
      <c r="L326" s="13"/>
      <c r="M326" s="12"/>
      <c r="N326" s="9">
        <f>IFERROR(__xludf.DUMMYFUNCTION("SUM(QUERY(Entregas_BD!D:L,""select G where D='""&amp;D326&amp;""'"",1))"),0.0)</f>
        <v>0</v>
      </c>
      <c r="O326" s="9">
        <f>IFERROR(__xludf.DUMMYFUNCTION("SUM(QUERY(Entregas_BD!D:L,""select H where D='""&amp;D326&amp;""'"",1))"),0.0)</f>
        <v>0</v>
      </c>
      <c r="P326" s="9">
        <f>IFERROR(__xludf.DUMMYFUNCTION("SUM(QUERY(Entregas_BD!D:L,""select I where D='""&amp;D326&amp;""'"",1))"),0.0)</f>
        <v>0</v>
      </c>
      <c r="Q326" s="9">
        <f>IFERROR(__xludf.DUMMYFUNCTION("SUM(QUERY(Entregas_BD!D:L,""select J where D='""&amp;D326&amp;""'"",1))"),0.0)</f>
        <v>0</v>
      </c>
      <c r="R326" s="15">
        <f>IFERROR(__xludf.DUMMYFUNCTION("SUM(QUERY(Entregas_BD!D:L,""select K where D='""&amp;D326&amp;""'"",1))"),0.0)</f>
        <v>0</v>
      </c>
      <c r="S326" s="15">
        <f>IFERROR(__xludf.DUMMYFUNCTION("SUM(QUERY(Entregas_BD!D:L,""select L where D='""&amp;D326&amp;""'"",1))"),0.0)</f>
        <v>0</v>
      </c>
      <c r="T326" s="9">
        <f>IFERROR(__xludf.DUMMYFUNCTION("SUM(QUERY(Entregas_BD!D:AL,""select AG where D='""&amp;D326&amp;""'"",1))"),0.0)</f>
        <v>0</v>
      </c>
      <c r="U326" s="9">
        <f>IFERROR(__xludf.DUMMYFUNCTION("SUM(QUERY(Entregas_BD!D:AL,""select AH where D='""&amp;D326&amp;""'"",1))"),0.0)</f>
        <v>0</v>
      </c>
      <c r="V326" s="9">
        <f>IFERROR(__xludf.DUMMYFUNCTION("SUM(QUERY(Entregas_BD!D:AL,""select AI where D='""&amp;D326&amp;""'"",1))"),0.0)</f>
        <v>0</v>
      </c>
      <c r="W326" s="9">
        <f>IFERROR(__xludf.DUMMYFUNCTION("SUM(QUERY(Entregas_BD!D:AL,""select AJ where D='""&amp;D326&amp;""'"",1))"),25.0)</f>
        <v>25</v>
      </c>
      <c r="X326" s="9">
        <f>IFERROR(__xludf.DUMMYFUNCTION("SUM(QUERY(Entregas_BD!D:AL,""select AL where D='""&amp;D326&amp;""'"",1))"),0.0)</f>
        <v>0</v>
      </c>
      <c r="Y326" s="9">
        <f>IFERROR(__xludf.DUMMYFUNCTION("SUM(QUERY(Entregas_BD!D:AL,""select AK where D='""&amp;D326&amp;""'"",1))"),0.0)</f>
        <v>0</v>
      </c>
      <c r="Z326" s="9">
        <v>0.0</v>
      </c>
      <c r="AA326" s="9">
        <v>0.0</v>
      </c>
      <c r="AB326" s="9">
        <v>0.0</v>
      </c>
      <c r="AC326" s="9">
        <v>-25.0</v>
      </c>
      <c r="AD326" s="9">
        <v>0.0</v>
      </c>
      <c r="AE326" s="9">
        <v>0.0</v>
      </c>
      <c r="AF326" s="37"/>
      <c r="AG326" s="15">
        <f>IFERROR(__xludf.DUMMYFUNCTION("SUM(QUERY(Entregas_BD!D:W,""select U where D='""&amp;D326&amp;""'"",1))"),0.0)</f>
        <v>0</v>
      </c>
      <c r="AH326" s="15">
        <f>IFERROR(__xludf.DUMMYFUNCTION("SUM(QUERY(Entregas_BD!D:W,""select S where D='""&amp;D326&amp;""'"",1))"),0.0)</f>
        <v>0</v>
      </c>
      <c r="AI326" s="15">
        <f>IFERROR(__xludf.DUMMYFUNCTION("SUM(QUERY(Entregas_BD!D:W,""select T where D='""&amp;D326&amp;""'"",1))"),0.0)</f>
        <v>0</v>
      </c>
    </row>
    <row r="327" ht="19.5" customHeight="1">
      <c r="A327" s="64"/>
      <c r="B327" s="32"/>
      <c r="C327" s="19">
        <v>326.0</v>
      </c>
      <c r="D327" s="20" t="s">
        <v>794</v>
      </c>
      <c r="E327" s="20" t="s">
        <v>58</v>
      </c>
      <c r="F327" s="20" t="s">
        <v>45</v>
      </c>
      <c r="G327" s="20" t="s">
        <v>174</v>
      </c>
      <c r="H327" s="19" t="s">
        <v>40</v>
      </c>
      <c r="I327" s="21" t="s">
        <v>41</v>
      </c>
      <c r="J327" s="34"/>
      <c r="K327" s="25"/>
      <c r="L327" s="42"/>
      <c r="M327" s="34"/>
      <c r="N327" s="19">
        <f>IFERROR(__xludf.DUMMYFUNCTION("SUM(QUERY(Entregas_BD!D:L,""select G where D='""&amp;D327&amp;""'"",1))"),0.0)</f>
        <v>0</v>
      </c>
      <c r="O327" s="19">
        <f>IFERROR(__xludf.DUMMYFUNCTION("SUM(QUERY(Entregas_BD!D:L,""select H where D='""&amp;D327&amp;""'"",1))"),0.0)</f>
        <v>0</v>
      </c>
      <c r="P327" s="19">
        <f>IFERROR(__xludf.DUMMYFUNCTION("SUM(QUERY(Entregas_BD!D:L,""select I where D='""&amp;D327&amp;""'"",1))"),0.0)</f>
        <v>0</v>
      </c>
      <c r="Q327" s="19">
        <f>IFERROR(__xludf.DUMMYFUNCTION("SUM(QUERY(Entregas_BD!D:L,""select J where D='""&amp;D327&amp;""'"",1))"),0.0)</f>
        <v>0</v>
      </c>
      <c r="R327" s="24">
        <f>IFERROR(__xludf.DUMMYFUNCTION("SUM(QUERY(Entregas_BD!D:L,""select K where D='""&amp;D327&amp;""'"",1))"),0.0)</f>
        <v>0</v>
      </c>
      <c r="S327" s="24">
        <f>IFERROR(__xludf.DUMMYFUNCTION("SUM(QUERY(Entregas_BD!D:L,""select L where D='""&amp;D327&amp;""'"",1))"),0.0)</f>
        <v>0</v>
      </c>
      <c r="T327" s="19">
        <f>IFERROR(__xludf.DUMMYFUNCTION("SUM(QUERY(Entregas_BD!D:AL,""select AG where D='""&amp;D327&amp;""'"",1))"),0.0)</f>
        <v>0</v>
      </c>
      <c r="U327" s="19">
        <f>IFERROR(__xludf.DUMMYFUNCTION("SUM(QUERY(Entregas_BD!D:AL,""select AH where D='""&amp;D327&amp;""'"",1))"),0.0)</f>
        <v>0</v>
      </c>
      <c r="V327" s="19">
        <f>IFERROR(__xludf.DUMMYFUNCTION("SUM(QUERY(Entregas_BD!D:AL,""select AI where D='""&amp;D327&amp;""'"",1))"),0.0)</f>
        <v>0</v>
      </c>
      <c r="W327" s="19">
        <f>IFERROR(__xludf.DUMMYFUNCTION("SUM(QUERY(Entregas_BD!D:AL,""select AJ where D='""&amp;D327&amp;""'"",1))"),0.0)</f>
        <v>0</v>
      </c>
      <c r="X327" s="19">
        <f>IFERROR(__xludf.DUMMYFUNCTION("SUM(QUERY(Entregas_BD!D:AL,""select AL where D='""&amp;D327&amp;""'"",1))"),0.0)</f>
        <v>0</v>
      </c>
      <c r="Y327" s="19">
        <f>IFERROR(__xludf.DUMMYFUNCTION("SUM(QUERY(Entregas_BD!D:AL,""select AK where D='""&amp;D327&amp;""'"",1))"),0.0)</f>
        <v>0</v>
      </c>
      <c r="Z327" s="19">
        <v>0.0</v>
      </c>
      <c r="AA327" s="19">
        <v>0.0</v>
      </c>
      <c r="AB327" s="19">
        <v>0.0</v>
      </c>
      <c r="AC327" s="19">
        <v>0.0</v>
      </c>
      <c r="AD327" s="19">
        <v>0.0</v>
      </c>
      <c r="AE327" s="19">
        <v>0.0</v>
      </c>
      <c r="AF327" s="25"/>
      <c r="AG327" s="24">
        <f>IFERROR(__xludf.DUMMYFUNCTION("SUM(QUERY(Entregas_BD!D:W,""select U where D='""&amp;D327&amp;""'"",1))"),0.0)</f>
        <v>0</v>
      </c>
      <c r="AH327" s="24">
        <f>IFERROR(__xludf.DUMMYFUNCTION("SUM(QUERY(Entregas_BD!D:W,""select S where D='""&amp;D327&amp;""'"",1))"),0.0)</f>
        <v>0</v>
      </c>
      <c r="AI327" s="24">
        <f>IFERROR(__xludf.DUMMYFUNCTION("SUM(QUERY(Entregas_BD!D:W,""select T where D='""&amp;D327&amp;""'"",1))"),0.0)</f>
        <v>0</v>
      </c>
    </row>
    <row r="328" ht="19.5" customHeight="1">
      <c r="A328" s="63"/>
      <c r="B328" s="8"/>
      <c r="C328" s="9">
        <v>327.0</v>
      </c>
      <c r="D328" s="10" t="s">
        <v>795</v>
      </c>
      <c r="E328" s="10" t="s">
        <v>58</v>
      </c>
      <c r="F328" s="10" t="s">
        <v>45</v>
      </c>
      <c r="G328" s="10" t="s">
        <v>600</v>
      </c>
      <c r="H328" s="12" t="s">
        <v>632</v>
      </c>
      <c r="I328" s="11" t="s">
        <v>41</v>
      </c>
      <c r="J328" s="12"/>
      <c r="K328" s="12"/>
      <c r="L328" s="13"/>
      <c r="M328" s="12"/>
      <c r="N328" s="9">
        <f>IFERROR(__xludf.DUMMYFUNCTION("SUM(QUERY(Entregas_BD!D:L,""select G where D='""&amp;D328&amp;""'"",1))"),0.0)</f>
        <v>0</v>
      </c>
      <c r="O328" s="9">
        <f>IFERROR(__xludf.DUMMYFUNCTION("SUM(QUERY(Entregas_BD!D:L,""select H where D='""&amp;D328&amp;""'"",1))"),0.0)</f>
        <v>0</v>
      </c>
      <c r="P328" s="9">
        <f>IFERROR(__xludf.DUMMYFUNCTION("SUM(QUERY(Entregas_BD!D:L,""select I where D='""&amp;D328&amp;""'"",1))"),0.0)</f>
        <v>0</v>
      </c>
      <c r="Q328" s="9">
        <f>IFERROR(__xludf.DUMMYFUNCTION("SUM(QUERY(Entregas_BD!D:L,""select J where D='""&amp;D328&amp;""'"",1))"),0.0)</f>
        <v>0</v>
      </c>
      <c r="R328" s="15">
        <f>IFERROR(__xludf.DUMMYFUNCTION("SUM(QUERY(Entregas_BD!D:L,""select K where D='""&amp;D328&amp;""'"",1))"),0.0)</f>
        <v>0</v>
      </c>
      <c r="S328" s="15">
        <f>IFERROR(__xludf.DUMMYFUNCTION("SUM(QUERY(Entregas_BD!D:L,""select L where D='""&amp;D328&amp;""'"",1))"),0.0)</f>
        <v>0</v>
      </c>
      <c r="T328" s="9">
        <f>IFERROR(__xludf.DUMMYFUNCTION("SUM(QUERY(Entregas_BD!D:AL,""select AG where D='""&amp;D328&amp;""'"",1))"),25.0)</f>
        <v>25</v>
      </c>
      <c r="U328" s="9">
        <f>IFERROR(__xludf.DUMMYFUNCTION("SUM(QUERY(Entregas_BD!D:AL,""select AH where D='""&amp;D328&amp;""'"",1))"),0.0)</f>
        <v>0</v>
      </c>
      <c r="V328" s="9">
        <f>IFERROR(__xludf.DUMMYFUNCTION("SUM(QUERY(Entregas_BD!D:AL,""select AI where D='""&amp;D328&amp;""'"",1))"),0.0)</f>
        <v>0</v>
      </c>
      <c r="W328" s="9">
        <f>IFERROR(__xludf.DUMMYFUNCTION("SUM(QUERY(Entregas_BD!D:AL,""select AJ where D='""&amp;D328&amp;""'"",1))"),25.0)</f>
        <v>25</v>
      </c>
      <c r="X328" s="9">
        <f>IFERROR(__xludf.DUMMYFUNCTION("SUM(QUERY(Entregas_BD!D:AL,""select AL where D='""&amp;D328&amp;""'"",1))"),50.0)</f>
        <v>50</v>
      </c>
      <c r="Y328" s="9">
        <f>IFERROR(__xludf.DUMMYFUNCTION("SUM(QUERY(Entregas_BD!D:AL,""select AK where D='""&amp;D328&amp;""'"",1))"),0.0)</f>
        <v>0</v>
      </c>
      <c r="Z328" s="9">
        <v>-25.0</v>
      </c>
      <c r="AA328" s="9">
        <v>0.0</v>
      </c>
      <c r="AB328" s="9">
        <v>0.0</v>
      </c>
      <c r="AC328" s="9">
        <v>-25.0</v>
      </c>
      <c r="AD328" s="9">
        <v>0.0</v>
      </c>
      <c r="AE328" s="9">
        <v>-50.0</v>
      </c>
      <c r="AF328" s="37"/>
      <c r="AG328" s="15">
        <f>IFERROR(__xludf.DUMMYFUNCTION("SUM(QUERY(Entregas_BD!D:W,""select U where D='""&amp;D328&amp;""'"",1))"),0.0)</f>
        <v>0</v>
      </c>
      <c r="AH328" s="15">
        <f>IFERROR(__xludf.DUMMYFUNCTION("SUM(QUERY(Entregas_BD!D:W,""select S where D='""&amp;D328&amp;""'"",1))"),0.0)</f>
        <v>0</v>
      </c>
      <c r="AI328" s="15">
        <f>IFERROR(__xludf.DUMMYFUNCTION("SUM(QUERY(Entregas_BD!D:W,""select T where D='""&amp;D328&amp;""'"",1))"),0.0)</f>
        <v>0</v>
      </c>
    </row>
    <row r="329" ht="19.5" customHeight="1">
      <c r="A329" s="64"/>
      <c r="B329" s="32"/>
      <c r="C329" s="19">
        <v>328.0</v>
      </c>
      <c r="D329" s="20" t="s">
        <v>796</v>
      </c>
      <c r="E329" s="20" t="s">
        <v>63</v>
      </c>
      <c r="F329" s="20" t="s">
        <v>524</v>
      </c>
      <c r="G329" s="20" t="s">
        <v>492</v>
      </c>
      <c r="H329" s="44" t="s">
        <v>40</v>
      </c>
      <c r="I329" s="21" t="s">
        <v>41</v>
      </c>
      <c r="J329" s="34"/>
      <c r="K329" s="34"/>
      <c r="L329" s="42"/>
      <c r="M329" s="34"/>
      <c r="N329" s="19">
        <f>IFERROR(__xludf.DUMMYFUNCTION("SUM(QUERY(Entregas_BD!D:L,""select G where D='""&amp;D329&amp;""'"",1))"),0.0)</f>
        <v>0</v>
      </c>
      <c r="O329" s="19">
        <f>IFERROR(__xludf.DUMMYFUNCTION("SUM(QUERY(Entregas_BD!D:L,""select H where D='""&amp;D329&amp;""'"",1))"),0.0)</f>
        <v>0</v>
      </c>
      <c r="P329" s="19">
        <f>IFERROR(__xludf.DUMMYFUNCTION("SUM(QUERY(Entregas_BD!D:L,""select I where D='""&amp;D329&amp;""'"",1))"),0.0)</f>
        <v>0</v>
      </c>
      <c r="Q329" s="19">
        <f>IFERROR(__xludf.DUMMYFUNCTION("SUM(QUERY(Entregas_BD!D:L,""select J where D='""&amp;D329&amp;""'"",1))"),0.0)</f>
        <v>0</v>
      </c>
      <c r="R329" s="24">
        <f>IFERROR(__xludf.DUMMYFUNCTION("SUM(QUERY(Entregas_BD!D:L,""select K where D='""&amp;D329&amp;""'"",1))"),0.0)</f>
        <v>0</v>
      </c>
      <c r="S329" s="24">
        <f>IFERROR(__xludf.DUMMYFUNCTION("SUM(QUERY(Entregas_BD!D:L,""select L where D='""&amp;D329&amp;""'"",1))"),0.0)</f>
        <v>0</v>
      </c>
      <c r="T329" s="19">
        <f>IFERROR(__xludf.DUMMYFUNCTION("SUM(QUERY(Entregas_BD!D:AL,""select AG where D='""&amp;D329&amp;""'"",1))"),100.0)</f>
        <v>100</v>
      </c>
      <c r="U329" s="19">
        <f>IFERROR(__xludf.DUMMYFUNCTION("SUM(QUERY(Entregas_BD!D:AL,""select AH where D='""&amp;D329&amp;""'"",1))"),0.0)</f>
        <v>0</v>
      </c>
      <c r="V329" s="19">
        <f>IFERROR(__xludf.DUMMYFUNCTION("SUM(QUERY(Entregas_BD!D:AL,""select AI where D='""&amp;D329&amp;""'"",1))"),0.0)</f>
        <v>0</v>
      </c>
      <c r="W329" s="19">
        <f>IFERROR(__xludf.DUMMYFUNCTION("SUM(QUERY(Entregas_BD!D:AL,""select AJ where D='""&amp;D329&amp;""'"",1))"),50.0)</f>
        <v>50</v>
      </c>
      <c r="X329" s="19">
        <f>IFERROR(__xludf.DUMMYFUNCTION("SUM(QUERY(Entregas_BD!D:AL,""select AL where D='""&amp;D329&amp;""'"",1))"),0.0)</f>
        <v>0</v>
      </c>
      <c r="Y329" s="19">
        <f>IFERROR(__xludf.DUMMYFUNCTION("SUM(QUERY(Entregas_BD!D:AL,""select AK where D='""&amp;D329&amp;""'"",1))"),0.0)</f>
        <v>0</v>
      </c>
      <c r="Z329" s="19">
        <v>-100.0</v>
      </c>
      <c r="AA329" s="19">
        <v>0.0</v>
      </c>
      <c r="AB329" s="19">
        <v>0.0</v>
      </c>
      <c r="AC329" s="19">
        <v>-50.0</v>
      </c>
      <c r="AD329" s="19">
        <v>0.0</v>
      </c>
      <c r="AE329" s="19">
        <v>0.0</v>
      </c>
      <c r="AF329" s="25"/>
      <c r="AG329" s="24">
        <f>IFERROR(__xludf.DUMMYFUNCTION("SUM(QUERY(Entregas_BD!D:W,""select U where D='""&amp;D329&amp;""'"",1))"),0.0)</f>
        <v>0</v>
      </c>
      <c r="AH329" s="24">
        <f>IFERROR(__xludf.DUMMYFUNCTION("SUM(QUERY(Entregas_BD!D:W,""select S where D='""&amp;D329&amp;""'"",1))"),0.0)</f>
        <v>0</v>
      </c>
      <c r="AI329" s="24">
        <f>IFERROR(__xludf.DUMMYFUNCTION("SUM(QUERY(Entregas_BD!D:W,""select T where D='""&amp;D329&amp;""'"",1))"),0.0)</f>
        <v>0</v>
      </c>
    </row>
    <row r="330" ht="19.5" customHeight="1">
      <c r="A330" s="63"/>
      <c r="B330" s="8"/>
      <c r="C330" s="9">
        <v>329.0</v>
      </c>
      <c r="D330" s="10" t="s">
        <v>797</v>
      </c>
      <c r="E330" s="10" t="s">
        <v>63</v>
      </c>
      <c r="F330" s="10" t="s">
        <v>64</v>
      </c>
      <c r="G330" s="10" t="s">
        <v>149</v>
      </c>
      <c r="H330" s="12" t="s">
        <v>632</v>
      </c>
      <c r="I330" s="11" t="s">
        <v>41</v>
      </c>
      <c r="J330" s="12"/>
      <c r="K330" s="12"/>
      <c r="L330" s="13"/>
      <c r="M330" s="12"/>
      <c r="N330" s="9">
        <f>IFERROR(__xludf.DUMMYFUNCTION("SUM(QUERY(Entregas_BD!D:L,""select G where D='""&amp;D330&amp;""'"",1))"),0.0)</f>
        <v>0</v>
      </c>
      <c r="O330" s="9">
        <f>IFERROR(__xludf.DUMMYFUNCTION("SUM(QUERY(Entregas_BD!D:L,""select H where D='""&amp;D330&amp;""'"",1))"),0.0)</f>
        <v>0</v>
      </c>
      <c r="P330" s="9">
        <f>IFERROR(__xludf.DUMMYFUNCTION("SUM(QUERY(Entregas_BD!D:L,""select I where D='""&amp;D330&amp;""'"",1))"),0.0)</f>
        <v>0</v>
      </c>
      <c r="Q330" s="9">
        <f>IFERROR(__xludf.DUMMYFUNCTION("SUM(QUERY(Entregas_BD!D:L,""select J where D='""&amp;D330&amp;""'"",1))"),0.0)</f>
        <v>0</v>
      </c>
      <c r="R330" s="15">
        <f>IFERROR(__xludf.DUMMYFUNCTION("SUM(QUERY(Entregas_BD!D:L,""select K where D='""&amp;D330&amp;""'"",1))"),0.0)</f>
        <v>0</v>
      </c>
      <c r="S330" s="15">
        <f>IFERROR(__xludf.DUMMYFUNCTION("SUM(QUERY(Entregas_BD!D:L,""select L where D='""&amp;D330&amp;""'"",1))"),0.0)</f>
        <v>0</v>
      </c>
      <c r="T330" s="9">
        <f>IFERROR(__xludf.DUMMYFUNCTION("SUM(QUERY(Entregas_BD!D:AL,""select AG where D='""&amp;D330&amp;""'"",1))"),0.0)</f>
        <v>0</v>
      </c>
      <c r="U330" s="9">
        <f>IFERROR(__xludf.DUMMYFUNCTION("SUM(QUERY(Entregas_BD!D:AL,""select AH where D='""&amp;D330&amp;""'"",1))"),0.0)</f>
        <v>0</v>
      </c>
      <c r="V330" s="9">
        <f>IFERROR(__xludf.DUMMYFUNCTION("SUM(QUERY(Entregas_BD!D:AL,""select AI where D='""&amp;D330&amp;""'"",1))"),0.0)</f>
        <v>0</v>
      </c>
      <c r="W330" s="9">
        <f>IFERROR(__xludf.DUMMYFUNCTION("SUM(QUERY(Entregas_BD!D:AL,""select AJ where D='""&amp;D330&amp;""'"",1))"),0.0)</f>
        <v>0</v>
      </c>
      <c r="X330" s="9">
        <f>IFERROR(__xludf.DUMMYFUNCTION("SUM(QUERY(Entregas_BD!D:AL,""select AL where D='""&amp;D330&amp;""'"",1))"),0.0)</f>
        <v>0</v>
      </c>
      <c r="Y330" s="9">
        <f>IFERROR(__xludf.DUMMYFUNCTION("SUM(QUERY(Entregas_BD!D:AL,""select AK where D='""&amp;D330&amp;""'"",1))"),0.0)</f>
        <v>0</v>
      </c>
      <c r="Z330" s="9">
        <v>0.0</v>
      </c>
      <c r="AA330" s="9">
        <v>0.0</v>
      </c>
      <c r="AB330" s="9">
        <v>0.0</v>
      </c>
      <c r="AC330" s="9">
        <v>0.0</v>
      </c>
      <c r="AD330" s="9">
        <v>0.0</v>
      </c>
      <c r="AE330" s="9">
        <v>0.0</v>
      </c>
      <c r="AF330" s="37"/>
      <c r="AG330" s="15">
        <f>IFERROR(__xludf.DUMMYFUNCTION("SUM(QUERY(Entregas_BD!D:W,""select U where D='""&amp;D330&amp;""'"",1))"),0.0)</f>
        <v>0</v>
      </c>
      <c r="AH330" s="15">
        <f>IFERROR(__xludf.DUMMYFUNCTION("SUM(QUERY(Entregas_BD!D:W,""select S where D='""&amp;D330&amp;""'"",1))"),0.0)</f>
        <v>0</v>
      </c>
      <c r="AI330" s="15">
        <f>IFERROR(__xludf.DUMMYFUNCTION("SUM(QUERY(Entregas_BD!D:W,""select T where D='""&amp;D330&amp;""'"",1))"),0.0)</f>
        <v>0</v>
      </c>
    </row>
    <row r="331" ht="19.5" customHeight="1">
      <c r="A331" s="64"/>
      <c r="B331" s="32"/>
      <c r="C331" s="19">
        <v>330.0</v>
      </c>
      <c r="D331" s="70" t="s">
        <v>798</v>
      </c>
      <c r="E331" s="20" t="s">
        <v>58</v>
      </c>
      <c r="F331" s="20" t="s">
        <v>45</v>
      </c>
      <c r="G331" s="20" t="s">
        <v>79</v>
      </c>
      <c r="H331" s="34" t="s">
        <v>632</v>
      </c>
      <c r="I331" s="21" t="s">
        <v>41</v>
      </c>
      <c r="J331" s="34"/>
      <c r="K331" s="34"/>
      <c r="L331" s="42"/>
      <c r="M331" s="34"/>
      <c r="N331" s="19">
        <f>IFERROR(__xludf.DUMMYFUNCTION("SUM(QUERY(Entregas_BD!D:L,""select G where D='""&amp;D331&amp;""'"",1))"),0.0)</f>
        <v>0</v>
      </c>
      <c r="O331" s="19">
        <f>IFERROR(__xludf.DUMMYFUNCTION("SUM(QUERY(Entregas_BD!D:L,""select H where D='""&amp;D331&amp;""'"",1))"),0.0)</f>
        <v>0</v>
      </c>
      <c r="P331" s="19">
        <f>IFERROR(__xludf.DUMMYFUNCTION("SUM(QUERY(Entregas_BD!D:L,""select I where D='""&amp;D331&amp;""'"",1))"),0.0)</f>
        <v>0</v>
      </c>
      <c r="Q331" s="19">
        <f>IFERROR(__xludf.DUMMYFUNCTION("SUM(QUERY(Entregas_BD!D:L,""select J where D='""&amp;D331&amp;""'"",1))"),0.0)</f>
        <v>0</v>
      </c>
      <c r="R331" s="24">
        <f>IFERROR(__xludf.DUMMYFUNCTION("SUM(QUERY(Entregas_BD!D:L,""select K where D='""&amp;D331&amp;""'"",1))"),0.0)</f>
        <v>0</v>
      </c>
      <c r="S331" s="24">
        <f>IFERROR(__xludf.DUMMYFUNCTION("SUM(QUERY(Entregas_BD!D:L,""select L where D='""&amp;D331&amp;""'"",1))"),0.0)</f>
        <v>0</v>
      </c>
      <c r="T331" s="19">
        <f>IFERROR(__xludf.DUMMYFUNCTION("SUM(QUERY(Entregas_BD!D:AL,""select AG where D='""&amp;D331&amp;""'"",1))"),0.0)</f>
        <v>0</v>
      </c>
      <c r="U331" s="19">
        <f>IFERROR(__xludf.DUMMYFUNCTION("SUM(QUERY(Entregas_BD!D:AL,""select AH where D='""&amp;D331&amp;""'"",1))"),0.0)</f>
        <v>0</v>
      </c>
      <c r="V331" s="19">
        <f>IFERROR(__xludf.DUMMYFUNCTION("SUM(QUERY(Entregas_BD!D:AL,""select AI where D='""&amp;D331&amp;""'"",1))"),0.0)</f>
        <v>0</v>
      </c>
      <c r="W331" s="19">
        <f>IFERROR(__xludf.DUMMYFUNCTION("SUM(QUERY(Entregas_BD!D:AL,""select AJ where D='""&amp;D331&amp;""'"",1))"),0.0)</f>
        <v>0</v>
      </c>
      <c r="X331" s="19">
        <f>IFERROR(__xludf.DUMMYFUNCTION("SUM(QUERY(Entregas_BD!D:AL,""select AL where D='""&amp;D331&amp;""'"",1))"),0.0)</f>
        <v>0</v>
      </c>
      <c r="Y331" s="19">
        <f>IFERROR(__xludf.DUMMYFUNCTION("SUM(QUERY(Entregas_BD!D:AL,""select AK where D='""&amp;D331&amp;""'"",1))"),0.0)</f>
        <v>0</v>
      </c>
      <c r="Z331" s="19">
        <v>0.0</v>
      </c>
      <c r="AA331" s="19">
        <v>0.0</v>
      </c>
      <c r="AB331" s="19">
        <v>0.0</v>
      </c>
      <c r="AC331" s="19">
        <v>0.0</v>
      </c>
      <c r="AD331" s="19">
        <v>0.0</v>
      </c>
      <c r="AE331" s="19">
        <v>0.0</v>
      </c>
      <c r="AF331" s="25"/>
      <c r="AG331" s="24">
        <f>IFERROR(__xludf.DUMMYFUNCTION("SUM(QUERY(Entregas_BD!D:W,""select U where D='""&amp;D331&amp;""'"",1))"),0.0)</f>
        <v>0</v>
      </c>
      <c r="AH331" s="24">
        <f>IFERROR(__xludf.DUMMYFUNCTION("SUM(QUERY(Entregas_BD!D:W,""select S where D='""&amp;D331&amp;""'"",1))"),0.0)</f>
        <v>0</v>
      </c>
      <c r="AI331" s="24">
        <f>IFERROR(__xludf.DUMMYFUNCTION("SUM(QUERY(Entregas_BD!D:W,""select T where D='""&amp;D331&amp;""'"",1))"),0.0)</f>
        <v>0</v>
      </c>
    </row>
    <row r="332" ht="19.5" customHeight="1">
      <c r="A332" s="63"/>
      <c r="B332" s="8"/>
      <c r="C332" s="9">
        <v>331.0</v>
      </c>
      <c r="D332" s="45" t="s">
        <v>799</v>
      </c>
      <c r="E332" s="10" t="s">
        <v>479</v>
      </c>
      <c r="F332" s="10" t="s">
        <v>586</v>
      </c>
      <c r="G332" s="10" t="s">
        <v>800</v>
      </c>
      <c r="H332" s="45" t="s">
        <v>622</v>
      </c>
      <c r="I332" s="11" t="s">
        <v>41</v>
      </c>
      <c r="J332" s="12"/>
      <c r="K332" s="12"/>
      <c r="L332" s="13"/>
      <c r="M332" s="12"/>
      <c r="N332" s="9">
        <f>IFERROR(__xludf.DUMMYFUNCTION("SUM(QUERY(Entregas_BD!D:L,""select G where D='""&amp;D332&amp;""'"",1))"),0.0)</f>
        <v>0</v>
      </c>
      <c r="O332" s="9">
        <f>IFERROR(__xludf.DUMMYFUNCTION("SUM(QUERY(Entregas_BD!D:L,""select H where D='""&amp;D332&amp;""'"",1))"),0.0)</f>
        <v>0</v>
      </c>
      <c r="P332" s="9">
        <f>IFERROR(__xludf.DUMMYFUNCTION("SUM(QUERY(Entregas_BD!D:L,""select I where D='""&amp;D332&amp;""'"",1))"),0.0)</f>
        <v>0</v>
      </c>
      <c r="Q332" s="9">
        <f>IFERROR(__xludf.DUMMYFUNCTION("SUM(QUERY(Entregas_BD!D:L,""select J where D='""&amp;D332&amp;""'"",1))"),0.0)</f>
        <v>0</v>
      </c>
      <c r="R332" s="15">
        <f>IFERROR(__xludf.DUMMYFUNCTION("SUM(QUERY(Entregas_BD!D:L,""select K where D='""&amp;D332&amp;""'"",1))"),0.0)</f>
        <v>0</v>
      </c>
      <c r="S332" s="15">
        <f>IFERROR(__xludf.DUMMYFUNCTION("SUM(QUERY(Entregas_BD!D:L,""select L where D='""&amp;D332&amp;""'"",1))"),0.0)</f>
        <v>0</v>
      </c>
      <c r="T332" s="9">
        <f>IFERROR(__xludf.DUMMYFUNCTION("SUM(QUERY(Entregas_BD!D:AL,""select AG where D='""&amp;D332&amp;""'"",1))"),0.0)</f>
        <v>0</v>
      </c>
      <c r="U332" s="9">
        <f>IFERROR(__xludf.DUMMYFUNCTION("SUM(QUERY(Entregas_BD!D:AL,""select AH where D='""&amp;D332&amp;""'"",1))"),0.0)</f>
        <v>0</v>
      </c>
      <c r="V332" s="9">
        <f>IFERROR(__xludf.DUMMYFUNCTION("SUM(QUERY(Entregas_BD!D:AL,""select AI where D='""&amp;D332&amp;""'"",1))"),0.0)</f>
        <v>0</v>
      </c>
      <c r="W332" s="9">
        <f>IFERROR(__xludf.DUMMYFUNCTION("SUM(QUERY(Entregas_BD!D:AL,""select AJ where D='""&amp;D332&amp;""'"",1))"),0.0)</f>
        <v>0</v>
      </c>
      <c r="X332" s="9">
        <f>IFERROR(__xludf.DUMMYFUNCTION("SUM(QUERY(Entregas_BD!D:AL,""select AL where D='""&amp;D332&amp;""'"",1))"),0.0)</f>
        <v>0</v>
      </c>
      <c r="Y332" s="9">
        <f>IFERROR(__xludf.DUMMYFUNCTION("SUM(QUERY(Entregas_BD!D:AL,""select AK where D='""&amp;D332&amp;""'"",1))"),0.0)</f>
        <v>0</v>
      </c>
      <c r="Z332" s="9">
        <v>0.0</v>
      </c>
      <c r="AA332" s="9">
        <v>0.0</v>
      </c>
      <c r="AB332" s="9">
        <v>0.0</v>
      </c>
      <c r="AC332" s="9">
        <v>0.0</v>
      </c>
      <c r="AD332" s="9">
        <v>0.0</v>
      </c>
      <c r="AE332" s="9">
        <v>0.0</v>
      </c>
      <c r="AF332" s="37"/>
      <c r="AG332" s="15">
        <f>IFERROR(__xludf.DUMMYFUNCTION("SUM(QUERY(Entregas_BD!D:W,""select U where D='""&amp;D332&amp;""'"",1))"),0.0)</f>
        <v>0</v>
      </c>
      <c r="AH332" s="15">
        <f>IFERROR(__xludf.DUMMYFUNCTION("SUM(QUERY(Entregas_BD!D:W,""select S where D='""&amp;D332&amp;""'"",1))"),0.0)</f>
        <v>0</v>
      </c>
      <c r="AI332" s="15">
        <f>IFERROR(__xludf.DUMMYFUNCTION("SUM(QUERY(Entregas_BD!D:W,""select T where D='""&amp;D332&amp;""'"",1))"),0.0)</f>
        <v>0</v>
      </c>
    </row>
    <row r="333" ht="19.5" customHeight="1">
      <c r="A333" s="64"/>
      <c r="B333" s="32"/>
      <c r="C333" s="19">
        <v>332.0</v>
      </c>
      <c r="D333" s="71" t="s">
        <v>801</v>
      </c>
      <c r="E333" s="20" t="s">
        <v>58</v>
      </c>
      <c r="F333" s="20" t="s">
        <v>45</v>
      </c>
      <c r="G333" s="20" t="s">
        <v>802</v>
      </c>
      <c r="H333" s="34" t="s">
        <v>617</v>
      </c>
      <c r="I333" s="21" t="s">
        <v>41</v>
      </c>
      <c r="J333" s="61"/>
      <c r="K333" s="34"/>
      <c r="L333" s="42"/>
      <c r="M333" s="22"/>
      <c r="N333" s="19">
        <f>IFERROR(__xludf.DUMMYFUNCTION("SUM(QUERY(Entregas_BD!D:L,""select G where D='""&amp;D333&amp;""'"",1))"),0.0)</f>
        <v>0</v>
      </c>
      <c r="O333" s="19">
        <f>IFERROR(__xludf.DUMMYFUNCTION("SUM(QUERY(Entregas_BD!D:L,""select H where D='""&amp;D333&amp;""'"",1))"),0.0)</f>
        <v>0</v>
      </c>
      <c r="P333" s="19">
        <f>IFERROR(__xludf.DUMMYFUNCTION("SUM(QUERY(Entregas_BD!D:L,""select I where D='""&amp;D333&amp;""'"",1))"),0.0)</f>
        <v>0</v>
      </c>
      <c r="Q333" s="19">
        <f>IFERROR(__xludf.DUMMYFUNCTION("SUM(QUERY(Entregas_BD!D:L,""select J where D='""&amp;D333&amp;""'"",1))"),0.0)</f>
        <v>0</v>
      </c>
      <c r="R333" s="24">
        <f>IFERROR(__xludf.DUMMYFUNCTION("SUM(QUERY(Entregas_BD!D:L,""select K where D='""&amp;D333&amp;""'"",1))"),0.0)</f>
        <v>0</v>
      </c>
      <c r="S333" s="24">
        <f>IFERROR(__xludf.DUMMYFUNCTION("SUM(QUERY(Entregas_BD!D:L,""select L where D='""&amp;D333&amp;""'"",1))"),0.0)</f>
        <v>0</v>
      </c>
      <c r="T333" s="19">
        <f>IFERROR(__xludf.DUMMYFUNCTION("SUM(QUERY(Entregas_BD!D:AL,""select AG where D='""&amp;D333&amp;""'"",1))"),298.0)</f>
        <v>298</v>
      </c>
      <c r="U333" s="19">
        <f>IFERROR(__xludf.DUMMYFUNCTION("SUM(QUERY(Entregas_BD!D:AL,""select AH where D='""&amp;D333&amp;""'"",1))"),0.0)</f>
        <v>0</v>
      </c>
      <c r="V333" s="19">
        <f>IFERROR(__xludf.DUMMYFUNCTION("SUM(QUERY(Entregas_BD!D:AL,""select AI where D='""&amp;D333&amp;""'"",1))"),0.0)</f>
        <v>0</v>
      </c>
      <c r="W333" s="19">
        <f>IFERROR(__xludf.DUMMYFUNCTION("SUM(QUERY(Entregas_BD!D:AL,""select AJ where D='""&amp;D333&amp;""'"",1))"),0.0)</f>
        <v>0</v>
      </c>
      <c r="X333" s="19">
        <f>IFERROR(__xludf.DUMMYFUNCTION("SUM(QUERY(Entregas_BD!D:AL,""select AL where D='""&amp;D333&amp;""'"",1))"),0.0)</f>
        <v>0</v>
      </c>
      <c r="Y333" s="19">
        <f>IFERROR(__xludf.DUMMYFUNCTION("SUM(QUERY(Entregas_BD!D:AL,""select AK where D='""&amp;D333&amp;""'"",1))"),0.0)</f>
        <v>0</v>
      </c>
      <c r="Z333" s="19">
        <v>-298.0</v>
      </c>
      <c r="AA333" s="19">
        <v>0.0</v>
      </c>
      <c r="AB333" s="19">
        <v>0.0</v>
      </c>
      <c r="AC333" s="19">
        <v>0.0</v>
      </c>
      <c r="AD333" s="19">
        <v>0.0</v>
      </c>
      <c r="AE333" s="19">
        <v>0.0</v>
      </c>
      <c r="AF333" s="22"/>
      <c r="AG333" s="24">
        <f>IFERROR(__xludf.DUMMYFUNCTION("SUM(QUERY(Entregas_BD!D:W,""select U where D='""&amp;D333&amp;""'"",1))"),0.0)</f>
        <v>0</v>
      </c>
      <c r="AH333" s="24">
        <f>IFERROR(__xludf.DUMMYFUNCTION("SUM(QUERY(Entregas_BD!D:W,""select S where D='""&amp;D333&amp;""'"",1))"),0.0)</f>
        <v>0</v>
      </c>
      <c r="AI333" s="24">
        <f>IFERROR(__xludf.DUMMYFUNCTION("SUM(QUERY(Entregas_BD!D:W,""select T where D='""&amp;D333&amp;""'"",1))"),0.0)</f>
        <v>0</v>
      </c>
    </row>
    <row r="334" ht="19.5" customHeight="1">
      <c r="A334" s="63"/>
      <c r="B334" s="8"/>
      <c r="C334" s="9">
        <v>333.0</v>
      </c>
      <c r="D334" s="10" t="s">
        <v>803</v>
      </c>
      <c r="E334" s="10" t="s">
        <v>197</v>
      </c>
      <c r="F334" s="10" t="s">
        <v>243</v>
      </c>
      <c r="G334" s="10" t="s">
        <v>654</v>
      </c>
      <c r="H334" s="12" t="s">
        <v>632</v>
      </c>
      <c r="I334" s="11" t="s">
        <v>41</v>
      </c>
      <c r="J334" s="12"/>
      <c r="K334" s="12"/>
      <c r="L334" s="13"/>
      <c r="M334" s="28"/>
      <c r="N334" s="9">
        <f>IFERROR(__xludf.DUMMYFUNCTION("SUM(QUERY(Entregas_BD!D:L,""select G where D='""&amp;D334&amp;""'"",1))"),0.0)</f>
        <v>0</v>
      </c>
      <c r="O334" s="9">
        <f>IFERROR(__xludf.DUMMYFUNCTION("SUM(QUERY(Entregas_BD!D:L,""select H where D='""&amp;D334&amp;""'"",1))"),0.0)</f>
        <v>0</v>
      </c>
      <c r="P334" s="9">
        <f>IFERROR(__xludf.DUMMYFUNCTION("SUM(QUERY(Entregas_BD!D:L,""select I where D='""&amp;D334&amp;""'"",1))"),0.0)</f>
        <v>0</v>
      </c>
      <c r="Q334" s="9">
        <f>IFERROR(__xludf.DUMMYFUNCTION("SUM(QUERY(Entregas_BD!D:L,""select J where D='""&amp;D334&amp;""'"",1))"),0.0)</f>
        <v>0</v>
      </c>
      <c r="R334" s="15">
        <f>IFERROR(__xludf.DUMMYFUNCTION("SUM(QUERY(Entregas_BD!D:L,""select K where D='""&amp;D334&amp;""'"",1))"),0.0)</f>
        <v>0</v>
      </c>
      <c r="S334" s="15">
        <f>IFERROR(__xludf.DUMMYFUNCTION("SUM(QUERY(Entregas_BD!D:L,""select L where D='""&amp;D334&amp;""'"",1))"),0.0)</f>
        <v>0</v>
      </c>
      <c r="T334" s="9">
        <f>IFERROR(__xludf.DUMMYFUNCTION("SUM(QUERY(Entregas_BD!D:AL,""select AG where D='""&amp;D334&amp;""'"",1))"),0.0)</f>
        <v>0</v>
      </c>
      <c r="U334" s="9">
        <f>IFERROR(__xludf.DUMMYFUNCTION("SUM(QUERY(Entregas_BD!D:AL,""select AH where D='""&amp;D334&amp;""'"",1))"),0.0)</f>
        <v>0</v>
      </c>
      <c r="V334" s="9">
        <f>IFERROR(__xludf.DUMMYFUNCTION("SUM(QUERY(Entregas_BD!D:AL,""select AI where D='""&amp;D334&amp;""'"",1))"),0.0)</f>
        <v>0</v>
      </c>
      <c r="W334" s="9">
        <f>IFERROR(__xludf.DUMMYFUNCTION("SUM(QUERY(Entregas_BD!D:AL,""select AJ where D='""&amp;D334&amp;""'"",1))"),0.0)</f>
        <v>0</v>
      </c>
      <c r="X334" s="9">
        <f>IFERROR(__xludf.DUMMYFUNCTION("SUM(QUERY(Entregas_BD!D:AL,""select AL where D='""&amp;D334&amp;""'"",1))"),0.0)</f>
        <v>0</v>
      </c>
      <c r="Y334" s="9">
        <f>IFERROR(__xludf.DUMMYFUNCTION("SUM(QUERY(Entregas_BD!D:AL,""select AK where D='""&amp;D334&amp;""'"",1))"),0.0)</f>
        <v>0</v>
      </c>
      <c r="Z334" s="9">
        <v>0.0</v>
      </c>
      <c r="AA334" s="9">
        <v>0.0</v>
      </c>
      <c r="AB334" s="9">
        <v>0.0</v>
      </c>
      <c r="AC334" s="9">
        <v>0.0</v>
      </c>
      <c r="AD334" s="9">
        <v>0.0</v>
      </c>
      <c r="AE334" s="9">
        <v>0.0</v>
      </c>
      <c r="AF334" s="28"/>
      <c r="AG334" s="15">
        <f>IFERROR(__xludf.DUMMYFUNCTION("SUM(QUERY(Entregas_BD!D:W,""select U where D='""&amp;D334&amp;""'"",1))"),0.0)</f>
        <v>0</v>
      </c>
      <c r="AH334" s="15">
        <f>IFERROR(__xludf.DUMMYFUNCTION("SUM(QUERY(Entregas_BD!D:W,""select S where D='""&amp;D334&amp;""'"",1))"),0.0)</f>
        <v>0</v>
      </c>
      <c r="AI334" s="15">
        <f>IFERROR(__xludf.DUMMYFUNCTION("SUM(QUERY(Entregas_BD!D:W,""select T where D='""&amp;D334&amp;""'"",1))"),0.0)</f>
        <v>0</v>
      </c>
    </row>
    <row r="335" ht="19.5" customHeight="1">
      <c r="A335" s="64"/>
      <c r="B335" s="32"/>
      <c r="C335" s="19">
        <v>334.0</v>
      </c>
      <c r="D335" s="20" t="s">
        <v>804</v>
      </c>
      <c r="E335" s="20" t="s">
        <v>197</v>
      </c>
      <c r="F335" s="20" t="s">
        <v>243</v>
      </c>
      <c r="G335" s="20" t="s">
        <v>805</v>
      </c>
      <c r="H335" s="34" t="s">
        <v>632</v>
      </c>
      <c r="I335" s="21" t="s">
        <v>41</v>
      </c>
      <c r="J335" s="34"/>
      <c r="K335" s="34"/>
      <c r="L335" s="42"/>
      <c r="M335" s="22"/>
      <c r="N335" s="19">
        <f>IFERROR(__xludf.DUMMYFUNCTION("SUM(QUERY(Entregas_BD!D:L,""select G where D='""&amp;D335&amp;""'"",1))"),0.0)</f>
        <v>0</v>
      </c>
      <c r="O335" s="19">
        <f>IFERROR(__xludf.DUMMYFUNCTION("SUM(QUERY(Entregas_BD!D:L,""select H where D='""&amp;D335&amp;""'"",1))"),0.0)</f>
        <v>0</v>
      </c>
      <c r="P335" s="19">
        <f>IFERROR(__xludf.DUMMYFUNCTION("SUM(QUERY(Entregas_BD!D:L,""select I where D='""&amp;D335&amp;""'"",1))"),0.0)</f>
        <v>0</v>
      </c>
      <c r="Q335" s="19">
        <f>IFERROR(__xludf.DUMMYFUNCTION("SUM(QUERY(Entregas_BD!D:L,""select J where D='""&amp;D335&amp;""'"",1))"),0.0)</f>
        <v>0</v>
      </c>
      <c r="R335" s="24">
        <f>IFERROR(__xludf.DUMMYFUNCTION("SUM(QUERY(Entregas_BD!D:L,""select K where D='""&amp;D335&amp;""'"",1))"),0.0)</f>
        <v>0</v>
      </c>
      <c r="S335" s="24">
        <f>IFERROR(__xludf.DUMMYFUNCTION("SUM(QUERY(Entregas_BD!D:L,""select L where D='""&amp;D335&amp;""'"",1))"),0.0)</f>
        <v>0</v>
      </c>
      <c r="T335" s="19">
        <f>IFERROR(__xludf.DUMMYFUNCTION("SUM(QUERY(Entregas_BD!D:AL,""select AG where D='""&amp;D335&amp;""'"",1))"),0.0)</f>
        <v>0</v>
      </c>
      <c r="U335" s="19">
        <f>IFERROR(__xludf.DUMMYFUNCTION("SUM(QUERY(Entregas_BD!D:AL,""select AH where D='""&amp;D335&amp;""'"",1))"),0.0)</f>
        <v>0</v>
      </c>
      <c r="V335" s="19">
        <f>IFERROR(__xludf.DUMMYFUNCTION("SUM(QUERY(Entregas_BD!D:AL,""select AI where D='""&amp;D335&amp;""'"",1))"),0.0)</f>
        <v>0</v>
      </c>
      <c r="W335" s="19">
        <f>IFERROR(__xludf.DUMMYFUNCTION("SUM(QUERY(Entregas_BD!D:AL,""select AJ where D='""&amp;D335&amp;""'"",1))"),0.0)</f>
        <v>0</v>
      </c>
      <c r="X335" s="19">
        <f>IFERROR(__xludf.DUMMYFUNCTION("SUM(QUERY(Entregas_BD!D:AL,""select AL where D='""&amp;D335&amp;""'"",1))"),0.0)</f>
        <v>0</v>
      </c>
      <c r="Y335" s="19">
        <f>IFERROR(__xludf.DUMMYFUNCTION("SUM(QUERY(Entregas_BD!D:AL,""select AK where D='""&amp;D335&amp;""'"",1))"),0.0)</f>
        <v>0</v>
      </c>
      <c r="Z335" s="19">
        <v>0.0</v>
      </c>
      <c r="AA335" s="19">
        <v>0.0</v>
      </c>
      <c r="AB335" s="19">
        <v>0.0</v>
      </c>
      <c r="AC335" s="19">
        <v>0.0</v>
      </c>
      <c r="AD335" s="19">
        <v>0.0</v>
      </c>
      <c r="AE335" s="19">
        <v>0.0</v>
      </c>
      <c r="AF335" s="22"/>
      <c r="AG335" s="24">
        <f>IFERROR(__xludf.DUMMYFUNCTION("SUM(QUERY(Entregas_BD!D:W,""select U where D='""&amp;D335&amp;""'"",1))"),0.0)</f>
        <v>0</v>
      </c>
      <c r="AH335" s="24">
        <f>IFERROR(__xludf.DUMMYFUNCTION("SUM(QUERY(Entregas_BD!D:W,""select S where D='""&amp;D335&amp;""'"",1))"),0.0)</f>
        <v>0</v>
      </c>
      <c r="AI335" s="24">
        <f>IFERROR(__xludf.DUMMYFUNCTION("SUM(QUERY(Entregas_BD!D:W,""select T where D='""&amp;D335&amp;""'"",1))"),0.0)</f>
        <v>0</v>
      </c>
    </row>
    <row r="336" ht="19.5" customHeight="1">
      <c r="A336" s="63"/>
      <c r="B336" s="8"/>
      <c r="C336" s="9">
        <v>335.0</v>
      </c>
      <c r="D336" s="10" t="s">
        <v>806</v>
      </c>
      <c r="E336" s="10" t="s">
        <v>197</v>
      </c>
      <c r="F336" s="10" t="s">
        <v>243</v>
      </c>
      <c r="G336" s="10" t="s">
        <v>678</v>
      </c>
      <c r="H336" s="12" t="s">
        <v>632</v>
      </c>
      <c r="I336" s="11" t="s">
        <v>41</v>
      </c>
      <c r="J336" s="12"/>
      <c r="K336" s="12"/>
      <c r="L336" s="13"/>
      <c r="M336" s="28"/>
      <c r="N336" s="9">
        <f>IFERROR(__xludf.DUMMYFUNCTION("SUM(QUERY(Entregas_BD!D:L,""select G where D='""&amp;D336&amp;""'"",1))"),0.0)</f>
        <v>0</v>
      </c>
      <c r="O336" s="9">
        <f>IFERROR(__xludf.DUMMYFUNCTION("SUM(QUERY(Entregas_BD!D:L,""select H where D='""&amp;D336&amp;""'"",1))"),0.0)</f>
        <v>0</v>
      </c>
      <c r="P336" s="9">
        <f>IFERROR(__xludf.DUMMYFUNCTION("SUM(QUERY(Entregas_BD!D:L,""select I where D='""&amp;D336&amp;""'"",1))"),0.0)</f>
        <v>0</v>
      </c>
      <c r="Q336" s="9">
        <f>IFERROR(__xludf.DUMMYFUNCTION("SUM(QUERY(Entregas_BD!D:L,""select J where D='""&amp;D336&amp;""'"",1))"),0.0)</f>
        <v>0</v>
      </c>
      <c r="R336" s="15">
        <f>IFERROR(__xludf.DUMMYFUNCTION("SUM(QUERY(Entregas_BD!D:L,""select K where D='""&amp;D336&amp;""'"",1))"),0.0)</f>
        <v>0</v>
      </c>
      <c r="S336" s="15">
        <f>IFERROR(__xludf.DUMMYFUNCTION("SUM(QUERY(Entregas_BD!D:L,""select L where D='""&amp;D336&amp;""'"",1))"),0.0)</f>
        <v>0</v>
      </c>
      <c r="T336" s="9">
        <f>IFERROR(__xludf.DUMMYFUNCTION("SUM(QUERY(Entregas_BD!D:AL,""select AG where D='""&amp;D336&amp;""'"",1))"),0.0)</f>
        <v>0</v>
      </c>
      <c r="U336" s="9">
        <f>IFERROR(__xludf.DUMMYFUNCTION("SUM(QUERY(Entregas_BD!D:AL,""select AH where D='""&amp;D336&amp;""'"",1))"),0.0)</f>
        <v>0</v>
      </c>
      <c r="V336" s="9">
        <f>IFERROR(__xludf.DUMMYFUNCTION("SUM(QUERY(Entregas_BD!D:AL,""select AI where D='""&amp;D336&amp;""'"",1))"),0.0)</f>
        <v>0</v>
      </c>
      <c r="W336" s="9">
        <f>IFERROR(__xludf.DUMMYFUNCTION("SUM(QUERY(Entregas_BD!D:AL,""select AJ where D='""&amp;D336&amp;""'"",1))"),0.0)</f>
        <v>0</v>
      </c>
      <c r="X336" s="9">
        <f>IFERROR(__xludf.DUMMYFUNCTION("SUM(QUERY(Entregas_BD!D:AL,""select AL where D='""&amp;D336&amp;""'"",1))"),0.0)</f>
        <v>0</v>
      </c>
      <c r="Y336" s="9">
        <f>IFERROR(__xludf.DUMMYFUNCTION("SUM(QUERY(Entregas_BD!D:AL,""select AK where D='""&amp;D336&amp;""'"",1))"),0.0)</f>
        <v>0</v>
      </c>
      <c r="Z336" s="9">
        <v>0.0</v>
      </c>
      <c r="AA336" s="9">
        <v>0.0</v>
      </c>
      <c r="AB336" s="9">
        <v>0.0</v>
      </c>
      <c r="AC336" s="9">
        <v>0.0</v>
      </c>
      <c r="AD336" s="9">
        <v>0.0</v>
      </c>
      <c r="AE336" s="9">
        <v>0.0</v>
      </c>
      <c r="AF336" s="28"/>
      <c r="AG336" s="15">
        <f>IFERROR(__xludf.DUMMYFUNCTION("SUM(QUERY(Entregas_BD!D:W,""select U where D='""&amp;D336&amp;""'"",1))"),0.0)</f>
        <v>0</v>
      </c>
      <c r="AH336" s="15">
        <f>IFERROR(__xludf.DUMMYFUNCTION("SUM(QUERY(Entregas_BD!D:W,""select S where D='""&amp;D336&amp;""'"",1))"),0.0)</f>
        <v>0</v>
      </c>
      <c r="AI336" s="15">
        <f>IFERROR(__xludf.DUMMYFUNCTION("SUM(QUERY(Entregas_BD!D:W,""select T where D='""&amp;D336&amp;""'"",1))"),0.0)</f>
        <v>0</v>
      </c>
    </row>
    <row r="337" ht="19.5" customHeight="1">
      <c r="A337" s="64"/>
      <c r="B337" s="32"/>
      <c r="C337" s="19">
        <v>336.0</v>
      </c>
      <c r="D337" s="20" t="s">
        <v>807</v>
      </c>
      <c r="E337" s="20" t="s">
        <v>63</v>
      </c>
      <c r="F337" s="20" t="s">
        <v>243</v>
      </c>
      <c r="G337" s="20" t="s">
        <v>808</v>
      </c>
      <c r="H337" s="34" t="s">
        <v>632</v>
      </c>
      <c r="I337" s="21" t="s">
        <v>41</v>
      </c>
      <c r="J337" s="34"/>
      <c r="K337" s="34"/>
      <c r="L337" s="42"/>
      <c r="M337" s="22"/>
      <c r="N337" s="19">
        <f>IFERROR(__xludf.DUMMYFUNCTION("SUM(QUERY(Entregas_BD!D:L,""select G where D='""&amp;D337&amp;""'"",1))"),0.0)</f>
        <v>0</v>
      </c>
      <c r="O337" s="19">
        <f>IFERROR(__xludf.DUMMYFUNCTION("SUM(QUERY(Entregas_BD!D:L,""select H where D='""&amp;D337&amp;""'"",1))"),0.0)</f>
        <v>0</v>
      </c>
      <c r="P337" s="19">
        <f>IFERROR(__xludf.DUMMYFUNCTION("SUM(QUERY(Entregas_BD!D:L,""select I where D='""&amp;D337&amp;""'"",1))"),0.0)</f>
        <v>0</v>
      </c>
      <c r="Q337" s="19">
        <f>IFERROR(__xludf.DUMMYFUNCTION("SUM(QUERY(Entregas_BD!D:L,""select J where D='""&amp;D337&amp;""'"",1))"),0.0)</f>
        <v>0</v>
      </c>
      <c r="R337" s="24">
        <f>IFERROR(__xludf.DUMMYFUNCTION("SUM(QUERY(Entregas_BD!D:L,""select K where D='""&amp;D337&amp;""'"",1))"),0.0)</f>
        <v>0</v>
      </c>
      <c r="S337" s="24">
        <f>IFERROR(__xludf.DUMMYFUNCTION("SUM(QUERY(Entregas_BD!D:L,""select L where D='""&amp;D337&amp;""'"",1))"),0.0)</f>
        <v>0</v>
      </c>
      <c r="T337" s="19">
        <f>IFERROR(__xludf.DUMMYFUNCTION("SUM(QUERY(Entregas_BD!D:AL,""select AG where D='""&amp;D337&amp;""'"",1))"),0.0)</f>
        <v>0</v>
      </c>
      <c r="U337" s="19">
        <f>IFERROR(__xludf.DUMMYFUNCTION("SUM(QUERY(Entregas_BD!D:AL,""select AH where D='""&amp;D337&amp;""'"",1))"),0.0)</f>
        <v>0</v>
      </c>
      <c r="V337" s="19">
        <f>IFERROR(__xludf.DUMMYFUNCTION("SUM(QUERY(Entregas_BD!D:AL,""select AI where D='""&amp;D337&amp;""'"",1))"),0.0)</f>
        <v>0</v>
      </c>
      <c r="W337" s="19">
        <f>IFERROR(__xludf.DUMMYFUNCTION("SUM(QUERY(Entregas_BD!D:AL,""select AJ where D='""&amp;D337&amp;""'"",1))"),0.0)</f>
        <v>0</v>
      </c>
      <c r="X337" s="19">
        <f>IFERROR(__xludf.DUMMYFUNCTION("SUM(QUERY(Entregas_BD!D:AL,""select AL where D='""&amp;D337&amp;""'"",1))"),0.0)</f>
        <v>0</v>
      </c>
      <c r="Y337" s="19">
        <f>IFERROR(__xludf.DUMMYFUNCTION("SUM(QUERY(Entregas_BD!D:AL,""select AK where D='""&amp;D337&amp;""'"",1))"),0.0)</f>
        <v>0</v>
      </c>
      <c r="Z337" s="19">
        <v>0.0</v>
      </c>
      <c r="AA337" s="19">
        <v>0.0</v>
      </c>
      <c r="AB337" s="19">
        <v>0.0</v>
      </c>
      <c r="AC337" s="19">
        <v>0.0</v>
      </c>
      <c r="AD337" s="19">
        <v>0.0</v>
      </c>
      <c r="AE337" s="19">
        <v>0.0</v>
      </c>
      <c r="AF337" s="22"/>
      <c r="AG337" s="24">
        <f>IFERROR(__xludf.DUMMYFUNCTION("SUM(QUERY(Entregas_BD!D:W,""select U where D='""&amp;D337&amp;""'"",1))"),0.0)</f>
        <v>0</v>
      </c>
      <c r="AH337" s="24">
        <f>IFERROR(__xludf.DUMMYFUNCTION("SUM(QUERY(Entregas_BD!D:W,""select S where D='""&amp;D337&amp;""'"",1))"),0.0)</f>
        <v>0</v>
      </c>
      <c r="AI337" s="24">
        <f>IFERROR(__xludf.DUMMYFUNCTION("SUM(QUERY(Entregas_BD!D:W,""select T where D='""&amp;D337&amp;""'"",1))"),0.0)</f>
        <v>0</v>
      </c>
    </row>
    <row r="338" ht="19.5" customHeight="1">
      <c r="A338" s="63"/>
      <c r="B338" s="8"/>
      <c r="C338" s="9">
        <v>337.0</v>
      </c>
      <c r="D338" s="10" t="s">
        <v>809</v>
      </c>
      <c r="E338" s="10" t="s">
        <v>197</v>
      </c>
      <c r="F338" s="10" t="s">
        <v>243</v>
      </c>
      <c r="G338" s="10" t="s">
        <v>634</v>
      </c>
      <c r="H338" s="12" t="s">
        <v>632</v>
      </c>
      <c r="I338" s="11" t="s">
        <v>41</v>
      </c>
      <c r="J338" s="12"/>
      <c r="K338" s="12"/>
      <c r="L338" s="13"/>
      <c r="M338" s="28"/>
      <c r="N338" s="9">
        <f>IFERROR(__xludf.DUMMYFUNCTION("SUM(QUERY(Entregas_BD!D:L,""select G where D='""&amp;D338&amp;""'"",1))"),0.0)</f>
        <v>0</v>
      </c>
      <c r="O338" s="9">
        <f>IFERROR(__xludf.DUMMYFUNCTION("SUM(QUERY(Entregas_BD!D:L,""select H where D='""&amp;D338&amp;""'"",1))"),0.0)</f>
        <v>0</v>
      </c>
      <c r="P338" s="9">
        <f>IFERROR(__xludf.DUMMYFUNCTION("SUM(QUERY(Entregas_BD!D:L,""select I where D='""&amp;D338&amp;""'"",1))"),0.0)</f>
        <v>0</v>
      </c>
      <c r="Q338" s="9">
        <f>IFERROR(__xludf.DUMMYFUNCTION("SUM(QUERY(Entregas_BD!D:L,""select J where D='""&amp;D338&amp;""'"",1))"),0.0)</f>
        <v>0</v>
      </c>
      <c r="R338" s="15">
        <f>IFERROR(__xludf.DUMMYFUNCTION("SUM(QUERY(Entregas_BD!D:L,""select K where D='""&amp;D338&amp;""'"",1))"),0.0)</f>
        <v>0</v>
      </c>
      <c r="S338" s="15">
        <f>IFERROR(__xludf.DUMMYFUNCTION("SUM(QUERY(Entregas_BD!D:L,""select L where D='""&amp;D338&amp;""'"",1))"),0.0)</f>
        <v>0</v>
      </c>
      <c r="T338" s="9">
        <f>IFERROR(__xludf.DUMMYFUNCTION("SUM(QUERY(Entregas_BD!D:AL,""select AG where D='""&amp;D338&amp;""'"",1))"),0.0)</f>
        <v>0</v>
      </c>
      <c r="U338" s="9">
        <f>IFERROR(__xludf.DUMMYFUNCTION("SUM(QUERY(Entregas_BD!D:AL,""select AH where D='""&amp;D338&amp;""'"",1))"),0.0)</f>
        <v>0</v>
      </c>
      <c r="V338" s="9">
        <f>IFERROR(__xludf.DUMMYFUNCTION("SUM(QUERY(Entregas_BD!D:AL,""select AI where D='""&amp;D338&amp;""'"",1))"),0.0)</f>
        <v>0</v>
      </c>
      <c r="W338" s="9">
        <f>IFERROR(__xludf.DUMMYFUNCTION("SUM(QUERY(Entregas_BD!D:AL,""select AJ where D='""&amp;D338&amp;""'"",1))"),0.0)</f>
        <v>0</v>
      </c>
      <c r="X338" s="9">
        <f>IFERROR(__xludf.DUMMYFUNCTION("SUM(QUERY(Entregas_BD!D:AL,""select AL where D='""&amp;D338&amp;""'"",1))"),0.0)</f>
        <v>0</v>
      </c>
      <c r="Y338" s="9">
        <f>IFERROR(__xludf.DUMMYFUNCTION("SUM(QUERY(Entregas_BD!D:AL,""select AK where D='""&amp;D338&amp;""'"",1))"),0.0)</f>
        <v>0</v>
      </c>
      <c r="Z338" s="9">
        <v>0.0</v>
      </c>
      <c r="AA338" s="9">
        <v>0.0</v>
      </c>
      <c r="AB338" s="9">
        <v>0.0</v>
      </c>
      <c r="AC338" s="9">
        <v>0.0</v>
      </c>
      <c r="AD338" s="9">
        <v>0.0</v>
      </c>
      <c r="AE338" s="9">
        <v>0.0</v>
      </c>
      <c r="AF338" s="28"/>
      <c r="AG338" s="15">
        <f>IFERROR(__xludf.DUMMYFUNCTION("SUM(QUERY(Entregas_BD!D:W,""select U where D='""&amp;D338&amp;""'"",1))"),0.0)</f>
        <v>0</v>
      </c>
      <c r="AH338" s="15">
        <f>IFERROR(__xludf.DUMMYFUNCTION("SUM(QUERY(Entregas_BD!D:W,""select S where D='""&amp;D338&amp;""'"",1))"),0.0)</f>
        <v>0</v>
      </c>
      <c r="AI338" s="15">
        <f>IFERROR(__xludf.DUMMYFUNCTION("SUM(QUERY(Entregas_BD!D:W,""select T where D='""&amp;D338&amp;""'"",1))"),0.0)</f>
        <v>0</v>
      </c>
    </row>
    <row r="339" ht="19.5" customHeight="1">
      <c r="A339" s="64"/>
      <c r="B339" s="32"/>
      <c r="C339" s="19">
        <v>338.0</v>
      </c>
      <c r="D339" s="20" t="s">
        <v>810</v>
      </c>
      <c r="E339" s="20" t="s">
        <v>197</v>
      </c>
      <c r="F339" s="20" t="s">
        <v>243</v>
      </c>
      <c r="G339" s="20" t="s">
        <v>811</v>
      </c>
      <c r="H339" s="34" t="s">
        <v>632</v>
      </c>
      <c r="I339" s="21" t="s">
        <v>41</v>
      </c>
      <c r="J339" s="34"/>
      <c r="K339" s="34"/>
      <c r="L339" s="42"/>
      <c r="M339" s="22"/>
      <c r="N339" s="19">
        <f>IFERROR(__xludf.DUMMYFUNCTION("SUM(QUERY(Entregas_BD!D:L,""select G where D='""&amp;D339&amp;""'"",1))"),0.0)</f>
        <v>0</v>
      </c>
      <c r="O339" s="19">
        <f>IFERROR(__xludf.DUMMYFUNCTION("SUM(QUERY(Entregas_BD!D:L,""select H where D='""&amp;D339&amp;""'"",1))"),0.0)</f>
        <v>0</v>
      </c>
      <c r="P339" s="19">
        <f>IFERROR(__xludf.DUMMYFUNCTION("SUM(QUERY(Entregas_BD!D:L,""select I where D='""&amp;D339&amp;""'"",1))"),0.0)</f>
        <v>0</v>
      </c>
      <c r="Q339" s="19">
        <f>IFERROR(__xludf.DUMMYFUNCTION("SUM(QUERY(Entregas_BD!D:L,""select J where D='""&amp;D339&amp;""'"",1))"),0.0)</f>
        <v>0</v>
      </c>
      <c r="R339" s="24">
        <f>IFERROR(__xludf.DUMMYFUNCTION("SUM(QUERY(Entregas_BD!D:L,""select K where D='""&amp;D339&amp;""'"",1))"),25.0)</f>
        <v>25</v>
      </c>
      <c r="S339" s="24">
        <f>IFERROR(__xludf.DUMMYFUNCTION("SUM(QUERY(Entregas_BD!D:L,""select L where D='""&amp;D339&amp;""'"",1))"),25.0)</f>
        <v>25</v>
      </c>
      <c r="T339" s="19">
        <f>IFERROR(__xludf.DUMMYFUNCTION("SUM(QUERY(Entregas_BD!D:AL,""select AG where D='""&amp;D339&amp;""'"",1))"),0.0)</f>
        <v>0</v>
      </c>
      <c r="U339" s="19">
        <f>IFERROR(__xludf.DUMMYFUNCTION("SUM(QUERY(Entregas_BD!D:AL,""select AH where D='""&amp;D339&amp;""'"",1))"),0.0)</f>
        <v>0</v>
      </c>
      <c r="V339" s="19">
        <f>IFERROR(__xludf.DUMMYFUNCTION("SUM(QUERY(Entregas_BD!D:AL,""select AI where D='""&amp;D339&amp;""'"",1))"),0.0)</f>
        <v>0</v>
      </c>
      <c r="W339" s="19">
        <f>IFERROR(__xludf.DUMMYFUNCTION("SUM(QUERY(Entregas_BD!D:AL,""select AJ where D='""&amp;D339&amp;""'"",1))"),0.0)</f>
        <v>0</v>
      </c>
      <c r="X339" s="19">
        <f>IFERROR(__xludf.DUMMYFUNCTION("SUM(QUERY(Entregas_BD!D:AL,""select AL where D='""&amp;D339&amp;""'"",1))"),0.0)</f>
        <v>0</v>
      </c>
      <c r="Y339" s="19">
        <f>IFERROR(__xludf.DUMMYFUNCTION("SUM(QUERY(Entregas_BD!D:AL,""select AK where D='""&amp;D339&amp;""'"",1))"),0.0)</f>
        <v>0</v>
      </c>
      <c r="Z339" s="19">
        <v>0.0</v>
      </c>
      <c r="AA339" s="19">
        <v>0.0</v>
      </c>
      <c r="AB339" s="19">
        <v>0.0</v>
      </c>
      <c r="AC339" s="19">
        <v>0.0</v>
      </c>
      <c r="AD339" s="19">
        <v>25.0</v>
      </c>
      <c r="AE339" s="19">
        <v>25.0</v>
      </c>
      <c r="AF339" s="22"/>
      <c r="AG339" s="24">
        <f>IFERROR(__xludf.DUMMYFUNCTION("SUM(QUERY(Entregas_BD!D:W,""select U where D='""&amp;D339&amp;""'"",1))"),0.0)</f>
        <v>0</v>
      </c>
      <c r="AH339" s="24">
        <f>IFERROR(__xludf.DUMMYFUNCTION("SUM(QUERY(Entregas_BD!D:W,""select S where D='""&amp;D339&amp;""'"",1))"),0.0)</f>
        <v>0</v>
      </c>
      <c r="AI339" s="24">
        <f>IFERROR(__xludf.DUMMYFUNCTION("SUM(QUERY(Entregas_BD!D:W,""select T where D='""&amp;D339&amp;""'"",1))"),0.0)</f>
        <v>0</v>
      </c>
    </row>
    <row r="340" ht="19.5" customHeight="1">
      <c r="A340" s="63"/>
      <c r="B340" s="8"/>
      <c r="C340" s="9">
        <v>339.0</v>
      </c>
      <c r="D340" s="10" t="s">
        <v>812</v>
      </c>
      <c r="E340" s="10" t="s">
        <v>197</v>
      </c>
      <c r="F340" s="10" t="s">
        <v>243</v>
      </c>
      <c r="G340" s="10" t="s">
        <v>813</v>
      </c>
      <c r="H340" s="12" t="s">
        <v>632</v>
      </c>
      <c r="I340" s="11" t="s">
        <v>41</v>
      </c>
      <c r="J340" s="12"/>
      <c r="K340" s="12"/>
      <c r="L340" s="13"/>
      <c r="M340" s="28"/>
      <c r="N340" s="9">
        <f>IFERROR(__xludf.DUMMYFUNCTION("SUM(QUERY(Entregas_BD!D:L,""select G where D='""&amp;D340&amp;""'"",1))"),0.0)</f>
        <v>0</v>
      </c>
      <c r="O340" s="9">
        <f>IFERROR(__xludf.DUMMYFUNCTION("SUM(QUERY(Entregas_BD!D:L,""select H where D='""&amp;D340&amp;""'"",1))"),0.0)</f>
        <v>0</v>
      </c>
      <c r="P340" s="9">
        <f>IFERROR(__xludf.DUMMYFUNCTION("SUM(QUERY(Entregas_BD!D:L,""select I where D='""&amp;D340&amp;""'"",1))"),0.0)</f>
        <v>0</v>
      </c>
      <c r="Q340" s="9">
        <f>IFERROR(__xludf.DUMMYFUNCTION("SUM(QUERY(Entregas_BD!D:L,""select J where D='""&amp;D340&amp;""'"",1))"),0.0)</f>
        <v>0</v>
      </c>
      <c r="R340" s="15">
        <f>IFERROR(__xludf.DUMMYFUNCTION("SUM(QUERY(Entregas_BD!D:L,""select K where D='""&amp;D340&amp;""'"",1))"),0.0)</f>
        <v>0</v>
      </c>
      <c r="S340" s="15">
        <f>IFERROR(__xludf.DUMMYFUNCTION("SUM(QUERY(Entregas_BD!D:L,""select L where D='""&amp;D340&amp;""'"",1))"),0.0)</f>
        <v>0</v>
      </c>
      <c r="T340" s="9">
        <f>IFERROR(__xludf.DUMMYFUNCTION("SUM(QUERY(Entregas_BD!D:AL,""select AG where D='""&amp;D340&amp;""'"",1))"),0.0)</f>
        <v>0</v>
      </c>
      <c r="U340" s="9">
        <f>IFERROR(__xludf.DUMMYFUNCTION("SUM(QUERY(Entregas_BD!D:AL,""select AH where D='""&amp;D340&amp;""'"",1))"),0.0)</f>
        <v>0</v>
      </c>
      <c r="V340" s="9">
        <f>IFERROR(__xludf.DUMMYFUNCTION("SUM(QUERY(Entregas_BD!D:AL,""select AI where D='""&amp;D340&amp;""'"",1))"),0.0)</f>
        <v>0</v>
      </c>
      <c r="W340" s="9">
        <f>IFERROR(__xludf.DUMMYFUNCTION("SUM(QUERY(Entregas_BD!D:AL,""select AJ where D='""&amp;D340&amp;""'"",1))"),0.0)</f>
        <v>0</v>
      </c>
      <c r="X340" s="9">
        <f>IFERROR(__xludf.DUMMYFUNCTION("SUM(QUERY(Entregas_BD!D:AL,""select AL where D='""&amp;D340&amp;""'"",1))"),0.0)</f>
        <v>0</v>
      </c>
      <c r="Y340" s="9">
        <f>IFERROR(__xludf.DUMMYFUNCTION("SUM(QUERY(Entregas_BD!D:AL,""select AK where D='""&amp;D340&amp;""'"",1))"),0.0)</f>
        <v>0</v>
      </c>
      <c r="Z340" s="9">
        <v>0.0</v>
      </c>
      <c r="AA340" s="9">
        <v>0.0</v>
      </c>
      <c r="AB340" s="9">
        <v>0.0</v>
      </c>
      <c r="AC340" s="9">
        <v>0.0</v>
      </c>
      <c r="AD340" s="9">
        <v>0.0</v>
      </c>
      <c r="AE340" s="9">
        <v>0.0</v>
      </c>
      <c r="AF340" s="28"/>
      <c r="AG340" s="15">
        <f>IFERROR(__xludf.DUMMYFUNCTION("SUM(QUERY(Entregas_BD!D:W,""select U where D='""&amp;D340&amp;""'"",1))"),0.0)</f>
        <v>0</v>
      </c>
      <c r="AH340" s="15">
        <f>IFERROR(__xludf.DUMMYFUNCTION("SUM(QUERY(Entregas_BD!D:W,""select S where D='""&amp;D340&amp;""'"",1))"),0.0)</f>
        <v>0</v>
      </c>
      <c r="AI340" s="15">
        <f>IFERROR(__xludf.DUMMYFUNCTION("SUM(QUERY(Entregas_BD!D:W,""select T where D='""&amp;D340&amp;""'"",1))"),0.0)</f>
        <v>0</v>
      </c>
    </row>
    <row r="341" ht="19.5" customHeight="1">
      <c r="A341" s="64"/>
      <c r="B341" s="32"/>
      <c r="C341" s="19">
        <v>340.0</v>
      </c>
      <c r="D341" s="20" t="s">
        <v>814</v>
      </c>
      <c r="E341" s="20" t="s">
        <v>197</v>
      </c>
      <c r="F341" s="20" t="s">
        <v>243</v>
      </c>
      <c r="G341" s="20" t="s">
        <v>204</v>
      </c>
      <c r="H341" s="34" t="s">
        <v>632</v>
      </c>
      <c r="I341" s="21" t="s">
        <v>41</v>
      </c>
      <c r="J341" s="34"/>
      <c r="K341" s="34"/>
      <c r="L341" s="42"/>
      <c r="M341" s="22"/>
      <c r="N341" s="19">
        <f>IFERROR(__xludf.DUMMYFUNCTION("SUM(QUERY(Entregas_BD!D:L,""select G where D='""&amp;D341&amp;""'"",1))"),0.0)</f>
        <v>0</v>
      </c>
      <c r="O341" s="19">
        <f>IFERROR(__xludf.DUMMYFUNCTION("SUM(QUERY(Entregas_BD!D:L,""select H where D='""&amp;D341&amp;""'"",1))"),0.0)</f>
        <v>0</v>
      </c>
      <c r="P341" s="19">
        <f>IFERROR(__xludf.DUMMYFUNCTION("SUM(QUERY(Entregas_BD!D:L,""select I where D='""&amp;D341&amp;""'"",1))"),0.0)</f>
        <v>0</v>
      </c>
      <c r="Q341" s="19">
        <f>IFERROR(__xludf.DUMMYFUNCTION("SUM(QUERY(Entregas_BD!D:L,""select J where D='""&amp;D341&amp;""'"",1))"),0.0)</f>
        <v>0</v>
      </c>
      <c r="R341" s="24">
        <f>IFERROR(__xludf.DUMMYFUNCTION("SUM(QUERY(Entregas_BD!D:L,""select K where D='""&amp;D341&amp;""'"",1))"),0.0)</f>
        <v>0</v>
      </c>
      <c r="S341" s="24">
        <f>IFERROR(__xludf.DUMMYFUNCTION("SUM(QUERY(Entregas_BD!D:L,""select L where D='""&amp;D341&amp;""'"",1))"),0.0)</f>
        <v>0</v>
      </c>
      <c r="T341" s="19">
        <f>IFERROR(__xludf.DUMMYFUNCTION("SUM(QUERY(Entregas_BD!D:AL,""select AG where D='""&amp;D341&amp;""'"",1))"),0.0)</f>
        <v>0</v>
      </c>
      <c r="U341" s="19">
        <f>IFERROR(__xludf.DUMMYFUNCTION("SUM(QUERY(Entregas_BD!D:AL,""select AH where D='""&amp;D341&amp;""'"",1))"),0.0)</f>
        <v>0</v>
      </c>
      <c r="V341" s="19">
        <f>IFERROR(__xludf.DUMMYFUNCTION("SUM(QUERY(Entregas_BD!D:AL,""select AI where D='""&amp;D341&amp;""'"",1))"),0.0)</f>
        <v>0</v>
      </c>
      <c r="W341" s="19">
        <f>IFERROR(__xludf.DUMMYFUNCTION("SUM(QUERY(Entregas_BD!D:AL,""select AJ where D='""&amp;D341&amp;""'"",1))"),0.0)</f>
        <v>0</v>
      </c>
      <c r="X341" s="19">
        <f>IFERROR(__xludf.DUMMYFUNCTION("SUM(QUERY(Entregas_BD!D:AL,""select AL where D='""&amp;D341&amp;""'"",1))"),0.0)</f>
        <v>0</v>
      </c>
      <c r="Y341" s="19">
        <f>IFERROR(__xludf.DUMMYFUNCTION("SUM(QUERY(Entregas_BD!D:AL,""select AK where D='""&amp;D341&amp;""'"",1))"),0.0)</f>
        <v>0</v>
      </c>
      <c r="Z341" s="19">
        <v>0.0</v>
      </c>
      <c r="AA341" s="19">
        <v>0.0</v>
      </c>
      <c r="AB341" s="19">
        <v>0.0</v>
      </c>
      <c r="AC341" s="19">
        <v>0.0</v>
      </c>
      <c r="AD341" s="19">
        <v>0.0</v>
      </c>
      <c r="AE341" s="19">
        <v>0.0</v>
      </c>
      <c r="AF341" s="22"/>
      <c r="AG341" s="24">
        <f>IFERROR(__xludf.DUMMYFUNCTION("SUM(QUERY(Entregas_BD!D:W,""select U where D='""&amp;D341&amp;""'"",1))"),0.0)</f>
        <v>0</v>
      </c>
      <c r="AH341" s="24">
        <f>IFERROR(__xludf.DUMMYFUNCTION("SUM(QUERY(Entregas_BD!D:W,""select S where D='""&amp;D341&amp;""'"",1))"),0.0)</f>
        <v>0</v>
      </c>
      <c r="AI341" s="24">
        <f>IFERROR(__xludf.DUMMYFUNCTION("SUM(QUERY(Entregas_BD!D:W,""select T where D='""&amp;D341&amp;""'"",1))"),0.0)</f>
        <v>0</v>
      </c>
    </row>
    <row r="342" ht="19.5" customHeight="1">
      <c r="A342" s="63"/>
      <c r="B342" s="8"/>
      <c r="C342" s="9">
        <v>341.0</v>
      </c>
      <c r="D342" s="10" t="s">
        <v>815</v>
      </c>
      <c r="E342" s="10" t="s">
        <v>63</v>
      </c>
      <c r="F342" s="10" t="s">
        <v>243</v>
      </c>
      <c r="G342" s="10" t="s">
        <v>816</v>
      </c>
      <c r="H342" s="12" t="s">
        <v>632</v>
      </c>
      <c r="I342" s="11" t="s">
        <v>41</v>
      </c>
      <c r="J342" s="12"/>
      <c r="K342" s="12"/>
      <c r="L342" s="13"/>
      <c r="M342" s="28"/>
      <c r="N342" s="9">
        <f>IFERROR(__xludf.DUMMYFUNCTION("SUM(QUERY(Entregas_BD!D:L,""select G where D='""&amp;D342&amp;""'"",1))"),0.0)</f>
        <v>0</v>
      </c>
      <c r="O342" s="9">
        <f>IFERROR(__xludf.DUMMYFUNCTION("SUM(QUERY(Entregas_BD!D:L,""select H where D='""&amp;D342&amp;""'"",1))"),0.0)</f>
        <v>0</v>
      </c>
      <c r="P342" s="9">
        <f>IFERROR(__xludf.DUMMYFUNCTION("SUM(QUERY(Entregas_BD!D:L,""select I where D='""&amp;D342&amp;""'"",1))"),0.0)</f>
        <v>0</v>
      </c>
      <c r="Q342" s="9">
        <f>IFERROR(__xludf.DUMMYFUNCTION("SUM(QUERY(Entregas_BD!D:L,""select J where D='""&amp;D342&amp;""'"",1))"),0.0)</f>
        <v>0</v>
      </c>
      <c r="R342" s="15">
        <f>IFERROR(__xludf.DUMMYFUNCTION("SUM(QUERY(Entregas_BD!D:L,""select K where D='""&amp;D342&amp;""'"",1))"),0.0)</f>
        <v>0</v>
      </c>
      <c r="S342" s="15">
        <f>IFERROR(__xludf.DUMMYFUNCTION("SUM(QUERY(Entregas_BD!D:L,""select L where D='""&amp;D342&amp;""'"",1))"),0.0)</f>
        <v>0</v>
      </c>
      <c r="T342" s="9">
        <f>IFERROR(__xludf.DUMMYFUNCTION("SUM(QUERY(Entregas_BD!D:AL,""select AG where D='""&amp;D342&amp;""'"",1))"),0.0)</f>
        <v>0</v>
      </c>
      <c r="U342" s="9">
        <f>IFERROR(__xludf.DUMMYFUNCTION("SUM(QUERY(Entregas_BD!D:AL,""select AH where D='""&amp;D342&amp;""'"",1))"),0.0)</f>
        <v>0</v>
      </c>
      <c r="V342" s="9">
        <f>IFERROR(__xludf.DUMMYFUNCTION("SUM(QUERY(Entregas_BD!D:AL,""select AI where D='""&amp;D342&amp;""'"",1))"),0.0)</f>
        <v>0</v>
      </c>
      <c r="W342" s="9">
        <f>IFERROR(__xludf.DUMMYFUNCTION("SUM(QUERY(Entregas_BD!D:AL,""select AJ where D='""&amp;D342&amp;""'"",1))"),0.0)</f>
        <v>0</v>
      </c>
      <c r="X342" s="9">
        <f>IFERROR(__xludf.DUMMYFUNCTION("SUM(QUERY(Entregas_BD!D:AL,""select AL where D='""&amp;D342&amp;""'"",1))"),0.0)</f>
        <v>0</v>
      </c>
      <c r="Y342" s="9">
        <f>IFERROR(__xludf.DUMMYFUNCTION("SUM(QUERY(Entregas_BD!D:AL,""select AK where D='""&amp;D342&amp;""'"",1))"),0.0)</f>
        <v>0</v>
      </c>
      <c r="Z342" s="9">
        <v>0.0</v>
      </c>
      <c r="AA342" s="9">
        <v>0.0</v>
      </c>
      <c r="AB342" s="9">
        <v>0.0</v>
      </c>
      <c r="AC342" s="9">
        <v>0.0</v>
      </c>
      <c r="AD342" s="9">
        <v>0.0</v>
      </c>
      <c r="AE342" s="9">
        <v>0.0</v>
      </c>
      <c r="AF342" s="28"/>
      <c r="AG342" s="15">
        <f>IFERROR(__xludf.DUMMYFUNCTION("SUM(QUERY(Entregas_BD!D:W,""select U where D='""&amp;D342&amp;""'"",1))"),0.0)</f>
        <v>0</v>
      </c>
      <c r="AH342" s="15">
        <f>IFERROR(__xludf.DUMMYFUNCTION("SUM(QUERY(Entregas_BD!D:W,""select S where D='""&amp;D342&amp;""'"",1))"),0.0)</f>
        <v>0</v>
      </c>
      <c r="AI342" s="15">
        <f>IFERROR(__xludf.DUMMYFUNCTION("SUM(QUERY(Entregas_BD!D:W,""select T where D='""&amp;D342&amp;""'"",1))"),0.0)</f>
        <v>0</v>
      </c>
    </row>
    <row r="343" ht="19.5" customHeight="1">
      <c r="A343" s="64"/>
      <c r="B343" s="32"/>
      <c r="C343" s="19">
        <v>342.0</v>
      </c>
      <c r="D343" s="20" t="s">
        <v>817</v>
      </c>
      <c r="E343" s="20" t="s">
        <v>197</v>
      </c>
      <c r="F343" s="20" t="s">
        <v>243</v>
      </c>
      <c r="G343" s="20" t="s">
        <v>665</v>
      </c>
      <c r="H343" s="34" t="s">
        <v>632</v>
      </c>
      <c r="I343" s="21" t="s">
        <v>41</v>
      </c>
      <c r="J343" s="34"/>
      <c r="K343" s="34"/>
      <c r="L343" s="42"/>
      <c r="M343" s="22"/>
      <c r="N343" s="19">
        <f>IFERROR(__xludf.DUMMYFUNCTION("SUM(QUERY(Entregas_BD!D:L,""select G where D='""&amp;D343&amp;""'"",1))"),0.0)</f>
        <v>0</v>
      </c>
      <c r="O343" s="19">
        <f>IFERROR(__xludf.DUMMYFUNCTION("SUM(QUERY(Entregas_BD!D:L,""select H where D='""&amp;D343&amp;""'"",1))"),0.0)</f>
        <v>0</v>
      </c>
      <c r="P343" s="19">
        <f>IFERROR(__xludf.DUMMYFUNCTION("SUM(QUERY(Entregas_BD!D:L,""select I where D='""&amp;D343&amp;""'"",1))"),0.0)</f>
        <v>0</v>
      </c>
      <c r="Q343" s="19">
        <f>IFERROR(__xludf.DUMMYFUNCTION("SUM(QUERY(Entregas_BD!D:L,""select J where D='""&amp;D343&amp;""'"",1))"),0.0)</f>
        <v>0</v>
      </c>
      <c r="R343" s="24">
        <f>IFERROR(__xludf.DUMMYFUNCTION("SUM(QUERY(Entregas_BD!D:L,""select K where D='""&amp;D343&amp;""'"",1))"),0.0)</f>
        <v>0</v>
      </c>
      <c r="S343" s="24">
        <f>IFERROR(__xludf.DUMMYFUNCTION("SUM(QUERY(Entregas_BD!D:L,""select L where D='""&amp;D343&amp;""'"",1))"),0.0)</f>
        <v>0</v>
      </c>
      <c r="T343" s="19">
        <f>IFERROR(__xludf.DUMMYFUNCTION("SUM(QUERY(Entregas_BD!D:AL,""select AG where D='""&amp;D343&amp;""'"",1))"),0.0)</f>
        <v>0</v>
      </c>
      <c r="U343" s="19">
        <f>IFERROR(__xludf.DUMMYFUNCTION("SUM(QUERY(Entregas_BD!D:AL,""select AH where D='""&amp;D343&amp;""'"",1))"),0.0)</f>
        <v>0</v>
      </c>
      <c r="V343" s="19">
        <f>IFERROR(__xludf.DUMMYFUNCTION("SUM(QUERY(Entregas_BD!D:AL,""select AI where D='""&amp;D343&amp;""'"",1))"),0.0)</f>
        <v>0</v>
      </c>
      <c r="W343" s="19">
        <f>IFERROR(__xludf.DUMMYFUNCTION("SUM(QUERY(Entregas_BD!D:AL,""select AJ where D='""&amp;D343&amp;""'"",1))"),0.0)</f>
        <v>0</v>
      </c>
      <c r="X343" s="19">
        <f>IFERROR(__xludf.DUMMYFUNCTION("SUM(QUERY(Entregas_BD!D:AL,""select AL where D='""&amp;D343&amp;""'"",1))"),0.0)</f>
        <v>0</v>
      </c>
      <c r="Y343" s="19">
        <f>IFERROR(__xludf.DUMMYFUNCTION("SUM(QUERY(Entregas_BD!D:AL,""select AK where D='""&amp;D343&amp;""'"",1))"),0.0)</f>
        <v>0</v>
      </c>
      <c r="Z343" s="19">
        <v>0.0</v>
      </c>
      <c r="AA343" s="19">
        <v>0.0</v>
      </c>
      <c r="AB343" s="19">
        <v>0.0</v>
      </c>
      <c r="AC343" s="19">
        <v>0.0</v>
      </c>
      <c r="AD343" s="19">
        <v>0.0</v>
      </c>
      <c r="AE343" s="19">
        <v>0.0</v>
      </c>
      <c r="AF343" s="22"/>
      <c r="AG343" s="24">
        <f>IFERROR(__xludf.DUMMYFUNCTION("SUM(QUERY(Entregas_BD!D:W,""select U where D='""&amp;D343&amp;""'"",1))"),0.0)</f>
        <v>0</v>
      </c>
      <c r="AH343" s="24">
        <f>IFERROR(__xludf.DUMMYFUNCTION("SUM(QUERY(Entregas_BD!D:W,""select S where D='""&amp;D343&amp;""'"",1))"),0.0)</f>
        <v>0</v>
      </c>
      <c r="AI343" s="24">
        <f>IFERROR(__xludf.DUMMYFUNCTION("SUM(QUERY(Entregas_BD!D:W,""select T where D='""&amp;D343&amp;""'"",1))"),0.0)</f>
        <v>0</v>
      </c>
    </row>
    <row r="344" ht="19.5" customHeight="1">
      <c r="A344" s="63"/>
      <c r="B344" s="8"/>
      <c r="C344" s="9">
        <v>343.0</v>
      </c>
      <c r="D344" s="10" t="s">
        <v>761</v>
      </c>
      <c r="E344" s="10" t="s">
        <v>479</v>
      </c>
      <c r="F344" s="10" t="s">
        <v>45</v>
      </c>
      <c r="G344" s="10" t="s">
        <v>616</v>
      </c>
      <c r="H344" s="12" t="s">
        <v>617</v>
      </c>
      <c r="I344" s="11" t="s">
        <v>41</v>
      </c>
      <c r="J344" s="12"/>
      <c r="K344" s="12"/>
      <c r="L344" s="13"/>
      <c r="M344" s="28"/>
      <c r="N344" s="9">
        <f>IFERROR(__xludf.DUMMYFUNCTION("SUM(QUERY(Entregas_BD!D:L,""select G where D='""&amp;D344&amp;""'"",1))"),0.0)</f>
        <v>0</v>
      </c>
      <c r="O344" s="9">
        <f>IFERROR(__xludf.DUMMYFUNCTION("SUM(QUERY(Entregas_BD!D:L,""select H where D='""&amp;D344&amp;""'"",1))"),0.0)</f>
        <v>0</v>
      </c>
      <c r="P344" s="9">
        <f>IFERROR(__xludf.DUMMYFUNCTION("SUM(QUERY(Entregas_BD!D:L,""select I where D='""&amp;D344&amp;""'"",1))"),0.0)</f>
        <v>0</v>
      </c>
      <c r="Q344" s="9">
        <f>IFERROR(__xludf.DUMMYFUNCTION("SUM(QUERY(Entregas_BD!D:L,""select J where D='""&amp;D344&amp;""'"",1))"),0.0)</f>
        <v>0</v>
      </c>
      <c r="R344" s="15">
        <f>IFERROR(__xludf.DUMMYFUNCTION("SUM(QUERY(Entregas_BD!D:L,""select K where D='""&amp;D344&amp;""'"",1))"),0.0)</f>
        <v>0</v>
      </c>
      <c r="S344" s="15">
        <f>IFERROR(__xludf.DUMMYFUNCTION("SUM(QUERY(Entregas_BD!D:L,""select L where D='""&amp;D344&amp;""'"",1))"),0.0)</f>
        <v>0</v>
      </c>
      <c r="T344" s="9">
        <f>IFERROR(__xludf.DUMMYFUNCTION("SUM(QUERY(Entregas_BD!D:AL,""select AG where D='""&amp;D344&amp;""'"",1))"),0.0)</f>
        <v>0</v>
      </c>
      <c r="U344" s="9">
        <f>IFERROR(__xludf.DUMMYFUNCTION("SUM(QUERY(Entregas_BD!D:AL,""select AH where D='""&amp;D344&amp;""'"",1))"),0.0)</f>
        <v>0</v>
      </c>
      <c r="V344" s="9">
        <f>IFERROR(__xludf.DUMMYFUNCTION("SUM(QUERY(Entregas_BD!D:AL,""select AI where D='""&amp;D344&amp;""'"",1))"),0.0)</f>
        <v>0</v>
      </c>
      <c r="W344" s="9">
        <f>IFERROR(__xludf.DUMMYFUNCTION("SUM(QUERY(Entregas_BD!D:AL,""select AJ where D='""&amp;D344&amp;""'"",1))"),0.0)</f>
        <v>0</v>
      </c>
      <c r="X344" s="9">
        <f>IFERROR(__xludf.DUMMYFUNCTION("SUM(QUERY(Entregas_BD!D:AL,""select AL where D='""&amp;D344&amp;""'"",1))"),0.0)</f>
        <v>0</v>
      </c>
      <c r="Y344" s="9">
        <f>IFERROR(__xludf.DUMMYFUNCTION("SUM(QUERY(Entregas_BD!D:AL,""select AK where D='""&amp;D344&amp;""'"",1))"),0.0)</f>
        <v>0</v>
      </c>
      <c r="Z344" s="9">
        <v>0.0</v>
      </c>
      <c r="AA344" s="9">
        <v>0.0</v>
      </c>
      <c r="AB344" s="9">
        <v>0.0</v>
      </c>
      <c r="AC344" s="9">
        <v>0.0</v>
      </c>
      <c r="AD344" s="9">
        <v>0.0</v>
      </c>
      <c r="AE344" s="9">
        <v>0.0</v>
      </c>
      <c r="AF344" s="28"/>
      <c r="AG344" s="15">
        <f>IFERROR(__xludf.DUMMYFUNCTION("SUM(QUERY(Entregas_BD!D:W,""select U where D='""&amp;D344&amp;""'"",1))"),0.0)</f>
        <v>0</v>
      </c>
      <c r="AH344" s="15">
        <f>IFERROR(__xludf.DUMMYFUNCTION("SUM(QUERY(Entregas_BD!D:W,""select S where D='""&amp;D344&amp;""'"",1))"),0.0)</f>
        <v>0</v>
      </c>
      <c r="AI344" s="15">
        <f>IFERROR(__xludf.DUMMYFUNCTION("SUM(QUERY(Entregas_BD!D:W,""select T where D='""&amp;D344&amp;""'"",1))"),0.0)</f>
        <v>0</v>
      </c>
    </row>
    <row r="345" ht="19.5" customHeight="1">
      <c r="A345" s="64"/>
      <c r="B345" s="32"/>
      <c r="C345" s="19">
        <v>344.0</v>
      </c>
      <c r="D345" s="20" t="s">
        <v>273</v>
      </c>
      <c r="E345" s="20" t="s">
        <v>72</v>
      </c>
      <c r="F345" s="20" t="s">
        <v>45</v>
      </c>
      <c r="G345" s="20" t="s">
        <v>650</v>
      </c>
      <c r="H345" s="34" t="s">
        <v>622</v>
      </c>
      <c r="I345" s="21" t="s">
        <v>41</v>
      </c>
      <c r="J345" s="61"/>
      <c r="K345" s="34"/>
      <c r="L345" s="42"/>
      <c r="M345" s="22"/>
      <c r="N345" s="19">
        <f>IFERROR(__xludf.DUMMYFUNCTION("SUM(QUERY(Entregas_BD!D:L,""select G where D='""&amp;D345&amp;""'"",1))"),0.0)</f>
        <v>0</v>
      </c>
      <c r="O345" s="19">
        <f>IFERROR(__xludf.DUMMYFUNCTION("SUM(QUERY(Entregas_BD!D:L,""select H where D='""&amp;D345&amp;""'"",1))"),0.0)</f>
        <v>0</v>
      </c>
      <c r="P345" s="19">
        <f>IFERROR(__xludf.DUMMYFUNCTION("SUM(QUERY(Entregas_BD!D:L,""select I where D='""&amp;D345&amp;""'"",1))"),0.0)</f>
        <v>0</v>
      </c>
      <c r="Q345" s="19">
        <f>IFERROR(__xludf.DUMMYFUNCTION("SUM(QUERY(Entregas_BD!D:L,""select J where D='""&amp;D345&amp;""'"",1))"),0.0)</f>
        <v>0</v>
      </c>
      <c r="R345" s="24">
        <f>IFERROR(__xludf.DUMMYFUNCTION("SUM(QUERY(Entregas_BD!D:L,""select K where D='""&amp;D345&amp;""'"",1))"),0.0)</f>
        <v>0</v>
      </c>
      <c r="S345" s="24">
        <f>IFERROR(__xludf.DUMMYFUNCTION("SUM(QUERY(Entregas_BD!D:L,""select L where D='""&amp;D345&amp;""'"",1))"),0.0)</f>
        <v>0</v>
      </c>
      <c r="T345" s="19">
        <f>IFERROR(__xludf.DUMMYFUNCTION("SUM(QUERY(Entregas_BD!D:AL,""select AG where D='""&amp;D345&amp;""'"",1))"),200.0)</f>
        <v>200</v>
      </c>
      <c r="U345" s="19">
        <f>IFERROR(__xludf.DUMMYFUNCTION("SUM(QUERY(Entregas_BD!D:AL,""select AH where D='""&amp;D345&amp;""'"",1))"),0.0)</f>
        <v>0</v>
      </c>
      <c r="V345" s="19">
        <f>IFERROR(__xludf.DUMMYFUNCTION("SUM(QUERY(Entregas_BD!D:AL,""select AI where D='""&amp;D345&amp;""'"",1))"),0.0)</f>
        <v>0</v>
      </c>
      <c r="W345" s="19">
        <f>IFERROR(__xludf.DUMMYFUNCTION("SUM(QUERY(Entregas_BD!D:AL,""select AJ where D='""&amp;D345&amp;""'"",1))"),0.0)</f>
        <v>0</v>
      </c>
      <c r="X345" s="19">
        <f>IFERROR(__xludf.DUMMYFUNCTION("SUM(QUERY(Entregas_BD!D:AL,""select AL where D='""&amp;D345&amp;""'"",1))"),0.0)</f>
        <v>0</v>
      </c>
      <c r="Y345" s="19">
        <f>IFERROR(__xludf.DUMMYFUNCTION("SUM(QUERY(Entregas_BD!D:AL,""select AK where D='""&amp;D345&amp;""'"",1))"),0.0)</f>
        <v>0</v>
      </c>
      <c r="Z345" s="19">
        <v>-200.0</v>
      </c>
      <c r="AA345" s="19">
        <v>0.0</v>
      </c>
      <c r="AB345" s="19">
        <v>0.0</v>
      </c>
      <c r="AC345" s="19">
        <v>0.0</v>
      </c>
      <c r="AD345" s="19">
        <v>0.0</v>
      </c>
      <c r="AE345" s="19">
        <v>0.0</v>
      </c>
      <c r="AF345" s="22"/>
      <c r="AG345" s="24">
        <f>IFERROR(__xludf.DUMMYFUNCTION("SUM(QUERY(Entregas_BD!D:W,""select U where D='""&amp;D345&amp;""'"",1))"),0.0)</f>
        <v>0</v>
      </c>
      <c r="AH345" s="24">
        <f>IFERROR(__xludf.DUMMYFUNCTION("SUM(QUERY(Entregas_BD!D:W,""select S where D='""&amp;D345&amp;""'"",1))"),0.0)</f>
        <v>0</v>
      </c>
      <c r="AI345" s="24">
        <f>IFERROR(__xludf.DUMMYFUNCTION("SUM(QUERY(Entregas_BD!D:W,""select T where D='""&amp;D345&amp;""'"",1))"),0.0)</f>
        <v>0</v>
      </c>
    </row>
    <row r="346" ht="19.5" customHeight="1">
      <c r="A346" s="63"/>
      <c r="B346" s="8"/>
      <c r="C346" s="9">
        <v>345.0</v>
      </c>
      <c r="D346" s="72" t="s">
        <v>818</v>
      </c>
      <c r="E346" s="10" t="s">
        <v>63</v>
      </c>
      <c r="F346" s="10" t="s">
        <v>45</v>
      </c>
      <c r="G346" s="10" t="s">
        <v>600</v>
      </c>
      <c r="H346" s="12" t="s">
        <v>617</v>
      </c>
      <c r="I346" s="11" t="s">
        <v>41</v>
      </c>
      <c r="J346" s="60"/>
      <c r="K346" s="12"/>
      <c r="L346" s="13"/>
      <c r="M346" s="28"/>
      <c r="N346" s="9">
        <f>IFERROR(__xludf.DUMMYFUNCTION("SUM(QUERY(Entregas_BD!D:L,""select G where D='""&amp;D346&amp;""'"",1))"),0.0)</f>
        <v>0</v>
      </c>
      <c r="O346" s="9">
        <f>IFERROR(__xludf.DUMMYFUNCTION("SUM(QUERY(Entregas_BD!D:L,""select H where D='""&amp;D346&amp;""'"",1))"),0.0)</f>
        <v>0</v>
      </c>
      <c r="P346" s="9">
        <f>IFERROR(__xludf.DUMMYFUNCTION("SUM(QUERY(Entregas_BD!D:L,""select I where D='""&amp;D346&amp;""'"",1))"),0.0)</f>
        <v>0</v>
      </c>
      <c r="Q346" s="9">
        <f>IFERROR(__xludf.DUMMYFUNCTION("SUM(QUERY(Entregas_BD!D:L,""select J where D='""&amp;D346&amp;""'"",1))"),0.0)</f>
        <v>0</v>
      </c>
      <c r="R346" s="15">
        <f>IFERROR(__xludf.DUMMYFUNCTION("SUM(QUERY(Entregas_BD!D:L,""select K where D='""&amp;D346&amp;""'"",1))"),0.0)</f>
        <v>0</v>
      </c>
      <c r="S346" s="15">
        <f>IFERROR(__xludf.DUMMYFUNCTION("SUM(QUERY(Entregas_BD!D:L,""select L where D='""&amp;D346&amp;""'"",1))"),0.0)</f>
        <v>0</v>
      </c>
      <c r="T346" s="9">
        <f>IFERROR(__xludf.DUMMYFUNCTION("SUM(QUERY(Entregas_BD!D:AL,""select AG where D='""&amp;D346&amp;""'"",1))"),1000.0)</f>
        <v>1000</v>
      </c>
      <c r="U346" s="9">
        <f>IFERROR(__xludf.DUMMYFUNCTION("SUM(QUERY(Entregas_BD!D:AL,""select AH where D='""&amp;D346&amp;""'"",1))"),0.0)</f>
        <v>0</v>
      </c>
      <c r="V346" s="9">
        <f>IFERROR(__xludf.DUMMYFUNCTION("SUM(QUERY(Entregas_BD!D:AL,""select AI where D='""&amp;D346&amp;""'"",1))"),0.0)</f>
        <v>0</v>
      </c>
      <c r="W346" s="9">
        <f>IFERROR(__xludf.DUMMYFUNCTION("SUM(QUERY(Entregas_BD!D:AL,""select AJ where D='""&amp;D346&amp;""'"",1))"),0.0)</f>
        <v>0</v>
      </c>
      <c r="X346" s="9">
        <f>IFERROR(__xludf.DUMMYFUNCTION("SUM(QUERY(Entregas_BD!D:AL,""select AL where D='""&amp;D346&amp;""'"",1))"),0.0)</f>
        <v>0</v>
      </c>
      <c r="Y346" s="9">
        <f>IFERROR(__xludf.DUMMYFUNCTION("SUM(QUERY(Entregas_BD!D:AL,""select AK where D='""&amp;D346&amp;""'"",1))"),0.0)</f>
        <v>0</v>
      </c>
      <c r="Z346" s="9">
        <v>-1000.0</v>
      </c>
      <c r="AA346" s="9">
        <v>0.0</v>
      </c>
      <c r="AB346" s="9">
        <v>0.0</v>
      </c>
      <c r="AC346" s="9">
        <v>0.0</v>
      </c>
      <c r="AD346" s="9">
        <v>0.0</v>
      </c>
      <c r="AE346" s="9">
        <v>0.0</v>
      </c>
      <c r="AF346" s="28"/>
      <c r="AG346" s="15">
        <f>IFERROR(__xludf.DUMMYFUNCTION("SUM(QUERY(Entregas_BD!D:W,""select U where D='""&amp;D346&amp;""'"",1))"),0.0)</f>
        <v>0</v>
      </c>
      <c r="AH346" s="15">
        <f>IFERROR(__xludf.DUMMYFUNCTION("SUM(QUERY(Entregas_BD!D:W,""select S where D='""&amp;D346&amp;""'"",1))"),0.0)</f>
        <v>0</v>
      </c>
      <c r="AI346" s="15">
        <f>IFERROR(__xludf.DUMMYFUNCTION("SUM(QUERY(Entregas_BD!D:W,""select T where D='""&amp;D346&amp;""'"",1))"),0.0)</f>
        <v>0</v>
      </c>
    </row>
    <row r="347" ht="19.5" customHeight="1">
      <c r="A347" s="64"/>
      <c r="B347" s="32"/>
      <c r="C347" s="19">
        <v>346.0</v>
      </c>
      <c r="D347" s="20" t="s">
        <v>819</v>
      </c>
      <c r="E347" s="20" t="s">
        <v>197</v>
      </c>
      <c r="F347" s="20" t="s">
        <v>494</v>
      </c>
      <c r="G347" s="20" t="s">
        <v>820</v>
      </c>
      <c r="H347" s="34" t="s">
        <v>617</v>
      </c>
      <c r="I347" s="21" t="s">
        <v>41</v>
      </c>
      <c r="J347" s="34"/>
      <c r="K347" s="34"/>
      <c r="L347" s="42"/>
      <c r="M347" s="22"/>
      <c r="N347" s="19">
        <f>IFERROR(__xludf.DUMMYFUNCTION("SUM(QUERY(Entregas_BD!D:L,""select G where D='""&amp;D347&amp;""'"",1))"),0.0)</f>
        <v>0</v>
      </c>
      <c r="O347" s="19">
        <f>IFERROR(__xludf.DUMMYFUNCTION("SUM(QUERY(Entregas_BD!D:L,""select H where D='""&amp;D347&amp;""'"",1))"),0.0)</f>
        <v>0</v>
      </c>
      <c r="P347" s="19">
        <f>IFERROR(__xludf.DUMMYFUNCTION("SUM(QUERY(Entregas_BD!D:L,""select I where D='""&amp;D347&amp;""'"",1))"),0.0)</f>
        <v>0</v>
      </c>
      <c r="Q347" s="19">
        <f>IFERROR(__xludf.DUMMYFUNCTION("SUM(QUERY(Entregas_BD!D:L,""select J where D='""&amp;D347&amp;""'"",1))"),0.0)</f>
        <v>0</v>
      </c>
      <c r="R347" s="24">
        <f>IFERROR(__xludf.DUMMYFUNCTION("SUM(QUERY(Entregas_BD!D:L,""select K where D='""&amp;D347&amp;""'"",1))"),0.0)</f>
        <v>0</v>
      </c>
      <c r="S347" s="24">
        <f>IFERROR(__xludf.DUMMYFUNCTION("SUM(QUERY(Entregas_BD!D:L,""select L where D='""&amp;D347&amp;""'"",1))"),0.0)</f>
        <v>0</v>
      </c>
      <c r="T347" s="19">
        <f>IFERROR(__xludf.DUMMYFUNCTION("SUM(QUERY(Entregas_BD!D:AL,""select AG where D='""&amp;D347&amp;""'"",1))"),400.0)</f>
        <v>400</v>
      </c>
      <c r="U347" s="19">
        <f>IFERROR(__xludf.DUMMYFUNCTION("SUM(QUERY(Entregas_BD!D:AL,""select AH where D='""&amp;D347&amp;""'"",1))"),0.0)</f>
        <v>0</v>
      </c>
      <c r="V347" s="19">
        <f>IFERROR(__xludf.DUMMYFUNCTION("SUM(QUERY(Entregas_BD!D:AL,""select AI where D='""&amp;D347&amp;""'"",1))"),0.0)</f>
        <v>0</v>
      </c>
      <c r="W347" s="19">
        <f>IFERROR(__xludf.DUMMYFUNCTION("SUM(QUERY(Entregas_BD!D:AL,""select AJ where D='""&amp;D347&amp;""'"",1))"),100.0)</f>
        <v>100</v>
      </c>
      <c r="X347" s="19">
        <f>IFERROR(__xludf.DUMMYFUNCTION("SUM(QUERY(Entregas_BD!D:AL,""select AL where D='""&amp;D347&amp;""'"",1))"),0.0)</f>
        <v>0</v>
      </c>
      <c r="Y347" s="19">
        <f>IFERROR(__xludf.DUMMYFUNCTION("SUM(QUERY(Entregas_BD!D:AL,""select AK where D='""&amp;D347&amp;""'"",1))"),0.0)</f>
        <v>0</v>
      </c>
      <c r="Z347" s="19">
        <v>-400.0</v>
      </c>
      <c r="AA347" s="19">
        <v>0.0</v>
      </c>
      <c r="AB347" s="19">
        <v>0.0</v>
      </c>
      <c r="AC347" s="19">
        <v>-100.0</v>
      </c>
      <c r="AD347" s="19">
        <v>0.0</v>
      </c>
      <c r="AE347" s="19">
        <v>0.0</v>
      </c>
      <c r="AF347" s="22"/>
      <c r="AG347" s="24">
        <f>IFERROR(__xludf.DUMMYFUNCTION("SUM(QUERY(Entregas_BD!D:W,""select U where D='""&amp;D347&amp;""'"",1))"),0.0)</f>
        <v>0</v>
      </c>
      <c r="AH347" s="24">
        <f>IFERROR(__xludf.DUMMYFUNCTION("SUM(QUERY(Entregas_BD!D:W,""select S where D='""&amp;D347&amp;""'"",1))"),0.0)</f>
        <v>0</v>
      </c>
      <c r="AI347" s="24">
        <f>IFERROR(__xludf.DUMMYFUNCTION("SUM(QUERY(Entregas_BD!D:W,""select T where D='""&amp;D347&amp;""'"",1))"),0.0)</f>
        <v>0</v>
      </c>
    </row>
    <row r="348" ht="19.5" customHeight="1">
      <c r="A348" s="63"/>
      <c r="B348" s="8"/>
      <c r="C348" s="9">
        <v>347.0</v>
      </c>
      <c r="D348" s="10" t="s">
        <v>761</v>
      </c>
      <c r="E348" s="10" t="s">
        <v>479</v>
      </c>
      <c r="F348" s="10" t="s">
        <v>45</v>
      </c>
      <c r="G348" s="10" t="s">
        <v>616</v>
      </c>
      <c r="H348" s="12" t="s">
        <v>617</v>
      </c>
      <c r="I348" s="11" t="s">
        <v>41</v>
      </c>
      <c r="J348" s="12"/>
      <c r="K348" s="12"/>
      <c r="L348" s="13"/>
      <c r="M348" s="28"/>
      <c r="N348" s="9">
        <f>IFERROR(__xludf.DUMMYFUNCTION("SUM(QUERY(Entregas_BD!D:L,""select G where D='""&amp;D348&amp;""'"",1))"),0.0)</f>
        <v>0</v>
      </c>
      <c r="O348" s="9">
        <f>IFERROR(__xludf.DUMMYFUNCTION("SUM(QUERY(Entregas_BD!D:L,""select H where D='""&amp;D348&amp;""'"",1))"),0.0)</f>
        <v>0</v>
      </c>
      <c r="P348" s="9">
        <f>IFERROR(__xludf.DUMMYFUNCTION("SUM(QUERY(Entregas_BD!D:L,""select I where D='""&amp;D348&amp;""'"",1))"),0.0)</f>
        <v>0</v>
      </c>
      <c r="Q348" s="9">
        <f>IFERROR(__xludf.DUMMYFUNCTION("SUM(QUERY(Entregas_BD!D:L,""select J where D='""&amp;D348&amp;""'"",1))"),0.0)</f>
        <v>0</v>
      </c>
      <c r="R348" s="15">
        <f>IFERROR(__xludf.DUMMYFUNCTION("SUM(QUERY(Entregas_BD!D:L,""select K where D='""&amp;D348&amp;""'"",1))"),0.0)</f>
        <v>0</v>
      </c>
      <c r="S348" s="15">
        <f>IFERROR(__xludf.DUMMYFUNCTION("SUM(QUERY(Entregas_BD!D:L,""select L where D='""&amp;D348&amp;""'"",1))"),0.0)</f>
        <v>0</v>
      </c>
      <c r="T348" s="9">
        <f>IFERROR(__xludf.DUMMYFUNCTION("SUM(QUERY(Entregas_BD!D:AL,""select AG where D='""&amp;D348&amp;""'"",1))"),0.0)</f>
        <v>0</v>
      </c>
      <c r="U348" s="9">
        <f>IFERROR(__xludf.DUMMYFUNCTION("SUM(QUERY(Entregas_BD!D:AL,""select AH where D='""&amp;D348&amp;""'"",1))"),0.0)</f>
        <v>0</v>
      </c>
      <c r="V348" s="9">
        <f>IFERROR(__xludf.DUMMYFUNCTION("SUM(QUERY(Entregas_BD!D:AL,""select AI where D='""&amp;D348&amp;""'"",1))"),0.0)</f>
        <v>0</v>
      </c>
      <c r="W348" s="9">
        <f>IFERROR(__xludf.DUMMYFUNCTION("SUM(QUERY(Entregas_BD!D:AL,""select AJ where D='""&amp;D348&amp;""'"",1))"),0.0)</f>
        <v>0</v>
      </c>
      <c r="X348" s="9">
        <f>IFERROR(__xludf.DUMMYFUNCTION("SUM(QUERY(Entregas_BD!D:AL,""select AL where D='""&amp;D348&amp;""'"",1))"),0.0)</f>
        <v>0</v>
      </c>
      <c r="Y348" s="9">
        <f>IFERROR(__xludf.DUMMYFUNCTION("SUM(QUERY(Entregas_BD!D:AL,""select AK where D='""&amp;D348&amp;""'"",1))"),0.0)</f>
        <v>0</v>
      </c>
      <c r="Z348" s="9">
        <v>0.0</v>
      </c>
      <c r="AA348" s="9">
        <v>0.0</v>
      </c>
      <c r="AB348" s="9">
        <v>0.0</v>
      </c>
      <c r="AC348" s="9">
        <v>0.0</v>
      </c>
      <c r="AD348" s="9">
        <v>0.0</v>
      </c>
      <c r="AE348" s="9">
        <v>0.0</v>
      </c>
      <c r="AF348" s="28"/>
      <c r="AG348" s="15">
        <f>IFERROR(__xludf.DUMMYFUNCTION("SUM(QUERY(Entregas_BD!D:W,""select U where D='""&amp;D348&amp;""'"",1))"),0.0)</f>
        <v>0</v>
      </c>
      <c r="AH348" s="15">
        <f>IFERROR(__xludf.DUMMYFUNCTION("SUM(QUERY(Entregas_BD!D:W,""select S where D='""&amp;D348&amp;""'"",1))"),0.0)</f>
        <v>0</v>
      </c>
      <c r="AI348" s="15">
        <f>IFERROR(__xludf.DUMMYFUNCTION("SUM(QUERY(Entregas_BD!D:W,""select T where D='""&amp;D348&amp;""'"",1))"),0.0)</f>
        <v>0</v>
      </c>
    </row>
    <row r="349" ht="19.5" customHeight="1">
      <c r="A349" s="64"/>
      <c r="B349" s="32"/>
      <c r="C349" s="19">
        <v>348.0</v>
      </c>
      <c r="D349" s="20" t="s">
        <v>821</v>
      </c>
      <c r="E349" s="20" t="s">
        <v>72</v>
      </c>
      <c r="F349" s="20" t="s">
        <v>45</v>
      </c>
      <c r="G349" s="20" t="s">
        <v>149</v>
      </c>
      <c r="H349" s="34" t="s">
        <v>632</v>
      </c>
      <c r="I349" s="21" t="s">
        <v>41</v>
      </c>
      <c r="J349" s="34"/>
      <c r="K349" s="34"/>
      <c r="L349" s="42"/>
      <c r="M349" s="22"/>
      <c r="N349" s="19">
        <f>IFERROR(__xludf.DUMMYFUNCTION("SUM(QUERY(Entregas_BD!D:L,""select G where D='""&amp;D349&amp;""'"",1))"),0.0)</f>
        <v>0</v>
      </c>
      <c r="O349" s="19">
        <f>IFERROR(__xludf.DUMMYFUNCTION("SUM(QUERY(Entregas_BD!D:L,""select H where D='""&amp;D349&amp;""'"",1))"),0.0)</f>
        <v>0</v>
      </c>
      <c r="P349" s="19">
        <f>IFERROR(__xludf.DUMMYFUNCTION("SUM(QUERY(Entregas_BD!D:L,""select I where D='""&amp;D349&amp;""'"",1))"),0.0)</f>
        <v>0</v>
      </c>
      <c r="Q349" s="19">
        <f>IFERROR(__xludf.DUMMYFUNCTION("SUM(QUERY(Entregas_BD!D:L,""select J where D='""&amp;D349&amp;""'"",1))"),0.0)</f>
        <v>0</v>
      </c>
      <c r="R349" s="24">
        <f>IFERROR(__xludf.DUMMYFUNCTION("SUM(QUERY(Entregas_BD!D:L,""select K where D='""&amp;D349&amp;""'"",1))"),0.0)</f>
        <v>0</v>
      </c>
      <c r="S349" s="24">
        <f>IFERROR(__xludf.DUMMYFUNCTION("SUM(QUERY(Entregas_BD!D:L,""select L where D='""&amp;D349&amp;""'"",1))"),0.0)</f>
        <v>0</v>
      </c>
      <c r="T349" s="19">
        <f>IFERROR(__xludf.DUMMYFUNCTION("SUM(QUERY(Entregas_BD!D:AL,""select AG where D='""&amp;D349&amp;""'"",1))"),50.0)</f>
        <v>50</v>
      </c>
      <c r="U349" s="19">
        <f>IFERROR(__xludf.DUMMYFUNCTION("SUM(QUERY(Entregas_BD!D:AL,""select AH where D='""&amp;D349&amp;""'"",1))"),0.0)</f>
        <v>0</v>
      </c>
      <c r="V349" s="19">
        <f>IFERROR(__xludf.DUMMYFUNCTION("SUM(QUERY(Entregas_BD!D:AL,""select AI where D='""&amp;D349&amp;""'"",1))"),0.0)</f>
        <v>0</v>
      </c>
      <c r="W349" s="19">
        <f>IFERROR(__xludf.DUMMYFUNCTION("SUM(QUERY(Entregas_BD!D:AL,""select AJ where D='""&amp;D349&amp;""'"",1))"),0.0)</f>
        <v>0</v>
      </c>
      <c r="X349" s="19">
        <f>IFERROR(__xludf.DUMMYFUNCTION("SUM(QUERY(Entregas_BD!D:AL,""select AL where D='""&amp;D349&amp;""'"",1))"),0.0)</f>
        <v>0</v>
      </c>
      <c r="Y349" s="19">
        <f>IFERROR(__xludf.DUMMYFUNCTION("SUM(QUERY(Entregas_BD!D:AL,""select AK where D='""&amp;D349&amp;""'"",1))"),0.0)</f>
        <v>0</v>
      </c>
      <c r="Z349" s="19">
        <v>-50.0</v>
      </c>
      <c r="AA349" s="19">
        <v>0.0</v>
      </c>
      <c r="AB349" s="19">
        <v>0.0</v>
      </c>
      <c r="AC349" s="19">
        <v>0.0</v>
      </c>
      <c r="AD349" s="19">
        <v>0.0</v>
      </c>
      <c r="AE349" s="19">
        <v>0.0</v>
      </c>
      <c r="AF349" s="22"/>
      <c r="AG349" s="24">
        <f>IFERROR(__xludf.DUMMYFUNCTION("SUM(QUERY(Entregas_BD!D:W,""select U where D='""&amp;D349&amp;""'"",1))"),0.0)</f>
        <v>0</v>
      </c>
      <c r="AH349" s="24">
        <f>IFERROR(__xludf.DUMMYFUNCTION("SUM(QUERY(Entregas_BD!D:W,""select S where D='""&amp;D349&amp;""'"",1))"),0.0)</f>
        <v>0</v>
      </c>
      <c r="AI349" s="24">
        <f>IFERROR(__xludf.DUMMYFUNCTION("SUM(QUERY(Entregas_BD!D:W,""select T where D='""&amp;D349&amp;""'"",1))"),0.0)</f>
        <v>0</v>
      </c>
    </row>
    <row r="350" ht="19.5" customHeight="1">
      <c r="A350" s="63"/>
      <c r="B350" s="8"/>
      <c r="C350" s="9">
        <v>349.0</v>
      </c>
      <c r="D350" s="10" t="s">
        <v>822</v>
      </c>
      <c r="E350" s="10" t="s">
        <v>58</v>
      </c>
      <c r="F350" s="10" t="s">
        <v>45</v>
      </c>
      <c r="G350" s="10" t="s">
        <v>823</v>
      </c>
      <c r="H350" s="12" t="s">
        <v>824</v>
      </c>
      <c r="I350" s="11" t="s">
        <v>41</v>
      </c>
      <c r="J350" s="12"/>
      <c r="K350" s="12"/>
      <c r="L350" s="13"/>
      <c r="M350" s="28"/>
      <c r="N350" s="9">
        <f>IFERROR(__xludf.DUMMYFUNCTION("SUM(QUERY(Entregas_BD!D:L,""select G where D='""&amp;D350&amp;""'"",1))"),0.0)</f>
        <v>0</v>
      </c>
      <c r="O350" s="9">
        <f>IFERROR(__xludf.DUMMYFUNCTION("SUM(QUERY(Entregas_BD!D:L,""select H where D='""&amp;D350&amp;""'"",1))"),0.0)</f>
        <v>0</v>
      </c>
      <c r="P350" s="9">
        <f>IFERROR(__xludf.DUMMYFUNCTION("SUM(QUERY(Entregas_BD!D:L,""select I where D='""&amp;D350&amp;""'"",1))"),0.0)</f>
        <v>0</v>
      </c>
      <c r="Q350" s="9">
        <f>IFERROR(__xludf.DUMMYFUNCTION("SUM(QUERY(Entregas_BD!D:L,""select J where D='""&amp;D350&amp;""'"",1))"),0.0)</f>
        <v>0</v>
      </c>
      <c r="R350" s="15">
        <f>IFERROR(__xludf.DUMMYFUNCTION("SUM(QUERY(Entregas_BD!D:L,""select K where D='""&amp;D350&amp;""'"",1))"),0.0)</f>
        <v>0</v>
      </c>
      <c r="S350" s="15">
        <f>IFERROR(__xludf.DUMMYFUNCTION("SUM(QUERY(Entregas_BD!D:L,""select L where D='""&amp;D350&amp;""'"",1))"),0.0)</f>
        <v>0</v>
      </c>
      <c r="T350" s="9">
        <f>IFERROR(__xludf.DUMMYFUNCTION("SUM(QUERY(Entregas_BD!D:AL,""select AG where D='""&amp;D350&amp;""'"",1))"),0.0)</f>
        <v>0</v>
      </c>
      <c r="U350" s="9">
        <f>IFERROR(__xludf.DUMMYFUNCTION("SUM(QUERY(Entregas_BD!D:AL,""select AH where D='""&amp;D350&amp;""'"",1))"),0.0)</f>
        <v>0</v>
      </c>
      <c r="V350" s="9">
        <f>IFERROR(__xludf.DUMMYFUNCTION("SUM(QUERY(Entregas_BD!D:AL,""select AI where D='""&amp;D350&amp;""'"",1))"),0.0)</f>
        <v>0</v>
      </c>
      <c r="W350" s="9">
        <f>IFERROR(__xludf.DUMMYFUNCTION("SUM(QUERY(Entregas_BD!D:AL,""select AJ where D='""&amp;D350&amp;""'"",1))"),0.0)</f>
        <v>0</v>
      </c>
      <c r="X350" s="9">
        <f>IFERROR(__xludf.DUMMYFUNCTION("SUM(QUERY(Entregas_BD!D:AL,""select AL where D='""&amp;D350&amp;""'"",1))"),0.0)</f>
        <v>0</v>
      </c>
      <c r="Y350" s="9">
        <f>IFERROR(__xludf.DUMMYFUNCTION("SUM(QUERY(Entregas_BD!D:AL,""select AK where D='""&amp;D350&amp;""'"",1))"),0.0)</f>
        <v>0</v>
      </c>
      <c r="Z350" s="9">
        <v>0.0</v>
      </c>
      <c r="AA350" s="9">
        <v>0.0</v>
      </c>
      <c r="AB350" s="9">
        <v>0.0</v>
      </c>
      <c r="AC350" s="9">
        <v>0.0</v>
      </c>
      <c r="AD350" s="9">
        <v>0.0</v>
      </c>
      <c r="AE350" s="9">
        <v>0.0</v>
      </c>
      <c r="AF350" s="28"/>
      <c r="AG350" s="15">
        <f>IFERROR(__xludf.DUMMYFUNCTION("SUM(QUERY(Entregas_BD!D:W,""select U where D='""&amp;D350&amp;""'"",1))"),0.0)</f>
        <v>0</v>
      </c>
      <c r="AH350" s="15">
        <f>IFERROR(__xludf.DUMMYFUNCTION("SUM(QUERY(Entregas_BD!D:W,""select S where D='""&amp;D350&amp;""'"",1))"),0.0)</f>
        <v>0</v>
      </c>
      <c r="AI350" s="15">
        <f>IFERROR(__xludf.DUMMYFUNCTION("SUM(QUERY(Entregas_BD!D:W,""select T where D='""&amp;D350&amp;""'"",1))"),0.0)</f>
        <v>0</v>
      </c>
    </row>
    <row r="351" ht="19.5" customHeight="1">
      <c r="A351" s="64"/>
      <c r="B351" s="32"/>
      <c r="C351" s="19">
        <v>350.0</v>
      </c>
      <c r="D351" s="44" t="s">
        <v>825</v>
      </c>
      <c r="E351" s="20" t="s">
        <v>58</v>
      </c>
      <c r="F351" s="20" t="s">
        <v>45</v>
      </c>
      <c r="G351" s="20" t="s">
        <v>548</v>
      </c>
      <c r="H351" s="34" t="s">
        <v>826</v>
      </c>
      <c r="I351" s="21" t="s">
        <v>47</v>
      </c>
      <c r="J351" s="34"/>
      <c r="K351" s="34"/>
      <c r="L351" s="42"/>
      <c r="M351" s="22"/>
      <c r="N351" s="19">
        <f>IFERROR(__xludf.DUMMYFUNCTION("SUM(QUERY(Entregas_BD!D:L,""select G where D='""&amp;D351&amp;""'"",1))"),0.0)</f>
        <v>0</v>
      </c>
      <c r="O351" s="19">
        <f>IFERROR(__xludf.DUMMYFUNCTION("SUM(QUERY(Entregas_BD!D:L,""select H where D='""&amp;D351&amp;""'"",1))"),0.0)</f>
        <v>0</v>
      </c>
      <c r="P351" s="19">
        <f>IFERROR(__xludf.DUMMYFUNCTION("SUM(QUERY(Entregas_BD!D:L,""select I where D='""&amp;D351&amp;""'"",1))"),0.0)</f>
        <v>0</v>
      </c>
      <c r="Q351" s="19">
        <f>IFERROR(__xludf.DUMMYFUNCTION("SUM(QUERY(Entregas_BD!D:L,""select J where D='""&amp;D351&amp;""'"",1))"),0.0)</f>
        <v>0</v>
      </c>
      <c r="R351" s="24">
        <f>IFERROR(__xludf.DUMMYFUNCTION("SUM(QUERY(Entregas_BD!D:L,""select K where D='""&amp;D351&amp;""'"",1))"),0.0)</f>
        <v>0</v>
      </c>
      <c r="S351" s="24">
        <f>IFERROR(__xludf.DUMMYFUNCTION("SUM(QUERY(Entregas_BD!D:L,""select L where D='""&amp;D351&amp;""'"",1))"),0.0)</f>
        <v>0</v>
      </c>
      <c r="T351" s="19">
        <f>IFERROR(__xludf.DUMMYFUNCTION("SUM(QUERY(Entregas_BD!D:AL,""select AG where D='""&amp;D351&amp;""'"",1))"),0.0)</f>
        <v>0</v>
      </c>
      <c r="U351" s="19">
        <f>IFERROR(__xludf.DUMMYFUNCTION("SUM(QUERY(Entregas_BD!D:AL,""select AH where D='""&amp;D351&amp;""'"",1))"),0.0)</f>
        <v>0</v>
      </c>
      <c r="V351" s="19">
        <f>IFERROR(__xludf.DUMMYFUNCTION("SUM(QUERY(Entregas_BD!D:AL,""select AI where D='""&amp;D351&amp;""'"",1))"),0.0)</f>
        <v>0</v>
      </c>
      <c r="W351" s="19">
        <f>IFERROR(__xludf.DUMMYFUNCTION("SUM(QUERY(Entregas_BD!D:AL,""select AJ where D='""&amp;D351&amp;""'"",1))"),0.0)</f>
        <v>0</v>
      </c>
      <c r="X351" s="19">
        <f>IFERROR(__xludf.DUMMYFUNCTION("SUM(QUERY(Entregas_BD!D:AL,""select AL where D='""&amp;D351&amp;""'"",1))"),0.0)</f>
        <v>0</v>
      </c>
      <c r="Y351" s="19">
        <f>IFERROR(__xludf.DUMMYFUNCTION("SUM(QUERY(Entregas_BD!D:AL,""select AK where D='""&amp;D351&amp;""'"",1))"),0.0)</f>
        <v>0</v>
      </c>
      <c r="Z351" s="19">
        <v>0.0</v>
      </c>
      <c r="AA351" s="19">
        <v>0.0</v>
      </c>
      <c r="AB351" s="19">
        <v>0.0</v>
      </c>
      <c r="AC351" s="19">
        <v>0.0</v>
      </c>
      <c r="AD351" s="19">
        <v>0.0</v>
      </c>
      <c r="AE351" s="19">
        <v>0.0</v>
      </c>
      <c r="AF351" s="22"/>
      <c r="AG351" s="24">
        <f>IFERROR(__xludf.DUMMYFUNCTION("SUM(QUERY(Entregas_BD!D:W,""select U where D='""&amp;D351&amp;""'"",1))"),0.0)</f>
        <v>0</v>
      </c>
      <c r="AH351" s="24">
        <f>IFERROR(__xludf.DUMMYFUNCTION("SUM(QUERY(Entregas_BD!D:W,""select S where D='""&amp;D351&amp;""'"",1))"),0.0)</f>
        <v>0</v>
      </c>
      <c r="AI351" s="24">
        <f>IFERROR(__xludf.DUMMYFUNCTION("SUM(QUERY(Entregas_BD!D:W,""select T where D='""&amp;D351&amp;""'"",1))"),0.0)</f>
        <v>0</v>
      </c>
    </row>
    <row r="352" ht="19.5" customHeight="1">
      <c r="A352" s="63"/>
      <c r="B352" s="8"/>
      <c r="C352" s="9">
        <v>351.0</v>
      </c>
      <c r="D352" s="10" t="s">
        <v>827</v>
      </c>
      <c r="E352" s="10" t="s">
        <v>153</v>
      </c>
      <c r="F352" s="10" t="s">
        <v>828</v>
      </c>
      <c r="G352" s="10" t="s">
        <v>829</v>
      </c>
      <c r="H352" s="12" t="s">
        <v>830</v>
      </c>
      <c r="I352" s="11" t="s">
        <v>47</v>
      </c>
      <c r="J352" s="60"/>
      <c r="K352" s="12"/>
      <c r="L352" s="13"/>
      <c r="M352" s="28"/>
      <c r="N352" s="9">
        <f>IFERROR(__xludf.DUMMYFUNCTION("SUM(QUERY(Entregas_BD!D:L,""select G where D='""&amp;D352&amp;""'"",1))"),0.0)</f>
        <v>0</v>
      </c>
      <c r="O352" s="9">
        <f>IFERROR(__xludf.DUMMYFUNCTION("SUM(QUERY(Entregas_BD!D:L,""select H where D='""&amp;D352&amp;""'"",1))"),0.0)</f>
        <v>0</v>
      </c>
      <c r="P352" s="9">
        <f>IFERROR(__xludf.DUMMYFUNCTION("SUM(QUERY(Entregas_BD!D:L,""select I where D='""&amp;D352&amp;""'"",1))"),0.0)</f>
        <v>0</v>
      </c>
      <c r="Q352" s="9">
        <f>IFERROR(__xludf.DUMMYFUNCTION("SUM(QUERY(Entregas_BD!D:L,""select J where D='""&amp;D352&amp;""'"",1))"),0.0)</f>
        <v>0</v>
      </c>
      <c r="R352" s="15">
        <f>IFERROR(__xludf.DUMMYFUNCTION("SUM(QUERY(Entregas_BD!D:L,""select K where D='""&amp;D352&amp;""'"",1))"),0.0)</f>
        <v>0</v>
      </c>
      <c r="S352" s="15">
        <f>IFERROR(__xludf.DUMMYFUNCTION("SUM(QUERY(Entregas_BD!D:L,""select L where D='""&amp;D352&amp;""'"",1))"),0.0)</f>
        <v>0</v>
      </c>
      <c r="T352" s="9">
        <f>IFERROR(__xludf.DUMMYFUNCTION("SUM(QUERY(Entregas_BD!D:AL,""select AG where D='""&amp;D352&amp;""'"",1))"),0.0)</f>
        <v>0</v>
      </c>
      <c r="U352" s="9">
        <f>IFERROR(__xludf.DUMMYFUNCTION("SUM(QUERY(Entregas_BD!D:AL,""select AH where D='""&amp;D352&amp;""'"",1))"),0.0)</f>
        <v>0</v>
      </c>
      <c r="V352" s="9">
        <f>IFERROR(__xludf.DUMMYFUNCTION("SUM(QUERY(Entregas_BD!D:AL,""select AI where D='""&amp;D352&amp;""'"",1))"),0.0)</f>
        <v>0</v>
      </c>
      <c r="W352" s="9">
        <f>IFERROR(__xludf.DUMMYFUNCTION("SUM(QUERY(Entregas_BD!D:AL,""select AJ where D='""&amp;D352&amp;""'"",1))"),0.0)</f>
        <v>0</v>
      </c>
      <c r="X352" s="9">
        <f>IFERROR(__xludf.DUMMYFUNCTION("SUM(QUERY(Entregas_BD!D:AL,""select AL where D='""&amp;D352&amp;""'"",1))"),0.0)</f>
        <v>0</v>
      </c>
      <c r="Y352" s="9">
        <f>IFERROR(__xludf.DUMMYFUNCTION("SUM(QUERY(Entregas_BD!D:AL,""select AK where D='""&amp;D352&amp;""'"",1))"),0.0)</f>
        <v>0</v>
      </c>
      <c r="Z352" s="9">
        <v>0.0</v>
      </c>
      <c r="AA352" s="9">
        <v>0.0</v>
      </c>
      <c r="AB352" s="9">
        <v>0.0</v>
      </c>
      <c r="AC352" s="9">
        <v>0.0</v>
      </c>
      <c r="AD352" s="9">
        <v>0.0</v>
      </c>
      <c r="AE352" s="9">
        <v>0.0</v>
      </c>
      <c r="AF352" s="28"/>
      <c r="AG352" s="15">
        <f>IFERROR(__xludf.DUMMYFUNCTION("SUM(QUERY(Entregas_BD!D:W,""select U where D='""&amp;D352&amp;""'"",1))"),0.0)</f>
        <v>0</v>
      </c>
      <c r="AH352" s="15">
        <f>IFERROR(__xludf.DUMMYFUNCTION("SUM(QUERY(Entregas_BD!D:W,""select S where D='""&amp;D352&amp;""'"",1))"),0.0)</f>
        <v>0</v>
      </c>
      <c r="AI352" s="15">
        <f>IFERROR(__xludf.DUMMYFUNCTION("SUM(QUERY(Entregas_BD!D:W,""select T where D='""&amp;D352&amp;""'"",1))"),0.0)</f>
        <v>0</v>
      </c>
    </row>
    <row r="353" ht="19.5" customHeight="1">
      <c r="A353" s="64"/>
      <c r="B353" s="32"/>
      <c r="C353" s="19">
        <v>352.0</v>
      </c>
      <c r="D353" s="20" t="s">
        <v>831</v>
      </c>
      <c r="E353" s="20" t="s">
        <v>197</v>
      </c>
      <c r="F353" s="20" t="s">
        <v>494</v>
      </c>
      <c r="G353" s="20" t="s">
        <v>832</v>
      </c>
      <c r="H353" s="34" t="s">
        <v>622</v>
      </c>
      <c r="I353" s="21" t="s">
        <v>41</v>
      </c>
      <c r="J353" s="61"/>
      <c r="K353" s="34"/>
      <c r="L353" s="42"/>
      <c r="M353" s="22"/>
      <c r="N353" s="19">
        <f>IFERROR(__xludf.DUMMYFUNCTION("SUM(QUERY(Entregas_BD!D:L,""select G where D='""&amp;D353&amp;""'"",1))"),0.0)</f>
        <v>0</v>
      </c>
      <c r="O353" s="19">
        <f>IFERROR(__xludf.DUMMYFUNCTION("SUM(QUERY(Entregas_BD!D:L,""select H where D='""&amp;D353&amp;""'"",1))"),0.0)</f>
        <v>0</v>
      </c>
      <c r="P353" s="19">
        <f>IFERROR(__xludf.DUMMYFUNCTION("SUM(QUERY(Entregas_BD!D:L,""select I where D='""&amp;D353&amp;""'"",1))"),0.0)</f>
        <v>0</v>
      </c>
      <c r="Q353" s="19">
        <f>IFERROR(__xludf.DUMMYFUNCTION("SUM(QUERY(Entregas_BD!D:L,""select J where D='""&amp;D353&amp;""'"",1))"),0.0)</f>
        <v>0</v>
      </c>
      <c r="R353" s="24">
        <f>IFERROR(__xludf.DUMMYFUNCTION("SUM(QUERY(Entregas_BD!D:L,""select K where D='""&amp;D353&amp;""'"",1))"),0.0)</f>
        <v>0</v>
      </c>
      <c r="S353" s="24">
        <f>IFERROR(__xludf.DUMMYFUNCTION("SUM(QUERY(Entregas_BD!D:L,""select L where D='""&amp;D353&amp;""'"",1))"),0.0)</f>
        <v>0</v>
      </c>
      <c r="T353" s="19">
        <f>IFERROR(__xludf.DUMMYFUNCTION("SUM(QUERY(Entregas_BD!D:AL,""select AG where D='""&amp;D353&amp;""'"",1))"),50.0)</f>
        <v>50</v>
      </c>
      <c r="U353" s="19">
        <f>IFERROR(__xludf.DUMMYFUNCTION("SUM(QUERY(Entregas_BD!D:AL,""select AH where D='""&amp;D353&amp;""'"",1))"),0.0)</f>
        <v>0</v>
      </c>
      <c r="V353" s="19">
        <f>IFERROR(__xludf.DUMMYFUNCTION("SUM(QUERY(Entregas_BD!D:AL,""select AI where D='""&amp;D353&amp;""'"",1))"),0.0)</f>
        <v>0</v>
      </c>
      <c r="W353" s="19">
        <f>IFERROR(__xludf.DUMMYFUNCTION("SUM(QUERY(Entregas_BD!D:AL,""select AJ where D='""&amp;D353&amp;""'"",1))"),0.0)</f>
        <v>0</v>
      </c>
      <c r="X353" s="19">
        <f>IFERROR(__xludf.DUMMYFUNCTION("SUM(QUERY(Entregas_BD!D:AL,""select AL where D='""&amp;D353&amp;""'"",1))"),0.0)</f>
        <v>0</v>
      </c>
      <c r="Y353" s="19">
        <f>IFERROR(__xludf.DUMMYFUNCTION("SUM(QUERY(Entregas_BD!D:AL,""select AK where D='""&amp;D353&amp;""'"",1))"),0.0)</f>
        <v>0</v>
      </c>
      <c r="Z353" s="19">
        <v>-50.0</v>
      </c>
      <c r="AA353" s="19">
        <v>0.0</v>
      </c>
      <c r="AB353" s="19">
        <v>0.0</v>
      </c>
      <c r="AC353" s="19">
        <v>0.0</v>
      </c>
      <c r="AD353" s="19">
        <v>0.0</v>
      </c>
      <c r="AE353" s="19">
        <v>0.0</v>
      </c>
      <c r="AF353" s="22"/>
      <c r="AG353" s="24">
        <f>IFERROR(__xludf.DUMMYFUNCTION("SUM(QUERY(Entregas_BD!D:W,""select U where D='""&amp;D353&amp;""'"",1))"),0.0)</f>
        <v>0</v>
      </c>
      <c r="AH353" s="24">
        <f>IFERROR(__xludf.DUMMYFUNCTION("SUM(QUERY(Entregas_BD!D:W,""select S where D='""&amp;D353&amp;""'"",1))"),0.0)</f>
        <v>0</v>
      </c>
      <c r="AI353" s="24">
        <f>IFERROR(__xludf.DUMMYFUNCTION("SUM(QUERY(Entregas_BD!D:W,""select T where D='""&amp;D353&amp;""'"",1))"),0.0)</f>
        <v>0</v>
      </c>
    </row>
    <row r="354" ht="19.5" customHeight="1">
      <c r="A354" s="63"/>
      <c r="B354" s="8"/>
      <c r="C354" s="9">
        <v>353.0</v>
      </c>
      <c r="D354" s="10" t="s">
        <v>833</v>
      </c>
      <c r="E354" s="10" t="s">
        <v>197</v>
      </c>
      <c r="F354" s="10" t="s">
        <v>243</v>
      </c>
      <c r="G354" s="10" t="s">
        <v>244</v>
      </c>
      <c r="H354" s="12" t="s">
        <v>632</v>
      </c>
      <c r="I354" s="11" t="s">
        <v>41</v>
      </c>
      <c r="J354" s="12"/>
      <c r="K354" s="12"/>
      <c r="L354" s="13"/>
      <c r="M354" s="28"/>
      <c r="N354" s="9">
        <f>IFERROR(__xludf.DUMMYFUNCTION("SUM(QUERY(Entregas_BD!D:L,""select G where D='""&amp;D354&amp;""'"",1))"),0.0)</f>
        <v>0</v>
      </c>
      <c r="O354" s="9">
        <f>IFERROR(__xludf.DUMMYFUNCTION("SUM(QUERY(Entregas_BD!D:L,""select H where D='""&amp;D354&amp;""'"",1))"),0.0)</f>
        <v>0</v>
      </c>
      <c r="P354" s="9">
        <f>IFERROR(__xludf.DUMMYFUNCTION("SUM(QUERY(Entregas_BD!D:L,""select I where D='""&amp;D354&amp;""'"",1))"),0.0)</f>
        <v>0</v>
      </c>
      <c r="Q354" s="9">
        <f>IFERROR(__xludf.DUMMYFUNCTION("SUM(QUERY(Entregas_BD!D:L,""select J where D='""&amp;D354&amp;""'"",1))"),0.0)</f>
        <v>0</v>
      </c>
      <c r="R354" s="15">
        <f>IFERROR(__xludf.DUMMYFUNCTION("SUM(QUERY(Entregas_BD!D:L,""select K where D='""&amp;D354&amp;""'"",1))"),0.0)</f>
        <v>0</v>
      </c>
      <c r="S354" s="15">
        <f>IFERROR(__xludf.DUMMYFUNCTION("SUM(QUERY(Entregas_BD!D:L,""select L where D='""&amp;D354&amp;""'"",1))"),0.0)</f>
        <v>0</v>
      </c>
      <c r="T354" s="9">
        <f>IFERROR(__xludf.DUMMYFUNCTION("SUM(QUERY(Entregas_BD!D:AL,""select AG where D='""&amp;D354&amp;""'"",1))"),0.0)</f>
        <v>0</v>
      </c>
      <c r="U354" s="9">
        <f>IFERROR(__xludf.DUMMYFUNCTION("SUM(QUERY(Entregas_BD!D:AL,""select AH where D='""&amp;D354&amp;""'"",1))"),0.0)</f>
        <v>0</v>
      </c>
      <c r="V354" s="9">
        <f>IFERROR(__xludf.DUMMYFUNCTION("SUM(QUERY(Entregas_BD!D:AL,""select AI where D='""&amp;D354&amp;""'"",1))"),0.0)</f>
        <v>0</v>
      </c>
      <c r="W354" s="9">
        <f>IFERROR(__xludf.DUMMYFUNCTION("SUM(QUERY(Entregas_BD!D:AL,""select AJ where D='""&amp;D354&amp;""'"",1))"),0.0)</f>
        <v>0</v>
      </c>
      <c r="X354" s="9">
        <f>IFERROR(__xludf.DUMMYFUNCTION("SUM(QUERY(Entregas_BD!D:AL,""select AL where D='""&amp;D354&amp;""'"",1))"),0.0)</f>
        <v>0</v>
      </c>
      <c r="Y354" s="9">
        <f>IFERROR(__xludf.DUMMYFUNCTION("SUM(QUERY(Entregas_BD!D:AL,""select AK where D='""&amp;D354&amp;""'"",1))"),0.0)</f>
        <v>0</v>
      </c>
      <c r="Z354" s="9">
        <v>0.0</v>
      </c>
      <c r="AA354" s="9">
        <v>0.0</v>
      </c>
      <c r="AB354" s="9">
        <v>0.0</v>
      </c>
      <c r="AC354" s="9">
        <v>0.0</v>
      </c>
      <c r="AD354" s="9">
        <v>0.0</v>
      </c>
      <c r="AE354" s="9">
        <v>0.0</v>
      </c>
      <c r="AF354" s="28"/>
      <c r="AG354" s="15">
        <f>IFERROR(__xludf.DUMMYFUNCTION("SUM(QUERY(Entregas_BD!D:W,""select U where D='""&amp;D354&amp;""'"",1))"),0.0)</f>
        <v>0</v>
      </c>
      <c r="AH354" s="15">
        <f>IFERROR(__xludf.DUMMYFUNCTION("SUM(QUERY(Entregas_BD!D:W,""select S where D='""&amp;D354&amp;""'"",1))"),0.0)</f>
        <v>0</v>
      </c>
      <c r="AI354" s="15">
        <f>IFERROR(__xludf.DUMMYFUNCTION("SUM(QUERY(Entregas_BD!D:W,""select T where D='""&amp;D354&amp;""'"",1))"),0.0)</f>
        <v>0</v>
      </c>
    </row>
    <row r="355" ht="19.5" customHeight="1">
      <c r="A355" s="64"/>
      <c r="B355" s="32"/>
      <c r="C355" s="19">
        <v>354.0</v>
      </c>
      <c r="D355" s="20" t="s">
        <v>834</v>
      </c>
      <c r="E355" s="20" t="s">
        <v>58</v>
      </c>
      <c r="F355" s="20" t="s">
        <v>45</v>
      </c>
      <c r="G355" s="20" t="s">
        <v>835</v>
      </c>
      <c r="H355" s="34" t="s">
        <v>617</v>
      </c>
      <c r="I355" s="21" t="s">
        <v>41</v>
      </c>
      <c r="J355" s="22"/>
      <c r="K355" s="34"/>
      <c r="L355" s="42"/>
      <c r="M355" s="22"/>
      <c r="N355" s="19">
        <f>IFERROR(__xludf.DUMMYFUNCTION("SUM(QUERY(Entregas_BD!D:L,""select G where D='""&amp;D355&amp;""'"",1))"),0.0)</f>
        <v>0</v>
      </c>
      <c r="O355" s="19">
        <f>IFERROR(__xludf.DUMMYFUNCTION("SUM(QUERY(Entregas_BD!D:L,""select H where D='""&amp;D355&amp;""'"",1))"),0.0)</f>
        <v>0</v>
      </c>
      <c r="P355" s="19">
        <f>IFERROR(__xludf.DUMMYFUNCTION("SUM(QUERY(Entregas_BD!D:L,""select I where D='""&amp;D355&amp;""'"",1))"),0.0)</f>
        <v>0</v>
      </c>
      <c r="Q355" s="19">
        <f>IFERROR(__xludf.DUMMYFUNCTION("SUM(QUERY(Entregas_BD!D:L,""select J where D='""&amp;D355&amp;""'"",1))"),0.0)</f>
        <v>0</v>
      </c>
      <c r="R355" s="24">
        <f>IFERROR(__xludf.DUMMYFUNCTION("SUM(QUERY(Entregas_BD!D:L,""select K where D='""&amp;D355&amp;""'"",1))"),0.0)</f>
        <v>0</v>
      </c>
      <c r="S355" s="24">
        <f>IFERROR(__xludf.DUMMYFUNCTION("SUM(QUERY(Entregas_BD!D:L,""select L where D='""&amp;D355&amp;""'"",1))"),0.0)</f>
        <v>0</v>
      </c>
      <c r="T355" s="19">
        <f>IFERROR(__xludf.DUMMYFUNCTION("SUM(QUERY(Entregas_BD!D:AL,""select AG where D='""&amp;D355&amp;""'"",1))"),305.0)</f>
        <v>305</v>
      </c>
      <c r="U355" s="19">
        <f>IFERROR(__xludf.DUMMYFUNCTION("SUM(QUERY(Entregas_BD!D:AL,""select AH where D='""&amp;D355&amp;""'"",1))"),0.0)</f>
        <v>0</v>
      </c>
      <c r="V355" s="19">
        <f>IFERROR(__xludf.DUMMYFUNCTION("SUM(QUERY(Entregas_BD!D:AL,""select AI where D='""&amp;D355&amp;""'"",1))"),0.0)</f>
        <v>0</v>
      </c>
      <c r="W355" s="19">
        <f>IFERROR(__xludf.DUMMYFUNCTION("SUM(QUERY(Entregas_BD!D:AL,""select AJ where D='""&amp;D355&amp;""'"",1))"),0.0)</f>
        <v>0</v>
      </c>
      <c r="X355" s="19">
        <f>IFERROR(__xludf.DUMMYFUNCTION("SUM(QUERY(Entregas_BD!D:AL,""select AL where D='""&amp;D355&amp;""'"",1))"),0.0)</f>
        <v>0</v>
      </c>
      <c r="Y355" s="19">
        <f>IFERROR(__xludf.DUMMYFUNCTION("SUM(QUERY(Entregas_BD!D:AL,""select AK where D='""&amp;D355&amp;""'"",1))"),0.0)</f>
        <v>0</v>
      </c>
      <c r="Z355" s="19">
        <v>-305.0</v>
      </c>
      <c r="AA355" s="19">
        <v>0.0</v>
      </c>
      <c r="AB355" s="19">
        <v>0.0</v>
      </c>
      <c r="AC355" s="19">
        <v>0.0</v>
      </c>
      <c r="AD355" s="19">
        <v>0.0</v>
      </c>
      <c r="AE355" s="19">
        <v>0.0</v>
      </c>
      <c r="AF355" s="22"/>
      <c r="AG355" s="24">
        <f>IFERROR(__xludf.DUMMYFUNCTION("SUM(QUERY(Entregas_BD!D:W,""select U where D='""&amp;D355&amp;""'"",1))"),0.0)</f>
        <v>0</v>
      </c>
      <c r="AH355" s="24">
        <f>IFERROR(__xludf.DUMMYFUNCTION("SUM(QUERY(Entregas_BD!D:W,""select S where D='""&amp;D355&amp;""'"",1))"),0.0)</f>
        <v>0</v>
      </c>
      <c r="AI355" s="24">
        <f>IFERROR(__xludf.DUMMYFUNCTION("SUM(QUERY(Entregas_BD!D:W,""select T where D='""&amp;D355&amp;""'"",1))"),0.0)</f>
        <v>0</v>
      </c>
    </row>
    <row r="356" ht="19.5" customHeight="1">
      <c r="A356" s="73"/>
      <c r="B356" s="27"/>
      <c r="C356" s="9">
        <v>355.0</v>
      </c>
      <c r="D356" s="10" t="s">
        <v>836</v>
      </c>
      <c r="E356" s="10" t="s">
        <v>54</v>
      </c>
      <c r="F356" s="10" t="s">
        <v>45</v>
      </c>
      <c r="G356" s="10" t="s">
        <v>440</v>
      </c>
      <c r="H356" s="12" t="s">
        <v>69</v>
      </c>
      <c r="I356" s="11" t="s">
        <v>41</v>
      </c>
      <c r="J356" s="60"/>
      <c r="K356" s="12"/>
      <c r="L356" s="13"/>
      <c r="M356" s="28"/>
      <c r="N356" s="9">
        <f>IFERROR(__xludf.DUMMYFUNCTION("SUM(QUERY(Entregas_BD!D:L,""select G where D='""&amp;D356&amp;""'"",1))"),0.0)</f>
        <v>0</v>
      </c>
      <c r="O356" s="9">
        <f>IFERROR(__xludf.DUMMYFUNCTION("SUM(QUERY(Entregas_BD!D:L,""select H where D='""&amp;D356&amp;""'"",1))"),0.0)</f>
        <v>0</v>
      </c>
      <c r="P356" s="9">
        <f>IFERROR(__xludf.DUMMYFUNCTION("SUM(QUERY(Entregas_BD!D:L,""select I where D='""&amp;D356&amp;""'"",1))"),0.0)</f>
        <v>0</v>
      </c>
      <c r="Q356" s="9">
        <f>IFERROR(__xludf.DUMMYFUNCTION("SUM(QUERY(Entregas_BD!D:L,""select J where D='""&amp;D356&amp;""'"",1))"),0.0)</f>
        <v>0</v>
      </c>
      <c r="R356" s="15">
        <f>IFERROR(__xludf.DUMMYFUNCTION("SUM(QUERY(Entregas_BD!D:L,""select K where D='""&amp;D356&amp;""'"",1))"),0.0)</f>
        <v>0</v>
      </c>
      <c r="S356" s="15">
        <f>IFERROR(__xludf.DUMMYFUNCTION("SUM(QUERY(Entregas_BD!D:L,""select L where D='""&amp;D356&amp;""'"",1))"),0.0)</f>
        <v>0</v>
      </c>
      <c r="T356" s="9">
        <f>IFERROR(__xludf.DUMMYFUNCTION("SUM(QUERY(Entregas_BD!D:AL,""select AG where D='""&amp;D356&amp;""'"",1))"),50.0)</f>
        <v>50</v>
      </c>
      <c r="U356" s="9">
        <f>IFERROR(__xludf.DUMMYFUNCTION("SUM(QUERY(Entregas_BD!D:AL,""select AH where D='""&amp;D356&amp;""'"",1))"),0.0)</f>
        <v>0</v>
      </c>
      <c r="V356" s="9">
        <f>IFERROR(__xludf.DUMMYFUNCTION("SUM(QUERY(Entregas_BD!D:AL,""select AI where D='""&amp;D356&amp;""'"",1))"),0.0)</f>
        <v>0</v>
      </c>
      <c r="W356" s="9">
        <f>IFERROR(__xludf.DUMMYFUNCTION("SUM(QUERY(Entregas_BD!D:AL,""select AJ where D='""&amp;D356&amp;""'"",1))"),0.0)</f>
        <v>0</v>
      </c>
      <c r="X356" s="9">
        <f>IFERROR(__xludf.DUMMYFUNCTION("SUM(QUERY(Entregas_BD!D:AL,""select AL where D='""&amp;D356&amp;""'"",1))"),0.0)</f>
        <v>0</v>
      </c>
      <c r="Y356" s="9">
        <f>IFERROR(__xludf.DUMMYFUNCTION("SUM(QUERY(Entregas_BD!D:AL,""select AK where D='""&amp;D356&amp;""'"",1))"),0.0)</f>
        <v>0</v>
      </c>
      <c r="Z356" s="9">
        <v>-50.0</v>
      </c>
      <c r="AA356" s="9">
        <v>0.0</v>
      </c>
      <c r="AB356" s="9">
        <v>0.0</v>
      </c>
      <c r="AC356" s="9">
        <v>0.0</v>
      </c>
      <c r="AD356" s="9">
        <v>0.0</v>
      </c>
      <c r="AE356" s="9">
        <v>0.0</v>
      </c>
      <c r="AF356" s="28"/>
      <c r="AG356" s="15">
        <f>IFERROR(__xludf.DUMMYFUNCTION("SUM(QUERY(Entregas_BD!D:W,""select U where D='""&amp;D356&amp;""'"",1))"),0.0)</f>
        <v>0</v>
      </c>
      <c r="AH356" s="15">
        <f>IFERROR(__xludf.DUMMYFUNCTION("SUM(QUERY(Entregas_BD!D:W,""select S where D='""&amp;D356&amp;""'"",1))"),0.0)</f>
        <v>0</v>
      </c>
      <c r="AI356" s="15">
        <f>IFERROR(__xludf.DUMMYFUNCTION("SUM(QUERY(Entregas_BD!D:W,""select T where D='""&amp;D356&amp;""'"",1))"),0.0)</f>
        <v>0</v>
      </c>
    </row>
    <row r="357" ht="19.5" customHeight="1">
      <c r="A357" s="74"/>
      <c r="B357" s="18"/>
      <c r="C357" s="19">
        <v>356.0</v>
      </c>
      <c r="D357" s="20" t="s">
        <v>837</v>
      </c>
      <c r="E357" s="20" t="s">
        <v>838</v>
      </c>
      <c r="F357" s="20" t="s">
        <v>839</v>
      </c>
      <c r="G357" s="20" t="s">
        <v>840</v>
      </c>
      <c r="H357" s="34" t="s">
        <v>841</v>
      </c>
      <c r="I357" s="21" t="s">
        <v>41</v>
      </c>
      <c r="J357" s="34"/>
      <c r="K357" s="34"/>
      <c r="L357" s="42"/>
      <c r="M357" s="22"/>
      <c r="N357" s="19">
        <f>IFERROR(__xludf.DUMMYFUNCTION("SUM(QUERY(Entregas_BD!D:L,""select G where D='""&amp;D357&amp;""'"",1))"),0.0)</f>
        <v>0</v>
      </c>
      <c r="O357" s="19">
        <f>IFERROR(__xludf.DUMMYFUNCTION("SUM(QUERY(Entregas_BD!D:L,""select H where D='""&amp;D357&amp;""'"",1))"),0.0)</f>
        <v>0</v>
      </c>
      <c r="P357" s="19">
        <f>IFERROR(__xludf.DUMMYFUNCTION("SUM(QUERY(Entregas_BD!D:L,""select I where D='""&amp;D357&amp;""'"",1))"),0.0)</f>
        <v>0</v>
      </c>
      <c r="Q357" s="19">
        <f>IFERROR(__xludf.DUMMYFUNCTION("SUM(QUERY(Entregas_BD!D:L,""select J where D='""&amp;D357&amp;""'"",1))"),0.0)</f>
        <v>0</v>
      </c>
      <c r="R357" s="24">
        <f>IFERROR(__xludf.DUMMYFUNCTION("SUM(QUERY(Entregas_BD!D:L,""select K where D='""&amp;D357&amp;""'"",1))"),0.0)</f>
        <v>0</v>
      </c>
      <c r="S357" s="24">
        <f>IFERROR(__xludf.DUMMYFUNCTION("SUM(QUERY(Entregas_BD!D:L,""select L where D='""&amp;D357&amp;""'"",1))"),0.0)</f>
        <v>0</v>
      </c>
      <c r="T357" s="19">
        <f>IFERROR(__xludf.DUMMYFUNCTION("SUM(QUERY(Entregas_BD!D:AL,""select AG where D='""&amp;D357&amp;""'"",1))"),50.0)</f>
        <v>50</v>
      </c>
      <c r="U357" s="19">
        <f>IFERROR(__xludf.DUMMYFUNCTION("SUM(QUERY(Entregas_BD!D:AL,""select AH where D='""&amp;D357&amp;""'"",1))"),0.0)</f>
        <v>0</v>
      </c>
      <c r="V357" s="19">
        <f>IFERROR(__xludf.DUMMYFUNCTION("SUM(QUERY(Entregas_BD!D:AL,""select AI where D='""&amp;D357&amp;""'"",1))"),0.0)</f>
        <v>0</v>
      </c>
      <c r="W357" s="19">
        <f>IFERROR(__xludf.DUMMYFUNCTION("SUM(QUERY(Entregas_BD!D:AL,""select AJ where D='""&amp;D357&amp;""'"",1))"),0.0)</f>
        <v>0</v>
      </c>
      <c r="X357" s="19">
        <f>IFERROR(__xludf.DUMMYFUNCTION("SUM(QUERY(Entregas_BD!D:AL,""select AL where D='""&amp;D357&amp;""'"",1))"),0.0)</f>
        <v>0</v>
      </c>
      <c r="Y357" s="19">
        <f>IFERROR(__xludf.DUMMYFUNCTION("SUM(QUERY(Entregas_BD!D:AL,""select AK where D='""&amp;D357&amp;""'"",1))"),0.0)</f>
        <v>0</v>
      </c>
      <c r="Z357" s="19">
        <v>-50.0</v>
      </c>
      <c r="AA357" s="19">
        <v>0.0</v>
      </c>
      <c r="AB357" s="19">
        <v>0.0</v>
      </c>
      <c r="AC357" s="19">
        <v>0.0</v>
      </c>
      <c r="AD357" s="19">
        <v>0.0</v>
      </c>
      <c r="AE357" s="19">
        <v>0.0</v>
      </c>
      <c r="AF357" s="22"/>
      <c r="AG357" s="24">
        <f>IFERROR(__xludf.DUMMYFUNCTION("SUM(QUERY(Entregas_BD!D:W,""select U where D='""&amp;D357&amp;""'"",1))"),0.0)</f>
        <v>0</v>
      </c>
      <c r="AH357" s="24">
        <f>IFERROR(__xludf.DUMMYFUNCTION("SUM(QUERY(Entregas_BD!D:W,""select S where D='""&amp;D357&amp;""'"",1))"),0.0)</f>
        <v>0</v>
      </c>
      <c r="AI357" s="24">
        <f>IFERROR(__xludf.DUMMYFUNCTION("SUM(QUERY(Entregas_BD!D:W,""select T where D='""&amp;D357&amp;""'"",1))"),0.0)</f>
        <v>0</v>
      </c>
    </row>
    <row r="358" ht="19.5" customHeight="1">
      <c r="A358" s="73"/>
      <c r="B358" s="27"/>
      <c r="C358" s="9">
        <v>357.0</v>
      </c>
      <c r="D358" s="10" t="s">
        <v>842</v>
      </c>
      <c r="E358" s="10" t="s">
        <v>58</v>
      </c>
      <c r="F358" s="10" t="s">
        <v>583</v>
      </c>
      <c r="G358" s="10" t="s">
        <v>843</v>
      </c>
      <c r="H358" s="12" t="s">
        <v>622</v>
      </c>
      <c r="I358" s="11" t="s">
        <v>41</v>
      </c>
      <c r="J358" s="12"/>
      <c r="K358" s="12"/>
      <c r="L358" s="13"/>
      <c r="M358" s="28"/>
      <c r="N358" s="9">
        <f>IFERROR(__xludf.DUMMYFUNCTION("SUM(QUERY(Entregas_BD!D:L,""select G where D='""&amp;D358&amp;""'"",1))"),0.0)</f>
        <v>0</v>
      </c>
      <c r="O358" s="9">
        <f>IFERROR(__xludf.DUMMYFUNCTION("SUM(QUERY(Entregas_BD!D:L,""select H where D='""&amp;D358&amp;""'"",1))"),0.0)</f>
        <v>0</v>
      </c>
      <c r="P358" s="9">
        <f>IFERROR(__xludf.DUMMYFUNCTION("SUM(QUERY(Entregas_BD!D:L,""select I where D='""&amp;D358&amp;""'"",1))"),0.0)</f>
        <v>0</v>
      </c>
      <c r="Q358" s="9">
        <f>IFERROR(__xludf.DUMMYFUNCTION("SUM(QUERY(Entregas_BD!D:L,""select J where D='""&amp;D358&amp;""'"",1))"),0.0)</f>
        <v>0</v>
      </c>
      <c r="R358" s="15">
        <f>IFERROR(__xludf.DUMMYFUNCTION("SUM(QUERY(Entregas_BD!D:L,""select K where D='""&amp;D358&amp;""'"",1))"),0.0)</f>
        <v>0</v>
      </c>
      <c r="S358" s="15">
        <f>IFERROR(__xludf.DUMMYFUNCTION("SUM(QUERY(Entregas_BD!D:L,""select L where D='""&amp;D358&amp;""'"",1))"),0.0)</f>
        <v>0</v>
      </c>
      <c r="T358" s="9">
        <f>IFERROR(__xludf.DUMMYFUNCTION("SUM(QUERY(Entregas_BD!D:AL,""select AG where D='""&amp;D358&amp;""'"",1))"),50.0)</f>
        <v>50</v>
      </c>
      <c r="U358" s="9">
        <f>IFERROR(__xludf.DUMMYFUNCTION("SUM(QUERY(Entregas_BD!D:AL,""select AH where D='""&amp;D358&amp;""'"",1))"),0.0)</f>
        <v>0</v>
      </c>
      <c r="V358" s="9">
        <f>IFERROR(__xludf.DUMMYFUNCTION("SUM(QUERY(Entregas_BD!D:AL,""select AI where D='""&amp;D358&amp;""'"",1))"),0.0)</f>
        <v>0</v>
      </c>
      <c r="W358" s="9">
        <f>IFERROR(__xludf.DUMMYFUNCTION("SUM(QUERY(Entregas_BD!D:AL,""select AJ where D='""&amp;D358&amp;""'"",1))"),0.0)</f>
        <v>0</v>
      </c>
      <c r="X358" s="9">
        <f>IFERROR(__xludf.DUMMYFUNCTION("SUM(QUERY(Entregas_BD!D:AL,""select AL where D='""&amp;D358&amp;""'"",1))"),0.0)</f>
        <v>0</v>
      </c>
      <c r="Y358" s="9">
        <f>IFERROR(__xludf.DUMMYFUNCTION("SUM(QUERY(Entregas_BD!D:AL,""select AK where D='""&amp;D358&amp;""'"",1))"),0.0)</f>
        <v>0</v>
      </c>
      <c r="Z358" s="9">
        <v>-50.0</v>
      </c>
      <c r="AA358" s="9">
        <v>0.0</v>
      </c>
      <c r="AB358" s="9">
        <v>0.0</v>
      </c>
      <c r="AC358" s="9">
        <v>0.0</v>
      </c>
      <c r="AD358" s="9">
        <v>0.0</v>
      </c>
      <c r="AE358" s="9">
        <v>0.0</v>
      </c>
      <c r="AF358" s="28"/>
      <c r="AG358" s="15">
        <f>IFERROR(__xludf.DUMMYFUNCTION("SUM(QUERY(Entregas_BD!D:W,""select U where D='""&amp;D358&amp;""'"",1))"),0.0)</f>
        <v>0</v>
      </c>
      <c r="AH358" s="15">
        <f>IFERROR(__xludf.DUMMYFUNCTION("SUM(QUERY(Entregas_BD!D:W,""select S where D='""&amp;D358&amp;""'"",1))"),0.0)</f>
        <v>0</v>
      </c>
      <c r="AI358" s="15">
        <f>IFERROR(__xludf.DUMMYFUNCTION("SUM(QUERY(Entregas_BD!D:W,""select T where D='""&amp;D358&amp;""'"",1))"),0.0)</f>
        <v>0</v>
      </c>
    </row>
    <row r="359" ht="19.5" customHeight="1">
      <c r="A359" s="74"/>
      <c r="B359" s="18"/>
      <c r="C359" s="19">
        <v>358.0</v>
      </c>
      <c r="D359" s="20" t="s">
        <v>844</v>
      </c>
      <c r="E359" s="20" t="s">
        <v>58</v>
      </c>
      <c r="F359" s="20" t="s">
        <v>45</v>
      </c>
      <c r="G359" s="20" t="s">
        <v>292</v>
      </c>
      <c r="H359" s="34" t="s">
        <v>845</v>
      </c>
      <c r="I359" s="21" t="s">
        <v>41</v>
      </c>
      <c r="J359" s="34"/>
      <c r="K359" s="34"/>
      <c r="L359" s="42"/>
      <c r="M359" s="22"/>
      <c r="N359" s="19">
        <f>IFERROR(__xludf.DUMMYFUNCTION("SUM(QUERY(Entregas_BD!D:L,""select G where D='""&amp;D359&amp;""'"",1))"),0.0)</f>
        <v>0</v>
      </c>
      <c r="O359" s="19">
        <f>IFERROR(__xludf.DUMMYFUNCTION("SUM(QUERY(Entregas_BD!D:L,""select H where D='""&amp;D359&amp;""'"",1))"),0.0)</f>
        <v>0</v>
      </c>
      <c r="P359" s="19">
        <f>IFERROR(__xludf.DUMMYFUNCTION("SUM(QUERY(Entregas_BD!D:L,""select I where D='""&amp;D359&amp;""'"",1))"),0.0)</f>
        <v>0</v>
      </c>
      <c r="Q359" s="19">
        <f>IFERROR(__xludf.DUMMYFUNCTION("SUM(QUERY(Entregas_BD!D:L,""select J where D='""&amp;D359&amp;""'"",1))"),0.0)</f>
        <v>0</v>
      </c>
      <c r="R359" s="24">
        <f>IFERROR(__xludf.DUMMYFUNCTION("SUM(QUERY(Entregas_BD!D:L,""select K where D='""&amp;D359&amp;""'"",1))"),0.0)</f>
        <v>0</v>
      </c>
      <c r="S359" s="24">
        <f>IFERROR(__xludf.DUMMYFUNCTION("SUM(QUERY(Entregas_BD!D:L,""select L where D='""&amp;D359&amp;""'"",1))"),0.0)</f>
        <v>0</v>
      </c>
      <c r="T359" s="19">
        <f>IFERROR(__xludf.DUMMYFUNCTION("SUM(QUERY(Entregas_BD!D:AL,""select AG where D='""&amp;D359&amp;""'"",1))"),0.0)</f>
        <v>0</v>
      </c>
      <c r="U359" s="19">
        <f>IFERROR(__xludf.DUMMYFUNCTION("SUM(QUERY(Entregas_BD!D:AL,""select AH where D='""&amp;D359&amp;""'"",1))"),0.0)</f>
        <v>0</v>
      </c>
      <c r="V359" s="19">
        <f>IFERROR(__xludf.DUMMYFUNCTION("SUM(QUERY(Entregas_BD!D:AL,""select AI where D='""&amp;D359&amp;""'"",1))"),0.0)</f>
        <v>0</v>
      </c>
      <c r="W359" s="19">
        <f>IFERROR(__xludf.DUMMYFUNCTION("SUM(QUERY(Entregas_BD!D:AL,""select AJ where D='""&amp;D359&amp;""'"",1))"),0.0)</f>
        <v>0</v>
      </c>
      <c r="X359" s="19">
        <f>IFERROR(__xludf.DUMMYFUNCTION("SUM(QUERY(Entregas_BD!D:AL,""select AL where D='""&amp;D359&amp;""'"",1))"),0.0)</f>
        <v>0</v>
      </c>
      <c r="Y359" s="19">
        <f>IFERROR(__xludf.DUMMYFUNCTION("SUM(QUERY(Entregas_BD!D:AL,""select AK where D='""&amp;D359&amp;""'"",1))"),0.0)</f>
        <v>0</v>
      </c>
      <c r="Z359" s="19">
        <v>0.0</v>
      </c>
      <c r="AA359" s="19">
        <v>0.0</v>
      </c>
      <c r="AB359" s="19">
        <v>0.0</v>
      </c>
      <c r="AC359" s="19">
        <v>0.0</v>
      </c>
      <c r="AD359" s="19">
        <v>0.0</v>
      </c>
      <c r="AE359" s="19">
        <v>0.0</v>
      </c>
      <c r="AF359" s="22"/>
      <c r="AG359" s="24">
        <f>IFERROR(__xludf.DUMMYFUNCTION("SUM(QUERY(Entregas_BD!D:W,""select U where D='""&amp;D359&amp;""'"",1))"),0.0)</f>
        <v>0</v>
      </c>
      <c r="AH359" s="24">
        <f>IFERROR(__xludf.DUMMYFUNCTION("SUM(QUERY(Entregas_BD!D:W,""select S where D='""&amp;D359&amp;""'"",1))"),0.0)</f>
        <v>0</v>
      </c>
      <c r="AI359" s="24">
        <f>IFERROR(__xludf.DUMMYFUNCTION("SUM(QUERY(Entregas_BD!D:W,""select T where D='""&amp;D359&amp;""'"",1))"),0.0)</f>
        <v>0</v>
      </c>
    </row>
    <row r="360" ht="19.5" customHeight="1">
      <c r="A360" s="73"/>
      <c r="B360" s="27"/>
      <c r="C360" s="9">
        <v>359.0</v>
      </c>
      <c r="D360" s="10" t="s">
        <v>846</v>
      </c>
      <c r="E360" s="10" t="s">
        <v>153</v>
      </c>
      <c r="F360" s="10" t="s">
        <v>847</v>
      </c>
      <c r="G360" s="10" t="s">
        <v>848</v>
      </c>
      <c r="H360" s="12" t="s">
        <v>849</v>
      </c>
      <c r="I360" s="11" t="s">
        <v>41</v>
      </c>
      <c r="J360" s="60"/>
      <c r="K360" s="12"/>
      <c r="L360" s="13"/>
      <c r="M360" s="28"/>
      <c r="N360" s="9">
        <f>IFERROR(__xludf.DUMMYFUNCTION("SUM(QUERY(Entregas_BD!D:L,""select G where D='""&amp;D360&amp;""'"",1))"),0.0)</f>
        <v>0</v>
      </c>
      <c r="O360" s="9">
        <f>IFERROR(__xludf.DUMMYFUNCTION("SUM(QUERY(Entregas_BD!D:L,""select H where D='""&amp;D360&amp;""'"",1))"),0.0)</f>
        <v>0</v>
      </c>
      <c r="P360" s="9">
        <f>IFERROR(__xludf.DUMMYFUNCTION("SUM(QUERY(Entregas_BD!D:L,""select I where D='""&amp;D360&amp;""'"",1))"),0.0)</f>
        <v>0</v>
      </c>
      <c r="Q360" s="9">
        <f>IFERROR(__xludf.DUMMYFUNCTION("SUM(QUERY(Entregas_BD!D:L,""select J where D='""&amp;D360&amp;""'"",1))"),0.0)</f>
        <v>0</v>
      </c>
      <c r="R360" s="15">
        <f>IFERROR(__xludf.DUMMYFUNCTION("SUM(QUERY(Entregas_BD!D:L,""select K where D='""&amp;D360&amp;""'"",1))"),0.0)</f>
        <v>0</v>
      </c>
      <c r="S360" s="15">
        <f>IFERROR(__xludf.DUMMYFUNCTION("SUM(QUERY(Entregas_BD!D:L,""select L where D='""&amp;D360&amp;""'"",1))"),0.0)</f>
        <v>0</v>
      </c>
      <c r="T360" s="9">
        <f>IFERROR(__xludf.DUMMYFUNCTION("SUM(QUERY(Entregas_BD!D:AL,""select AG where D='""&amp;D360&amp;""'"",1))"),0.0)</f>
        <v>0</v>
      </c>
      <c r="U360" s="9">
        <f>IFERROR(__xludf.DUMMYFUNCTION("SUM(QUERY(Entregas_BD!D:AL,""select AH where D='""&amp;D360&amp;""'"",1))"),0.0)</f>
        <v>0</v>
      </c>
      <c r="V360" s="9">
        <f>IFERROR(__xludf.DUMMYFUNCTION("SUM(QUERY(Entregas_BD!D:AL,""select AI where D='""&amp;D360&amp;""'"",1))"),0.0)</f>
        <v>0</v>
      </c>
      <c r="W360" s="9">
        <f>IFERROR(__xludf.DUMMYFUNCTION("SUM(QUERY(Entregas_BD!D:AL,""select AJ where D='""&amp;D360&amp;""'"",1))"),0.0)</f>
        <v>0</v>
      </c>
      <c r="X360" s="9">
        <f>IFERROR(__xludf.DUMMYFUNCTION("SUM(QUERY(Entregas_BD!D:AL,""select AL where D='""&amp;D360&amp;""'"",1))"),0.0)</f>
        <v>0</v>
      </c>
      <c r="Y360" s="9">
        <f>IFERROR(__xludf.DUMMYFUNCTION("SUM(QUERY(Entregas_BD!D:AL,""select AK where D='""&amp;D360&amp;""'"",1))"),0.0)</f>
        <v>0</v>
      </c>
      <c r="Z360" s="9">
        <v>0.0</v>
      </c>
      <c r="AA360" s="9">
        <v>0.0</v>
      </c>
      <c r="AB360" s="9">
        <v>0.0</v>
      </c>
      <c r="AC360" s="9">
        <v>0.0</v>
      </c>
      <c r="AD360" s="9">
        <v>0.0</v>
      </c>
      <c r="AE360" s="9">
        <v>0.0</v>
      </c>
      <c r="AF360" s="28"/>
      <c r="AG360" s="15">
        <f>IFERROR(__xludf.DUMMYFUNCTION("SUM(QUERY(Entregas_BD!D:W,""select U where D='""&amp;D360&amp;""'"",1))"),0.0)</f>
        <v>0</v>
      </c>
      <c r="AH360" s="15">
        <f>IFERROR(__xludf.DUMMYFUNCTION("SUM(QUERY(Entregas_BD!D:W,""select S where D='""&amp;D360&amp;""'"",1))"),0.0)</f>
        <v>0</v>
      </c>
      <c r="AI360" s="15">
        <f>IFERROR(__xludf.DUMMYFUNCTION("SUM(QUERY(Entregas_BD!D:W,""select T where D='""&amp;D360&amp;""'"",1))"),0.0)</f>
        <v>0</v>
      </c>
    </row>
    <row r="361" ht="19.5" customHeight="1">
      <c r="A361" s="74"/>
      <c r="B361" s="18"/>
      <c r="C361" s="19">
        <v>360.0</v>
      </c>
      <c r="D361" s="20" t="s">
        <v>335</v>
      </c>
      <c r="E361" s="20" t="s">
        <v>58</v>
      </c>
      <c r="F361" s="20" t="s">
        <v>850</v>
      </c>
      <c r="G361" s="20" t="s">
        <v>112</v>
      </c>
      <c r="H361" s="34" t="s">
        <v>845</v>
      </c>
      <c r="I361" s="21" t="s">
        <v>41</v>
      </c>
      <c r="J361" s="61"/>
      <c r="K361" s="34"/>
      <c r="L361" s="42"/>
      <c r="M361" s="22"/>
      <c r="N361" s="19">
        <f>IFERROR(__xludf.DUMMYFUNCTION("SUM(QUERY(Entregas_BD!D:L,""select G where D='""&amp;D361&amp;""'"",1))"),0.0)</f>
        <v>0</v>
      </c>
      <c r="O361" s="19">
        <f>IFERROR(__xludf.DUMMYFUNCTION("SUM(QUERY(Entregas_BD!D:L,""select H where D='""&amp;D361&amp;""'"",1))"),0.0)</f>
        <v>0</v>
      </c>
      <c r="P361" s="19">
        <f>IFERROR(__xludf.DUMMYFUNCTION("SUM(QUERY(Entregas_BD!D:L,""select I where D='""&amp;D361&amp;""'"",1))"),0.0)</f>
        <v>0</v>
      </c>
      <c r="Q361" s="19">
        <f>IFERROR(__xludf.DUMMYFUNCTION("SUM(QUERY(Entregas_BD!D:L,""select J where D='""&amp;D361&amp;""'"",1))"),0.0)</f>
        <v>0</v>
      </c>
      <c r="R361" s="24">
        <f>IFERROR(__xludf.DUMMYFUNCTION("SUM(QUERY(Entregas_BD!D:L,""select K where D='""&amp;D361&amp;""'"",1))"),0.0)</f>
        <v>0</v>
      </c>
      <c r="S361" s="24">
        <f>IFERROR(__xludf.DUMMYFUNCTION("SUM(QUERY(Entregas_BD!D:L,""select L where D='""&amp;D361&amp;""'"",1))"),0.0)</f>
        <v>0</v>
      </c>
      <c r="T361" s="19">
        <f>IFERROR(__xludf.DUMMYFUNCTION("SUM(QUERY(Entregas_BD!D:AL,""select AG where D='""&amp;D361&amp;""'"",1))"),50.0)</f>
        <v>50</v>
      </c>
      <c r="U361" s="19">
        <f>IFERROR(__xludf.DUMMYFUNCTION("SUM(QUERY(Entregas_BD!D:AL,""select AH where D='""&amp;D361&amp;""'"",1))"),0.0)</f>
        <v>0</v>
      </c>
      <c r="V361" s="19">
        <f>IFERROR(__xludf.DUMMYFUNCTION("SUM(QUERY(Entregas_BD!D:AL,""select AI where D='""&amp;D361&amp;""'"",1))"),0.0)</f>
        <v>0</v>
      </c>
      <c r="W361" s="19">
        <f>IFERROR(__xludf.DUMMYFUNCTION("SUM(QUERY(Entregas_BD!D:AL,""select AJ where D='""&amp;D361&amp;""'"",1))"),0.0)</f>
        <v>0</v>
      </c>
      <c r="X361" s="19">
        <f>IFERROR(__xludf.DUMMYFUNCTION("SUM(QUERY(Entregas_BD!D:AL,""select AL where D='""&amp;D361&amp;""'"",1))"),0.0)</f>
        <v>0</v>
      </c>
      <c r="Y361" s="19">
        <f>IFERROR(__xludf.DUMMYFUNCTION("SUM(QUERY(Entregas_BD!D:AL,""select AK where D='""&amp;D361&amp;""'"",1))"),0.0)</f>
        <v>0</v>
      </c>
      <c r="Z361" s="19">
        <v>-50.0</v>
      </c>
      <c r="AA361" s="19">
        <v>0.0</v>
      </c>
      <c r="AB361" s="19">
        <v>0.0</v>
      </c>
      <c r="AC361" s="19">
        <v>0.0</v>
      </c>
      <c r="AD361" s="19">
        <v>0.0</v>
      </c>
      <c r="AE361" s="19">
        <v>0.0</v>
      </c>
      <c r="AF361" s="22"/>
      <c r="AG361" s="24">
        <f>IFERROR(__xludf.DUMMYFUNCTION("SUM(QUERY(Entregas_BD!D:W,""select U where D='""&amp;D361&amp;""'"",1))"),0.0)</f>
        <v>0</v>
      </c>
      <c r="AH361" s="24">
        <f>IFERROR(__xludf.DUMMYFUNCTION("SUM(QUERY(Entregas_BD!D:W,""select S where D='""&amp;D361&amp;""'"",1))"),0.0)</f>
        <v>0</v>
      </c>
      <c r="AI361" s="24">
        <f>IFERROR(__xludf.DUMMYFUNCTION("SUM(QUERY(Entregas_BD!D:W,""select T where D='""&amp;D361&amp;""'"",1))"),0.0)</f>
        <v>0</v>
      </c>
    </row>
    <row r="362" ht="19.5" customHeight="1">
      <c r="A362" s="75"/>
      <c r="B362" s="76"/>
      <c r="C362" s="9">
        <v>361.0</v>
      </c>
      <c r="D362" s="10" t="s">
        <v>273</v>
      </c>
      <c r="E362" s="10" t="s">
        <v>72</v>
      </c>
      <c r="F362" s="10" t="s">
        <v>45</v>
      </c>
      <c r="G362" s="10" t="s">
        <v>650</v>
      </c>
      <c r="H362" s="12" t="s">
        <v>622</v>
      </c>
      <c r="I362" s="11" t="s">
        <v>41</v>
      </c>
      <c r="J362" s="77"/>
      <c r="K362" s="12"/>
      <c r="L362" s="13"/>
      <c r="M362" s="37"/>
      <c r="N362" s="9">
        <f>IFERROR(__xludf.DUMMYFUNCTION("SUM(QUERY(Entregas_BD!D:L,""select G where D='""&amp;D362&amp;""'"",1))"),0.0)</f>
        <v>0</v>
      </c>
      <c r="O362" s="9">
        <f>IFERROR(__xludf.DUMMYFUNCTION("SUM(QUERY(Entregas_BD!D:L,""select H where D='""&amp;D362&amp;""'"",1))"),0.0)</f>
        <v>0</v>
      </c>
      <c r="P362" s="9">
        <f>IFERROR(__xludf.DUMMYFUNCTION("SUM(QUERY(Entregas_BD!D:L,""select I where D='""&amp;D362&amp;""'"",1))"),0.0)</f>
        <v>0</v>
      </c>
      <c r="Q362" s="9">
        <f>IFERROR(__xludf.DUMMYFUNCTION("SUM(QUERY(Entregas_BD!D:L,""select J where D='""&amp;D362&amp;""'"",1))"),0.0)</f>
        <v>0</v>
      </c>
      <c r="R362" s="15">
        <f>IFERROR(__xludf.DUMMYFUNCTION("SUM(QUERY(Entregas_BD!D:L,""select K where D='""&amp;D362&amp;""'"",1))"),0.0)</f>
        <v>0</v>
      </c>
      <c r="S362" s="15">
        <f>IFERROR(__xludf.DUMMYFUNCTION("SUM(QUERY(Entregas_BD!D:L,""select L where D='""&amp;D362&amp;""'"",1))"),0.0)</f>
        <v>0</v>
      </c>
      <c r="T362" s="9">
        <f>IFERROR(__xludf.DUMMYFUNCTION("SUM(QUERY(Entregas_BD!D:AL,""select AG where D='""&amp;D362&amp;""'"",1))"),200.0)</f>
        <v>200</v>
      </c>
      <c r="U362" s="9">
        <f>IFERROR(__xludf.DUMMYFUNCTION("SUM(QUERY(Entregas_BD!D:AL,""select AH where D='""&amp;D362&amp;""'"",1))"),0.0)</f>
        <v>0</v>
      </c>
      <c r="V362" s="9">
        <f>IFERROR(__xludf.DUMMYFUNCTION("SUM(QUERY(Entregas_BD!D:AL,""select AI where D='""&amp;D362&amp;""'"",1))"),0.0)</f>
        <v>0</v>
      </c>
      <c r="W362" s="9">
        <f>IFERROR(__xludf.DUMMYFUNCTION("SUM(QUERY(Entregas_BD!D:AL,""select AJ where D='""&amp;D362&amp;""'"",1))"),0.0)</f>
        <v>0</v>
      </c>
      <c r="X362" s="9">
        <f>IFERROR(__xludf.DUMMYFUNCTION("SUM(QUERY(Entregas_BD!D:AL,""select AL where D='""&amp;D362&amp;""'"",1))"),0.0)</f>
        <v>0</v>
      </c>
      <c r="Y362" s="9">
        <f>IFERROR(__xludf.DUMMYFUNCTION("SUM(QUERY(Entregas_BD!D:AL,""select AK where D='""&amp;D362&amp;""'"",1))"),0.0)</f>
        <v>0</v>
      </c>
      <c r="Z362" s="9">
        <v>-200.0</v>
      </c>
      <c r="AA362" s="9">
        <v>0.0</v>
      </c>
      <c r="AB362" s="9">
        <v>0.0</v>
      </c>
      <c r="AC362" s="9">
        <v>0.0</v>
      </c>
      <c r="AD362" s="9">
        <v>0.0</v>
      </c>
      <c r="AE362" s="9">
        <v>0.0</v>
      </c>
      <c r="AF362" s="37"/>
      <c r="AG362" s="15">
        <f>IFERROR(__xludf.DUMMYFUNCTION("SUM(QUERY(Entregas_BD!D:W,""select U where D='""&amp;D362&amp;""'"",1))"),0.0)</f>
        <v>0</v>
      </c>
      <c r="AH362" s="15">
        <f>IFERROR(__xludf.DUMMYFUNCTION("SUM(QUERY(Entregas_BD!D:W,""select S where D='""&amp;D362&amp;""'"",1))"),0.0)</f>
        <v>0</v>
      </c>
      <c r="AI362" s="15">
        <f>IFERROR(__xludf.DUMMYFUNCTION("SUM(QUERY(Entregas_BD!D:W,""select T where D='""&amp;D362&amp;""'"",1))"),0.0)</f>
        <v>0</v>
      </c>
    </row>
    <row r="363" ht="19.5" customHeight="1">
      <c r="A363" s="78"/>
      <c r="B363" s="79"/>
      <c r="C363" s="19">
        <v>362.0</v>
      </c>
      <c r="D363" s="20" t="s">
        <v>851</v>
      </c>
      <c r="E363" s="20" t="s">
        <v>58</v>
      </c>
      <c r="F363" s="20" t="s">
        <v>45</v>
      </c>
      <c r="G363" s="20" t="s">
        <v>852</v>
      </c>
      <c r="H363" s="34" t="s">
        <v>849</v>
      </c>
      <c r="I363" s="21" t="s">
        <v>41</v>
      </c>
      <c r="J363" s="80"/>
      <c r="K363" s="34"/>
      <c r="L363" s="42"/>
      <c r="M363" s="34"/>
      <c r="N363" s="19">
        <f>IFERROR(__xludf.DUMMYFUNCTION("SUM(QUERY(Entregas_BD!D:L,""select G where D='""&amp;D363&amp;""'"",1))"),0.0)</f>
        <v>0</v>
      </c>
      <c r="O363" s="19">
        <f>IFERROR(__xludf.DUMMYFUNCTION("SUM(QUERY(Entregas_BD!D:L,""select H where D='""&amp;D363&amp;""'"",1))"),0.0)</f>
        <v>0</v>
      </c>
      <c r="P363" s="19">
        <f>IFERROR(__xludf.DUMMYFUNCTION("SUM(QUERY(Entregas_BD!D:L,""select I where D='""&amp;D363&amp;""'"",1))"),0.0)</f>
        <v>0</v>
      </c>
      <c r="Q363" s="19">
        <f>IFERROR(__xludf.DUMMYFUNCTION("SUM(QUERY(Entregas_BD!D:L,""select J where D='""&amp;D363&amp;""'"",1))"),0.0)</f>
        <v>0</v>
      </c>
      <c r="R363" s="24">
        <f>IFERROR(__xludf.DUMMYFUNCTION("SUM(QUERY(Entregas_BD!D:L,""select K where D='""&amp;D363&amp;""'"",1))"),0.0)</f>
        <v>0</v>
      </c>
      <c r="S363" s="24">
        <f>IFERROR(__xludf.DUMMYFUNCTION("SUM(QUERY(Entregas_BD!D:L,""select L where D='""&amp;D363&amp;""'"",1))"),0.0)</f>
        <v>0</v>
      </c>
      <c r="T363" s="19">
        <f>IFERROR(__xludf.DUMMYFUNCTION("SUM(QUERY(Entregas_BD!D:AL,""select AG where D='""&amp;D363&amp;""'"",1))"),0.0)</f>
        <v>0</v>
      </c>
      <c r="U363" s="19">
        <f>IFERROR(__xludf.DUMMYFUNCTION("SUM(QUERY(Entregas_BD!D:AL,""select AH where D='""&amp;D363&amp;""'"",1))"),0.0)</f>
        <v>0</v>
      </c>
      <c r="V363" s="19">
        <f>IFERROR(__xludf.DUMMYFUNCTION("SUM(QUERY(Entregas_BD!D:AL,""select AI where D='""&amp;D363&amp;""'"",1))"),0.0)</f>
        <v>0</v>
      </c>
      <c r="W363" s="19">
        <f>IFERROR(__xludf.DUMMYFUNCTION("SUM(QUERY(Entregas_BD!D:AL,""select AJ where D='""&amp;D363&amp;""'"",1))"),0.0)</f>
        <v>0</v>
      </c>
      <c r="X363" s="19">
        <f>IFERROR(__xludf.DUMMYFUNCTION("SUM(QUERY(Entregas_BD!D:AL,""select AL where D='""&amp;D363&amp;""'"",1))"),0.0)</f>
        <v>0</v>
      </c>
      <c r="Y363" s="19">
        <f>IFERROR(__xludf.DUMMYFUNCTION("SUM(QUERY(Entregas_BD!D:AL,""select AK where D='""&amp;D363&amp;""'"",1))"),0.0)</f>
        <v>0</v>
      </c>
      <c r="Z363" s="19">
        <v>0.0</v>
      </c>
      <c r="AA363" s="19">
        <v>0.0</v>
      </c>
      <c r="AB363" s="19">
        <v>0.0</v>
      </c>
      <c r="AC363" s="19">
        <v>0.0</v>
      </c>
      <c r="AD363" s="19">
        <v>0.0</v>
      </c>
      <c r="AE363" s="19">
        <v>0.0</v>
      </c>
      <c r="AF363" s="22"/>
      <c r="AG363" s="24">
        <f>IFERROR(__xludf.DUMMYFUNCTION("SUM(QUERY(Entregas_BD!D:W,""select U where D='""&amp;D363&amp;""'"",1))"),0.0)</f>
        <v>0</v>
      </c>
      <c r="AH363" s="24">
        <f>IFERROR(__xludf.DUMMYFUNCTION("SUM(QUERY(Entregas_BD!D:W,""select S where D='""&amp;D363&amp;""'"",1))"),0.0)</f>
        <v>0</v>
      </c>
      <c r="AI363" s="24">
        <f>IFERROR(__xludf.DUMMYFUNCTION("SUM(QUERY(Entregas_BD!D:W,""select T where D='""&amp;D363&amp;""'"",1))"),0.0)</f>
        <v>0</v>
      </c>
    </row>
    <row r="364" ht="19.5" customHeight="1">
      <c r="A364" s="81"/>
      <c r="B364" s="82"/>
      <c r="C364" s="9">
        <v>363.0</v>
      </c>
      <c r="D364" s="10" t="s">
        <v>853</v>
      </c>
      <c r="E364" s="10" t="s">
        <v>44</v>
      </c>
      <c r="F364" s="10" t="s">
        <v>45</v>
      </c>
      <c r="G364" s="10" t="s">
        <v>854</v>
      </c>
      <c r="H364" s="12" t="s">
        <v>849</v>
      </c>
      <c r="I364" s="11" t="s">
        <v>41</v>
      </c>
      <c r="J364" s="12"/>
      <c r="K364" s="12"/>
      <c r="L364" s="13"/>
      <c r="M364" s="12"/>
      <c r="N364" s="9">
        <f>IFERROR(__xludf.DUMMYFUNCTION("SUM(QUERY(Entregas_BD!D:L,""select G where D='""&amp;D364&amp;""'"",1))"),0.0)</f>
        <v>0</v>
      </c>
      <c r="O364" s="9">
        <f>IFERROR(__xludf.DUMMYFUNCTION("SUM(QUERY(Entregas_BD!D:L,""select H where D='""&amp;D364&amp;""'"",1))"),0.0)</f>
        <v>0</v>
      </c>
      <c r="P364" s="9">
        <f>IFERROR(__xludf.DUMMYFUNCTION("SUM(QUERY(Entregas_BD!D:L,""select I where D='""&amp;D364&amp;""'"",1))"),0.0)</f>
        <v>0</v>
      </c>
      <c r="Q364" s="9">
        <f>IFERROR(__xludf.DUMMYFUNCTION("SUM(QUERY(Entregas_BD!D:L,""select J where D='""&amp;D364&amp;""'"",1))"),0.0)</f>
        <v>0</v>
      </c>
      <c r="R364" s="15">
        <f>IFERROR(__xludf.DUMMYFUNCTION("SUM(QUERY(Entregas_BD!D:L,""select K where D='""&amp;D364&amp;""'"",1))"),0.0)</f>
        <v>0</v>
      </c>
      <c r="S364" s="15">
        <f>IFERROR(__xludf.DUMMYFUNCTION("SUM(QUERY(Entregas_BD!D:L,""select L where D='""&amp;D364&amp;""'"",1))"),0.0)</f>
        <v>0</v>
      </c>
      <c r="T364" s="9">
        <f>IFERROR(__xludf.DUMMYFUNCTION("SUM(QUERY(Entregas_BD!D:AL,""select AG where D='""&amp;D364&amp;""'"",1))"),0.0)</f>
        <v>0</v>
      </c>
      <c r="U364" s="9">
        <f>IFERROR(__xludf.DUMMYFUNCTION("SUM(QUERY(Entregas_BD!D:AL,""select AH where D='""&amp;D364&amp;""'"",1))"),0.0)</f>
        <v>0</v>
      </c>
      <c r="V364" s="9">
        <f>IFERROR(__xludf.DUMMYFUNCTION("SUM(QUERY(Entregas_BD!D:AL,""select AI where D='""&amp;D364&amp;""'"",1))"),0.0)</f>
        <v>0</v>
      </c>
      <c r="W364" s="9">
        <f>IFERROR(__xludf.DUMMYFUNCTION("SUM(QUERY(Entregas_BD!D:AL,""select AJ where D='""&amp;D364&amp;""'"",1))"),0.0)</f>
        <v>0</v>
      </c>
      <c r="X364" s="9">
        <f>IFERROR(__xludf.DUMMYFUNCTION("SUM(QUERY(Entregas_BD!D:AL,""select AL where D='""&amp;D364&amp;""'"",1))"),0.0)</f>
        <v>0</v>
      </c>
      <c r="Y364" s="9">
        <f>IFERROR(__xludf.DUMMYFUNCTION("SUM(QUERY(Entregas_BD!D:AL,""select AK where D='""&amp;D364&amp;""'"",1))"),0.0)</f>
        <v>0</v>
      </c>
      <c r="Z364" s="9">
        <v>0.0</v>
      </c>
      <c r="AA364" s="9">
        <v>0.0</v>
      </c>
      <c r="AB364" s="9">
        <v>0.0</v>
      </c>
      <c r="AC364" s="9">
        <v>0.0</v>
      </c>
      <c r="AD364" s="9">
        <v>0.0</v>
      </c>
      <c r="AE364" s="9">
        <v>0.0</v>
      </c>
      <c r="AF364" s="28"/>
      <c r="AG364" s="15">
        <f>IFERROR(__xludf.DUMMYFUNCTION("SUM(QUERY(Entregas_BD!D:W,""select U where D='""&amp;D364&amp;""'"",1))"),0.0)</f>
        <v>0</v>
      </c>
      <c r="AH364" s="15">
        <f>IFERROR(__xludf.DUMMYFUNCTION("SUM(QUERY(Entregas_BD!D:W,""select S where D='""&amp;D364&amp;""'"",1))"),0.0)</f>
        <v>0</v>
      </c>
      <c r="AI364" s="15">
        <f>IFERROR(__xludf.DUMMYFUNCTION("SUM(QUERY(Entregas_BD!D:W,""select T where D='""&amp;D364&amp;""'"",1))"),0.0)</f>
        <v>0</v>
      </c>
    </row>
    <row r="365" ht="19.5" customHeight="1">
      <c r="A365" s="74"/>
      <c r="B365" s="18"/>
      <c r="C365" s="19">
        <v>364.0</v>
      </c>
      <c r="D365" s="20" t="s">
        <v>855</v>
      </c>
      <c r="E365" s="20" t="s">
        <v>153</v>
      </c>
      <c r="F365" s="20" t="s">
        <v>856</v>
      </c>
      <c r="G365" s="20" t="s">
        <v>857</v>
      </c>
      <c r="H365" s="34" t="s">
        <v>849</v>
      </c>
      <c r="I365" s="21" t="s">
        <v>47</v>
      </c>
      <c r="J365" s="34"/>
      <c r="K365" s="34"/>
      <c r="L365" s="42"/>
      <c r="M365" s="22"/>
      <c r="N365" s="19">
        <f>IFERROR(__xludf.DUMMYFUNCTION("SUM(QUERY(Entregas_BD!D:L,""select G where D='""&amp;D365&amp;""'"",1))"),0.0)</f>
        <v>0</v>
      </c>
      <c r="O365" s="19">
        <f>IFERROR(__xludf.DUMMYFUNCTION("SUM(QUERY(Entregas_BD!D:L,""select H where D='""&amp;D365&amp;""'"",1))"),0.0)</f>
        <v>0</v>
      </c>
      <c r="P365" s="19">
        <f>IFERROR(__xludf.DUMMYFUNCTION("SUM(QUERY(Entregas_BD!D:L,""select I where D='""&amp;D365&amp;""'"",1))"),0.0)</f>
        <v>0</v>
      </c>
      <c r="Q365" s="19">
        <f>IFERROR(__xludf.DUMMYFUNCTION("SUM(QUERY(Entregas_BD!D:L,""select J where D='""&amp;D365&amp;""'"",1))"),0.0)</f>
        <v>0</v>
      </c>
      <c r="R365" s="24">
        <f>IFERROR(__xludf.DUMMYFUNCTION("SUM(QUERY(Entregas_BD!D:L,""select K where D='""&amp;D365&amp;""'"",1))"),0.0)</f>
        <v>0</v>
      </c>
      <c r="S365" s="24">
        <f>IFERROR(__xludf.DUMMYFUNCTION("SUM(QUERY(Entregas_BD!D:L,""select L where D='""&amp;D365&amp;""'"",1))"),0.0)</f>
        <v>0</v>
      </c>
      <c r="T365" s="19">
        <f>IFERROR(__xludf.DUMMYFUNCTION("SUM(QUERY(Entregas_BD!D:AL,""select AG where D='""&amp;D365&amp;""'"",1))"),0.0)</f>
        <v>0</v>
      </c>
      <c r="U365" s="19">
        <f>IFERROR(__xludf.DUMMYFUNCTION("SUM(QUERY(Entregas_BD!D:AL,""select AH where D='""&amp;D365&amp;""'"",1))"),0.0)</f>
        <v>0</v>
      </c>
      <c r="V365" s="19">
        <f>IFERROR(__xludf.DUMMYFUNCTION("SUM(QUERY(Entregas_BD!D:AL,""select AI where D='""&amp;D365&amp;""'"",1))"),0.0)</f>
        <v>0</v>
      </c>
      <c r="W365" s="19">
        <f>IFERROR(__xludf.DUMMYFUNCTION("SUM(QUERY(Entregas_BD!D:AL,""select AJ where D='""&amp;D365&amp;""'"",1))"),0.0)</f>
        <v>0</v>
      </c>
      <c r="X365" s="19">
        <f>IFERROR(__xludf.DUMMYFUNCTION("SUM(QUERY(Entregas_BD!D:AL,""select AL where D='""&amp;D365&amp;""'"",1))"),0.0)</f>
        <v>0</v>
      </c>
      <c r="Y365" s="19">
        <f>IFERROR(__xludf.DUMMYFUNCTION("SUM(QUERY(Entregas_BD!D:AL,""select AK where D='""&amp;D365&amp;""'"",1))"),0.0)</f>
        <v>0</v>
      </c>
      <c r="Z365" s="19">
        <v>0.0</v>
      </c>
      <c r="AA365" s="19">
        <v>0.0</v>
      </c>
      <c r="AB365" s="19">
        <v>0.0</v>
      </c>
      <c r="AC365" s="19">
        <v>0.0</v>
      </c>
      <c r="AD365" s="19">
        <v>0.0</v>
      </c>
      <c r="AE365" s="19">
        <v>0.0</v>
      </c>
      <c r="AF365" s="22"/>
      <c r="AG365" s="24">
        <f>IFERROR(__xludf.DUMMYFUNCTION("SUM(QUERY(Entregas_BD!D:W,""select U where D='""&amp;D365&amp;""'"",1))"),0.0)</f>
        <v>0</v>
      </c>
      <c r="AH365" s="24">
        <f>IFERROR(__xludf.DUMMYFUNCTION("SUM(QUERY(Entregas_BD!D:W,""select S where D='""&amp;D365&amp;""'"",1))"),0.0)</f>
        <v>0</v>
      </c>
      <c r="AI365" s="24">
        <f>IFERROR(__xludf.DUMMYFUNCTION("SUM(QUERY(Entregas_BD!D:W,""select T where D='""&amp;D365&amp;""'"",1))"),0.0)</f>
        <v>0</v>
      </c>
    </row>
    <row r="366" ht="19.5" customHeight="1">
      <c r="A366" s="73"/>
      <c r="B366" s="27"/>
      <c r="C366" s="9">
        <v>365.0</v>
      </c>
      <c r="D366" s="10" t="s">
        <v>858</v>
      </c>
      <c r="E366" s="10" t="s">
        <v>324</v>
      </c>
      <c r="F366" s="10" t="s">
        <v>859</v>
      </c>
      <c r="G366" s="10" t="s">
        <v>860</v>
      </c>
      <c r="H366" s="12" t="s">
        <v>849</v>
      </c>
      <c r="I366" s="11" t="s">
        <v>41</v>
      </c>
      <c r="J366" s="12"/>
      <c r="K366" s="12"/>
      <c r="L366" s="13"/>
      <c r="M366" s="28"/>
      <c r="N366" s="9">
        <f>IFERROR(__xludf.DUMMYFUNCTION("SUM(QUERY(Entregas_BD!D:L,""select G where D='""&amp;D366&amp;""'"",1))"),0.0)</f>
        <v>0</v>
      </c>
      <c r="O366" s="9">
        <f>IFERROR(__xludf.DUMMYFUNCTION("SUM(QUERY(Entregas_BD!D:L,""select H where D='""&amp;D366&amp;""'"",1))"),0.0)</f>
        <v>0</v>
      </c>
      <c r="P366" s="9">
        <f>IFERROR(__xludf.DUMMYFUNCTION("SUM(QUERY(Entregas_BD!D:L,""select I where D='""&amp;D366&amp;""'"",1))"),0.0)</f>
        <v>0</v>
      </c>
      <c r="Q366" s="9">
        <f>IFERROR(__xludf.DUMMYFUNCTION("SUM(QUERY(Entregas_BD!D:L,""select J where D='""&amp;D366&amp;""'"",1))"),0.0)</f>
        <v>0</v>
      </c>
      <c r="R366" s="15">
        <f>IFERROR(__xludf.DUMMYFUNCTION("SUM(QUERY(Entregas_BD!D:L,""select K where D='""&amp;D366&amp;""'"",1))"),2400.0)</f>
        <v>2400</v>
      </c>
      <c r="S366" s="15">
        <f>IFERROR(__xludf.DUMMYFUNCTION("SUM(QUERY(Entregas_BD!D:L,""select L where D='""&amp;D366&amp;""'"",1))"),2400.0)</f>
        <v>2400</v>
      </c>
      <c r="T366" s="9">
        <f>IFERROR(__xludf.DUMMYFUNCTION("SUM(QUERY(Entregas_BD!D:AL,""select AG where D='""&amp;D366&amp;""'"",1))"),20.0)</f>
        <v>20</v>
      </c>
      <c r="U366" s="9">
        <f>IFERROR(__xludf.DUMMYFUNCTION("SUM(QUERY(Entregas_BD!D:AL,""select AH where D='""&amp;D366&amp;""'"",1))"),0.0)</f>
        <v>0</v>
      </c>
      <c r="V366" s="9">
        <f>IFERROR(__xludf.DUMMYFUNCTION("SUM(QUERY(Entregas_BD!D:AL,""select AI where D='""&amp;D366&amp;""'"",1))"),0.0)</f>
        <v>0</v>
      </c>
      <c r="W366" s="9">
        <f>IFERROR(__xludf.DUMMYFUNCTION("SUM(QUERY(Entregas_BD!D:AL,""select AJ where D='""&amp;D366&amp;""'"",1))"),0.0)</f>
        <v>0</v>
      </c>
      <c r="X366" s="9">
        <f>IFERROR(__xludf.DUMMYFUNCTION("SUM(QUERY(Entregas_BD!D:AL,""select AL where D='""&amp;D366&amp;""'"",1))"),0.0)</f>
        <v>0</v>
      </c>
      <c r="Y366" s="9">
        <f>IFERROR(__xludf.DUMMYFUNCTION("SUM(QUERY(Entregas_BD!D:AL,""select AK where D='""&amp;D366&amp;""'"",1))"),0.0)</f>
        <v>0</v>
      </c>
      <c r="Z366" s="9">
        <v>-20.0</v>
      </c>
      <c r="AA366" s="9">
        <v>0.0</v>
      </c>
      <c r="AB366" s="9">
        <v>0.0</v>
      </c>
      <c r="AC366" s="9">
        <v>0.0</v>
      </c>
      <c r="AD366" s="9">
        <v>2400.0</v>
      </c>
      <c r="AE366" s="9">
        <v>2400.0</v>
      </c>
      <c r="AF366" s="28"/>
      <c r="AG366" s="15">
        <f>IFERROR(__xludf.DUMMYFUNCTION("SUM(QUERY(Entregas_BD!D:W,""select U where D='""&amp;D366&amp;""'"",1))"),0.0)</f>
        <v>0</v>
      </c>
      <c r="AH366" s="15">
        <f>IFERROR(__xludf.DUMMYFUNCTION("SUM(QUERY(Entregas_BD!D:W,""select S where D='""&amp;D366&amp;""'"",1))"),0.0)</f>
        <v>0</v>
      </c>
      <c r="AI366" s="15">
        <f>IFERROR(__xludf.DUMMYFUNCTION("SUM(QUERY(Entregas_BD!D:W,""select T where D='""&amp;D366&amp;""'"",1))"),0.0)</f>
        <v>0</v>
      </c>
    </row>
    <row r="367" ht="19.5" customHeight="1">
      <c r="A367" s="83"/>
      <c r="B367" s="84"/>
      <c r="C367" s="19">
        <v>366.0</v>
      </c>
      <c r="D367" s="20" t="s">
        <v>861</v>
      </c>
      <c r="E367" s="20" t="s">
        <v>197</v>
      </c>
      <c r="F367" s="20" t="s">
        <v>862</v>
      </c>
      <c r="G367" s="20" t="s">
        <v>863</v>
      </c>
      <c r="H367" s="44" t="s">
        <v>849</v>
      </c>
      <c r="I367" s="21" t="s">
        <v>41</v>
      </c>
      <c r="J367" s="34"/>
      <c r="K367" s="34"/>
      <c r="L367" s="42"/>
      <c r="M367" s="25"/>
      <c r="N367" s="19">
        <f>IFERROR(__xludf.DUMMYFUNCTION("SUM(QUERY(Entregas_BD!D:L,""select G where D='""&amp;D367&amp;""'"",1))"),0.0)</f>
        <v>0</v>
      </c>
      <c r="O367" s="19">
        <f>IFERROR(__xludf.DUMMYFUNCTION("SUM(QUERY(Entregas_BD!D:L,""select H where D='""&amp;D367&amp;""'"",1))"),0.0)</f>
        <v>0</v>
      </c>
      <c r="P367" s="19">
        <f>IFERROR(__xludf.DUMMYFUNCTION("SUM(QUERY(Entregas_BD!D:L,""select I where D='""&amp;D367&amp;""'"",1))"),0.0)</f>
        <v>0</v>
      </c>
      <c r="Q367" s="19">
        <f>IFERROR(__xludf.DUMMYFUNCTION("SUM(QUERY(Entregas_BD!D:L,""select J where D='""&amp;D367&amp;""'"",1))"),0.0)</f>
        <v>0</v>
      </c>
      <c r="R367" s="24">
        <f>IFERROR(__xludf.DUMMYFUNCTION("SUM(QUERY(Entregas_BD!D:L,""select K where D='""&amp;D367&amp;""'"",1))"),0.0)</f>
        <v>0</v>
      </c>
      <c r="S367" s="24">
        <f>IFERROR(__xludf.DUMMYFUNCTION("SUM(QUERY(Entregas_BD!D:L,""select L where D='""&amp;D367&amp;""'"",1))"),0.0)</f>
        <v>0</v>
      </c>
      <c r="T367" s="19">
        <f>IFERROR(__xludf.DUMMYFUNCTION("SUM(QUERY(Entregas_BD!D:AL,""select AG where D='""&amp;D367&amp;""'"",1))"),0.0)</f>
        <v>0</v>
      </c>
      <c r="U367" s="19">
        <f>IFERROR(__xludf.DUMMYFUNCTION("SUM(QUERY(Entregas_BD!D:AL,""select AH where D='""&amp;D367&amp;""'"",1))"),0.0)</f>
        <v>0</v>
      </c>
      <c r="V367" s="19">
        <f>IFERROR(__xludf.DUMMYFUNCTION("SUM(QUERY(Entregas_BD!D:AL,""select AI where D='""&amp;D367&amp;""'"",1))"),0.0)</f>
        <v>0</v>
      </c>
      <c r="W367" s="19">
        <f>IFERROR(__xludf.DUMMYFUNCTION("SUM(QUERY(Entregas_BD!D:AL,""select AJ where D='""&amp;D367&amp;""'"",1))"),0.0)</f>
        <v>0</v>
      </c>
      <c r="X367" s="19">
        <f>IFERROR(__xludf.DUMMYFUNCTION("SUM(QUERY(Entregas_BD!D:AL,""select AL where D='""&amp;D367&amp;""'"",1))"),0.0)</f>
        <v>0</v>
      </c>
      <c r="Y367" s="19">
        <f>IFERROR(__xludf.DUMMYFUNCTION("SUM(QUERY(Entregas_BD!D:AL,""select AK where D='""&amp;D367&amp;""'"",1))"),0.0)</f>
        <v>0</v>
      </c>
      <c r="Z367" s="19">
        <v>0.0</v>
      </c>
      <c r="AA367" s="19">
        <v>0.0</v>
      </c>
      <c r="AB367" s="19">
        <v>0.0</v>
      </c>
      <c r="AC367" s="19">
        <v>0.0</v>
      </c>
      <c r="AD367" s="19">
        <v>0.0</v>
      </c>
      <c r="AE367" s="19">
        <v>0.0</v>
      </c>
      <c r="AF367" s="25"/>
      <c r="AG367" s="24">
        <f>IFERROR(__xludf.DUMMYFUNCTION("SUM(QUERY(Entregas_BD!D:W,""select U where D='""&amp;D367&amp;""'"",1))"),0.0)</f>
        <v>0</v>
      </c>
      <c r="AH367" s="24">
        <f>IFERROR(__xludf.DUMMYFUNCTION("SUM(QUERY(Entregas_BD!D:W,""select S where D='""&amp;D367&amp;""'"",1))"),0.0)</f>
        <v>0</v>
      </c>
      <c r="AI367" s="24">
        <f>IFERROR(__xludf.DUMMYFUNCTION("SUM(QUERY(Entregas_BD!D:W,""select T where D='""&amp;D367&amp;""'"",1))"),0.0)</f>
        <v>0</v>
      </c>
    </row>
    <row r="368" ht="19.5" customHeight="1">
      <c r="A368" s="75"/>
      <c r="B368" s="85"/>
      <c r="C368" s="9">
        <v>367.0</v>
      </c>
      <c r="D368" s="10" t="s">
        <v>864</v>
      </c>
      <c r="E368" s="10" t="s">
        <v>54</v>
      </c>
      <c r="F368" s="10" t="s">
        <v>571</v>
      </c>
      <c r="G368" s="10" t="s">
        <v>865</v>
      </c>
      <c r="H368" s="45" t="s">
        <v>849</v>
      </c>
      <c r="I368" s="11" t="s">
        <v>47</v>
      </c>
      <c r="J368" s="12"/>
      <c r="K368" s="12"/>
      <c r="L368" s="13"/>
      <c r="M368" s="37"/>
      <c r="N368" s="9">
        <f>IFERROR(__xludf.DUMMYFUNCTION("SUM(QUERY(Entregas_BD!D:L,""select G where D='""&amp;D368&amp;""'"",1))"),0.0)</f>
        <v>0</v>
      </c>
      <c r="O368" s="9">
        <f>IFERROR(__xludf.DUMMYFUNCTION("SUM(QUERY(Entregas_BD!D:L,""select H where D='""&amp;D368&amp;""'"",1))"),0.0)</f>
        <v>0</v>
      </c>
      <c r="P368" s="9">
        <f>IFERROR(__xludf.DUMMYFUNCTION("SUM(QUERY(Entregas_BD!D:L,""select I where D='""&amp;D368&amp;""'"",1))"),0.0)</f>
        <v>0</v>
      </c>
      <c r="Q368" s="9">
        <f>IFERROR(__xludf.DUMMYFUNCTION("SUM(QUERY(Entregas_BD!D:L,""select J where D='""&amp;D368&amp;""'"",1))"),0.0)</f>
        <v>0</v>
      </c>
      <c r="R368" s="15">
        <f>IFERROR(__xludf.DUMMYFUNCTION("SUM(QUERY(Entregas_BD!D:L,""select K where D='""&amp;D368&amp;""'"",1))"),0.0)</f>
        <v>0</v>
      </c>
      <c r="S368" s="15">
        <f>IFERROR(__xludf.DUMMYFUNCTION("SUM(QUERY(Entregas_BD!D:L,""select L where D='""&amp;D368&amp;""'"",1))"),0.0)</f>
        <v>0</v>
      </c>
      <c r="T368" s="9">
        <f>IFERROR(__xludf.DUMMYFUNCTION("SUM(QUERY(Entregas_BD!D:AL,""select AG where D='""&amp;D368&amp;""'"",1))"),0.0)</f>
        <v>0</v>
      </c>
      <c r="U368" s="9">
        <f>IFERROR(__xludf.DUMMYFUNCTION("SUM(QUERY(Entregas_BD!D:AL,""select AH where D='""&amp;D368&amp;""'"",1))"),0.0)</f>
        <v>0</v>
      </c>
      <c r="V368" s="9">
        <f>IFERROR(__xludf.DUMMYFUNCTION("SUM(QUERY(Entregas_BD!D:AL,""select AI where D='""&amp;D368&amp;""'"",1))"),0.0)</f>
        <v>0</v>
      </c>
      <c r="W368" s="9">
        <f>IFERROR(__xludf.DUMMYFUNCTION("SUM(QUERY(Entregas_BD!D:AL,""select AJ where D='""&amp;D368&amp;""'"",1))"),0.0)</f>
        <v>0</v>
      </c>
      <c r="X368" s="9">
        <f>IFERROR(__xludf.DUMMYFUNCTION("SUM(QUERY(Entregas_BD!D:AL,""select AL where D='""&amp;D368&amp;""'"",1))"),0.0)</f>
        <v>0</v>
      </c>
      <c r="Y368" s="9">
        <f>IFERROR(__xludf.DUMMYFUNCTION("SUM(QUERY(Entregas_BD!D:AL,""select AK where D='""&amp;D368&amp;""'"",1))"),0.0)</f>
        <v>0</v>
      </c>
      <c r="Z368" s="9">
        <v>0.0</v>
      </c>
      <c r="AA368" s="9">
        <v>0.0</v>
      </c>
      <c r="AB368" s="9">
        <v>0.0</v>
      </c>
      <c r="AC368" s="9">
        <v>0.0</v>
      </c>
      <c r="AD368" s="9">
        <v>0.0</v>
      </c>
      <c r="AE368" s="9">
        <v>0.0</v>
      </c>
      <c r="AF368" s="37"/>
      <c r="AG368" s="15">
        <f>IFERROR(__xludf.DUMMYFUNCTION("SUM(QUERY(Entregas_BD!D:W,""select U where D='""&amp;D368&amp;""'"",1))"),0.0)</f>
        <v>0</v>
      </c>
      <c r="AH368" s="15">
        <f>IFERROR(__xludf.DUMMYFUNCTION("SUM(QUERY(Entregas_BD!D:W,""select S where D='""&amp;D368&amp;""'"",1))"),0.0)</f>
        <v>0</v>
      </c>
      <c r="AI368" s="15">
        <f>IFERROR(__xludf.DUMMYFUNCTION("SUM(QUERY(Entregas_BD!D:W,""select T where D='""&amp;D368&amp;""'"",1))"),0.0)</f>
        <v>0</v>
      </c>
    </row>
    <row r="369" ht="19.5" customHeight="1">
      <c r="A369" s="83"/>
      <c r="B369" s="84"/>
      <c r="C369" s="19">
        <v>368.0</v>
      </c>
      <c r="D369" s="20" t="s">
        <v>866</v>
      </c>
      <c r="E369" s="20" t="s">
        <v>479</v>
      </c>
      <c r="F369" s="20" t="s">
        <v>867</v>
      </c>
      <c r="G369" s="20" t="s">
        <v>492</v>
      </c>
      <c r="H369" s="44" t="s">
        <v>868</v>
      </c>
      <c r="I369" s="21" t="s">
        <v>41</v>
      </c>
      <c r="J369" s="34"/>
      <c r="K369" s="34"/>
      <c r="L369" s="42"/>
      <c r="M369" s="25"/>
      <c r="N369" s="19">
        <f>IFERROR(__xludf.DUMMYFUNCTION("SUM(QUERY(Entregas_BD!D:L,""select G where D='""&amp;D369&amp;""'"",1))"),0.0)</f>
        <v>0</v>
      </c>
      <c r="O369" s="19">
        <f>IFERROR(__xludf.DUMMYFUNCTION("SUM(QUERY(Entregas_BD!D:L,""select H where D='""&amp;D369&amp;""'"",1))"),0.0)</f>
        <v>0</v>
      </c>
      <c r="P369" s="19">
        <f>IFERROR(__xludf.DUMMYFUNCTION("SUM(QUERY(Entregas_BD!D:L,""select I where D='""&amp;D369&amp;""'"",1))"),0.0)</f>
        <v>0</v>
      </c>
      <c r="Q369" s="19">
        <f>IFERROR(__xludf.DUMMYFUNCTION("SUM(QUERY(Entregas_BD!D:L,""select J where D='""&amp;D369&amp;""'"",1))"),0.0)</f>
        <v>0</v>
      </c>
      <c r="R369" s="24">
        <f>IFERROR(__xludf.DUMMYFUNCTION("SUM(QUERY(Entregas_BD!D:L,""select K where D='""&amp;D369&amp;""'"",1))"),0.0)</f>
        <v>0</v>
      </c>
      <c r="S369" s="24">
        <f>IFERROR(__xludf.DUMMYFUNCTION("SUM(QUERY(Entregas_BD!D:L,""select L where D='""&amp;D369&amp;""'"",1))"),0.0)</f>
        <v>0</v>
      </c>
      <c r="T369" s="19">
        <f>IFERROR(__xludf.DUMMYFUNCTION("SUM(QUERY(Entregas_BD!D:AL,""select AG where D='""&amp;D369&amp;""'"",1))"),0.0)</f>
        <v>0</v>
      </c>
      <c r="U369" s="19">
        <f>IFERROR(__xludf.DUMMYFUNCTION("SUM(QUERY(Entregas_BD!D:AL,""select AH where D='""&amp;D369&amp;""'"",1))"),0.0)</f>
        <v>0</v>
      </c>
      <c r="V369" s="19">
        <f>IFERROR(__xludf.DUMMYFUNCTION("SUM(QUERY(Entregas_BD!D:AL,""select AI where D='""&amp;D369&amp;""'"",1))"),0.0)</f>
        <v>0</v>
      </c>
      <c r="W369" s="19">
        <f>IFERROR(__xludf.DUMMYFUNCTION("SUM(QUERY(Entregas_BD!D:AL,""select AJ where D='""&amp;D369&amp;""'"",1))"),0.0)</f>
        <v>0</v>
      </c>
      <c r="X369" s="19">
        <f>IFERROR(__xludf.DUMMYFUNCTION("SUM(QUERY(Entregas_BD!D:AL,""select AL where D='""&amp;D369&amp;""'"",1))"),0.0)</f>
        <v>0</v>
      </c>
      <c r="Y369" s="19">
        <f>IFERROR(__xludf.DUMMYFUNCTION("SUM(QUERY(Entregas_BD!D:AL,""select AK where D='""&amp;D369&amp;""'"",1))"),0.0)</f>
        <v>0</v>
      </c>
      <c r="Z369" s="19">
        <v>0.0</v>
      </c>
      <c r="AA369" s="19">
        <v>0.0</v>
      </c>
      <c r="AB369" s="19">
        <v>0.0</v>
      </c>
      <c r="AC369" s="19">
        <v>0.0</v>
      </c>
      <c r="AD369" s="19">
        <v>0.0</v>
      </c>
      <c r="AE369" s="19">
        <v>0.0</v>
      </c>
      <c r="AF369" s="25"/>
      <c r="AG369" s="24">
        <f>IFERROR(__xludf.DUMMYFUNCTION("SUM(QUERY(Entregas_BD!D:W,""select U where D='""&amp;D369&amp;""'"",1))"),0.0)</f>
        <v>0</v>
      </c>
      <c r="AH369" s="24">
        <f>IFERROR(__xludf.DUMMYFUNCTION("SUM(QUERY(Entregas_BD!D:W,""select S where D='""&amp;D369&amp;""'"",1))"),0.0)</f>
        <v>0</v>
      </c>
      <c r="AI369" s="24">
        <f>IFERROR(__xludf.DUMMYFUNCTION("SUM(QUERY(Entregas_BD!D:W,""select T where D='""&amp;D369&amp;""'"",1))"),0.0)</f>
        <v>0</v>
      </c>
    </row>
    <row r="370" ht="19.5" customHeight="1">
      <c r="A370" s="75"/>
      <c r="B370" s="85"/>
      <c r="C370" s="9">
        <v>369.0</v>
      </c>
      <c r="D370" s="10" t="s">
        <v>869</v>
      </c>
      <c r="E370" s="10" t="s">
        <v>197</v>
      </c>
      <c r="F370" s="10" t="s">
        <v>243</v>
      </c>
      <c r="G370" s="10" t="s">
        <v>870</v>
      </c>
      <c r="H370" s="45" t="s">
        <v>849</v>
      </c>
      <c r="I370" s="11" t="s">
        <v>41</v>
      </c>
      <c r="J370" s="12"/>
      <c r="K370" s="12"/>
      <c r="L370" s="13"/>
      <c r="M370" s="37"/>
      <c r="N370" s="9">
        <f>IFERROR(__xludf.DUMMYFUNCTION("SUM(QUERY(Entregas_BD!D:L,""select G where D='""&amp;D370&amp;""'"",1))"),0.0)</f>
        <v>0</v>
      </c>
      <c r="O370" s="9">
        <f>IFERROR(__xludf.DUMMYFUNCTION("SUM(QUERY(Entregas_BD!D:L,""select H where D='""&amp;D370&amp;""'"",1))"),0.0)</f>
        <v>0</v>
      </c>
      <c r="P370" s="9">
        <f>IFERROR(__xludf.DUMMYFUNCTION("SUM(QUERY(Entregas_BD!D:L,""select I where D='""&amp;D370&amp;""'"",1))"),0.0)</f>
        <v>0</v>
      </c>
      <c r="Q370" s="9">
        <f>IFERROR(__xludf.DUMMYFUNCTION("SUM(QUERY(Entregas_BD!D:L,""select J where D='""&amp;D370&amp;""'"",1))"),0.0)</f>
        <v>0</v>
      </c>
      <c r="R370" s="15">
        <f>IFERROR(__xludf.DUMMYFUNCTION("SUM(QUERY(Entregas_BD!D:L,""select K where D='""&amp;D370&amp;""'"",1))"),0.0)</f>
        <v>0</v>
      </c>
      <c r="S370" s="15">
        <f>IFERROR(__xludf.DUMMYFUNCTION("SUM(QUERY(Entregas_BD!D:L,""select L where D='""&amp;D370&amp;""'"",1))"),0.0)</f>
        <v>0</v>
      </c>
      <c r="T370" s="9">
        <f>IFERROR(__xludf.DUMMYFUNCTION("SUM(QUERY(Entregas_BD!D:AL,""select AG where D='""&amp;D370&amp;""'"",1))"),0.0)</f>
        <v>0</v>
      </c>
      <c r="U370" s="9">
        <f>IFERROR(__xludf.DUMMYFUNCTION("SUM(QUERY(Entregas_BD!D:AL,""select AH where D='""&amp;D370&amp;""'"",1))"),0.0)</f>
        <v>0</v>
      </c>
      <c r="V370" s="9">
        <f>IFERROR(__xludf.DUMMYFUNCTION("SUM(QUERY(Entregas_BD!D:AL,""select AI where D='""&amp;D370&amp;""'"",1))"),0.0)</f>
        <v>0</v>
      </c>
      <c r="W370" s="9">
        <f>IFERROR(__xludf.DUMMYFUNCTION("SUM(QUERY(Entregas_BD!D:AL,""select AJ where D='""&amp;D370&amp;""'"",1))"),0.0)</f>
        <v>0</v>
      </c>
      <c r="X370" s="9">
        <f>IFERROR(__xludf.DUMMYFUNCTION("SUM(QUERY(Entregas_BD!D:AL,""select AL where D='""&amp;D370&amp;""'"",1))"),0.0)</f>
        <v>0</v>
      </c>
      <c r="Y370" s="9">
        <f>IFERROR(__xludf.DUMMYFUNCTION("SUM(QUERY(Entregas_BD!D:AL,""select AK where D='""&amp;D370&amp;""'"",1))"),0.0)</f>
        <v>0</v>
      </c>
      <c r="Z370" s="9">
        <v>0.0</v>
      </c>
      <c r="AA370" s="9">
        <v>0.0</v>
      </c>
      <c r="AB370" s="9">
        <v>0.0</v>
      </c>
      <c r="AC370" s="9">
        <v>0.0</v>
      </c>
      <c r="AD370" s="9">
        <v>0.0</v>
      </c>
      <c r="AE370" s="9">
        <v>0.0</v>
      </c>
      <c r="AF370" s="37"/>
      <c r="AG370" s="15">
        <f>IFERROR(__xludf.DUMMYFUNCTION("SUM(QUERY(Entregas_BD!D:W,""select U where D='""&amp;D370&amp;""'"",1))"),0.0)</f>
        <v>0</v>
      </c>
      <c r="AH370" s="15">
        <f>IFERROR(__xludf.DUMMYFUNCTION("SUM(QUERY(Entregas_BD!D:W,""select S where D='""&amp;D370&amp;""'"",1))"),0.0)</f>
        <v>0</v>
      </c>
      <c r="AI370" s="15">
        <f>IFERROR(__xludf.DUMMYFUNCTION("SUM(QUERY(Entregas_BD!D:W,""select T where D='""&amp;D370&amp;""'"",1))"),0.0)</f>
        <v>0</v>
      </c>
    </row>
    <row r="371" ht="19.5" customHeight="1">
      <c r="A371" s="83"/>
      <c r="B371" s="84"/>
      <c r="C371" s="19">
        <v>370.0</v>
      </c>
      <c r="D371" s="20" t="s">
        <v>871</v>
      </c>
      <c r="E371" s="20" t="s">
        <v>63</v>
      </c>
      <c r="F371" s="20" t="s">
        <v>872</v>
      </c>
      <c r="G371" s="20" t="s">
        <v>873</v>
      </c>
      <c r="H371" s="44" t="s">
        <v>868</v>
      </c>
      <c r="I371" s="21" t="s">
        <v>41</v>
      </c>
      <c r="J371" s="34"/>
      <c r="K371" s="34"/>
      <c r="L371" s="42"/>
      <c r="M371" s="25"/>
      <c r="N371" s="19">
        <f>IFERROR(__xludf.DUMMYFUNCTION("SUM(QUERY(Entregas_BD!D:L,""select G where D='""&amp;D371&amp;""'"",1))"),0.0)</f>
        <v>0</v>
      </c>
      <c r="O371" s="19">
        <f>IFERROR(__xludf.DUMMYFUNCTION("SUM(QUERY(Entregas_BD!D:L,""select H where D='""&amp;D371&amp;""'"",1))"),0.0)</f>
        <v>0</v>
      </c>
      <c r="P371" s="19">
        <f>IFERROR(__xludf.DUMMYFUNCTION("SUM(QUERY(Entregas_BD!D:L,""select I where D='""&amp;D371&amp;""'"",1))"),0.0)</f>
        <v>0</v>
      </c>
      <c r="Q371" s="19">
        <f>IFERROR(__xludf.DUMMYFUNCTION("SUM(QUERY(Entregas_BD!D:L,""select J where D='""&amp;D371&amp;""'"",1))"),0.0)</f>
        <v>0</v>
      </c>
      <c r="R371" s="24">
        <f>IFERROR(__xludf.DUMMYFUNCTION("SUM(QUERY(Entregas_BD!D:L,""select K where D='""&amp;D371&amp;""'"",1))"),0.0)</f>
        <v>0</v>
      </c>
      <c r="S371" s="24">
        <f>IFERROR(__xludf.DUMMYFUNCTION("SUM(QUERY(Entregas_BD!D:L,""select L where D='""&amp;D371&amp;""'"",1))"),0.0)</f>
        <v>0</v>
      </c>
      <c r="T371" s="19">
        <f>IFERROR(__xludf.DUMMYFUNCTION("SUM(QUERY(Entregas_BD!D:AL,""select AG where D='""&amp;D371&amp;""'"",1))"),0.0)</f>
        <v>0</v>
      </c>
      <c r="U371" s="19">
        <f>IFERROR(__xludf.DUMMYFUNCTION("SUM(QUERY(Entregas_BD!D:AL,""select AH where D='""&amp;D371&amp;""'"",1))"),0.0)</f>
        <v>0</v>
      </c>
      <c r="V371" s="19">
        <f>IFERROR(__xludf.DUMMYFUNCTION("SUM(QUERY(Entregas_BD!D:AL,""select AI where D='""&amp;D371&amp;""'"",1))"),0.0)</f>
        <v>0</v>
      </c>
      <c r="W371" s="19">
        <f>IFERROR(__xludf.DUMMYFUNCTION("SUM(QUERY(Entregas_BD!D:AL,""select AJ where D='""&amp;D371&amp;""'"",1))"),0.0)</f>
        <v>0</v>
      </c>
      <c r="X371" s="19">
        <f>IFERROR(__xludf.DUMMYFUNCTION("SUM(QUERY(Entregas_BD!D:AL,""select AL where D='""&amp;D371&amp;""'"",1))"),0.0)</f>
        <v>0</v>
      </c>
      <c r="Y371" s="19">
        <f>IFERROR(__xludf.DUMMYFUNCTION("SUM(QUERY(Entregas_BD!D:AL,""select AK where D='""&amp;D371&amp;""'"",1))"),0.0)</f>
        <v>0</v>
      </c>
      <c r="Z371" s="19">
        <v>0.0</v>
      </c>
      <c r="AA371" s="19">
        <v>0.0</v>
      </c>
      <c r="AB371" s="19">
        <v>0.0</v>
      </c>
      <c r="AC371" s="19">
        <v>0.0</v>
      </c>
      <c r="AD371" s="19">
        <v>0.0</v>
      </c>
      <c r="AE371" s="19">
        <v>0.0</v>
      </c>
      <c r="AF371" s="25"/>
      <c r="AG371" s="24">
        <f>IFERROR(__xludf.DUMMYFUNCTION("SUM(QUERY(Entregas_BD!D:W,""select U where D='""&amp;D371&amp;""'"",1))"),0.0)</f>
        <v>0</v>
      </c>
      <c r="AH371" s="24">
        <f>IFERROR(__xludf.DUMMYFUNCTION("SUM(QUERY(Entregas_BD!D:W,""select S where D='""&amp;D371&amp;""'"",1))"),0.0)</f>
        <v>0</v>
      </c>
      <c r="AI371" s="24">
        <f>IFERROR(__xludf.DUMMYFUNCTION("SUM(QUERY(Entregas_BD!D:W,""select T where D='""&amp;D371&amp;""'"",1))"),0.0)</f>
        <v>0</v>
      </c>
    </row>
    <row r="372" ht="19.5" customHeight="1">
      <c r="A372" s="75"/>
      <c r="B372" s="85"/>
      <c r="C372" s="9">
        <v>371.0</v>
      </c>
      <c r="D372" s="10" t="s">
        <v>874</v>
      </c>
      <c r="E372" s="10" t="s">
        <v>44</v>
      </c>
      <c r="F372" s="10" t="s">
        <v>571</v>
      </c>
      <c r="G372" s="10" t="s">
        <v>875</v>
      </c>
      <c r="H372" s="12" t="s">
        <v>849</v>
      </c>
      <c r="I372" s="11" t="s">
        <v>41</v>
      </c>
      <c r="J372" s="37"/>
      <c r="K372" s="12"/>
      <c r="L372" s="13"/>
      <c r="M372" s="37"/>
      <c r="N372" s="9">
        <f>IFERROR(__xludf.DUMMYFUNCTION("SUM(QUERY(Entregas_BD!D:L,""select G where D='""&amp;D372&amp;""'"",1))"),0.0)</f>
        <v>0</v>
      </c>
      <c r="O372" s="9">
        <f>IFERROR(__xludf.DUMMYFUNCTION("SUM(QUERY(Entregas_BD!D:L,""select H where D='""&amp;D372&amp;""'"",1))"),0.0)</f>
        <v>0</v>
      </c>
      <c r="P372" s="9">
        <f>IFERROR(__xludf.DUMMYFUNCTION("SUM(QUERY(Entregas_BD!D:L,""select I where D='""&amp;D372&amp;""'"",1))"),0.0)</f>
        <v>0</v>
      </c>
      <c r="Q372" s="9">
        <f>IFERROR(__xludf.DUMMYFUNCTION("SUM(QUERY(Entregas_BD!D:L,""select J where D='""&amp;D372&amp;""'"",1))"),0.0)</f>
        <v>0</v>
      </c>
      <c r="R372" s="15">
        <f>IFERROR(__xludf.DUMMYFUNCTION("SUM(QUERY(Entregas_BD!D:L,""select K where D='""&amp;D372&amp;""'"",1))"),0.0)</f>
        <v>0</v>
      </c>
      <c r="S372" s="15">
        <f>IFERROR(__xludf.DUMMYFUNCTION("SUM(QUERY(Entregas_BD!D:L,""select L where D='""&amp;D372&amp;""'"",1))"),0.0)</f>
        <v>0</v>
      </c>
      <c r="T372" s="9">
        <f>IFERROR(__xludf.DUMMYFUNCTION("SUM(QUERY(Entregas_BD!D:AL,""select AG where D='""&amp;D372&amp;""'"",1))"),0.0)</f>
        <v>0</v>
      </c>
      <c r="U372" s="9">
        <f>IFERROR(__xludf.DUMMYFUNCTION("SUM(QUERY(Entregas_BD!D:AL,""select AH where D='""&amp;D372&amp;""'"",1))"),0.0)</f>
        <v>0</v>
      </c>
      <c r="V372" s="9">
        <f>IFERROR(__xludf.DUMMYFUNCTION("SUM(QUERY(Entregas_BD!D:AL,""select AI where D='""&amp;D372&amp;""'"",1))"),0.0)</f>
        <v>0</v>
      </c>
      <c r="W372" s="9">
        <f>IFERROR(__xludf.DUMMYFUNCTION("SUM(QUERY(Entregas_BD!D:AL,""select AJ where D='""&amp;D372&amp;""'"",1))"),0.0)</f>
        <v>0</v>
      </c>
      <c r="X372" s="9">
        <f>IFERROR(__xludf.DUMMYFUNCTION("SUM(QUERY(Entregas_BD!D:AL,""select AL where D='""&amp;D372&amp;""'"",1))"),0.0)</f>
        <v>0</v>
      </c>
      <c r="Y372" s="9">
        <f>IFERROR(__xludf.DUMMYFUNCTION("SUM(QUERY(Entregas_BD!D:AL,""select AK where D='""&amp;D372&amp;""'"",1))"),0.0)</f>
        <v>0</v>
      </c>
      <c r="Z372" s="9">
        <v>0.0</v>
      </c>
      <c r="AA372" s="9">
        <v>0.0</v>
      </c>
      <c r="AB372" s="9">
        <v>0.0</v>
      </c>
      <c r="AC372" s="9">
        <v>0.0</v>
      </c>
      <c r="AD372" s="9">
        <v>0.0</v>
      </c>
      <c r="AE372" s="9">
        <v>0.0</v>
      </c>
      <c r="AF372" s="37"/>
      <c r="AG372" s="15">
        <f>IFERROR(__xludf.DUMMYFUNCTION("SUM(QUERY(Entregas_BD!D:W,""select U where D='""&amp;D372&amp;""'"",1))"),0.0)</f>
        <v>0</v>
      </c>
      <c r="AH372" s="15">
        <f>IFERROR(__xludf.DUMMYFUNCTION("SUM(QUERY(Entregas_BD!D:W,""select S where D='""&amp;D372&amp;""'"",1))"),0.0)</f>
        <v>0</v>
      </c>
      <c r="AI372" s="15">
        <f>IFERROR(__xludf.DUMMYFUNCTION("SUM(QUERY(Entregas_BD!D:W,""select T where D='""&amp;D372&amp;""'"",1))"),0.0)</f>
        <v>0</v>
      </c>
    </row>
    <row r="373" ht="19.5" customHeight="1">
      <c r="A373" s="83"/>
      <c r="B373" s="84"/>
      <c r="C373" s="19">
        <v>372.0</v>
      </c>
      <c r="D373" s="20" t="s">
        <v>876</v>
      </c>
      <c r="E373" s="20" t="s">
        <v>72</v>
      </c>
      <c r="F373" s="20" t="s">
        <v>571</v>
      </c>
      <c r="G373" s="20" t="s">
        <v>72</v>
      </c>
      <c r="H373" s="34" t="s">
        <v>622</v>
      </c>
      <c r="I373" s="21" t="s">
        <v>41</v>
      </c>
      <c r="J373" s="25"/>
      <c r="K373" s="34"/>
      <c r="L373" s="42"/>
      <c r="M373" s="25"/>
      <c r="N373" s="19">
        <f>IFERROR(__xludf.DUMMYFUNCTION("SUM(QUERY(Entregas_BD!D:L,""select G where D='""&amp;D373&amp;""'"",1))"),0.0)</f>
        <v>0</v>
      </c>
      <c r="O373" s="19">
        <f>IFERROR(__xludf.DUMMYFUNCTION("SUM(QUERY(Entregas_BD!D:L,""select H where D='""&amp;D373&amp;""'"",1))"),0.0)</f>
        <v>0</v>
      </c>
      <c r="P373" s="19">
        <f>IFERROR(__xludf.DUMMYFUNCTION("SUM(QUERY(Entregas_BD!D:L,""select I where D='""&amp;D373&amp;""'"",1))"),0.0)</f>
        <v>0</v>
      </c>
      <c r="Q373" s="19">
        <f>IFERROR(__xludf.DUMMYFUNCTION("SUM(QUERY(Entregas_BD!D:L,""select J where D='""&amp;D373&amp;""'"",1))"),0.0)</f>
        <v>0</v>
      </c>
      <c r="R373" s="24">
        <f>IFERROR(__xludf.DUMMYFUNCTION("SUM(QUERY(Entregas_BD!D:L,""select K where D='""&amp;D373&amp;""'"",1))"),0.0)</f>
        <v>0</v>
      </c>
      <c r="S373" s="24">
        <f>IFERROR(__xludf.DUMMYFUNCTION("SUM(QUERY(Entregas_BD!D:L,""select L where D='""&amp;D373&amp;""'"",1))"),0.0)</f>
        <v>0</v>
      </c>
      <c r="T373" s="19">
        <f>IFERROR(__xludf.DUMMYFUNCTION("SUM(QUERY(Entregas_BD!D:AL,""select AG where D='""&amp;D373&amp;""'"",1))"),0.0)</f>
        <v>0</v>
      </c>
      <c r="U373" s="19">
        <f>IFERROR(__xludf.DUMMYFUNCTION("SUM(QUERY(Entregas_BD!D:AL,""select AH where D='""&amp;D373&amp;""'"",1))"),0.0)</f>
        <v>0</v>
      </c>
      <c r="V373" s="19">
        <f>IFERROR(__xludf.DUMMYFUNCTION("SUM(QUERY(Entregas_BD!D:AL,""select AI where D='""&amp;D373&amp;""'"",1))"),0.0)</f>
        <v>0</v>
      </c>
      <c r="W373" s="19">
        <f>IFERROR(__xludf.DUMMYFUNCTION("SUM(QUERY(Entregas_BD!D:AL,""select AJ where D='""&amp;D373&amp;""'"",1))"),0.0)</f>
        <v>0</v>
      </c>
      <c r="X373" s="19">
        <f>IFERROR(__xludf.DUMMYFUNCTION("SUM(QUERY(Entregas_BD!D:AL,""select AL where D='""&amp;D373&amp;""'"",1))"),0.0)</f>
        <v>0</v>
      </c>
      <c r="Y373" s="19">
        <f>IFERROR(__xludf.DUMMYFUNCTION("SUM(QUERY(Entregas_BD!D:AL,""select AK where D='""&amp;D373&amp;""'"",1))"),0.0)</f>
        <v>0</v>
      </c>
      <c r="Z373" s="19">
        <v>0.0</v>
      </c>
      <c r="AA373" s="19">
        <v>0.0</v>
      </c>
      <c r="AB373" s="19">
        <v>0.0</v>
      </c>
      <c r="AC373" s="19">
        <v>0.0</v>
      </c>
      <c r="AD373" s="19">
        <v>0.0</v>
      </c>
      <c r="AE373" s="19">
        <v>0.0</v>
      </c>
      <c r="AF373" s="25"/>
      <c r="AG373" s="24">
        <f>IFERROR(__xludf.DUMMYFUNCTION("SUM(QUERY(Entregas_BD!D:W,""select U where D='""&amp;D373&amp;""'"",1))"),0.0)</f>
        <v>0</v>
      </c>
      <c r="AH373" s="24">
        <f>IFERROR(__xludf.DUMMYFUNCTION("SUM(QUERY(Entregas_BD!D:W,""select S where D='""&amp;D373&amp;""'"",1))"),0.0)</f>
        <v>0</v>
      </c>
      <c r="AI373" s="24">
        <f>IFERROR(__xludf.DUMMYFUNCTION("SUM(QUERY(Entregas_BD!D:W,""select T where D='""&amp;D373&amp;""'"",1))"),0.0)</f>
        <v>0</v>
      </c>
    </row>
    <row r="374" ht="19.5" customHeight="1">
      <c r="A374" s="75"/>
      <c r="B374" s="85"/>
      <c r="C374" s="9">
        <v>373.0</v>
      </c>
      <c r="D374" s="10" t="s">
        <v>877</v>
      </c>
      <c r="E374" s="10" t="s">
        <v>197</v>
      </c>
      <c r="F374" s="10" t="s">
        <v>243</v>
      </c>
      <c r="G374" s="10" t="s">
        <v>878</v>
      </c>
      <c r="H374" s="12" t="s">
        <v>622</v>
      </c>
      <c r="I374" s="11" t="s">
        <v>41</v>
      </c>
      <c r="J374" s="45"/>
      <c r="K374" s="12"/>
      <c r="L374" s="13"/>
      <c r="M374" s="37"/>
      <c r="N374" s="9">
        <f>IFERROR(__xludf.DUMMYFUNCTION("SUM(QUERY(Entregas_BD!D:L,""select G where D='""&amp;D374&amp;""'"",1))"),0.0)</f>
        <v>0</v>
      </c>
      <c r="O374" s="9">
        <f>IFERROR(__xludf.DUMMYFUNCTION("SUM(QUERY(Entregas_BD!D:L,""select H where D='""&amp;D374&amp;""'"",1))"),0.0)</f>
        <v>0</v>
      </c>
      <c r="P374" s="9">
        <f>IFERROR(__xludf.DUMMYFUNCTION("SUM(QUERY(Entregas_BD!D:L,""select I where D='""&amp;D374&amp;""'"",1))"),0.0)</f>
        <v>0</v>
      </c>
      <c r="Q374" s="9">
        <f>IFERROR(__xludf.DUMMYFUNCTION("SUM(QUERY(Entregas_BD!D:L,""select J where D='""&amp;D374&amp;""'"",1))"),0.0)</f>
        <v>0</v>
      </c>
      <c r="R374" s="15">
        <f>IFERROR(__xludf.DUMMYFUNCTION("SUM(QUERY(Entregas_BD!D:L,""select K where D='""&amp;D374&amp;""'"",1))"),0.0)</f>
        <v>0</v>
      </c>
      <c r="S374" s="15">
        <f>IFERROR(__xludf.DUMMYFUNCTION("SUM(QUERY(Entregas_BD!D:L,""select L where D='""&amp;D374&amp;""'"",1))"),0.0)</f>
        <v>0</v>
      </c>
      <c r="T374" s="9">
        <f>IFERROR(__xludf.DUMMYFUNCTION("SUM(QUERY(Entregas_BD!D:AL,""select AG where D='""&amp;D374&amp;""'"",1))"),0.0)</f>
        <v>0</v>
      </c>
      <c r="U374" s="9">
        <f>IFERROR(__xludf.DUMMYFUNCTION("SUM(QUERY(Entregas_BD!D:AL,""select AH where D='""&amp;D374&amp;""'"",1))"),0.0)</f>
        <v>0</v>
      </c>
      <c r="V374" s="9">
        <f>IFERROR(__xludf.DUMMYFUNCTION("SUM(QUERY(Entregas_BD!D:AL,""select AI where D='""&amp;D374&amp;""'"",1))"),0.0)</f>
        <v>0</v>
      </c>
      <c r="W374" s="9">
        <f>IFERROR(__xludf.DUMMYFUNCTION("SUM(QUERY(Entregas_BD!D:AL,""select AJ where D='""&amp;D374&amp;""'"",1))"),0.0)</f>
        <v>0</v>
      </c>
      <c r="X374" s="9">
        <f>IFERROR(__xludf.DUMMYFUNCTION("SUM(QUERY(Entregas_BD!D:AL,""select AL where D='""&amp;D374&amp;""'"",1))"),0.0)</f>
        <v>0</v>
      </c>
      <c r="Y374" s="9">
        <f>IFERROR(__xludf.DUMMYFUNCTION("SUM(QUERY(Entregas_BD!D:AL,""select AK where D='""&amp;D374&amp;""'"",1))"),0.0)</f>
        <v>0</v>
      </c>
      <c r="Z374" s="9">
        <v>0.0</v>
      </c>
      <c r="AA374" s="9">
        <v>0.0</v>
      </c>
      <c r="AB374" s="9">
        <v>0.0</v>
      </c>
      <c r="AC374" s="9">
        <v>0.0</v>
      </c>
      <c r="AD374" s="9">
        <v>0.0</v>
      </c>
      <c r="AE374" s="9">
        <v>0.0</v>
      </c>
      <c r="AF374" s="37"/>
      <c r="AG374" s="15">
        <f>IFERROR(__xludf.DUMMYFUNCTION("SUM(QUERY(Entregas_BD!D:W,""select U where D='""&amp;D374&amp;""'"",1))"),0.0)</f>
        <v>0</v>
      </c>
      <c r="AH374" s="15">
        <f>IFERROR(__xludf.DUMMYFUNCTION("SUM(QUERY(Entregas_BD!D:W,""select S where D='""&amp;D374&amp;""'"",1))"),0.0)</f>
        <v>0</v>
      </c>
      <c r="AI374" s="15">
        <f>IFERROR(__xludf.DUMMYFUNCTION("SUM(QUERY(Entregas_BD!D:W,""select T where D='""&amp;D374&amp;""'"",1))"),0.0)</f>
        <v>0</v>
      </c>
    </row>
    <row r="375" ht="19.5" customHeight="1">
      <c r="A375" s="83"/>
      <c r="B375" s="84"/>
      <c r="C375" s="19">
        <v>374.0</v>
      </c>
      <c r="D375" s="20" t="s">
        <v>879</v>
      </c>
      <c r="E375" s="20" t="s">
        <v>44</v>
      </c>
      <c r="F375" s="20" t="s">
        <v>45</v>
      </c>
      <c r="G375" s="20" t="s">
        <v>356</v>
      </c>
      <c r="H375" s="44" t="s">
        <v>770</v>
      </c>
      <c r="I375" s="21" t="s">
        <v>41</v>
      </c>
      <c r="J375" s="44"/>
      <c r="K375" s="34"/>
      <c r="L375" s="42"/>
      <c r="M375" s="25"/>
      <c r="N375" s="19">
        <f>IFERROR(__xludf.DUMMYFUNCTION("SUM(QUERY(Entregas_BD!D:L,""select G where D='""&amp;D375&amp;""'"",1))"),0.0)</f>
        <v>0</v>
      </c>
      <c r="O375" s="19">
        <f>IFERROR(__xludf.DUMMYFUNCTION("SUM(QUERY(Entregas_BD!D:L,""select H where D='""&amp;D375&amp;""'"",1))"),0.0)</f>
        <v>0</v>
      </c>
      <c r="P375" s="19">
        <f>IFERROR(__xludf.DUMMYFUNCTION("SUM(QUERY(Entregas_BD!D:L,""select I where D='""&amp;D375&amp;""'"",1))"),0.0)</f>
        <v>0</v>
      </c>
      <c r="Q375" s="19">
        <f>IFERROR(__xludf.DUMMYFUNCTION("SUM(QUERY(Entregas_BD!D:L,""select J where D='""&amp;D375&amp;""'"",1))"),0.0)</f>
        <v>0</v>
      </c>
      <c r="R375" s="24">
        <f>IFERROR(__xludf.DUMMYFUNCTION("SUM(QUERY(Entregas_BD!D:L,""select K where D='""&amp;D375&amp;""'"",1))"),0.0)</f>
        <v>0</v>
      </c>
      <c r="S375" s="24">
        <f>IFERROR(__xludf.DUMMYFUNCTION("SUM(QUERY(Entregas_BD!D:L,""select L where D='""&amp;D375&amp;""'"",1))"),0.0)</f>
        <v>0</v>
      </c>
      <c r="T375" s="19">
        <f>IFERROR(__xludf.DUMMYFUNCTION("SUM(QUERY(Entregas_BD!D:AL,""select AG where D='""&amp;D375&amp;""'"",1))"),15.0)</f>
        <v>15</v>
      </c>
      <c r="U375" s="19">
        <f>IFERROR(__xludf.DUMMYFUNCTION("SUM(QUERY(Entregas_BD!D:AL,""select AH where D='""&amp;D375&amp;""'"",1))"),0.0)</f>
        <v>0</v>
      </c>
      <c r="V375" s="19">
        <f>IFERROR(__xludf.DUMMYFUNCTION("SUM(QUERY(Entregas_BD!D:AL,""select AI where D='""&amp;D375&amp;""'"",1))"),0.0)</f>
        <v>0</v>
      </c>
      <c r="W375" s="19">
        <f>IFERROR(__xludf.DUMMYFUNCTION("SUM(QUERY(Entregas_BD!D:AL,""select AJ where D='""&amp;D375&amp;""'"",1))"),0.0)</f>
        <v>0</v>
      </c>
      <c r="X375" s="19">
        <f>IFERROR(__xludf.DUMMYFUNCTION("SUM(QUERY(Entregas_BD!D:AL,""select AL where D='""&amp;D375&amp;""'"",1))"),0.0)</f>
        <v>0</v>
      </c>
      <c r="Y375" s="19">
        <f>IFERROR(__xludf.DUMMYFUNCTION("SUM(QUERY(Entregas_BD!D:AL,""select AK where D='""&amp;D375&amp;""'"",1))"),0.0)</f>
        <v>0</v>
      </c>
      <c r="Z375" s="19">
        <v>-15.0</v>
      </c>
      <c r="AA375" s="19">
        <v>0.0</v>
      </c>
      <c r="AB375" s="19">
        <v>0.0</v>
      </c>
      <c r="AC375" s="19">
        <v>0.0</v>
      </c>
      <c r="AD375" s="19">
        <v>0.0</v>
      </c>
      <c r="AE375" s="19">
        <v>0.0</v>
      </c>
      <c r="AF375" s="25"/>
      <c r="AG375" s="24">
        <f>IFERROR(__xludf.DUMMYFUNCTION("SUM(QUERY(Entregas_BD!D:W,""select U where D='""&amp;D375&amp;""'"",1))"),0.0)</f>
        <v>0</v>
      </c>
      <c r="AH375" s="24">
        <f>IFERROR(__xludf.DUMMYFUNCTION("SUM(QUERY(Entregas_BD!D:W,""select S where D='""&amp;D375&amp;""'"",1))"),0.0)</f>
        <v>0</v>
      </c>
      <c r="AI375" s="24">
        <f>IFERROR(__xludf.DUMMYFUNCTION("SUM(QUERY(Entregas_BD!D:W,""select T where D='""&amp;D375&amp;""'"",1))"),0.0)</f>
        <v>0</v>
      </c>
    </row>
    <row r="376" ht="19.5" customHeight="1">
      <c r="A376" s="86"/>
      <c r="B376" s="85"/>
      <c r="C376" s="9">
        <v>375.0</v>
      </c>
      <c r="D376" s="10" t="s">
        <v>880</v>
      </c>
      <c r="E376" s="10" t="s">
        <v>58</v>
      </c>
      <c r="F376" s="10" t="s">
        <v>45</v>
      </c>
      <c r="G376" s="10" t="s">
        <v>218</v>
      </c>
      <c r="H376" s="45" t="s">
        <v>868</v>
      </c>
      <c r="I376" s="11" t="s">
        <v>41</v>
      </c>
      <c r="J376" s="45"/>
      <c r="K376" s="12"/>
      <c r="L376" s="13"/>
      <c r="M376" s="37"/>
      <c r="N376" s="9">
        <f>IFERROR(__xludf.DUMMYFUNCTION("SUM(QUERY(Entregas_BD!D:L,""select G where D='""&amp;D376&amp;""'"",1))"),0.0)</f>
        <v>0</v>
      </c>
      <c r="O376" s="9">
        <f>IFERROR(__xludf.DUMMYFUNCTION("SUM(QUERY(Entregas_BD!D:L,""select H where D='""&amp;D376&amp;""'"",1))"),0.0)</f>
        <v>0</v>
      </c>
      <c r="P376" s="9">
        <f>IFERROR(__xludf.DUMMYFUNCTION("SUM(QUERY(Entregas_BD!D:L,""select I where D='""&amp;D376&amp;""'"",1))"),0.0)</f>
        <v>0</v>
      </c>
      <c r="Q376" s="9">
        <f>IFERROR(__xludf.DUMMYFUNCTION("SUM(QUERY(Entregas_BD!D:L,""select J where D='""&amp;D376&amp;""'"",1))"),0.0)</f>
        <v>0</v>
      </c>
      <c r="R376" s="15">
        <f>IFERROR(__xludf.DUMMYFUNCTION("SUM(QUERY(Entregas_BD!D:L,""select K where D='""&amp;D376&amp;""'"",1))"),0.0)</f>
        <v>0</v>
      </c>
      <c r="S376" s="15">
        <f>IFERROR(__xludf.DUMMYFUNCTION("SUM(QUERY(Entregas_BD!D:L,""select L where D='""&amp;D376&amp;""'"",1))"),0.0)</f>
        <v>0</v>
      </c>
      <c r="T376" s="9">
        <f>IFERROR(__xludf.DUMMYFUNCTION("SUM(QUERY(Entregas_BD!D:AL,""select AG where D='""&amp;D376&amp;""'"",1))"),0.0)</f>
        <v>0</v>
      </c>
      <c r="U376" s="9">
        <f>IFERROR(__xludf.DUMMYFUNCTION("SUM(QUERY(Entregas_BD!D:AL,""select AH where D='""&amp;D376&amp;""'"",1))"),0.0)</f>
        <v>0</v>
      </c>
      <c r="V376" s="9">
        <f>IFERROR(__xludf.DUMMYFUNCTION("SUM(QUERY(Entregas_BD!D:AL,""select AI where D='""&amp;D376&amp;""'"",1))"),0.0)</f>
        <v>0</v>
      </c>
      <c r="W376" s="9">
        <f>IFERROR(__xludf.DUMMYFUNCTION("SUM(QUERY(Entregas_BD!D:AL,""select AJ where D='""&amp;D376&amp;""'"",1))"),0.0)</f>
        <v>0</v>
      </c>
      <c r="X376" s="9">
        <f>IFERROR(__xludf.DUMMYFUNCTION("SUM(QUERY(Entregas_BD!D:AL,""select AL where D='""&amp;D376&amp;""'"",1))"),0.0)</f>
        <v>0</v>
      </c>
      <c r="Y376" s="9">
        <f>IFERROR(__xludf.DUMMYFUNCTION("SUM(QUERY(Entregas_BD!D:AL,""select AK where D='""&amp;D376&amp;""'"",1))"),0.0)</f>
        <v>0</v>
      </c>
      <c r="Z376" s="9">
        <v>0.0</v>
      </c>
      <c r="AA376" s="9">
        <v>0.0</v>
      </c>
      <c r="AB376" s="9">
        <v>0.0</v>
      </c>
      <c r="AC376" s="9">
        <v>0.0</v>
      </c>
      <c r="AD376" s="9">
        <v>0.0</v>
      </c>
      <c r="AE376" s="9">
        <v>0.0</v>
      </c>
      <c r="AF376" s="37"/>
      <c r="AG376" s="15">
        <f>IFERROR(__xludf.DUMMYFUNCTION("SUM(QUERY(Entregas_BD!D:W,""select U where D='""&amp;D376&amp;""'"",1))"),0.0)</f>
        <v>0</v>
      </c>
      <c r="AH376" s="15">
        <f>IFERROR(__xludf.DUMMYFUNCTION("SUM(QUERY(Entregas_BD!D:W,""select S where D='""&amp;D376&amp;""'"",1))"),0.0)</f>
        <v>0</v>
      </c>
      <c r="AI376" s="15">
        <f>IFERROR(__xludf.DUMMYFUNCTION("SUM(QUERY(Entregas_BD!D:W,""select T where D='""&amp;D376&amp;""'"",1))"),0.0)</f>
        <v>0</v>
      </c>
    </row>
    <row r="377" ht="19.5" customHeight="1">
      <c r="A377" s="87"/>
      <c r="B377" s="84"/>
      <c r="C377" s="19">
        <v>376.0</v>
      </c>
      <c r="D377" s="20" t="s">
        <v>881</v>
      </c>
      <c r="E377" s="20" t="s">
        <v>44</v>
      </c>
      <c r="F377" s="20" t="s">
        <v>45</v>
      </c>
      <c r="G377" s="20" t="s">
        <v>882</v>
      </c>
      <c r="H377" s="44" t="s">
        <v>883</v>
      </c>
      <c r="I377" s="21" t="s">
        <v>47</v>
      </c>
      <c r="J377" s="44"/>
      <c r="K377" s="34"/>
      <c r="L377" s="42"/>
      <c r="M377" s="25"/>
      <c r="N377" s="19">
        <f>IFERROR(__xludf.DUMMYFUNCTION("SUM(QUERY(Entregas_BD!D:L,""select G where D='""&amp;D377&amp;""'"",1))"),0.0)</f>
        <v>0</v>
      </c>
      <c r="O377" s="19">
        <f>IFERROR(__xludf.DUMMYFUNCTION("SUM(QUERY(Entregas_BD!D:L,""select H where D='""&amp;D377&amp;""'"",1))"),0.0)</f>
        <v>0</v>
      </c>
      <c r="P377" s="19">
        <f>IFERROR(__xludf.DUMMYFUNCTION("SUM(QUERY(Entregas_BD!D:L,""select I where D='""&amp;D377&amp;""'"",1))"),0.0)</f>
        <v>0</v>
      </c>
      <c r="Q377" s="19">
        <f>IFERROR(__xludf.DUMMYFUNCTION("SUM(QUERY(Entregas_BD!D:L,""select J where D='""&amp;D377&amp;""'"",1))"),0.0)</f>
        <v>0</v>
      </c>
      <c r="R377" s="24">
        <f>IFERROR(__xludf.DUMMYFUNCTION("SUM(QUERY(Entregas_BD!D:L,""select K where D='""&amp;D377&amp;""'"",1))"),0.0)</f>
        <v>0</v>
      </c>
      <c r="S377" s="24">
        <f>IFERROR(__xludf.DUMMYFUNCTION("SUM(QUERY(Entregas_BD!D:L,""select L where D='""&amp;D377&amp;""'"",1))"),0.0)</f>
        <v>0</v>
      </c>
      <c r="T377" s="19">
        <f>IFERROR(__xludf.DUMMYFUNCTION("SUM(QUERY(Entregas_BD!D:AL,""select AG where D='""&amp;D377&amp;""'"",1))"),0.0)</f>
        <v>0</v>
      </c>
      <c r="U377" s="19">
        <f>IFERROR(__xludf.DUMMYFUNCTION("SUM(QUERY(Entregas_BD!D:AL,""select AH where D='""&amp;D377&amp;""'"",1))"),0.0)</f>
        <v>0</v>
      </c>
      <c r="V377" s="19">
        <f>IFERROR(__xludf.DUMMYFUNCTION("SUM(QUERY(Entregas_BD!D:AL,""select AI where D='""&amp;D377&amp;""'"",1))"),0.0)</f>
        <v>0</v>
      </c>
      <c r="W377" s="19">
        <f>IFERROR(__xludf.DUMMYFUNCTION("SUM(QUERY(Entregas_BD!D:AL,""select AJ where D='""&amp;D377&amp;""'"",1))"),0.0)</f>
        <v>0</v>
      </c>
      <c r="X377" s="19">
        <f>IFERROR(__xludf.DUMMYFUNCTION("SUM(QUERY(Entregas_BD!D:AL,""select AL where D='""&amp;D377&amp;""'"",1))"),0.0)</f>
        <v>0</v>
      </c>
      <c r="Y377" s="19">
        <f>IFERROR(__xludf.DUMMYFUNCTION("SUM(QUERY(Entregas_BD!D:AL,""select AK where D='""&amp;D377&amp;""'"",1))"),0.0)</f>
        <v>0</v>
      </c>
      <c r="Z377" s="19">
        <v>0.0</v>
      </c>
      <c r="AA377" s="19">
        <v>0.0</v>
      </c>
      <c r="AB377" s="19">
        <v>0.0</v>
      </c>
      <c r="AC377" s="19">
        <v>0.0</v>
      </c>
      <c r="AD377" s="19">
        <v>0.0</v>
      </c>
      <c r="AE377" s="19">
        <v>0.0</v>
      </c>
      <c r="AF377" s="25"/>
      <c r="AG377" s="24">
        <f>IFERROR(__xludf.DUMMYFUNCTION("SUM(QUERY(Entregas_BD!D:W,""select U where D='""&amp;D377&amp;""'"",1))"),0.0)</f>
        <v>0</v>
      </c>
      <c r="AH377" s="24">
        <f>IFERROR(__xludf.DUMMYFUNCTION("SUM(QUERY(Entregas_BD!D:W,""select S where D='""&amp;D377&amp;""'"",1))"),0.0)</f>
        <v>0</v>
      </c>
      <c r="AI377" s="24">
        <f>IFERROR(__xludf.DUMMYFUNCTION("SUM(QUERY(Entregas_BD!D:W,""select T where D='""&amp;D377&amp;""'"",1))"),0.0)</f>
        <v>0</v>
      </c>
    </row>
    <row r="378" ht="19.5" customHeight="1">
      <c r="A378" s="88"/>
      <c r="B378" s="89"/>
      <c r="C378" s="9">
        <v>377.0</v>
      </c>
      <c r="D378" s="43" t="s">
        <v>884</v>
      </c>
      <c r="E378" s="10" t="s">
        <v>72</v>
      </c>
      <c r="F378" s="10" t="s">
        <v>45</v>
      </c>
      <c r="G378" s="10" t="s">
        <v>149</v>
      </c>
      <c r="H378" s="12" t="s">
        <v>849</v>
      </c>
      <c r="I378" s="11" t="s">
        <v>41</v>
      </c>
      <c r="J378" s="45"/>
      <c r="K378" s="12"/>
      <c r="L378" s="13"/>
      <c r="M378" s="45"/>
      <c r="N378" s="9">
        <f>IFERROR(__xludf.DUMMYFUNCTION("SUM(QUERY(Entregas_BD!D:L,""select G where D='""&amp;D378&amp;""'"",1))"),0.0)</f>
        <v>0</v>
      </c>
      <c r="O378" s="9">
        <f>IFERROR(__xludf.DUMMYFUNCTION("SUM(QUERY(Entregas_BD!D:L,""select H where D='""&amp;D378&amp;""'"",1))"),0.0)</f>
        <v>0</v>
      </c>
      <c r="P378" s="9">
        <f>IFERROR(__xludf.DUMMYFUNCTION("SUM(QUERY(Entregas_BD!D:L,""select I where D='""&amp;D378&amp;""'"",1))"),0.0)</f>
        <v>0</v>
      </c>
      <c r="Q378" s="9">
        <f>IFERROR(__xludf.DUMMYFUNCTION("SUM(QUERY(Entregas_BD!D:L,""select J where D='""&amp;D378&amp;""'"",1))"),0.0)</f>
        <v>0</v>
      </c>
      <c r="R378" s="15">
        <f>IFERROR(__xludf.DUMMYFUNCTION("SUM(QUERY(Entregas_BD!D:L,""select K where D='""&amp;D378&amp;""'"",1))"),0.0)</f>
        <v>0</v>
      </c>
      <c r="S378" s="15">
        <f>IFERROR(__xludf.DUMMYFUNCTION("SUM(QUERY(Entregas_BD!D:L,""select L where D='""&amp;D378&amp;""'"",1))"),0.0)</f>
        <v>0</v>
      </c>
      <c r="T378" s="9">
        <f>IFERROR(__xludf.DUMMYFUNCTION("SUM(QUERY(Entregas_BD!D:AL,""select AG where D='""&amp;D378&amp;""'"",1))"),100.0)</f>
        <v>100</v>
      </c>
      <c r="U378" s="9">
        <f>IFERROR(__xludf.DUMMYFUNCTION("SUM(QUERY(Entregas_BD!D:AL,""select AH where D='""&amp;D378&amp;""'"",1))"),0.0)</f>
        <v>0</v>
      </c>
      <c r="V378" s="9">
        <f>IFERROR(__xludf.DUMMYFUNCTION("SUM(QUERY(Entregas_BD!D:AL,""select AI where D='""&amp;D378&amp;""'"",1))"),0.0)</f>
        <v>0</v>
      </c>
      <c r="W378" s="9">
        <f>IFERROR(__xludf.DUMMYFUNCTION("SUM(QUERY(Entregas_BD!D:AL,""select AJ where D='""&amp;D378&amp;""'"",1))"),0.0)</f>
        <v>0</v>
      </c>
      <c r="X378" s="9">
        <f>IFERROR(__xludf.DUMMYFUNCTION("SUM(QUERY(Entregas_BD!D:AL,""select AL where D='""&amp;D378&amp;""'"",1))"),0.0)</f>
        <v>0</v>
      </c>
      <c r="Y378" s="9">
        <f>IFERROR(__xludf.DUMMYFUNCTION("SUM(QUERY(Entregas_BD!D:AL,""select AK where D='""&amp;D378&amp;""'"",1))"),0.0)</f>
        <v>0</v>
      </c>
      <c r="Z378" s="9">
        <v>-100.0</v>
      </c>
      <c r="AA378" s="9">
        <v>0.0</v>
      </c>
      <c r="AB378" s="9">
        <v>0.0</v>
      </c>
      <c r="AC378" s="9">
        <v>0.0</v>
      </c>
      <c r="AD378" s="9">
        <v>0.0</v>
      </c>
      <c r="AE378" s="9">
        <v>0.0</v>
      </c>
      <c r="AF378" s="37"/>
      <c r="AG378" s="15">
        <f>IFERROR(__xludf.DUMMYFUNCTION("SUM(QUERY(Entregas_BD!D:W,""select U where D='""&amp;D378&amp;""'"",1))"),0.0)</f>
        <v>0</v>
      </c>
      <c r="AH378" s="15">
        <f>IFERROR(__xludf.DUMMYFUNCTION("SUM(QUERY(Entregas_BD!D:W,""select S where D='""&amp;D378&amp;""'"",1))"),0.0)</f>
        <v>0</v>
      </c>
      <c r="AI378" s="15">
        <f>IFERROR(__xludf.DUMMYFUNCTION("SUM(QUERY(Entregas_BD!D:W,""select T where D='""&amp;D378&amp;""'"",1))"),0.0)</f>
        <v>0</v>
      </c>
    </row>
    <row r="379" ht="19.5" customHeight="1">
      <c r="A379" s="90"/>
      <c r="B379" s="91"/>
      <c r="C379" s="19">
        <v>378.0</v>
      </c>
      <c r="D379" s="92" t="s">
        <v>885</v>
      </c>
      <c r="E379" s="20" t="s">
        <v>58</v>
      </c>
      <c r="F379" s="20" t="s">
        <v>45</v>
      </c>
      <c r="G379" s="20" t="s">
        <v>600</v>
      </c>
      <c r="H379" s="44" t="s">
        <v>886</v>
      </c>
      <c r="I379" s="21" t="s">
        <v>41</v>
      </c>
      <c r="J379" s="44"/>
      <c r="K379" s="34"/>
      <c r="L379" s="42"/>
      <c r="M379" s="44"/>
      <c r="N379" s="19">
        <f>IFERROR(__xludf.DUMMYFUNCTION("SUM(QUERY(Entregas_BD!D:L,""select G where D='""&amp;D379&amp;""'"",1))"),0.0)</f>
        <v>0</v>
      </c>
      <c r="O379" s="19">
        <f>IFERROR(__xludf.DUMMYFUNCTION("SUM(QUERY(Entregas_BD!D:L,""select H where D='""&amp;D379&amp;""'"",1))"),0.0)</f>
        <v>0</v>
      </c>
      <c r="P379" s="19">
        <f>IFERROR(__xludf.DUMMYFUNCTION("SUM(QUERY(Entregas_BD!D:L,""select I where D='""&amp;D379&amp;""'"",1))"),0.0)</f>
        <v>0</v>
      </c>
      <c r="Q379" s="19">
        <f>IFERROR(__xludf.DUMMYFUNCTION("SUM(QUERY(Entregas_BD!D:L,""select J where D='""&amp;D379&amp;""'"",1))"),0.0)</f>
        <v>0</v>
      </c>
      <c r="R379" s="24">
        <f>IFERROR(__xludf.DUMMYFUNCTION("SUM(QUERY(Entregas_BD!D:L,""select K where D='""&amp;D379&amp;""'"",1))"),0.0)</f>
        <v>0</v>
      </c>
      <c r="S379" s="24">
        <f>IFERROR(__xludf.DUMMYFUNCTION("SUM(QUERY(Entregas_BD!D:L,""select L where D='""&amp;D379&amp;""'"",1))"),0.0)</f>
        <v>0</v>
      </c>
      <c r="T379" s="19">
        <f>IFERROR(__xludf.DUMMYFUNCTION("SUM(QUERY(Entregas_BD!D:AL,""select AG where D='""&amp;D379&amp;""'"",1))"),40.0)</f>
        <v>40</v>
      </c>
      <c r="U379" s="19">
        <f>IFERROR(__xludf.DUMMYFUNCTION("SUM(QUERY(Entregas_BD!D:AL,""select AH where D='""&amp;D379&amp;""'"",1))"),0.0)</f>
        <v>0</v>
      </c>
      <c r="V379" s="19">
        <f>IFERROR(__xludf.DUMMYFUNCTION("SUM(QUERY(Entregas_BD!D:AL,""select AI where D='""&amp;D379&amp;""'"",1))"),0.0)</f>
        <v>0</v>
      </c>
      <c r="W379" s="19">
        <f>IFERROR(__xludf.DUMMYFUNCTION("SUM(QUERY(Entregas_BD!D:AL,""select AJ where D='""&amp;D379&amp;""'"",1))"),0.0)</f>
        <v>0</v>
      </c>
      <c r="X379" s="19">
        <f>IFERROR(__xludf.DUMMYFUNCTION("SUM(QUERY(Entregas_BD!D:AL,""select AL where D='""&amp;D379&amp;""'"",1))"),0.0)</f>
        <v>0</v>
      </c>
      <c r="Y379" s="19">
        <f>IFERROR(__xludf.DUMMYFUNCTION("SUM(QUERY(Entregas_BD!D:AL,""select AK where D='""&amp;D379&amp;""'"",1))"),0.0)</f>
        <v>0</v>
      </c>
      <c r="Z379" s="19">
        <v>-40.0</v>
      </c>
      <c r="AA379" s="19">
        <v>0.0</v>
      </c>
      <c r="AB379" s="19">
        <v>0.0</v>
      </c>
      <c r="AC379" s="19">
        <v>0.0</v>
      </c>
      <c r="AD379" s="19">
        <v>0.0</v>
      </c>
      <c r="AE379" s="19">
        <v>0.0</v>
      </c>
      <c r="AF379" s="25"/>
      <c r="AG379" s="24">
        <f>IFERROR(__xludf.DUMMYFUNCTION("SUM(QUERY(Entregas_BD!D:W,""select U where D='""&amp;D379&amp;""'"",1))"),0.0)</f>
        <v>0</v>
      </c>
      <c r="AH379" s="24">
        <f>IFERROR(__xludf.DUMMYFUNCTION("SUM(QUERY(Entregas_BD!D:W,""select S where D='""&amp;D379&amp;""'"",1))"),0.0)</f>
        <v>0</v>
      </c>
      <c r="AI379" s="24">
        <f>IFERROR(__xludf.DUMMYFUNCTION("SUM(QUERY(Entregas_BD!D:W,""select T where D='""&amp;D379&amp;""'"",1))"),0.0)</f>
        <v>0</v>
      </c>
    </row>
    <row r="380" ht="19.5" customHeight="1">
      <c r="A380" s="88"/>
      <c r="B380" s="89"/>
      <c r="C380" s="9">
        <v>379.0</v>
      </c>
      <c r="D380" s="43" t="s">
        <v>887</v>
      </c>
      <c r="E380" s="10" t="s">
        <v>63</v>
      </c>
      <c r="F380" s="10" t="s">
        <v>888</v>
      </c>
      <c r="G380" s="10" t="s">
        <v>889</v>
      </c>
      <c r="H380" s="45" t="s">
        <v>845</v>
      </c>
      <c r="I380" s="11" t="s">
        <v>41</v>
      </c>
      <c r="J380" s="45"/>
      <c r="K380" s="12"/>
      <c r="L380" s="13"/>
      <c r="M380" s="45"/>
      <c r="N380" s="9">
        <f>IFERROR(__xludf.DUMMYFUNCTION("SUM(QUERY(Entregas_BD!D:L,""select G where D='""&amp;D380&amp;""'"",1))"),0.0)</f>
        <v>0</v>
      </c>
      <c r="O380" s="9">
        <f>IFERROR(__xludf.DUMMYFUNCTION("SUM(QUERY(Entregas_BD!D:L,""select H where D='""&amp;D380&amp;""'"",1))"),0.0)</f>
        <v>0</v>
      </c>
      <c r="P380" s="9">
        <f>IFERROR(__xludf.DUMMYFUNCTION("SUM(QUERY(Entregas_BD!D:L,""select I where D='""&amp;D380&amp;""'"",1))"),0.0)</f>
        <v>0</v>
      </c>
      <c r="Q380" s="9">
        <f>IFERROR(__xludf.DUMMYFUNCTION("SUM(QUERY(Entregas_BD!D:L,""select J where D='""&amp;D380&amp;""'"",1))"),0.0)</f>
        <v>0</v>
      </c>
      <c r="R380" s="15">
        <f>IFERROR(__xludf.DUMMYFUNCTION("SUM(QUERY(Entregas_BD!D:L,""select K where D='""&amp;D380&amp;""'"",1))"),0.0)</f>
        <v>0</v>
      </c>
      <c r="S380" s="15">
        <f>IFERROR(__xludf.DUMMYFUNCTION("SUM(QUERY(Entregas_BD!D:L,""select L where D='""&amp;D380&amp;""'"",1))"),0.0)</f>
        <v>0</v>
      </c>
      <c r="T380" s="9">
        <f>IFERROR(__xludf.DUMMYFUNCTION("SUM(QUERY(Entregas_BD!D:AL,""select AG where D='""&amp;D380&amp;""'"",1))"),100.0)</f>
        <v>100</v>
      </c>
      <c r="U380" s="9">
        <f>IFERROR(__xludf.DUMMYFUNCTION("SUM(QUERY(Entregas_BD!D:AL,""select AH where D='""&amp;D380&amp;""'"",1))"),0.0)</f>
        <v>0</v>
      </c>
      <c r="V380" s="9">
        <f>IFERROR(__xludf.DUMMYFUNCTION("SUM(QUERY(Entregas_BD!D:AL,""select AI where D='""&amp;D380&amp;""'"",1))"),0.0)</f>
        <v>0</v>
      </c>
      <c r="W380" s="9">
        <f>IFERROR(__xludf.DUMMYFUNCTION("SUM(QUERY(Entregas_BD!D:AL,""select AJ where D='""&amp;D380&amp;""'"",1))"),0.0)</f>
        <v>0</v>
      </c>
      <c r="X380" s="9">
        <f>IFERROR(__xludf.DUMMYFUNCTION("SUM(QUERY(Entregas_BD!D:AL,""select AL where D='""&amp;D380&amp;""'"",1))"),0.0)</f>
        <v>0</v>
      </c>
      <c r="Y380" s="9">
        <f>IFERROR(__xludf.DUMMYFUNCTION("SUM(QUERY(Entregas_BD!D:AL,""select AK where D='""&amp;D380&amp;""'"",1))"),0.0)</f>
        <v>0</v>
      </c>
      <c r="Z380" s="9">
        <v>-100.0</v>
      </c>
      <c r="AA380" s="9">
        <v>0.0</v>
      </c>
      <c r="AB380" s="9">
        <v>0.0</v>
      </c>
      <c r="AC380" s="9">
        <v>0.0</v>
      </c>
      <c r="AD380" s="9">
        <v>0.0</v>
      </c>
      <c r="AE380" s="9">
        <v>0.0</v>
      </c>
      <c r="AF380" s="37"/>
      <c r="AG380" s="15">
        <f>IFERROR(__xludf.DUMMYFUNCTION("SUM(QUERY(Entregas_BD!D:W,""select U where D='""&amp;D380&amp;""'"",1))"),0.0)</f>
        <v>0</v>
      </c>
      <c r="AH380" s="15">
        <f>IFERROR(__xludf.DUMMYFUNCTION("SUM(QUERY(Entregas_BD!D:W,""select S where D='""&amp;D380&amp;""'"",1))"),0.0)</f>
        <v>0</v>
      </c>
      <c r="AI380" s="15">
        <f>IFERROR(__xludf.DUMMYFUNCTION("SUM(QUERY(Entregas_BD!D:W,""select T where D='""&amp;D380&amp;""'"",1))"),0.0)</f>
        <v>0</v>
      </c>
    </row>
    <row r="381" ht="19.5" customHeight="1">
      <c r="A381" s="90"/>
      <c r="B381" s="91"/>
      <c r="C381" s="19">
        <v>380.0</v>
      </c>
      <c r="D381" s="93" t="s">
        <v>890</v>
      </c>
      <c r="E381" s="20" t="s">
        <v>44</v>
      </c>
      <c r="F381" s="20" t="s">
        <v>45</v>
      </c>
      <c r="G381" s="20" t="s">
        <v>634</v>
      </c>
      <c r="H381" s="34" t="s">
        <v>622</v>
      </c>
      <c r="I381" s="21" t="s">
        <v>41</v>
      </c>
      <c r="J381" s="44"/>
      <c r="K381" s="34"/>
      <c r="L381" s="42"/>
      <c r="M381" s="44"/>
      <c r="N381" s="19">
        <f>IFERROR(__xludf.DUMMYFUNCTION("SUM(QUERY(Entregas_BD!D:L,""select G where D='""&amp;D381&amp;""'"",1))"),0.0)</f>
        <v>0</v>
      </c>
      <c r="O381" s="19">
        <f>IFERROR(__xludf.DUMMYFUNCTION("SUM(QUERY(Entregas_BD!D:L,""select H where D='""&amp;D381&amp;""'"",1))"),0.0)</f>
        <v>0</v>
      </c>
      <c r="P381" s="19">
        <f>IFERROR(__xludf.DUMMYFUNCTION("SUM(QUERY(Entregas_BD!D:L,""select I where D='""&amp;D381&amp;""'"",1))"),0.0)</f>
        <v>0</v>
      </c>
      <c r="Q381" s="19">
        <f>IFERROR(__xludf.DUMMYFUNCTION("SUM(QUERY(Entregas_BD!D:L,""select J where D='""&amp;D381&amp;""'"",1))"),0.0)</f>
        <v>0</v>
      </c>
      <c r="R381" s="24">
        <f>IFERROR(__xludf.DUMMYFUNCTION("SUM(QUERY(Entregas_BD!D:L,""select K where D='""&amp;D381&amp;""'"",1))"),0.0)</f>
        <v>0</v>
      </c>
      <c r="S381" s="24">
        <f>IFERROR(__xludf.DUMMYFUNCTION("SUM(QUERY(Entregas_BD!D:L,""select L where D='""&amp;D381&amp;""'"",1))"),0.0)</f>
        <v>0</v>
      </c>
      <c r="T381" s="19">
        <f>IFERROR(__xludf.DUMMYFUNCTION("SUM(QUERY(Entregas_BD!D:AL,""select AG where D='""&amp;D381&amp;""'"",1))"),90.0)</f>
        <v>90</v>
      </c>
      <c r="U381" s="19">
        <f>IFERROR(__xludf.DUMMYFUNCTION("SUM(QUERY(Entregas_BD!D:AL,""select AH where D='""&amp;D381&amp;""'"",1))"),0.0)</f>
        <v>0</v>
      </c>
      <c r="V381" s="19">
        <f>IFERROR(__xludf.DUMMYFUNCTION("SUM(QUERY(Entregas_BD!D:AL,""select AI where D='""&amp;D381&amp;""'"",1))"),0.0)</f>
        <v>0</v>
      </c>
      <c r="W381" s="19">
        <f>IFERROR(__xludf.DUMMYFUNCTION("SUM(QUERY(Entregas_BD!D:AL,""select AJ where D='""&amp;D381&amp;""'"",1))"),0.0)</f>
        <v>0</v>
      </c>
      <c r="X381" s="19">
        <f>IFERROR(__xludf.DUMMYFUNCTION("SUM(QUERY(Entregas_BD!D:AL,""select AL where D='""&amp;D381&amp;""'"",1))"),0.0)</f>
        <v>0</v>
      </c>
      <c r="Y381" s="19">
        <f>IFERROR(__xludf.DUMMYFUNCTION("SUM(QUERY(Entregas_BD!D:AL,""select AK where D='""&amp;D381&amp;""'"",1))"),0.0)</f>
        <v>0</v>
      </c>
      <c r="Z381" s="19">
        <v>-90.0</v>
      </c>
      <c r="AA381" s="19">
        <v>0.0</v>
      </c>
      <c r="AB381" s="19">
        <v>0.0</v>
      </c>
      <c r="AC381" s="19">
        <v>0.0</v>
      </c>
      <c r="AD381" s="19">
        <v>0.0</v>
      </c>
      <c r="AE381" s="19">
        <v>0.0</v>
      </c>
      <c r="AF381" s="25"/>
      <c r="AG381" s="24">
        <f>IFERROR(__xludf.DUMMYFUNCTION("SUM(QUERY(Entregas_BD!D:W,""select U where D='""&amp;D381&amp;""'"",1))"),0.0)</f>
        <v>0</v>
      </c>
      <c r="AH381" s="24">
        <f>IFERROR(__xludf.DUMMYFUNCTION("SUM(QUERY(Entregas_BD!D:W,""select S where D='""&amp;D381&amp;""'"",1))"),0.0)</f>
        <v>0</v>
      </c>
      <c r="AI381" s="24">
        <f>IFERROR(__xludf.DUMMYFUNCTION("SUM(QUERY(Entregas_BD!D:W,""select T where D='""&amp;D381&amp;""'"",1))"),0.0)</f>
        <v>0</v>
      </c>
    </row>
    <row r="382" ht="19.5" customHeight="1">
      <c r="A382" s="88"/>
      <c r="B382" s="89"/>
      <c r="C382" s="9">
        <v>381.0</v>
      </c>
      <c r="D382" s="40" t="s">
        <v>891</v>
      </c>
      <c r="E382" s="10" t="s">
        <v>72</v>
      </c>
      <c r="F382" s="10" t="s">
        <v>45</v>
      </c>
      <c r="G382" s="10" t="s">
        <v>307</v>
      </c>
      <c r="H382" s="12" t="s">
        <v>622</v>
      </c>
      <c r="I382" s="11" t="s">
        <v>41</v>
      </c>
      <c r="J382" s="45"/>
      <c r="K382" s="12"/>
      <c r="L382" s="13"/>
      <c r="M382" s="45"/>
      <c r="N382" s="9">
        <f>IFERROR(__xludf.DUMMYFUNCTION("SUM(QUERY(Entregas_BD!D:L,""select G where D='""&amp;D382&amp;""'"",1))"),0.0)</f>
        <v>0</v>
      </c>
      <c r="O382" s="9">
        <f>IFERROR(__xludf.DUMMYFUNCTION("SUM(QUERY(Entregas_BD!D:L,""select H where D='""&amp;D382&amp;""'"",1))"),0.0)</f>
        <v>0</v>
      </c>
      <c r="P382" s="9">
        <f>IFERROR(__xludf.DUMMYFUNCTION("SUM(QUERY(Entregas_BD!D:L,""select I where D='""&amp;D382&amp;""'"",1))"),0.0)</f>
        <v>0</v>
      </c>
      <c r="Q382" s="9">
        <f>IFERROR(__xludf.DUMMYFUNCTION("SUM(QUERY(Entregas_BD!D:L,""select J where D='""&amp;D382&amp;""'"",1))"),0.0)</f>
        <v>0</v>
      </c>
      <c r="R382" s="15">
        <f>IFERROR(__xludf.DUMMYFUNCTION("SUM(QUERY(Entregas_BD!D:L,""select K where D='""&amp;D382&amp;""'"",1))"),0.0)</f>
        <v>0</v>
      </c>
      <c r="S382" s="15">
        <f>IFERROR(__xludf.DUMMYFUNCTION("SUM(QUERY(Entregas_BD!D:L,""select L where D='""&amp;D382&amp;""'"",1))"),0.0)</f>
        <v>0</v>
      </c>
      <c r="T382" s="9">
        <f>IFERROR(__xludf.DUMMYFUNCTION("SUM(QUERY(Entregas_BD!D:AL,""select AG where D='""&amp;D382&amp;""'"",1))"),100.0)</f>
        <v>100</v>
      </c>
      <c r="U382" s="9">
        <f>IFERROR(__xludf.DUMMYFUNCTION("SUM(QUERY(Entregas_BD!D:AL,""select AH where D='""&amp;D382&amp;""'"",1))"),0.0)</f>
        <v>0</v>
      </c>
      <c r="V382" s="9">
        <f>IFERROR(__xludf.DUMMYFUNCTION("SUM(QUERY(Entregas_BD!D:AL,""select AI where D='""&amp;D382&amp;""'"",1))"),0.0)</f>
        <v>0</v>
      </c>
      <c r="W382" s="9">
        <f>IFERROR(__xludf.DUMMYFUNCTION("SUM(QUERY(Entregas_BD!D:AL,""select AJ where D='""&amp;D382&amp;""'"",1))"),0.0)</f>
        <v>0</v>
      </c>
      <c r="X382" s="9">
        <f>IFERROR(__xludf.DUMMYFUNCTION("SUM(QUERY(Entregas_BD!D:AL,""select AL where D='""&amp;D382&amp;""'"",1))"),0.0)</f>
        <v>0</v>
      </c>
      <c r="Y382" s="9">
        <f>IFERROR(__xludf.DUMMYFUNCTION("SUM(QUERY(Entregas_BD!D:AL,""select AK where D='""&amp;D382&amp;""'"",1))"),0.0)</f>
        <v>0</v>
      </c>
      <c r="Z382" s="9">
        <v>-100.0</v>
      </c>
      <c r="AA382" s="9">
        <v>0.0</v>
      </c>
      <c r="AB382" s="9">
        <v>0.0</v>
      </c>
      <c r="AC382" s="9">
        <v>0.0</v>
      </c>
      <c r="AD382" s="9">
        <v>0.0</v>
      </c>
      <c r="AE382" s="9">
        <v>0.0</v>
      </c>
      <c r="AF382" s="37"/>
      <c r="AG382" s="15">
        <f>IFERROR(__xludf.DUMMYFUNCTION("SUM(QUERY(Entregas_BD!D:W,""select U where D='""&amp;D382&amp;""'"",1))"),0.0)</f>
        <v>0</v>
      </c>
      <c r="AH382" s="15">
        <f>IFERROR(__xludf.DUMMYFUNCTION("SUM(QUERY(Entregas_BD!D:W,""select S where D='""&amp;D382&amp;""'"",1))"),0.0)</f>
        <v>0</v>
      </c>
      <c r="AI382" s="15">
        <f>IFERROR(__xludf.DUMMYFUNCTION("SUM(QUERY(Entregas_BD!D:W,""select T where D='""&amp;D382&amp;""'"",1))"),0.0)</f>
        <v>0</v>
      </c>
    </row>
    <row r="383" ht="19.5" customHeight="1">
      <c r="A383" s="90"/>
      <c r="B383" s="91"/>
      <c r="C383" s="19">
        <v>382.0</v>
      </c>
      <c r="D383" s="94" t="s">
        <v>892</v>
      </c>
      <c r="E383" s="20" t="s">
        <v>63</v>
      </c>
      <c r="F383" s="20" t="s">
        <v>888</v>
      </c>
      <c r="G383" s="20" t="s">
        <v>893</v>
      </c>
      <c r="H383" s="34" t="s">
        <v>622</v>
      </c>
      <c r="I383" s="21" t="s">
        <v>41</v>
      </c>
      <c r="J383" s="44"/>
      <c r="K383" s="34"/>
      <c r="L383" s="42"/>
      <c r="M383" s="44"/>
      <c r="N383" s="19">
        <f>IFERROR(__xludf.DUMMYFUNCTION("SUM(QUERY(Entregas_BD!D:L,""select G where D='""&amp;D383&amp;""'"",1))"),0.0)</f>
        <v>0</v>
      </c>
      <c r="O383" s="19">
        <f>IFERROR(__xludf.DUMMYFUNCTION("SUM(QUERY(Entregas_BD!D:L,""select H where D='""&amp;D383&amp;""'"",1))"),0.0)</f>
        <v>0</v>
      </c>
      <c r="P383" s="19">
        <f>IFERROR(__xludf.DUMMYFUNCTION("SUM(QUERY(Entregas_BD!D:L,""select I where D='""&amp;D383&amp;""'"",1))"),0.0)</f>
        <v>0</v>
      </c>
      <c r="Q383" s="19">
        <f>IFERROR(__xludf.DUMMYFUNCTION("SUM(QUERY(Entregas_BD!D:L,""select J where D='""&amp;D383&amp;""'"",1))"),0.0)</f>
        <v>0</v>
      </c>
      <c r="R383" s="24">
        <f>IFERROR(__xludf.DUMMYFUNCTION("SUM(QUERY(Entregas_BD!D:L,""select K where D='""&amp;D383&amp;""'"",1))"),0.0)</f>
        <v>0</v>
      </c>
      <c r="S383" s="24">
        <f>IFERROR(__xludf.DUMMYFUNCTION("SUM(QUERY(Entregas_BD!D:L,""select L where D='""&amp;D383&amp;""'"",1))"),0.0)</f>
        <v>0</v>
      </c>
      <c r="T383" s="19">
        <f>IFERROR(__xludf.DUMMYFUNCTION("SUM(QUERY(Entregas_BD!D:AL,""select AG where D='""&amp;D383&amp;""'"",1))"),100.0)</f>
        <v>100</v>
      </c>
      <c r="U383" s="19">
        <f>IFERROR(__xludf.DUMMYFUNCTION("SUM(QUERY(Entregas_BD!D:AL,""select AH where D='""&amp;D383&amp;""'"",1))"),0.0)</f>
        <v>0</v>
      </c>
      <c r="V383" s="19">
        <f>IFERROR(__xludf.DUMMYFUNCTION("SUM(QUERY(Entregas_BD!D:AL,""select AI where D='""&amp;D383&amp;""'"",1))"),0.0)</f>
        <v>0</v>
      </c>
      <c r="W383" s="19">
        <f>IFERROR(__xludf.DUMMYFUNCTION("SUM(QUERY(Entregas_BD!D:AL,""select AJ where D='""&amp;D383&amp;""'"",1))"),0.0)</f>
        <v>0</v>
      </c>
      <c r="X383" s="19">
        <f>IFERROR(__xludf.DUMMYFUNCTION("SUM(QUERY(Entregas_BD!D:AL,""select AL where D='""&amp;D383&amp;""'"",1))"),0.0)</f>
        <v>0</v>
      </c>
      <c r="Y383" s="19">
        <f>IFERROR(__xludf.DUMMYFUNCTION("SUM(QUERY(Entregas_BD!D:AL,""select AK where D='""&amp;D383&amp;""'"",1))"),0.0)</f>
        <v>0</v>
      </c>
      <c r="Z383" s="19">
        <v>-100.0</v>
      </c>
      <c r="AA383" s="19">
        <v>0.0</v>
      </c>
      <c r="AB383" s="19">
        <v>0.0</v>
      </c>
      <c r="AC383" s="19">
        <v>0.0</v>
      </c>
      <c r="AD383" s="19">
        <v>0.0</v>
      </c>
      <c r="AE383" s="19">
        <v>0.0</v>
      </c>
      <c r="AF383" s="25"/>
      <c r="AG383" s="24">
        <f>IFERROR(__xludf.DUMMYFUNCTION("SUM(QUERY(Entregas_BD!D:W,""select U where D='""&amp;D383&amp;""'"",1))"),0.0)</f>
        <v>0</v>
      </c>
      <c r="AH383" s="24">
        <f>IFERROR(__xludf.DUMMYFUNCTION("SUM(QUERY(Entregas_BD!D:W,""select S where D='""&amp;D383&amp;""'"",1))"),0.0)</f>
        <v>0</v>
      </c>
      <c r="AI383" s="24">
        <f>IFERROR(__xludf.DUMMYFUNCTION("SUM(QUERY(Entregas_BD!D:W,""select T where D='""&amp;D383&amp;""'"",1))"),0.0)</f>
        <v>0</v>
      </c>
    </row>
    <row r="384" ht="19.5" customHeight="1">
      <c r="A384" s="88"/>
      <c r="B384" s="89"/>
      <c r="C384" s="9">
        <v>383.0</v>
      </c>
      <c r="D384" s="43" t="s">
        <v>894</v>
      </c>
      <c r="E384" s="10" t="s">
        <v>72</v>
      </c>
      <c r="F384" s="10" t="s">
        <v>45</v>
      </c>
      <c r="G384" s="10" t="s">
        <v>72</v>
      </c>
      <c r="H384" s="45" t="s">
        <v>886</v>
      </c>
      <c r="I384" s="11" t="s">
        <v>41</v>
      </c>
      <c r="J384" s="45"/>
      <c r="K384" s="12"/>
      <c r="L384" s="13"/>
      <c r="M384" s="45"/>
      <c r="N384" s="9">
        <f>IFERROR(__xludf.DUMMYFUNCTION("SUM(QUERY(Entregas_BD!D:L,""select G where D='""&amp;D384&amp;""'"",1))"),0.0)</f>
        <v>0</v>
      </c>
      <c r="O384" s="9">
        <f>IFERROR(__xludf.DUMMYFUNCTION("SUM(QUERY(Entregas_BD!D:L,""select H where D='""&amp;D384&amp;""'"",1))"),0.0)</f>
        <v>0</v>
      </c>
      <c r="P384" s="9">
        <f>IFERROR(__xludf.DUMMYFUNCTION("SUM(QUERY(Entregas_BD!D:L,""select I where D='""&amp;D384&amp;""'"",1))"),0.0)</f>
        <v>0</v>
      </c>
      <c r="Q384" s="9">
        <f>IFERROR(__xludf.DUMMYFUNCTION("SUM(QUERY(Entregas_BD!D:L,""select J where D='""&amp;D384&amp;""'"",1))"),0.0)</f>
        <v>0</v>
      </c>
      <c r="R384" s="15">
        <f>IFERROR(__xludf.DUMMYFUNCTION("SUM(QUERY(Entregas_BD!D:L,""select K where D='""&amp;D384&amp;""'"",1))"),0.0)</f>
        <v>0</v>
      </c>
      <c r="S384" s="15">
        <f>IFERROR(__xludf.DUMMYFUNCTION("SUM(QUERY(Entregas_BD!D:L,""select L where D='""&amp;D384&amp;""'"",1))"),0.0)</f>
        <v>0</v>
      </c>
      <c r="T384" s="9">
        <f>IFERROR(__xludf.DUMMYFUNCTION("SUM(QUERY(Entregas_BD!D:AL,""select AG where D='""&amp;D384&amp;""'"",1))"),25.0)</f>
        <v>25</v>
      </c>
      <c r="U384" s="9">
        <f>IFERROR(__xludf.DUMMYFUNCTION("SUM(QUERY(Entregas_BD!D:AL,""select AH where D='""&amp;D384&amp;""'"",1))"),0.0)</f>
        <v>0</v>
      </c>
      <c r="V384" s="9">
        <f>IFERROR(__xludf.DUMMYFUNCTION("SUM(QUERY(Entregas_BD!D:AL,""select AI where D='""&amp;D384&amp;""'"",1))"),0.0)</f>
        <v>0</v>
      </c>
      <c r="W384" s="9">
        <f>IFERROR(__xludf.DUMMYFUNCTION("SUM(QUERY(Entregas_BD!D:AL,""select AJ where D='""&amp;D384&amp;""'"",1))"),0.0)</f>
        <v>0</v>
      </c>
      <c r="X384" s="9">
        <f>IFERROR(__xludf.DUMMYFUNCTION("SUM(QUERY(Entregas_BD!D:AL,""select AL where D='""&amp;D384&amp;""'"",1))"),0.0)</f>
        <v>0</v>
      </c>
      <c r="Y384" s="9">
        <f>IFERROR(__xludf.DUMMYFUNCTION("SUM(QUERY(Entregas_BD!D:AL,""select AK where D='""&amp;D384&amp;""'"",1))"),0.0)</f>
        <v>0</v>
      </c>
      <c r="Z384" s="9">
        <v>-25.0</v>
      </c>
      <c r="AA384" s="9">
        <v>0.0</v>
      </c>
      <c r="AB384" s="9">
        <v>0.0</v>
      </c>
      <c r="AC384" s="9">
        <v>0.0</v>
      </c>
      <c r="AD384" s="9">
        <v>0.0</v>
      </c>
      <c r="AE384" s="9">
        <v>0.0</v>
      </c>
      <c r="AF384" s="37"/>
      <c r="AG384" s="15">
        <f>IFERROR(__xludf.DUMMYFUNCTION("SUM(QUERY(Entregas_BD!D:W,""select U where D='""&amp;D384&amp;""'"",1))"),0.0)</f>
        <v>0</v>
      </c>
      <c r="AH384" s="15">
        <f>IFERROR(__xludf.DUMMYFUNCTION("SUM(QUERY(Entregas_BD!D:W,""select S where D='""&amp;D384&amp;""'"",1))"),0.0)</f>
        <v>0</v>
      </c>
      <c r="AI384" s="15">
        <f>IFERROR(__xludf.DUMMYFUNCTION("SUM(QUERY(Entregas_BD!D:W,""select T where D='""&amp;D384&amp;""'"",1))"),0.0)</f>
        <v>0</v>
      </c>
    </row>
    <row r="385" ht="19.5" customHeight="1">
      <c r="A385" s="90"/>
      <c r="B385" s="91"/>
      <c r="C385" s="19">
        <v>384.0</v>
      </c>
      <c r="D385" s="19" t="s">
        <v>895</v>
      </c>
      <c r="E385" s="20" t="s">
        <v>58</v>
      </c>
      <c r="F385" s="20" t="s">
        <v>45</v>
      </c>
      <c r="G385" s="20" t="s">
        <v>542</v>
      </c>
      <c r="H385" s="34" t="s">
        <v>849</v>
      </c>
      <c r="I385" s="21" t="s">
        <v>41</v>
      </c>
      <c r="J385" s="44"/>
      <c r="K385" s="34"/>
      <c r="L385" s="42"/>
      <c r="M385" s="44"/>
      <c r="N385" s="19">
        <f>IFERROR(__xludf.DUMMYFUNCTION("SUM(QUERY(Entregas_BD!D:L,""select G where D='""&amp;D385&amp;""'"",1))"),0.0)</f>
        <v>0</v>
      </c>
      <c r="O385" s="19">
        <f>IFERROR(__xludf.DUMMYFUNCTION("SUM(QUERY(Entregas_BD!D:L,""select H where D='""&amp;D385&amp;""'"",1))"),0.0)</f>
        <v>0</v>
      </c>
      <c r="P385" s="19">
        <f>IFERROR(__xludf.DUMMYFUNCTION("SUM(QUERY(Entregas_BD!D:L,""select I where D='""&amp;D385&amp;""'"",1))"),0.0)</f>
        <v>0</v>
      </c>
      <c r="Q385" s="19">
        <f>IFERROR(__xludf.DUMMYFUNCTION("SUM(QUERY(Entregas_BD!D:L,""select J where D='""&amp;D385&amp;""'"",1))"),0.0)</f>
        <v>0</v>
      </c>
      <c r="R385" s="24">
        <f>IFERROR(__xludf.DUMMYFUNCTION("SUM(QUERY(Entregas_BD!D:L,""select K where D='""&amp;D385&amp;""'"",1))"),0.0)</f>
        <v>0</v>
      </c>
      <c r="S385" s="24">
        <f>IFERROR(__xludf.DUMMYFUNCTION("SUM(QUERY(Entregas_BD!D:L,""select L where D='""&amp;D385&amp;""'"",1))"),0.0)</f>
        <v>0</v>
      </c>
      <c r="T385" s="19">
        <f>IFERROR(__xludf.DUMMYFUNCTION("SUM(QUERY(Entregas_BD!D:AL,""select AG where D='""&amp;D385&amp;""'"",1))"),0.0)</f>
        <v>0</v>
      </c>
      <c r="U385" s="19">
        <f>IFERROR(__xludf.DUMMYFUNCTION("SUM(QUERY(Entregas_BD!D:AL,""select AH where D='""&amp;D385&amp;""'"",1))"),0.0)</f>
        <v>0</v>
      </c>
      <c r="V385" s="19">
        <f>IFERROR(__xludf.DUMMYFUNCTION("SUM(QUERY(Entregas_BD!D:AL,""select AI where D='""&amp;D385&amp;""'"",1))"),0.0)</f>
        <v>0</v>
      </c>
      <c r="W385" s="19">
        <f>IFERROR(__xludf.DUMMYFUNCTION("SUM(QUERY(Entregas_BD!D:AL,""select AJ where D='""&amp;D385&amp;""'"",1))"),0.0)</f>
        <v>0</v>
      </c>
      <c r="X385" s="19">
        <f>IFERROR(__xludf.DUMMYFUNCTION("SUM(QUERY(Entregas_BD!D:AL,""select AL where D='""&amp;D385&amp;""'"",1))"),0.0)</f>
        <v>0</v>
      </c>
      <c r="Y385" s="19">
        <f>IFERROR(__xludf.DUMMYFUNCTION("SUM(QUERY(Entregas_BD!D:AL,""select AK where D='""&amp;D385&amp;""'"",1))"),0.0)</f>
        <v>0</v>
      </c>
      <c r="Z385" s="19">
        <v>0.0</v>
      </c>
      <c r="AA385" s="19">
        <v>0.0</v>
      </c>
      <c r="AB385" s="19">
        <v>0.0</v>
      </c>
      <c r="AC385" s="19">
        <v>0.0</v>
      </c>
      <c r="AD385" s="19">
        <v>0.0</v>
      </c>
      <c r="AE385" s="19">
        <v>0.0</v>
      </c>
      <c r="AF385" s="25"/>
      <c r="AG385" s="24">
        <f>IFERROR(__xludf.DUMMYFUNCTION("SUM(QUERY(Entregas_BD!D:W,""select U where D='""&amp;D385&amp;""'"",1))"),0.0)</f>
        <v>0</v>
      </c>
      <c r="AH385" s="24">
        <f>IFERROR(__xludf.DUMMYFUNCTION("SUM(QUERY(Entregas_BD!D:W,""select S where D='""&amp;D385&amp;""'"",1))"),0.0)</f>
        <v>0</v>
      </c>
      <c r="AI385" s="24">
        <f>IFERROR(__xludf.DUMMYFUNCTION("SUM(QUERY(Entregas_BD!D:W,""select T where D='""&amp;D385&amp;""'"",1))"),0.0)</f>
        <v>0</v>
      </c>
    </row>
    <row r="386" ht="19.5" customHeight="1">
      <c r="A386" s="88"/>
      <c r="B386" s="89"/>
      <c r="C386" s="9">
        <v>385.0</v>
      </c>
      <c r="D386" s="45" t="s">
        <v>896</v>
      </c>
      <c r="E386" s="10" t="s">
        <v>197</v>
      </c>
      <c r="F386" s="10" t="s">
        <v>583</v>
      </c>
      <c r="G386" s="10" t="s">
        <v>897</v>
      </c>
      <c r="H386" s="12" t="s">
        <v>849</v>
      </c>
      <c r="I386" s="11" t="s">
        <v>41</v>
      </c>
      <c r="J386" s="45"/>
      <c r="K386" s="12"/>
      <c r="L386" s="13"/>
      <c r="M386" s="45"/>
      <c r="N386" s="9">
        <f>IFERROR(__xludf.DUMMYFUNCTION("SUM(QUERY(Entregas_BD!D:L,""select G where D='""&amp;D386&amp;""'"",1))"),0.0)</f>
        <v>0</v>
      </c>
      <c r="O386" s="9">
        <f>IFERROR(__xludf.DUMMYFUNCTION("SUM(QUERY(Entregas_BD!D:L,""select H where D='""&amp;D386&amp;""'"",1))"),0.0)</f>
        <v>0</v>
      </c>
      <c r="P386" s="9">
        <f>IFERROR(__xludf.DUMMYFUNCTION("SUM(QUERY(Entregas_BD!D:L,""select I where D='""&amp;D386&amp;""'"",1))"),0.0)</f>
        <v>0</v>
      </c>
      <c r="Q386" s="9">
        <f>IFERROR(__xludf.DUMMYFUNCTION("SUM(QUERY(Entregas_BD!D:L,""select J where D='""&amp;D386&amp;""'"",1))"),0.0)</f>
        <v>0</v>
      </c>
      <c r="R386" s="15">
        <f>IFERROR(__xludf.DUMMYFUNCTION("SUM(QUERY(Entregas_BD!D:L,""select K where D='""&amp;D386&amp;""'"",1))"),0.0)</f>
        <v>0</v>
      </c>
      <c r="S386" s="15">
        <f>IFERROR(__xludf.DUMMYFUNCTION("SUM(QUERY(Entregas_BD!D:L,""select L where D='""&amp;D386&amp;""'"",1))"),0.0)</f>
        <v>0</v>
      </c>
      <c r="T386" s="9">
        <f>IFERROR(__xludf.DUMMYFUNCTION("SUM(QUERY(Entregas_BD!D:AL,""select AG where D='""&amp;D386&amp;""'"",1))"),50.0)</f>
        <v>50</v>
      </c>
      <c r="U386" s="9">
        <f>IFERROR(__xludf.DUMMYFUNCTION("SUM(QUERY(Entregas_BD!D:AL,""select AH where D='""&amp;D386&amp;""'"",1))"),0.0)</f>
        <v>0</v>
      </c>
      <c r="V386" s="9">
        <f>IFERROR(__xludf.DUMMYFUNCTION("SUM(QUERY(Entregas_BD!D:AL,""select AI where D='""&amp;D386&amp;""'"",1))"),0.0)</f>
        <v>0</v>
      </c>
      <c r="W386" s="9">
        <f>IFERROR(__xludf.DUMMYFUNCTION("SUM(QUERY(Entregas_BD!D:AL,""select AJ where D='""&amp;D386&amp;""'"",1))"),0.0)</f>
        <v>0</v>
      </c>
      <c r="X386" s="9">
        <f>IFERROR(__xludf.DUMMYFUNCTION("SUM(QUERY(Entregas_BD!D:AL,""select AL where D='""&amp;D386&amp;""'"",1))"),0.0)</f>
        <v>0</v>
      </c>
      <c r="Y386" s="9">
        <f>IFERROR(__xludf.DUMMYFUNCTION("SUM(QUERY(Entregas_BD!D:AL,""select AK where D='""&amp;D386&amp;""'"",1))"),0.0)</f>
        <v>0</v>
      </c>
      <c r="Z386" s="9">
        <v>-50.0</v>
      </c>
      <c r="AA386" s="9">
        <v>0.0</v>
      </c>
      <c r="AB386" s="9">
        <v>0.0</v>
      </c>
      <c r="AC386" s="9">
        <v>0.0</v>
      </c>
      <c r="AD386" s="9">
        <v>0.0</v>
      </c>
      <c r="AE386" s="9">
        <v>0.0</v>
      </c>
      <c r="AF386" s="37"/>
      <c r="AG386" s="15">
        <f>IFERROR(__xludf.DUMMYFUNCTION("SUM(QUERY(Entregas_BD!D:W,""select U where D='""&amp;D386&amp;""'"",1))"),0.0)</f>
        <v>0</v>
      </c>
      <c r="AH386" s="15">
        <f>IFERROR(__xludf.DUMMYFUNCTION("SUM(QUERY(Entregas_BD!D:W,""select S where D='""&amp;D386&amp;""'"",1))"),0.0)</f>
        <v>0</v>
      </c>
      <c r="AI386" s="15">
        <f>IFERROR(__xludf.DUMMYFUNCTION("SUM(QUERY(Entregas_BD!D:W,""select T where D='""&amp;D386&amp;""'"",1))"),0.0)</f>
        <v>0</v>
      </c>
    </row>
    <row r="387" ht="19.5" customHeight="1">
      <c r="A387" s="90"/>
      <c r="B387" s="91"/>
      <c r="C387" s="19">
        <v>386.0</v>
      </c>
      <c r="D387" s="95" t="s">
        <v>898</v>
      </c>
      <c r="E387" s="20" t="s">
        <v>153</v>
      </c>
      <c r="F387" s="20"/>
      <c r="G387" s="20"/>
      <c r="H387" s="44" t="s">
        <v>770</v>
      </c>
      <c r="I387" s="21" t="s">
        <v>41</v>
      </c>
      <c r="J387" s="44"/>
      <c r="K387" s="34"/>
      <c r="L387" s="42"/>
      <c r="M387" s="44"/>
      <c r="N387" s="19">
        <f>IFERROR(__xludf.DUMMYFUNCTION("SUM(QUERY(Entregas_BD!D:L,""select G where D='""&amp;D387&amp;""'"",1))"),0.0)</f>
        <v>0</v>
      </c>
      <c r="O387" s="19">
        <f>IFERROR(__xludf.DUMMYFUNCTION("SUM(QUERY(Entregas_BD!D:L,""select H where D='""&amp;D387&amp;""'"",1))"),0.0)</f>
        <v>0</v>
      </c>
      <c r="P387" s="19">
        <f>IFERROR(__xludf.DUMMYFUNCTION("SUM(QUERY(Entregas_BD!D:L,""select I where D='""&amp;D387&amp;""'"",1))"),0.0)</f>
        <v>0</v>
      </c>
      <c r="Q387" s="19">
        <f>IFERROR(__xludf.DUMMYFUNCTION("SUM(QUERY(Entregas_BD!D:L,""select J where D='""&amp;D387&amp;""'"",1))"),0.0)</f>
        <v>0</v>
      </c>
      <c r="R387" s="24">
        <f>IFERROR(__xludf.DUMMYFUNCTION("SUM(QUERY(Entregas_BD!D:L,""select K where D='""&amp;D387&amp;""'"",1))"),0.0)</f>
        <v>0</v>
      </c>
      <c r="S387" s="24">
        <f>IFERROR(__xludf.DUMMYFUNCTION("SUM(QUERY(Entregas_BD!D:L,""select L where D='""&amp;D387&amp;""'"",1))"),0.0)</f>
        <v>0</v>
      </c>
      <c r="T387" s="19">
        <f>IFERROR(__xludf.DUMMYFUNCTION("SUM(QUERY(Entregas_BD!D:AL,""select AG where D='""&amp;D387&amp;""'"",1))"),30.0)</f>
        <v>30</v>
      </c>
      <c r="U387" s="19">
        <f>IFERROR(__xludf.DUMMYFUNCTION("SUM(QUERY(Entregas_BD!D:AL,""select AH where D='""&amp;D387&amp;""'"",1))"),0.0)</f>
        <v>0</v>
      </c>
      <c r="V387" s="19">
        <f>IFERROR(__xludf.DUMMYFUNCTION("SUM(QUERY(Entregas_BD!D:AL,""select AI where D='""&amp;D387&amp;""'"",1))"),0.0)</f>
        <v>0</v>
      </c>
      <c r="W387" s="19">
        <f>IFERROR(__xludf.DUMMYFUNCTION("SUM(QUERY(Entregas_BD!D:AL,""select AJ where D='""&amp;D387&amp;""'"",1))"),0.0)</f>
        <v>0</v>
      </c>
      <c r="X387" s="19">
        <f>IFERROR(__xludf.DUMMYFUNCTION("SUM(QUERY(Entregas_BD!D:AL,""select AL where D='""&amp;D387&amp;""'"",1))"),0.0)</f>
        <v>0</v>
      </c>
      <c r="Y387" s="19">
        <f>IFERROR(__xludf.DUMMYFUNCTION("SUM(QUERY(Entregas_BD!D:AL,""select AK where D='""&amp;D387&amp;""'"",1))"),0.0)</f>
        <v>0</v>
      </c>
      <c r="Z387" s="19">
        <v>-30.0</v>
      </c>
      <c r="AA387" s="19">
        <v>0.0</v>
      </c>
      <c r="AB387" s="19">
        <v>0.0</v>
      </c>
      <c r="AC387" s="19">
        <v>0.0</v>
      </c>
      <c r="AD387" s="19">
        <v>0.0</v>
      </c>
      <c r="AE387" s="19">
        <v>0.0</v>
      </c>
      <c r="AF387" s="25"/>
      <c r="AG387" s="24">
        <f>IFERROR(__xludf.DUMMYFUNCTION("SUM(QUERY(Entregas_BD!D:W,""select U where D='""&amp;D387&amp;""'"",1))"),0.0)</f>
        <v>0</v>
      </c>
      <c r="AH387" s="24">
        <f>IFERROR(__xludf.DUMMYFUNCTION("SUM(QUERY(Entregas_BD!D:W,""select S where D='""&amp;D387&amp;""'"",1))"),0.0)</f>
        <v>0</v>
      </c>
      <c r="AI387" s="24">
        <f>IFERROR(__xludf.DUMMYFUNCTION("SUM(QUERY(Entregas_BD!D:W,""select T where D='""&amp;D387&amp;""'"",1))"),0.0)</f>
        <v>0</v>
      </c>
    </row>
    <row r="388" ht="19.5" customHeight="1">
      <c r="A388" s="88"/>
      <c r="B388" s="89"/>
      <c r="C388" s="9">
        <v>387.0</v>
      </c>
      <c r="D388" s="96" t="s">
        <v>899</v>
      </c>
      <c r="E388" s="10" t="s">
        <v>72</v>
      </c>
      <c r="F388" s="10" t="s">
        <v>45</v>
      </c>
      <c r="G388" s="10" t="s">
        <v>240</v>
      </c>
      <c r="H388" s="45" t="s">
        <v>770</v>
      </c>
      <c r="I388" s="11" t="s">
        <v>41</v>
      </c>
      <c r="J388" s="45"/>
      <c r="K388" s="12"/>
      <c r="L388" s="13"/>
      <c r="M388" s="45"/>
      <c r="N388" s="9">
        <f>IFERROR(__xludf.DUMMYFUNCTION("SUM(QUERY(Entregas_BD!D:L,""select G where D='""&amp;D388&amp;""'"",1))"),0.0)</f>
        <v>0</v>
      </c>
      <c r="O388" s="9">
        <f>IFERROR(__xludf.DUMMYFUNCTION("SUM(QUERY(Entregas_BD!D:L,""select H where D='""&amp;D388&amp;""'"",1))"),0.0)</f>
        <v>0</v>
      </c>
      <c r="P388" s="9">
        <f>IFERROR(__xludf.DUMMYFUNCTION("SUM(QUERY(Entregas_BD!D:L,""select I where D='""&amp;D388&amp;""'"",1))"),0.0)</f>
        <v>0</v>
      </c>
      <c r="Q388" s="9">
        <f>IFERROR(__xludf.DUMMYFUNCTION("SUM(QUERY(Entregas_BD!D:L,""select J where D='""&amp;D388&amp;""'"",1))"),0.0)</f>
        <v>0</v>
      </c>
      <c r="R388" s="15">
        <f>IFERROR(__xludf.DUMMYFUNCTION("SUM(QUERY(Entregas_BD!D:L,""select K where D='""&amp;D388&amp;""'"",1))"),0.0)</f>
        <v>0</v>
      </c>
      <c r="S388" s="15">
        <f>IFERROR(__xludf.DUMMYFUNCTION("SUM(QUERY(Entregas_BD!D:L,""select L where D='""&amp;D388&amp;""'"",1))"),0.0)</f>
        <v>0</v>
      </c>
      <c r="T388" s="9">
        <f>IFERROR(__xludf.DUMMYFUNCTION("SUM(QUERY(Entregas_BD!D:AL,""select AG where D='""&amp;D388&amp;""'"",1))"),200.0)</f>
        <v>200</v>
      </c>
      <c r="U388" s="9">
        <f>IFERROR(__xludf.DUMMYFUNCTION("SUM(QUERY(Entregas_BD!D:AL,""select AH where D='""&amp;D388&amp;""'"",1))"),0.0)</f>
        <v>0</v>
      </c>
      <c r="V388" s="9">
        <f>IFERROR(__xludf.DUMMYFUNCTION("SUM(QUERY(Entregas_BD!D:AL,""select AI where D='""&amp;D388&amp;""'"",1))"),0.0)</f>
        <v>0</v>
      </c>
      <c r="W388" s="9">
        <f>IFERROR(__xludf.DUMMYFUNCTION("SUM(QUERY(Entregas_BD!D:AL,""select AJ where D='""&amp;D388&amp;""'"",1))"),0.0)</f>
        <v>0</v>
      </c>
      <c r="X388" s="9">
        <f>IFERROR(__xludf.DUMMYFUNCTION("SUM(QUERY(Entregas_BD!D:AL,""select AL where D='""&amp;D388&amp;""'"",1))"),0.0)</f>
        <v>0</v>
      </c>
      <c r="Y388" s="9">
        <f>IFERROR(__xludf.DUMMYFUNCTION("SUM(QUERY(Entregas_BD!D:AL,""select AK where D='""&amp;D388&amp;""'"",1))"),0.0)</f>
        <v>0</v>
      </c>
      <c r="Z388" s="9">
        <v>-200.0</v>
      </c>
      <c r="AA388" s="9">
        <v>0.0</v>
      </c>
      <c r="AB388" s="9">
        <v>0.0</v>
      </c>
      <c r="AC388" s="9">
        <v>0.0</v>
      </c>
      <c r="AD388" s="9">
        <v>0.0</v>
      </c>
      <c r="AE388" s="9">
        <v>0.0</v>
      </c>
      <c r="AF388" s="37"/>
      <c r="AG388" s="15">
        <f>IFERROR(__xludf.DUMMYFUNCTION("SUM(QUERY(Entregas_BD!D:W,""select U where D='""&amp;D388&amp;""'"",1))"),0.0)</f>
        <v>0</v>
      </c>
      <c r="AH388" s="15">
        <f>IFERROR(__xludf.DUMMYFUNCTION("SUM(QUERY(Entregas_BD!D:W,""select S where D='""&amp;D388&amp;""'"",1))"),0.0)</f>
        <v>0</v>
      </c>
      <c r="AI388" s="15">
        <f>IFERROR(__xludf.DUMMYFUNCTION("SUM(QUERY(Entregas_BD!D:W,""select T where D='""&amp;D388&amp;""'"",1))"),0.0)</f>
        <v>0</v>
      </c>
    </row>
    <row r="389" ht="19.5" customHeight="1">
      <c r="A389" s="90"/>
      <c r="B389" s="91"/>
      <c r="C389" s="19">
        <v>388.0</v>
      </c>
      <c r="D389" s="68" t="s">
        <v>900</v>
      </c>
      <c r="E389" s="20" t="s">
        <v>54</v>
      </c>
      <c r="F389" s="20" t="s">
        <v>45</v>
      </c>
      <c r="G389" s="20" t="s">
        <v>901</v>
      </c>
      <c r="H389" s="44" t="s">
        <v>770</v>
      </c>
      <c r="I389" s="21" t="s">
        <v>47</v>
      </c>
      <c r="J389" s="44"/>
      <c r="K389" s="34"/>
      <c r="L389" s="42"/>
      <c r="M389" s="44"/>
      <c r="N389" s="19">
        <f>IFERROR(__xludf.DUMMYFUNCTION("SUM(QUERY(Entregas_BD!D:L,""select G where D='""&amp;D389&amp;""'"",1))"),0.0)</f>
        <v>0</v>
      </c>
      <c r="O389" s="19">
        <f>IFERROR(__xludf.DUMMYFUNCTION("SUM(QUERY(Entregas_BD!D:L,""select H where D='""&amp;D389&amp;""'"",1))"),0.0)</f>
        <v>0</v>
      </c>
      <c r="P389" s="19">
        <f>IFERROR(__xludf.DUMMYFUNCTION("SUM(QUERY(Entregas_BD!D:L,""select I where D='""&amp;D389&amp;""'"",1))"),0.0)</f>
        <v>0</v>
      </c>
      <c r="Q389" s="19">
        <f>IFERROR(__xludf.DUMMYFUNCTION("SUM(QUERY(Entregas_BD!D:L,""select J where D='""&amp;D389&amp;""'"",1))"),0.0)</f>
        <v>0</v>
      </c>
      <c r="R389" s="24">
        <f>IFERROR(__xludf.DUMMYFUNCTION("SUM(QUERY(Entregas_BD!D:L,""select K where D='""&amp;D389&amp;""'"",1))"),0.0)</f>
        <v>0</v>
      </c>
      <c r="S389" s="24">
        <f>IFERROR(__xludf.DUMMYFUNCTION("SUM(QUERY(Entregas_BD!D:L,""select L where D='""&amp;D389&amp;""'"",1))"),0.0)</f>
        <v>0</v>
      </c>
      <c r="T389" s="19">
        <f>IFERROR(__xludf.DUMMYFUNCTION("SUM(QUERY(Entregas_BD!D:AL,""select AG where D='""&amp;D389&amp;""'"",1))"),50.0)</f>
        <v>50</v>
      </c>
      <c r="U389" s="19">
        <f>IFERROR(__xludf.DUMMYFUNCTION("SUM(QUERY(Entregas_BD!D:AL,""select AH where D='""&amp;D389&amp;""'"",1))"),0.0)</f>
        <v>0</v>
      </c>
      <c r="V389" s="19">
        <f>IFERROR(__xludf.DUMMYFUNCTION("SUM(QUERY(Entregas_BD!D:AL,""select AI where D='""&amp;D389&amp;""'"",1))"),0.0)</f>
        <v>0</v>
      </c>
      <c r="W389" s="19">
        <f>IFERROR(__xludf.DUMMYFUNCTION("SUM(QUERY(Entregas_BD!D:AL,""select AJ where D='""&amp;D389&amp;""'"",1))"),0.0)</f>
        <v>0</v>
      </c>
      <c r="X389" s="19">
        <f>IFERROR(__xludf.DUMMYFUNCTION("SUM(QUERY(Entregas_BD!D:AL,""select AL where D='""&amp;D389&amp;""'"",1))"),0.0)</f>
        <v>0</v>
      </c>
      <c r="Y389" s="19">
        <f>IFERROR(__xludf.DUMMYFUNCTION("SUM(QUERY(Entregas_BD!D:AL,""select AK where D='""&amp;D389&amp;""'"",1))"),0.0)</f>
        <v>0</v>
      </c>
      <c r="Z389" s="19">
        <v>-50.0</v>
      </c>
      <c r="AA389" s="19">
        <v>0.0</v>
      </c>
      <c r="AB389" s="19">
        <v>0.0</v>
      </c>
      <c r="AC389" s="19">
        <v>0.0</v>
      </c>
      <c r="AD389" s="19">
        <v>0.0</v>
      </c>
      <c r="AE389" s="19">
        <v>0.0</v>
      </c>
      <c r="AF389" s="25"/>
      <c r="AG389" s="24">
        <f>IFERROR(__xludf.DUMMYFUNCTION("SUM(QUERY(Entregas_BD!D:W,""select U where D='""&amp;D389&amp;""'"",1))"),0.0)</f>
        <v>0</v>
      </c>
      <c r="AH389" s="24">
        <f>IFERROR(__xludf.DUMMYFUNCTION("SUM(QUERY(Entregas_BD!D:W,""select S where D='""&amp;D389&amp;""'"",1))"),0.0)</f>
        <v>0</v>
      </c>
      <c r="AI389" s="24">
        <f>IFERROR(__xludf.DUMMYFUNCTION("SUM(QUERY(Entregas_BD!D:W,""select T where D='""&amp;D389&amp;""'"",1))"),0.0)</f>
        <v>0</v>
      </c>
    </row>
    <row r="390" ht="19.5" customHeight="1">
      <c r="A390" s="88"/>
      <c r="B390" s="89"/>
      <c r="C390" s="9">
        <v>389.0</v>
      </c>
      <c r="D390" s="97" t="s">
        <v>902</v>
      </c>
      <c r="E390" s="10" t="s">
        <v>44</v>
      </c>
      <c r="F390" s="10" t="s">
        <v>45</v>
      </c>
      <c r="G390" s="10" t="s">
        <v>903</v>
      </c>
      <c r="H390" s="45" t="s">
        <v>770</v>
      </c>
      <c r="I390" s="11" t="s">
        <v>41</v>
      </c>
      <c r="J390" s="45"/>
      <c r="K390" s="12"/>
      <c r="L390" s="13"/>
      <c r="M390" s="45"/>
      <c r="N390" s="9">
        <f>IFERROR(__xludf.DUMMYFUNCTION("SUM(QUERY(Entregas_BD!D:L,""select G where D='""&amp;D390&amp;""'"",1))"),0.0)</f>
        <v>0</v>
      </c>
      <c r="O390" s="9">
        <f>IFERROR(__xludf.DUMMYFUNCTION("SUM(QUERY(Entregas_BD!D:L,""select H where D='""&amp;D390&amp;""'"",1))"),0.0)</f>
        <v>0</v>
      </c>
      <c r="P390" s="9">
        <f>IFERROR(__xludf.DUMMYFUNCTION("SUM(QUERY(Entregas_BD!D:L,""select I where D='""&amp;D390&amp;""'"",1))"),0.0)</f>
        <v>0</v>
      </c>
      <c r="Q390" s="9">
        <f>IFERROR(__xludf.DUMMYFUNCTION("SUM(QUERY(Entregas_BD!D:L,""select J where D='""&amp;D390&amp;""'"",1))"),0.0)</f>
        <v>0</v>
      </c>
      <c r="R390" s="15">
        <f>IFERROR(__xludf.DUMMYFUNCTION("SUM(QUERY(Entregas_BD!D:L,""select K where D='""&amp;D390&amp;""'"",1))"),0.0)</f>
        <v>0</v>
      </c>
      <c r="S390" s="15">
        <f>IFERROR(__xludf.DUMMYFUNCTION("SUM(QUERY(Entregas_BD!D:L,""select L where D='""&amp;D390&amp;""'"",1))"),0.0)</f>
        <v>0</v>
      </c>
      <c r="T390" s="9">
        <f>IFERROR(__xludf.DUMMYFUNCTION("SUM(QUERY(Entregas_BD!D:AL,""select AG where D='""&amp;D390&amp;""'"",1))"),30.0)</f>
        <v>30</v>
      </c>
      <c r="U390" s="9">
        <f>IFERROR(__xludf.DUMMYFUNCTION("SUM(QUERY(Entregas_BD!D:AL,""select AH where D='""&amp;D390&amp;""'"",1))"),0.0)</f>
        <v>0</v>
      </c>
      <c r="V390" s="9">
        <f>IFERROR(__xludf.DUMMYFUNCTION("SUM(QUERY(Entregas_BD!D:AL,""select AI where D='""&amp;D390&amp;""'"",1))"),0.0)</f>
        <v>0</v>
      </c>
      <c r="W390" s="9">
        <f>IFERROR(__xludf.DUMMYFUNCTION("SUM(QUERY(Entregas_BD!D:AL,""select AJ where D='""&amp;D390&amp;""'"",1))"),0.0)</f>
        <v>0</v>
      </c>
      <c r="X390" s="9">
        <f>IFERROR(__xludf.DUMMYFUNCTION("SUM(QUERY(Entregas_BD!D:AL,""select AL where D='""&amp;D390&amp;""'"",1))"),0.0)</f>
        <v>0</v>
      </c>
      <c r="Y390" s="9">
        <f>IFERROR(__xludf.DUMMYFUNCTION("SUM(QUERY(Entregas_BD!D:AL,""select AK where D='""&amp;D390&amp;""'"",1))"),0.0)</f>
        <v>0</v>
      </c>
      <c r="Z390" s="9">
        <v>-30.0</v>
      </c>
      <c r="AA390" s="9">
        <v>0.0</v>
      </c>
      <c r="AB390" s="9">
        <v>0.0</v>
      </c>
      <c r="AC390" s="9">
        <v>0.0</v>
      </c>
      <c r="AD390" s="9">
        <v>0.0</v>
      </c>
      <c r="AE390" s="9">
        <v>0.0</v>
      </c>
      <c r="AF390" s="37"/>
      <c r="AG390" s="15">
        <f>IFERROR(__xludf.DUMMYFUNCTION("SUM(QUERY(Entregas_BD!D:W,""select U where D='""&amp;D390&amp;""'"",1))"),0.0)</f>
        <v>0</v>
      </c>
      <c r="AH390" s="15">
        <f>IFERROR(__xludf.DUMMYFUNCTION("SUM(QUERY(Entregas_BD!D:W,""select S where D='""&amp;D390&amp;""'"",1))"),0.0)</f>
        <v>0</v>
      </c>
      <c r="AI390" s="15">
        <f>IFERROR(__xludf.DUMMYFUNCTION("SUM(QUERY(Entregas_BD!D:W,""select T where D='""&amp;D390&amp;""'"",1))"),0.0)</f>
        <v>0</v>
      </c>
    </row>
    <row r="391" ht="19.5" customHeight="1">
      <c r="A391" s="90"/>
      <c r="B391" s="91"/>
      <c r="C391" s="19">
        <v>390.0</v>
      </c>
      <c r="D391" s="98" t="s">
        <v>904</v>
      </c>
      <c r="E391" s="20" t="s">
        <v>58</v>
      </c>
      <c r="F391" s="20" t="s">
        <v>45</v>
      </c>
      <c r="G391" s="20" t="s">
        <v>852</v>
      </c>
      <c r="H391" s="34" t="s">
        <v>849</v>
      </c>
      <c r="I391" s="21" t="s">
        <v>41</v>
      </c>
      <c r="J391" s="44"/>
      <c r="K391" s="34"/>
      <c r="L391" s="42"/>
      <c r="M391" s="44"/>
      <c r="N391" s="19">
        <f>IFERROR(__xludf.DUMMYFUNCTION("SUM(QUERY(Entregas_BD!D:L,""select G where D='""&amp;D391&amp;""'"",1))"),0.0)</f>
        <v>0</v>
      </c>
      <c r="O391" s="19">
        <f>IFERROR(__xludf.DUMMYFUNCTION("SUM(QUERY(Entregas_BD!D:L,""select H where D='""&amp;D391&amp;""'"",1))"),0.0)</f>
        <v>0</v>
      </c>
      <c r="P391" s="19">
        <f>IFERROR(__xludf.DUMMYFUNCTION("SUM(QUERY(Entregas_BD!D:L,""select I where D='""&amp;D391&amp;""'"",1))"),0.0)</f>
        <v>0</v>
      </c>
      <c r="Q391" s="19">
        <f>IFERROR(__xludf.DUMMYFUNCTION("SUM(QUERY(Entregas_BD!D:L,""select J where D='""&amp;D391&amp;""'"",1))"),0.0)</f>
        <v>0</v>
      </c>
      <c r="R391" s="24">
        <f>IFERROR(__xludf.DUMMYFUNCTION("SUM(QUERY(Entregas_BD!D:L,""select K where D='""&amp;D391&amp;""'"",1))"),0.0)</f>
        <v>0</v>
      </c>
      <c r="S391" s="24">
        <f>IFERROR(__xludf.DUMMYFUNCTION("SUM(QUERY(Entregas_BD!D:L,""select L where D='""&amp;D391&amp;""'"",1))"),0.0)</f>
        <v>0</v>
      </c>
      <c r="T391" s="19">
        <f>IFERROR(__xludf.DUMMYFUNCTION("SUM(QUERY(Entregas_BD!D:AL,""select AG where D='""&amp;D391&amp;""'"",1))"),30.0)</f>
        <v>30</v>
      </c>
      <c r="U391" s="19">
        <f>IFERROR(__xludf.DUMMYFUNCTION("SUM(QUERY(Entregas_BD!D:AL,""select AH where D='""&amp;D391&amp;""'"",1))"),0.0)</f>
        <v>0</v>
      </c>
      <c r="V391" s="19">
        <f>IFERROR(__xludf.DUMMYFUNCTION("SUM(QUERY(Entregas_BD!D:AL,""select AI where D='""&amp;D391&amp;""'"",1))"),0.0)</f>
        <v>0</v>
      </c>
      <c r="W391" s="19">
        <f>IFERROR(__xludf.DUMMYFUNCTION("SUM(QUERY(Entregas_BD!D:AL,""select AJ where D='""&amp;D391&amp;""'"",1))"),0.0)</f>
        <v>0</v>
      </c>
      <c r="X391" s="19">
        <f>IFERROR(__xludf.DUMMYFUNCTION("SUM(QUERY(Entregas_BD!D:AL,""select AL where D='""&amp;D391&amp;""'"",1))"),0.0)</f>
        <v>0</v>
      </c>
      <c r="Y391" s="19">
        <f>IFERROR(__xludf.DUMMYFUNCTION("SUM(QUERY(Entregas_BD!D:AL,""select AK where D='""&amp;D391&amp;""'"",1))"),0.0)</f>
        <v>0</v>
      </c>
      <c r="Z391" s="19">
        <v>-30.0</v>
      </c>
      <c r="AA391" s="19">
        <v>0.0</v>
      </c>
      <c r="AB391" s="19">
        <v>0.0</v>
      </c>
      <c r="AC391" s="19">
        <v>0.0</v>
      </c>
      <c r="AD391" s="19">
        <v>0.0</v>
      </c>
      <c r="AE391" s="19">
        <v>0.0</v>
      </c>
      <c r="AF391" s="25"/>
      <c r="AG391" s="24">
        <f>IFERROR(__xludf.DUMMYFUNCTION("SUM(QUERY(Entregas_BD!D:W,""select U where D='""&amp;D391&amp;""'"",1))"),0.0)</f>
        <v>0</v>
      </c>
      <c r="AH391" s="24">
        <f>IFERROR(__xludf.DUMMYFUNCTION("SUM(QUERY(Entregas_BD!D:W,""select S where D='""&amp;D391&amp;""'"",1))"),0.0)</f>
        <v>0</v>
      </c>
      <c r="AI391" s="24">
        <f>IFERROR(__xludf.DUMMYFUNCTION("SUM(QUERY(Entregas_BD!D:W,""select T where D='""&amp;D391&amp;""'"",1))"),0.0)</f>
        <v>0</v>
      </c>
    </row>
    <row r="392" ht="19.5" customHeight="1">
      <c r="A392" s="88"/>
      <c r="B392" s="89"/>
      <c r="C392" s="9">
        <v>391.0</v>
      </c>
      <c r="D392" s="45" t="s">
        <v>905</v>
      </c>
      <c r="E392" s="10" t="s">
        <v>44</v>
      </c>
      <c r="F392" s="10" t="s">
        <v>45</v>
      </c>
      <c r="G392" s="10" t="s">
        <v>356</v>
      </c>
      <c r="H392" s="12" t="s">
        <v>622</v>
      </c>
      <c r="I392" s="11" t="s">
        <v>41</v>
      </c>
      <c r="J392" s="45"/>
      <c r="K392" s="12"/>
      <c r="L392" s="13"/>
      <c r="M392" s="45"/>
      <c r="N392" s="9">
        <f>IFERROR(__xludf.DUMMYFUNCTION("SUM(QUERY(Entregas_BD!D:L,""select G where D='""&amp;D392&amp;""'"",1))"),0.0)</f>
        <v>0</v>
      </c>
      <c r="O392" s="9">
        <f>IFERROR(__xludf.DUMMYFUNCTION("SUM(QUERY(Entregas_BD!D:L,""select H where D='""&amp;D392&amp;""'"",1))"),0.0)</f>
        <v>0</v>
      </c>
      <c r="P392" s="9">
        <f>IFERROR(__xludf.DUMMYFUNCTION("SUM(QUERY(Entregas_BD!D:L,""select I where D='""&amp;D392&amp;""'"",1))"),0.0)</f>
        <v>0</v>
      </c>
      <c r="Q392" s="9">
        <f>IFERROR(__xludf.DUMMYFUNCTION("SUM(QUERY(Entregas_BD!D:L,""select J where D='""&amp;D392&amp;""'"",1))"),0.0)</f>
        <v>0</v>
      </c>
      <c r="R392" s="15">
        <f>IFERROR(__xludf.DUMMYFUNCTION("SUM(QUERY(Entregas_BD!D:L,""select K where D='""&amp;D392&amp;""'"",1))"),0.0)</f>
        <v>0</v>
      </c>
      <c r="S392" s="15">
        <f>IFERROR(__xludf.DUMMYFUNCTION("SUM(QUERY(Entregas_BD!D:L,""select L where D='""&amp;D392&amp;""'"",1))"),0.0)</f>
        <v>0</v>
      </c>
      <c r="T392" s="9">
        <f>IFERROR(__xludf.DUMMYFUNCTION("SUM(QUERY(Entregas_BD!D:AL,""select AG where D='""&amp;D392&amp;""'"",1))"),90.0)</f>
        <v>90</v>
      </c>
      <c r="U392" s="9">
        <f>IFERROR(__xludf.DUMMYFUNCTION("SUM(QUERY(Entregas_BD!D:AL,""select AH where D='""&amp;D392&amp;""'"",1))"),0.0)</f>
        <v>0</v>
      </c>
      <c r="V392" s="9">
        <f>IFERROR(__xludf.DUMMYFUNCTION("SUM(QUERY(Entregas_BD!D:AL,""select AI where D='""&amp;D392&amp;""'"",1))"),0.0)</f>
        <v>0</v>
      </c>
      <c r="W392" s="9">
        <f>IFERROR(__xludf.DUMMYFUNCTION("SUM(QUERY(Entregas_BD!D:AL,""select AJ where D='""&amp;D392&amp;""'"",1))"),0.0)</f>
        <v>0</v>
      </c>
      <c r="X392" s="9">
        <f>IFERROR(__xludf.DUMMYFUNCTION("SUM(QUERY(Entregas_BD!D:AL,""select AL where D='""&amp;D392&amp;""'"",1))"),0.0)</f>
        <v>0</v>
      </c>
      <c r="Y392" s="9">
        <f>IFERROR(__xludf.DUMMYFUNCTION("SUM(QUERY(Entregas_BD!D:AL,""select AK where D='""&amp;D392&amp;""'"",1))"),0.0)</f>
        <v>0</v>
      </c>
      <c r="Z392" s="9">
        <v>-90.0</v>
      </c>
      <c r="AA392" s="9">
        <v>0.0</v>
      </c>
      <c r="AB392" s="9">
        <v>0.0</v>
      </c>
      <c r="AC392" s="9">
        <v>0.0</v>
      </c>
      <c r="AD392" s="9">
        <v>0.0</v>
      </c>
      <c r="AE392" s="9">
        <v>0.0</v>
      </c>
      <c r="AF392" s="37"/>
      <c r="AG392" s="15">
        <f>IFERROR(__xludf.DUMMYFUNCTION("SUM(QUERY(Entregas_BD!D:W,""select U where D='""&amp;D392&amp;""'"",1))"),0.0)</f>
        <v>0</v>
      </c>
      <c r="AH392" s="15">
        <f>IFERROR(__xludf.DUMMYFUNCTION("SUM(QUERY(Entregas_BD!D:W,""select S where D='""&amp;D392&amp;""'"",1))"),0.0)</f>
        <v>0</v>
      </c>
      <c r="AI392" s="15">
        <f>IFERROR(__xludf.DUMMYFUNCTION("SUM(QUERY(Entregas_BD!D:W,""select T where D='""&amp;D392&amp;""'"",1))"),0.0)</f>
        <v>0</v>
      </c>
    </row>
    <row r="393" ht="19.5" customHeight="1">
      <c r="A393" s="90"/>
      <c r="B393" s="91"/>
      <c r="C393" s="19">
        <v>392.0</v>
      </c>
      <c r="D393" s="95" t="s">
        <v>906</v>
      </c>
      <c r="E393" s="20" t="s">
        <v>58</v>
      </c>
      <c r="F393" s="20" t="s">
        <v>45</v>
      </c>
      <c r="G393" s="20" t="s">
        <v>353</v>
      </c>
      <c r="H393" s="34" t="s">
        <v>593</v>
      </c>
      <c r="I393" s="21" t="s">
        <v>41</v>
      </c>
      <c r="J393" s="44"/>
      <c r="K393" s="34"/>
      <c r="L393" s="42"/>
      <c r="M393" s="44"/>
      <c r="N393" s="19">
        <f>IFERROR(__xludf.DUMMYFUNCTION("SUM(QUERY(Entregas_BD!D:L,""select G where D='""&amp;D393&amp;""'"",1))"),0.0)</f>
        <v>0</v>
      </c>
      <c r="O393" s="19">
        <f>IFERROR(__xludf.DUMMYFUNCTION("SUM(QUERY(Entregas_BD!D:L,""select H where D='""&amp;D393&amp;""'"",1))"),0.0)</f>
        <v>0</v>
      </c>
      <c r="P393" s="19">
        <f>IFERROR(__xludf.DUMMYFUNCTION("SUM(QUERY(Entregas_BD!D:L,""select I where D='""&amp;D393&amp;""'"",1))"),0.0)</f>
        <v>0</v>
      </c>
      <c r="Q393" s="19">
        <f>IFERROR(__xludf.DUMMYFUNCTION("SUM(QUERY(Entregas_BD!D:L,""select J where D='""&amp;D393&amp;""'"",1))"),0.0)</f>
        <v>0</v>
      </c>
      <c r="R393" s="24">
        <f>IFERROR(__xludf.DUMMYFUNCTION("SUM(QUERY(Entregas_BD!D:L,""select K where D='""&amp;D393&amp;""'"",1))"),0.0)</f>
        <v>0</v>
      </c>
      <c r="S393" s="24">
        <f>IFERROR(__xludf.DUMMYFUNCTION("SUM(QUERY(Entregas_BD!D:L,""select L where D='""&amp;D393&amp;""'"",1))"),0.0)</f>
        <v>0</v>
      </c>
      <c r="T393" s="19">
        <f>IFERROR(__xludf.DUMMYFUNCTION("SUM(QUERY(Entregas_BD!D:AL,""select AG where D='""&amp;D393&amp;""'"",1))"),100.0)</f>
        <v>100</v>
      </c>
      <c r="U393" s="19">
        <f>IFERROR(__xludf.DUMMYFUNCTION("SUM(QUERY(Entregas_BD!D:AL,""select AH where D='""&amp;D393&amp;""'"",1))"),0.0)</f>
        <v>0</v>
      </c>
      <c r="V393" s="19">
        <f>IFERROR(__xludf.DUMMYFUNCTION("SUM(QUERY(Entregas_BD!D:AL,""select AI where D='""&amp;D393&amp;""'"",1))"),0.0)</f>
        <v>0</v>
      </c>
      <c r="W393" s="19">
        <f>IFERROR(__xludf.DUMMYFUNCTION("SUM(QUERY(Entregas_BD!D:AL,""select AJ where D='""&amp;D393&amp;""'"",1))"),0.0)</f>
        <v>0</v>
      </c>
      <c r="X393" s="19">
        <f>IFERROR(__xludf.DUMMYFUNCTION("SUM(QUERY(Entregas_BD!D:AL,""select AL where D='""&amp;D393&amp;""'"",1))"),0.0)</f>
        <v>0</v>
      </c>
      <c r="Y393" s="19">
        <f>IFERROR(__xludf.DUMMYFUNCTION("SUM(QUERY(Entregas_BD!D:AL,""select AK where D='""&amp;D393&amp;""'"",1))"),0.0)</f>
        <v>0</v>
      </c>
      <c r="Z393" s="19">
        <v>-100.0</v>
      </c>
      <c r="AA393" s="19">
        <v>0.0</v>
      </c>
      <c r="AB393" s="19">
        <v>0.0</v>
      </c>
      <c r="AC393" s="19">
        <v>0.0</v>
      </c>
      <c r="AD393" s="19">
        <v>0.0</v>
      </c>
      <c r="AE393" s="19">
        <v>0.0</v>
      </c>
      <c r="AF393" s="25"/>
      <c r="AG393" s="24">
        <f>IFERROR(__xludf.DUMMYFUNCTION("SUM(QUERY(Entregas_BD!D:W,""select U where D='""&amp;D393&amp;""'"",1))"),0.0)</f>
        <v>0</v>
      </c>
      <c r="AH393" s="24">
        <f>IFERROR(__xludf.DUMMYFUNCTION("SUM(QUERY(Entregas_BD!D:W,""select S where D='""&amp;D393&amp;""'"",1))"),0.0)</f>
        <v>0</v>
      </c>
      <c r="AI393" s="24">
        <f>IFERROR(__xludf.DUMMYFUNCTION("SUM(QUERY(Entregas_BD!D:W,""select T where D='""&amp;D393&amp;""'"",1))"),0.0)</f>
        <v>0</v>
      </c>
    </row>
    <row r="394" ht="19.5" customHeight="1">
      <c r="A394" s="88"/>
      <c r="B394" s="89"/>
      <c r="C394" s="9">
        <v>393.0</v>
      </c>
      <c r="D394" s="72" t="s">
        <v>907</v>
      </c>
      <c r="E394" s="10"/>
      <c r="F394" s="10" t="s">
        <v>45</v>
      </c>
      <c r="G394" s="10" t="s">
        <v>45</v>
      </c>
      <c r="H394" s="45" t="s">
        <v>770</v>
      </c>
      <c r="I394" s="11" t="s">
        <v>41</v>
      </c>
      <c r="J394" s="45"/>
      <c r="K394" s="12"/>
      <c r="L394" s="13"/>
      <c r="M394" s="45"/>
      <c r="N394" s="9">
        <f>IFERROR(__xludf.DUMMYFUNCTION("SUM(QUERY(Entregas_BD!D:L,""select G where D='""&amp;D394&amp;""'"",1))"),0.0)</f>
        <v>0</v>
      </c>
      <c r="O394" s="9">
        <f>IFERROR(__xludf.DUMMYFUNCTION("SUM(QUERY(Entregas_BD!D:L,""select H where D='""&amp;D394&amp;""'"",1))"),0.0)</f>
        <v>0</v>
      </c>
      <c r="P394" s="9">
        <f>IFERROR(__xludf.DUMMYFUNCTION("SUM(QUERY(Entregas_BD!D:L,""select I where D='""&amp;D394&amp;""'"",1))"),0.0)</f>
        <v>0</v>
      </c>
      <c r="Q394" s="9">
        <f>IFERROR(__xludf.DUMMYFUNCTION("SUM(QUERY(Entregas_BD!D:L,""select J where D='""&amp;D394&amp;""'"",1))"),0.0)</f>
        <v>0</v>
      </c>
      <c r="R394" s="15">
        <f>IFERROR(__xludf.DUMMYFUNCTION("SUM(QUERY(Entregas_BD!D:L,""select K where D='""&amp;D394&amp;""'"",1))"),0.0)</f>
        <v>0</v>
      </c>
      <c r="S394" s="15">
        <f>IFERROR(__xludf.DUMMYFUNCTION("SUM(QUERY(Entregas_BD!D:L,""select L where D='""&amp;D394&amp;""'"",1))"),0.0)</f>
        <v>0</v>
      </c>
      <c r="T394" s="9">
        <f>IFERROR(__xludf.DUMMYFUNCTION("SUM(QUERY(Entregas_BD!D:AL,""select AG where D='""&amp;D394&amp;""'"",1))"),50.0)</f>
        <v>50</v>
      </c>
      <c r="U394" s="9">
        <f>IFERROR(__xludf.DUMMYFUNCTION("SUM(QUERY(Entregas_BD!D:AL,""select AH where D='""&amp;D394&amp;""'"",1))"),0.0)</f>
        <v>0</v>
      </c>
      <c r="V394" s="9">
        <f>IFERROR(__xludf.DUMMYFUNCTION("SUM(QUERY(Entregas_BD!D:AL,""select AI where D='""&amp;D394&amp;""'"",1))"),0.0)</f>
        <v>0</v>
      </c>
      <c r="W394" s="9">
        <f>IFERROR(__xludf.DUMMYFUNCTION("SUM(QUERY(Entregas_BD!D:AL,""select AJ where D='""&amp;D394&amp;""'"",1))"),0.0)</f>
        <v>0</v>
      </c>
      <c r="X394" s="9">
        <f>IFERROR(__xludf.DUMMYFUNCTION("SUM(QUERY(Entregas_BD!D:AL,""select AL where D='""&amp;D394&amp;""'"",1))"),0.0)</f>
        <v>0</v>
      </c>
      <c r="Y394" s="9">
        <f>IFERROR(__xludf.DUMMYFUNCTION("SUM(QUERY(Entregas_BD!D:AL,""select AK where D='""&amp;D394&amp;""'"",1))"),0.0)</f>
        <v>0</v>
      </c>
      <c r="Z394" s="9">
        <v>-50.0</v>
      </c>
      <c r="AA394" s="9">
        <v>0.0</v>
      </c>
      <c r="AB394" s="9">
        <v>0.0</v>
      </c>
      <c r="AC394" s="9">
        <v>0.0</v>
      </c>
      <c r="AD394" s="9">
        <v>0.0</v>
      </c>
      <c r="AE394" s="9">
        <v>0.0</v>
      </c>
      <c r="AF394" s="37"/>
      <c r="AG394" s="15">
        <f>IFERROR(__xludf.DUMMYFUNCTION("SUM(QUERY(Entregas_BD!D:W,""select U where D='""&amp;D394&amp;""'"",1))"),0.0)</f>
        <v>0</v>
      </c>
      <c r="AH394" s="15">
        <f>IFERROR(__xludf.DUMMYFUNCTION("SUM(QUERY(Entregas_BD!D:W,""select S where D='""&amp;D394&amp;""'"",1))"),0.0)</f>
        <v>0</v>
      </c>
      <c r="AI394" s="15">
        <f>IFERROR(__xludf.DUMMYFUNCTION("SUM(QUERY(Entregas_BD!D:W,""select T where D='""&amp;D394&amp;""'"",1))"),0.0)</f>
        <v>0</v>
      </c>
    </row>
    <row r="395" ht="19.5" customHeight="1">
      <c r="A395" s="90"/>
      <c r="B395" s="91"/>
      <c r="C395" s="19">
        <v>394.0</v>
      </c>
      <c r="D395" s="99" t="s">
        <v>908</v>
      </c>
      <c r="E395" s="20" t="s">
        <v>58</v>
      </c>
      <c r="F395" s="20" t="s">
        <v>45</v>
      </c>
      <c r="G395" s="20" t="s">
        <v>909</v>
      </c>
      <c r="H395" s="44" t="s">
        <v>770</v>
      </c>
      <c r="I395" s="21" t="s">
        <v>41</v>
      </c>
      <c r="J395" s="44"/>
      <c r="K395" s="34"/>
      <c r="L395" s="42"/>
      <c r="M395" s="44"/>
      <c r="N395" s="19">
        <f>IFERROR(__xludf.DUMMYFUNCTION("SUM(QUERY(Entregas_BD!D:L,""select G where D='""&amp;D395&amp;""'"",1))"),0.0)</f>
        <v>0</v>
      </c>
      <c r="O395" s="19">
        <f>IFERROR(__xludf.DUMMYFUNCTION("SUM(QUERY(Entregas_BD!D:L,""select H where D='""&amp;D395&amp;""'"",1))"),0.0)</f>
        <v>0</v>
      </c>
      <c r="P395" s="19">
        <f>IFERROR(__xludf.DUMMYFUNCTION("SUM(QUERY(Entregas_BD!D:L,""select I where D='""&amp;D395&amp;""'"",1))"),0.0)</f>
        <v>0</v>
      </c>
      <c r="Q395" s="19">
        <f>IFERROR(__xludf.DUMMYFUNCTION("SUM(QUERY(Entregas_BD!D:L,""select J where D='""&amp;D395&amp;""'"",1))"),0.0)</f>
        <v>0</v>
      </c>
      <c r="R395" s="24">
        <f>IFERROR(__xludf.DUMMYFUNCTION("SUM(QUERY(Entregas_BD!D:L,""select K where D='""&amp;D395&amp;""'"",1))"),0.0)</f>
        <v>0</v>
      </c>
      <c r="S395" s="24">
        <f>IFERROR(__xludf.DUMMYFUNCTION("SUM(QUERY(Entregas_BD!D:L,""select L where D='""&amp;D395&amp;""'"",1))"),0.0)</f>
        <v>0</v>
      </c>
      <c r="T395" s="19">
        <f>IFERROR(__xludf.DUMMYFUNCTION("SUM(QUERY(Entregas_BD!D:AL,""select AG where D='""&amp;D395&amp;""'"",1))"),0.0)</f>
        <v>0</v>
      </c>
      <c r="U395" s="19">
        <f>IFERROR(__xludf.DUMMYFUNCTION("SUM(QUERY(Entregas_BD!D:AL,""select AH where D='""&amp;D395&amp;""'"",1))"),0.0)</f>
        <v>0</v>
      </c>
      <c r="V395" s="19">
        <f>IFERROR(__xludf.DUMMYFUNCTION("SUM(QUERY(Entregas_BD!D:AL,""select AI where D='""&amp;D395&amp;""'"",1))"),0.0)</f>
        <v>0</v>
      </c>
      <c r="W395" s="19">
        <f>IFERROR(__xludf.DUMMYFUNCTION("SUM(QUERY(Entregas_BD!D:AL,""select AJ where D='""&amp;D395&amp;""'"",1))"),400.0)</f>
        <v>400</v>
      </c>
      <c r="X395" s="19">
        <f>IFERROR(__xludf.DUMMYFUNCTION("SUM(QUERY(Entregas_BD!D:AL,""select AL where D='""&amp;D395&amp;""'"",1))"),0.0)</f>
        <v>0</v>
      </c>
      <c r="Y395" s="19">
        <f>IFERROR(__xludf.DUMMYFUNCTION("SUM(QUERY(Entregas_BD!D:AL,""select AK where D='""&amp;D395&amp;""'"",1))"),48.0)</f>
        <v>48</v>
      </c>
      <c r="Z395" s="19">
        <v>0.0</v>
      </c>
      <c r="AA395" s="19">
        <v>0.0</v>
      </c>
      <c r="AB395" s="19">
        <v>0.0</v>
      </c>
      <c r="AC395" s="19">
        <v>-400.0</v>
      </c>
      <c r="AD395" s="19">
        <v>-48.0</v>
      </c>
      <c r="AE395" s="19">
        <v>0.0</v>
      </c>
      <c r="AF395" s="25"/>
      <c r="AG395" s="24">
        <f>IFERROR(__xludf.DUMMYFUNCTION("SUM(QUERY(Entregas_BD!D:W,""select U where D='""&amp;D395&amp;""'"",1))"),0.0)</f>
        <v>0</v>
      </c>
      <c r="AH395" s="24">
        <f>IFERROR(__xludf.DUMMYFUNCTION("SUM(QUERY(Entregas_BD!D:W,""select S where D='""&amp;D395&amp;""'"",1))"),0.0)</f>
        <v>0</v>
      </c>
      <c r="AI395" s="24">
        <f>IFERROR(__xludf.DUMMYFUNCTION("SUM(QUERY(Entregas_BD!D:W,""select T where D='""&amp;D395&amp;""'"",1))"),0.0)</f>
        <v>0</v>
      </c>
    </row>
    <row r="396" ht="19.5" customHeight="1">
      <c r="A396" s="88"/>
      <c r="B396" s="89"/>
      <c r="C396" s="9">
        <v>395.0</v>
      </c>
      <c r="D396" s="55" t="s">
        <v>910</v>
      </c>
      <c r="E396" s="10" t="s">
        <v>58</v>
      </c>
      <c r="F396" s="10" t="s">
        <v>45</v>
      </c>
      <c r="G396" s="10" t="s">
        <v>420</v>
      </c>
      <c r="H396" s="45" t="s">
        <v>770</v>
      </c>
      <c r="I396" s="11" t="s">
        <v>41</v>
      </c>
      <c r="J396" s="45"/>
      <c r="K396" s="12"/>
      <c r="L396" s="13"/>
      <c r="M396" s="45"/>
      <c r="N396" s="9">
        <f>IFERROR(__xludf.DUMMYFUNCTION("SUM(QUERY(Entregas_BD!D:L,""select G where D='""&amp;D396&amp;""'"",1))"),0.0)</f>
        <v>0</v>
      </c>
      <c r="O396" s="9">
        <f>IFERROR(__xludf.DUMMYFUNCTION("SUM(QUERY(Entregas_BD!D:L,""select H where D='""&amp;D396&amp;""'"",1))"),0.0)</f>
        <v>0</v>
      </c>
      <c r="P396" s="9">
        <f>IFERROR(__xludf.DUMMYFUNCTION("SUM(QUERY(Entregas_BD!D:L,""select I where D='""&amp;D396&amp;""'"",1))"),0.0)</f>
        <v>0</v>
      </c>
      <c r="Q396" s="9">
        <f>IFERROR(__xludf.DUMMYFUNCTION("SUM(QUERY(Entregas_BD!D:L,""select J where D='""&amp;D396&amp;""'"",1))"),0.0)</f>
        <v>0</v>
      </c>
      <c r="R396" s="15">
        <f>IFERROR(__xludf.DUMMYFUNCTION("SUM(QUERY(Entregas_BD!D:L,""select K where D='""&amp;D396&amp;""'"",1))"),0.0)</f>
        <v>0</v>
      </c>
      <c r="S396" s="15">
        <f>IFERROR(__xludf.DUMMYFUNCTION("SUM(QUERY(Entregas_BD!D:L,""select L where D='""&amp;D396&amp;""'"",1))"),0.0)</f>
        <v>0</v>
      </c>
      <c r="T396" s="9">
        <f>IFERROR(__xludf.DUMMYFUNCTION("SUM(QUERY(Entregas_BD!D:AL,""select AG where D='""&amp;D396&amp;""'"",1))"),25.0)</f>
        <v>25</v>
      </c>
      <c r="U396" s="9">
        <f>IFERROR(__xludf.DUMMYFUNCTION("SUM(QUERY(Entregas_BD!D:AL,""select AH where D='""&amp;D396&amp;""'"",1))"),0.0)</f>
        <v>0</v>
      </c>
      <c r="V396" s="9">
        <f>IFERROR(__xludf.DUMMYFUNCTION("SUM(QUERY(Entregas_BD!D:AL,""select AI where D='""&amp;D396&amp;""'"",1))"),0.0)</f>
        <v>0</v>
      </c>
      <c r="W396" s="9">
        <f>IFERROR(__xludf.DUMMYFUNCTION("SUM(QUERY(Entregas_BD!D:AL,""select AJ where D='""&amp;D396&amp;""'"",1))"),0.0)</f>
        <v>0</v>
      </c>
      <c r="X396" s="9">
        <f>IFERROR(__xludf.DUMMYFUNCTION("SUM(QUERY(Entregas_BD!D:AL,""select AL where D='""&amp;D396&amp;""'"",1))"),0.0)</f>
        <v>0</v>
      </c>
      <c r="Y396" s="9">
        <f>IFERROR(__xludf.DUMMYFUNCTION("SUM(QUERY(Entregas_BD!D:AL,""select AK where D='""&amp;D396&amp;""'"",1))"),0.0)</f>
        <v>0</v>
      </c>
      <c r="Z396" s="9">
        <v>-25.0</v>
      </c>
      <c r="AA396" s="9">
        <v>0.0</v>
      </c>
      <c r="AB396" s="9">
        <v>0.0</v>
      </c>
      <c r="AC396" s="9">
        <v>0.0</v>
      </c>
      <c r="AD396" s="9">
        <v>0.0</v>
      </c>
      <c r="AE396" s="9">
        <v>0.0</v>
      </c>
      <c r="AF396" s="37"/>
      <c r="AG396" s="15">
        <f>IFERROR(__xludf.DUMMYFUNCTION("SUM(QUERY(Entregas_BD!D:W,""select U where D='""&amp;D396&amp;""'"",1))"),0.0)</f>
        <v>0</v>
      </c>
      <c r="AH396" s="15">
        <f>IFERROR(__xludf.DUMMYFUNCTION("SUM(QUERY(Entregas_BD!D:W,""select S where D='""&amp;D396&amp;""'"",1))"),0.0)</f>
        <v>0</v>
      </c>
      <c r="AI396" s="15">
        <f>IFERROR(__xludf.DUMMYFUNCTION("SUM(QUERY(Entregas_BD!D:W,""select T where D='""&amp;D396&amp;""'"",1))"),0.0)</f>
        <v>0</v>
      </c>
    </row>
    <row r="397" ht="19.5" customHeight="1">
      <c r="A397" s="90"/>
      <c r="B397" s="91"/>
      <c r="C397" s="19">
        <v>396.0</v>
      </c>
      <c r="D397" s="44" t="s">
        <v>911</v>
      </c>
      <c r="E397" s="20" t="s">
        <v>324</v>
      </c>
      <c r="F397" s="20" t="s">
        <v>414</v>
      </c>
      <c r="G397" s="20" t="s">
        <v>912</v>
      </c>
      <c r="H397" s="34" t="s">
        <v>622</v>
      </c>
      <c r="I397" s="21" t="s">
        <v>41</v>
      </c>
      <c r="J397" s="44"/>
      <c r="K397" s="34"/>
      <c r="L397" s="42"/>
      <c r="M397" s="44"/>
      <c r="N397" s="19">
        <f>IFERROR(__xludf.DUMMYFUNCTION("SUM(QUERY(Entregas_BD!D:L,""select G where D='""&amp;D397&amp;""'"",1))"),0.0)</f>
        <v>0</v>
      </c>
      <c r="O397" s="19">
        <f>IFERROR(__xludf.DUMMYFUNCTION("SUM(QUERY(Entregas_BD!D:L,""select H where D='""&amp;D397&amp;""'"",1))"),0.0)</f>
        <v>0</v>
      </c>
      <c r="P397" s="19">
        <f>IFERROR(__xludf.DUMMYFUNCTION("SUM(QUERY(Entregas_BD!D:L,""select I where D='""&amp;D397&amp;""'"",1))"),0.0)</f>
        <v>0</v>
      </c>
      <c r="Q397" s="19">
        <f>IFERROR(__xludf.DUMMYFUNCTION("SUM(QUERY(Entregas_BD!D:L,""select J where D='""&amp;D397&amp;""'"",1))"),0.0)</f>
        <v>0</v>
      </c>
      <c r="R397" s="24">
        <f>IFERROR(__xludf.DUMMYFUNCTION("SUM(QUERY(Entregas_BD!D:L,""select K where D='""&amp;D397&amp;""'"",1))"),0.0)</f>
        <v>0</v>
      </c>
      <c r="S397" s="24">
        <f>IFERROR(__xludf.DUMMYFUNCTION("SUM(QUERY(Entregas_BD!D:L,""select L where D='""&amp;D397&amp;""'"",1))"),0.0)</f>
        <v>0</v>
      </c>
      <c r="T397" s="19">
        <f>IFERROR(__xludf.DUMMYFUNCTION("SUM(QUERY(Entregas_BD!D:AL,""select AG where D='""&amp;D397&amp;""'"",1))"),40.0)</f>
        <v>40</v>
      </c>
      <c r="U397" s="19">
        <f>IFERROR(__xludf.DUMMYFUNCTION("SUM(QUERY(Entregas_BD!D:AL,""select AH where D='""&amp;D397&amp;""'"",1))"),0.0)</f>
        <v>0</v>
      </c>
      <c r="V397" s="19">
        <f>IFERROR(__xludf.DUMMYFUNCTION("SUM(QUERY(Entregas_BD!D:AL,""select AI where D='""&amp;D397&amp;""'"",1))"),0.0)</f>
        <v>0</v>
      </c>
      <c r="W397" s="19">
        <f>IFERROR(__xludf.DUMMYFUNCTION("SUM(QUERY(Entregas_BD!D:AL,""select AJ where D='""&amp;D397&amp;""'"",1))"),0.0)</f>
        <v>0</v>
      </c>
      <c r="X397" s="19">
        <f>IFERROR(__xludf.DUMMYFUNCTION("SUM(QUERY(Entregas_BD!D:AL,""select AL where D='""&amp;D397&amp;""'"",1))"),0.0)</f>
        <v>0</v>
      </c>
      <c r="Y397" s="19">
        <f>IFERROR(__xludf.DUMMYFUNCTION("SUM(QUERY(Entregas_BD!D:AL,""select AK where D='""&amp;D397&amp;""'"",1))"),0.0)</f>
        <v>0</v>
      </c>
      <c r="Z397" s="19">
        <v>-40.0</v>
      </c>
      <c r="AA397" s="19">
        <v>0.0</v>
      </c>
      <c r="AB397" s="19">
        <v>0.0</v>
      </c>
      <c r="AC397" s="19">
        <v>0.0</v>
      </c>
      <c r="AD397" s="19">
        <v>0.0</v>
      </c>
      <c r="AE397" s="19">
        <v>0.0</v>
      </c>
      <c r="AF397" s="25"/>
      <c r="AG397" s="24">
        <f>IFERROR(__xludf.DUMMYFUNCTION("SUM(QUERY(Entregas_BD!D:W,""select U where D='""&amp;D397&amp;""'"",1))"),0.0)</f>
        <v>0</v>
      </c>
      <c r="AH397" s="24">
        <f>IFERROR(__xludf.DUMMYFUNCTION("SUM(QUERY(Entregas_BD!D:W,""select S where D='""&amp;D397&amp;""'"",1))"),0.0)</f>
        <v>0</v>
      </c>
      <c r="AI397" s="24">
        <f>IFERROR(__xludf.DUMMYFUNCTION("SUM(QUERY(Entregas_BD!D:W,""select T where D='""&amp;D397&amp;""'"",1))"),0.0)</f>
        <v>0</v>
      </c>
    </row>
    <row r="398" ht="19.5" customHeight="1">
      <c r="A398" s="88"/>
      <c r="B398" s="89"/>
      <c r="C398" s="9">
        <v>397.0</v>
      </c>
      <c r="D398" s="72" t="s">
        <v>913</v>
      </c>
      <c r="E398" s="10"/>
      <c r="F398" s="10" t="s">
        <v>45</v>
      </c>
      <c r="G398" s="10" t="s">
        <v>45</v>
      </c>
      <c r="H398" s="45" t="s">
        <v>770</v>
      </c>
      <c r="I398" s="11" t="s">
        <v>47</v>
      </c>
      <c r="J398" s="45"/>
      <c r="K398" s="12"/>
      <c r="L398" s="13"/>
      <c r="M398" s="45"/>
      <c r="N398" s="9">
        <f>IFERROR(__xludf.DUMMYFUNCTION("SUM(QUERY(Entregas_BD!D:L,""select G where D='""&amp;D398&amp;""'"",1))"),0.0)</f>
        <v>0</v>
      </c>
      <c r="O398" s="9">
        <f>IFERROR(__xludf.DUMMYFUNCTION("SUM(QUERY(Entregas_BD!D:L,""select H where D='""&amp;D398&amp;""'"",1))"),0.0)</f>
        <v>0</v>
      </c>
      <c r="P398" s="9">
        <f>IFERROR(__xludf.DUMMYFUNCTION("SUM(QUERY(Entregas_BD!D:L,""select I where D='""&amp;D398&amp;""'"",1))"),0.0)</f>
        <v>0</v>
      </c>
      <c r="Q398" s="9">
        <f>IFERROR(__xludf.DUMMYFUNCTION("SUM(QUERY(Entregas_BD!D:L,""select J where D='""&amp;D398&amp;""'"",1))"),0.0)</f>
        <v>0</v>
      </c>
      <c r="R398" s="15">
        <f>IFERROR(__xludf.DUMMYFUNCTION("SUM(QUERY(Entregas_BD!D:L,""select K where D='""&amp;D398&amp;""'"",1))"),0.0)</f>
        <v>0</v>
      </c>
      <c r="S398" s="15">
        <f>IFERROR(__xludf.DUMMYFUNCTION("SUM(QUERY(Entregas_BD!D:L,""select L where D='""&amp;D398&amp;""'"",1))"),0.0)</f>
        <v>0</v>
      </c>
      <c r="T398" s="9">
        <f>IFERROR(__xludf.DUMMYFUNCTION("SUM(QUERY(Entregas_BD!D:AL,""select AG where D='""&amp;D398&amp;""'"",1))"),100.0)</f>
        <v>100</v>
      </c>
      <c r="U398" s="9">
        <f>IFERROR(__xludf.DUMMYFUNCTION("SUM(QUERY(Entregas_BD!D:AL,""select AH where D='""&amp;D398&amp;""'"",1))"),0.0)</f>
        <v>0</v>
      </c>
      <c r="V398" s="9">
        <f>IFERROR(__xludf.DUMMYFUNCTION("SUM(QUERY(Entregas_BD!D:AL,""select AI where D='""&amp;D398&amp;""'"",1))"),0.0)</f>
        <v>0</v>
      </c>
      <c r="W398" s="9">
        <f>IFERROR(__xludf.DUMMYFUNCTION("SUM(QUERY(Entregas_BD!D:AL,""select AJ where D='""&amp;D398&amp;""'"",1))"),0.0)</f>
        <v>0</v>
      </c>
      <c r="X398" s="9">
        <f>IFERROR(__xludf.DUMMYFUNCTION("SUM(QUERY(Entregas_BD!D:AL,""select AL where D='""&amp;D398&amp;""'"",1))"),0.0)</f>
        <v>0</v>
      </c>
      <c r="Y398" s="9">
        <f>IFERROR(__xludf.DUMMYFUNCTION("SUM(QUERY(Entregas_BD!D:AL,""select AK where D='""&amp;D398&amp;""'"",1))"),0.0)</f>
        <v>0</v>
      </c>
      <c r="Z398" s="9">
        <v>-100.0</v>
      </c>
      <c r="AA398" s="9">
        <v>0.0</v>
      </c>
      <c r="AB398" s="9">
        <v>0.0</v>
      </c>
      <c r="AC398" s="9">
        <v>0.0</v>
      </c>
      <c r="AD398" s="9">
        <v>0.0</v>
      </c>
      <c r="AE398" s="9">
        <v>0.0</v>
      </c>
      <c r="AF398" s="37"/>
      <c r="AG398" s="15">
        <f>IFERROR(__xludf.DUMMYFUNCTION("SUM(QUERY(Entregas_BD!D:W,""select U where D='""&amp;D398&amp;""'"",1))"),0.0)</f>
        <v>0</v>
      </c>
      <c r="AH398" s="15">
        <f>IFERROR(__xludf.DUMMYFUNCTION("SUM(QUERY(Entregas_BD!D:W,""select S where D='""&amp;D398&amp;""'"",1))"),0.0)</f>
        <v>0</v>
      </c>
      <c r="AI398" s="15">
        <f>IFERROR(__xludf.DUMMYFUNCTION("SUM(QUERY(Entregas_BD!D:W,""select T where D='""&amp;D398&amp;""'"",1))"),0.0)</f>
        <v>0</v>
      </c>
    </row>
    <row r="399" ht="19.5" customHeight="1">
      <c r="A399" s="90"/>
      <c r="B399" s="91"/>
      <c r="C399" s="19">
        <v>398.0</v>
      </c>
      <c r="D399" s="93" t="s">
        <v>914</v>
      </c>
      <c r="E399" s="20"/>
      <c r="F399" s="20" t="s">
        <v>45</v>
      </c>
      <c r="G399" s="20" t="s">
        <v>45</v>
      </c>
      <c r="H399" s="44" t="s">
        <v>770</v>
      </c>
      <c r="I399" s="21" t="s">
        <v>41</v>
      </c>
      <c r="J399" s="44"/>
      <c r="K399" s="34"/>
      <c r="L399" s="42"/>
      <c r="M399" s="44"/>
      <c r="N399" s="19">
        <f>IFERROR(__xludf.DUMMYFUNCTION("SUM(QUERY(Entregas_BD!D:L,""select G where D='""&amp;D399&amp;""'"",1))"),0.0)</f>
        <v>0</v>
      </c>
      <c r="O399" s="19">
        <f>IFERROR(__xludf.DUMMYFUNCTION("SUM(QUERY(Entregas_BD!D:L,""select H where D='""&amp;D399&amp;""'"",1))"),0.0)</f>
        <v>0</v>
      </c>
      <c r="P399" s="19">
        <f>IFERROR(__xludf.DUMMYFUNCTION("SUM(QUERY(Entregas_BD!D:L,""select I where D='""&amp;D399&amp;""'"",1))"),0.0)</f>
        <v>0</v>
      </c>
      <c r="Q399" s="19">
        <f>IFERROR(__xludf.DUMMYFUNCTION("SUM(QUERY(Entregas_BD!D:L,""select J where D='""&amp;D399&amp;""'"",1))"),0.0)</f>
        <v>0</v>
      </c>
      <c r="R399" s="24">
        <f>IFERROR(__xludf.DUMMYFUNCTION("SUM(QUERY(Entregas_BD!D:L,""select K where D='""&amp;D399&amp;""'"",1))"),0.0)</f>
        <v>0</v>
      </c>
      <c r="S399" s="24">
        <f>IFERROR(__xludf.DUMMYFUNCTION("SUM(QUERY(Entregas_BD!D:L,""select L where D='""&amp;D399&amp;""'"",1))"),0.0)</f>
        <v>0</v>
      </c>
      <c r="T399" s="19">
        <f>IFERROR(__xludf.DUMMYFUNCTION("SUM(QUERY(Entregas_BD!D:AL,""select AG where D='""&amp;D399&amp;""'"",1))"),350.0)</f>
        <v>350</v>
      </c>
      <c r="U399" s="19">
        <f>IFERROR(__xludf.DUMMYFUNCTION("SUM(QUERY(Entregas_BD!D:AL,""select AH where D='""&amp;D399&amp;""'"",1))"),0.0)</f>
        <v>0</v>
      </c>
      <c r="V399" s="19">
        <f>IFERROR(__xludf.DUMMYFUNCTION("SUM(QUERY(Entregas_BD!D:AL,""select AI where D='""&amp;D399&amp;""'"",1))"),0.0)</f>
        <v>0</v>
      </c>
      <c r="W399" s="19">
        <f>IFERROR(__xludf.DUMMYFUNCTION("SUM(QUERY(Entregas_BD!D:AL,""select AJ where D='""&amp;D399&amp;""'"",1))"),0.0)</f>
        <v>0</v>
      </c>
      <c r="X399" s="19">
        <f>IFERROR(__xludf.DUMMYFUNCTION("SUM(QUERY(Entregas_BD!D:AL,""select AL where D='""&amp;D399&amp;""'"",1))"),0.0)</f>
        <v>0</v>
      </c>
      <c r="Y399" s="19">
        <f>IFERROR(__xludf.DUMMYFUNCTION("SUM(QUERY(Entregas_BD!D:AL,""select AK where D='""&amp;D399&amp;""'"",1))"),0.0)</f>
        <v>0</v>
      </c>
      <c r="Z399" s="19">
        <v>-350.0</v>
      </c>
      <c r="AA399" s="19">
        <v>0.0</v>
      </c>
      <c r="AB399" s="19">
        <v>0.0</v>
      </c>
      <c r="AC399" s="19">
        <v>0.0</v>
      </c>
      <c r="AD399" s="19">
        <v>0.0</v>
      </c>
      <c r="AE399" s="19">
        <v>0.0</v>
      </c>
      <c r="AF399" s="25"/>
      <c r="AG399" s="24">
        <f>IFERROR(__xludf.DUMMYFUNCTION("SUM(QUERY(Entregas_BD!D:W,""select U where D='""&amp;D399&amp;""'"",1))"),0.0)</f>
        <v>0</v>
      </c>
      <c r="AH399" s="24">
        <f>IFERROR(__xludf.DUMMYFUNCTION("SUM(QUERY(Entregas_BD!D:W,""select S where D='""&amp;D399&amp;""'"",1))"),0.0)</f>
        <v>0</v>
      </c>
      <c r="AI399" s="24">
        <f>IFERROR(__xludf.DUMMYFUNCTION("SUM(QUERY(Entregas_BD!D:W,""select T where D='""&amp;D399&amp;""'"",1))"),0.0)</f>
        <v>0</v>
      </c>
    </row>
    <row r="400" ht="19.5" customHeight="1">
      <c r="A400" s="88"/>
      <c r="B400" s="89"/>
      <c r="C400" s="9">
        <v>399.0</v>
      </c>
      <c r="D400" s="100" t="s">
        <v>915</v>
      </c>
      <c r="E400" s="10" t="s">
        <v>44</v>
      </c>
      <c r="F400" s="10" t="s">
        <v>45</v>
      </c>
      <c r="G400" s="10" t="s">
        <v>903</v>
      </c>
      <c r="H400" s="45" t="s">
        <v>770</v>
      </c>
      <c r="I400" s="11" t="s">
        <v>41</v>
      </c>
      <c r="J400" s="45"/>
      <c r="K400" s="12"/>
      <c r="L400" s="13"/>
      <c r="M400" s="45"/>
      <c r="N400" s="9">
        <f>IFERROR(__xludf.DUMMYFUNCTION("SUM(QUERY(Entregas_BD!D:L,""select G where D='""&amp;D400&amp;""'"",1))"),0.0)</f>
        <v>0</v>
      </c>
      <c r="O400" s="9">
        <f>IFERROR(__xludf.DUMMYFUNCTION("SUM(QUERY(Entregas_BD!D:L,""select H where D='""&amp;D400&amp;""'"",1))"),0.0)</f>
        <v>0</v>
      </c>
      <c r="P400" s="9">
        <f>IFERROR(__xludf.DUMMYFUNCTION("SUM(QUERY(Entregas_BD!D:L,""select I where D='""&amp;D400&amp;""'"",1))"),0.0)</f>
        <v>0</v>
      </c>
      <c r="Q400" s="9">
        <f>IFERROR(__xludf.DUMMYFUNCTION("SUM(QUERY(Entregas_BD!D:L,""select J where D='""&amp;D400&amp;""'"",1))"),0.0)</f>
        <v>0</v>
      </c>
      <c r="R400" s="15">
        <f>IFERROR(__xludf.DUMMYFUNCTION("SUM(QUERY(Entregas_BD!D:L,""select K where D='""&amp;D400&amp;""'"",1))"),0.0)</f>
        <v>0</v>
      </c>
      <c r="S400" s="15">
        <f>IFERROR(__xludf.DUMMYFUNCTION("SUM(QUERY(Entregas_BD!D:L,""select L where D='""&amp;D400&amp;""'"",1))"),0.0)</f>
        <v>0</v>
      </c>
      <c r="T400" s="9">
        <f>IFERROR(__xludf.DUMMYFUNCTION("SUM(QUERY(Entregas_BD!D:AL,""select AG where D='""&amp;D400&amp;""'"",1))"),100.0)</f>
        <v>100</v>
      </c>
      <c r="U400" s="9">
        <f>IFERROR(__xludf.DUMMYFUNCTION("SUM(QUERY(Entregas_BD!D:AL,""select AH where D='""&amp;D400&amp;""'"",1))"),0.0)</f>
        <v>0</v>
      </c>
      <c r="V400" s="9">
        <f>IFERROR(__xludf.DUMMYFUNCTION("SUM(QUERY(Entregas_BD!D:AL,""select AI where D='""&amp;D400&amp;""'"",1))"),0.0)</f>
        <v>0</v>
      </c>
      <c r="W400" s="9">
        <f>IFERROR(__xludf.DUMMYFUNCTION("SUM(QUERY(Entregas_BD!D:AL,""select AJ where D='""&amp;D400&amp;""'"",1))"),0.0)</f>
        <v>0</v>
      </c>
      <c r="X400" s="9">
        <f>IFERROR(__xludf.DUMMYFUNCTION("SUM(QUERY(Entregas_BD!D:AL,""select AL where D='""&amp;D400&amp;""'"",1))"),0.0)</f>
        <v>0</v>
      </c>
      <c r="Y400" s="9">
        <f>IFERROR(__xludf.DUMMYFUNCTION("SUM(QUERY(Entregas_BD!D:AL,""select AK where D='""&amp;D400&amp;""'"",1))"),49.0)</f>
        <v>49</v>
      </c>
      <c r="Z400" s="9">
        <v>-100.0</v>
      </c>
      <c r="AA400" s="9">
        <v>0.0</v>
      </c>
      <c r="AB400" s="9">
        <v>0.0</v>
      </c>
      <c r="AC400" s="9">
        <v>0.0</v>
      </c>
      <c r="AD400" s="9">
        <v>-49.0</v>
      </c>
      <c r="AE400" s="9">
        <v>0.0</v>
      </c>
      <c r="AF400" s="37"/>
      <c r="AG400" s="15">
        <f>IFERROR(__xludf.DUMMYFUNCTION("SUM(QUERY(Entregas_BD!D:W,""select U where D='""&amp;D400&amp;""'"",1))"),0.0)</f>
        <v>0</v>
      </c>
      <c r="AH400" s="15">
        <f>IFERROR(__xludf.DUMMYFUNCTION("SUM(QUERY(Entregas_BD!D:W,""select S where D='""&amp;D400&amp;""'"",1))"),0.0)</f>
        <v>0</v>
      </c>
      <c r="AI400" s="15">
        <f>IFERROR(__xludf.DUMMYFUNCTION("SUM(QUERY(Entregas_BD!D:W,""select T where D='""&amp;D400&amp;""'"",1))"),0.0)</f>
        <v>0</v>
      </c>
    </row>
    <row r="401" ht="19.5" customHeight="1">
      <c r="A401" s="90"/>
      <c r="B401" s="91"/>
      <c r="C401" s="19">
        <v>400.0</v>
      </c>
      <c r="D401" s="44" t="s">
        <v>916</v>
      </c>
      <c r="E401" s="20" t="s">
        <v>324</v>
      </c>
      <c r="F401" s="20" t="s">
        <v>917</v>
      </c>
      <c r="G401" s="20" t="s">
        <v>917</v>
      </c>
      <c r="H401" s="44" t="s">
        <v>770</v>
      </c>
      <c r="I401" s="21" t="s">
        <v>41</v>
      </c>
      <c r="J401" s="44"/>
      <c r="K401" s="34"/>
      <c r="L401" s="42"/>
      <c r="M401" s="44"/>
      <c r="N401" s="19">
        <f>IFERROR(__xludf.DUMMYFUNCTION("SUM(QUERY(Entregas_BD!D:L,""select G where D='""&amp;D401&amp;""'"",1))"),0.0)</f>
        <v>0</v>
      </c>
      <c r="O401" s="19">
        <f>IFERROR(__xludf.DUMMYFUNCTION("SUM(QUERY(Entregas_BD!D:L,""select H where D='""&amp;D401&amp;""'"",1))"),0.0)</f>
        <v>0</v>
      </c>
      <c r="P401" s="19">
        <f>IFERROR(__xludf.DUMMYFUNCTION("SUM(QUERY(Entregas_BD!D:L,""select I where D='""&amp;D401&amp;""'"",1))"),0.0)</f>
        <v>0</v>
      </c>
      <c r="Q401" s="19">
        <f>IFERROR(__xludf.DUMMYFUNCTION("SUM(QUERY(Entregas_BD!D:L,""select J where D='""&amp;D401&amp;""'"",1))"),0.0)</f>
        <v>0</v>
      </c>
      <c r="R401" s="24">
        <f>IFERROR(__xludf.DUMMYFUNCTION("SUM(QUERY(Entregas_BD!D:L,""select K where D='""&amp;D401&amp;""'"",1))"),0.0)</f>
        <v>0</v>
      </c>
      <c r="S401" s="24">
        <f>IFERROR(__xludf.DUMMYFUNCTION("SUM(QUERY(Entregas_BD!D:L,""select L where D='""&amp;D401&amp;""'"",1))"),0.0)</f>
        <v>0</v>
      </c>
      <c r="T401" s="19">
        <f>IFERROR(__xludf.DUMMYFUNCTION("SUM(QUERY(Entregas_BD!D:AL,""select AG where D='""&amp;D401&amp;""'"",1))"),130.0)</f>
        <v>130</v>
      </c>
      <c r="U401" s="19">
        <f>IFERROR(__xludf.DUMMYFUNCTION("SUM(QUERY(Entregas_BD!D:AL,""select AH where D='""&amp;D401&amp;""'"",1))"),0.0)</f>
        <v>0</v>
      </c>
      <c r="V401" s="19">
        <f>IFERROR(__xludf.DUMMYFUNCTION("SUM(QUERY(Entregas_BD!D:AL,""select AI where D='""&amp;D401&amp;""'"",1))"),0.0)</f>
        <v>0</v>
      </c>
      <c r="W401" s="19">
        <f>IFERROR(__xludf.DUMMYFUNCTION("SUM(QUERY(Entregas_BD!D:AL,""select AJ where D='""&amp;D401&amp;""'"",1))"),0.0)</f>
        <v>0</v>
      </c>
      <c r="X401" s="19">
        <f>IFERROR(__xludf.DUMMYFUNCTION("SUM(QUERY(Entregas_BD!D:AL,""select AL where D='""&amp;D401&amp;""'"",1))"),0.0)</f>
        <v>0</v>
      </c>
      <c r="Y401" s="19">
        <f>IFERROR(__xludf.DUMMYFUNCTION("SUM(QUERY(Entregas_BD!D:AL,""select AK where D='""&amp;D401&amp;""'"",1))"),50.0)</f>
        <v>50</v>
      </c>
      <c r="Z401" s="19">
        <v>-130.0</v>
      </c>
      <c r="AA401" s="19">
        <v>0.0</v>
      </c>
      <c r="AB401" s="19">
        <v>0.0</v>
      </c>
      <c r="AC401" s="19">
        <v>0.0</v>
      </c>
      <c r="AD401" s="19">
        <v>-50.0</v>
      </c>
      <c r="AE401" s="19">
        <v>0.0</v>
      </c>
      <c r="AF401" s="25"/>
      <c r="AG401" s="24">
        <f>IFERROR(__xludf.DUMMYFUNCTION("SUM(QUERY(Entregas_BD!D:W,""select U where D='""&amp;D401&amp;""'"",1))"),0.0)</f>
        <v>0</v>
      </c>
      <c r="AH401" s="24">
        <f>IFERROR(__xludf.DUMMYFUNCTION("SUM(QUERY(Entregas_BD!D:W,""select S where D='""&amp;D401&amp;""'"",1))"),0.0)</f>
        <v>0</v>
      </c>
      <c r="AI401" s="24">
        <f>IFERROR(__xludf.DUMMYFUNCTION("SUM(QUERY(Entregas_BD!D:W,""select T where D='""&amp;D401&amp;""'"",1))"),0.0)</f>
        <v>0</v>
      </c>
    </row>
    <row r="402" ht="19.5" customHeight="1">
      <c r="A402" s="88"/>
      <c r="B402" s="89"/>
      <c r="C402" s="9">
        <v>401.0</v>
      </c>
      <c r="D402" s="101" t="s">
        <v>918</v>
      </c>
      <c r="E402" s="10" t="s">
        <v>197</v>
      </c>
      <c r="F402" s="10" t="s">
        <v>243</v>
      </c>
      <c r="G402" s="10" t="s">
        <v>919</v>
      </c>
      <c r="H402" s="12" t="s">
        <v>622</v>
      </c>
      <c r="I402" s="11" t="s">
        <v>41</v>
      </c>
      <c r="J402" s="45"/>
      <c r="K402" s="12"/>
      <c r="L402" s="13"/>
      <c r="M402" s="45"/>
      <c r="N402" s="9">
        <f>IFERROR(__xludf.DUMMYFUNCTION("SUM(QUERY(Entregas_BD!D:L,""select G where D='""&amp;D402&amp;""'"",1))"),0.0)</f>
        <v>0</v>
      </c>
      <c r="O402" s="9">
        <f>IFERROR(__xludf.DUMMYFUNCTION("SUM(QUERY(Entregas_BD!D:L,""select H where D='""&amp;D402&amp;""'"",1))"),0.0)</f>
        <v>0</v>
      </c>
      <c r="P402" s="9">
        <f>IFERROR(__xludf.DUMMYFUNCTION("SUM(QUERY(Entregas_BD!D:L,""select I where D='""&amp;D402&amp;""'"",1))"),0.0)</f>
        <v>0</v>
      </c>
      <c r="Q402" s="9">
        <f>IFERROR(__xludf.DUMMYFUNCTION("SUM(QUERY(Entregas_BD!D:L,""select J where D='""&amp;D402&amp;""'"",1))"),0.0)</f>
        <v>0</v>
      </c>
      <c r="R402" s="15">
        <f>IFERROR(__xludf.DUMMYFUNCTION("SUM(QUERY(Entregas_BD!D:L,""select K where D='""&amp;D402&amp;""'"",1))"),0.0)</f>
        <v>0</v>
      </c>
      <c r="S402" s="15">
        <f>IFERROR(__xludf.DUMMYFUNCTION("SUM(QUERY(Entregas_BD!D:L,""select L where D='""&amp;D402&amp;""'"",1))"),0.0)</f>
        <v>0</v>
      </c>
      <c r="T402" s="9">
        <f>IFERROR(__xludf.DUMMYFUNCTION("SUM(QUERY(Entregas_BD!D:AL,""select AG where D='""&amp;D402&amp;""'"",1))"),50.0)</f>
        <v>50</v>
      </c>
      <c r="U402" s="9">
        <f>IFERROR(__xludf.DUMMYFUNCTION("SUM(QUERY(Entregas_BD!D:AL,""select AH where D='""&amp;D402&amp;""'"",1))"),0.0)</f>
        <v>0</v>
      </c>
      <c r="V402" s="9">
        <f>IFERROR(__xludf.DUMMYFUNCTION("SUM(QUERY(Entregas_BD!D:AL,""select AI where D='""&amp;D402&amp;""'"",1))"),0.0)</f>
        <v>0</v>
      </c>
      <c r="W402" s="9">
        <f>IFERROR(__xludf.DUMMYFUNCTION("SUM(QUERY(Entregas_BD!D:AL,""select AJ where D='""&amp;D402&amp;""'"",1))"),0.0)</f>
        <v>0</v>
      </c>
      <c r="X402" s="9">
        <f>IFERROR(__xludf.DUMMYFUNCTION("SUM(QUERY(Entregas_BD!D:AL,""select AL where D='""&amp;D402&amp;""'"",1))"),0.0)</f>
        <v>0</v>
      </c>
      <c r="Y402" s="9">
        <f>IFERROR(__xludf.DUMMYFUNCTION("SUM(QUERY(Entregas_BD!D:AL,""select AK where D='""&amp;D402&amp;""'"",1))"),0.0)</f>
        <v>0</v>
      </c>
      <c r="Z402" s="9">
        <v>-50.0</v>
      </c>
      <c r="AA402" s="9">
        <v>0.0</v>
      </c>
      <c r="AB402" s="9">
        <v>0.0</v>
      </c>
      <c r="AC402" s="9">
        <v>0.0</v>
      </c>
      <c r="AD402" s="9">
        <v>0.0</v>
      </c>
      <c r="AE402" s="9">
        <v>0.0</v>
      </c>
      <c r="AF402" s="37"/>
      <c r="AG402" s="15">
        <f>IFERROR(__xludf.DUMMYFUNCTION("SUM(QUERY(Entregas_BD!D:W,""select U where D='""&amp;D402&amp;""'"",1))"),0.0)</f>
        <v>0</v>
      </c>
      <c r="AH402" s="15">
        <f>IFERROR(__xludf.DUMMYFUNCTION("SUM(QUERY(Entregas_BD!D:W,""select S where D='""&amp;D402&amp;""'"",1))"),0.0)</f>
        <v>0</v>
      </c>
      <c r="AI402" s="15">
        <f>IFERROR(__xludf.DUMMYFUNCTION("SUM(QUERY(Entregas_BD!D:W,""select T where D='""&amp;D402&amp;""'"",1))"),0.0)</f>
        <v>0</v>
      </c>
    </row>
    <row r="403" ht="19.5" customHeight="1">
      <c r="A403" s="90"/>
      <c r="B403" s="91"/>
      <c r="C403" s="19">
        <v>402.0</v>
      </c>
      <c r="D403" s="80" t="s">
        <v>920</v>
      </c>
      <c r="E403" s="20" t="s">
        <v>38</v>
      </c>
      <c r="F403" s="20" t="s">
        <v>276</v>
      </c>
      <c r="G403" s="20" t="s">
        <v>921</v>
      </c>
      <c r="H403" s="34" t="s">
        <v>622</v>
      </c>
      <c r="I403" s="21" t="s">
        <v>41</v>
      </c>
      <c r="J403" s="44"/>
      <c r="K403" s="34"/>
      <c r="L403" s="42"/>
      <c r="M403" s="44"/>
      <c r="N403" s="19">
        <f>IFERROR(__xludf.DUMMYFUNCTION("SUM(QUERY(Entregas_BD!D:L,""select G where D='""&amp;D403&amp;""'"",1))"),0.0)</f>
        <v>0</v>
      </c>
      <c r="O403" s="19">
        <f>IFERROR(__xludf.DUMMYFUNCTION("SUM(QUERY(Entregas_BD!D:L,""select H where D='""&amp;D403&amp;""'"",1))"),0.0)</f>
        <v>0</v>
      </c>
      <c r="P403" s="19">
        <f>IFERROR(__xludf.DUMMYFUNCTION("SUM(QUERY(Entregas_BD!D:L,""select I where D='""&amp;D403&amp;""'"",1))"),0.0)</f>
        <v>0</v>
      </c>
      <c r="Q403" s="19">
        <f>IFERROR(__xludf.DUMMYFUNCTION("SUM(QUERY(Entregas_BD!D:L,""select J where D='""&amp;D403&amp;""'"",1))"),0.0)</f>
        <v>0</v>
      </c>
      <c r="R403" s="24">
        <f>IFERROR(__xludf.DUMMYFUNCTION("SUM(QUERY(Entregas_BD!D:L,""select K where D='""&amp;D403&amp;""'"",1))"),0.0)</f>
        <v>0</v>
      </c>
      <c r="S403" s="24">
        <f>IFERROR(__xludf.DUMMYFUNCTION("SUM(QUERY(Entregas_BD!D:L,""select L where D='""&amp;D403&amp;""'"",1))"),0.0)</f>
        <v>0</v>
      </c>
      <c r="T403" s="19">
        <f>IFERROR(__xludf.DUMMYFUNCTION("SUM(QUERY(Entregas_BD!D:AL,""select AG where D='""&amp;D403&amp;""'"",1))"),100.0)</f>
        <v>100</v>
      </c>
      <c r="U403" s="19">
        <f>IFERROR(__xludf.DUMMYFUNCTION("SUM(QUERY(Entregas_BD!D:AL,""select AH where D='""&amp;D403&amp;""'"",1))"),0.0)</f>
        <v>0</v>
      </c>
      <c r="V403" s="19">
        <f>IFERROR(__xludf.DUMMYFUNCTION("SUM(QUERY(Entregas_BD!D:AL,""select AI where D='""&amp;D403&amp;""'"",1))"),0.0)</f>
        <v>0</v>
      </c>
      <c r="W403" s="19">
        <f>IFERROR(__xludf.DUMMYFUNCTION("SUM(QUERY(Entregas_BD!D:AL,""select AJ where D='""&amp;D403&amp;""'"",1))"),0.0)</f>
        <v>0</v>
      </c>
      <c r="X403" s="19">
        <f>IFERROR(__xludf.DUMMYFUNCTION("SUM(QUERY(Entregas_BD!D:AL,""select AL where D='""&amp;D403&amp;""'"",1))"),0.0)</f>
        <v>0</v>
      </c>
      <c r="Y403" s="19">
        <f>IFERROR(__xludf.DUMMYFUNCTION("SUM(QUERY(Entregas_BD!D:AL,""select AK where D='""&amp;D403&amp;""'"",1))"),0.0)</f>
        <v>0</v>
      </c>
      <c r="Z403" s="19">
        <v>-100.0</v>
      </c>
      <c r="AA403" s="19">
        <v>0.0</v>
      </c>
      <c r="AB403" s="19">
        <v>0.0</v>
      </c>
      <c r="AC403" s="19">
        <v>0.0</v>
      </c>
      <c r="AD403" s="19">
        <v>0.0</v>
      </c>
      <c r="AE403" s="19">
        <v>0.0</v>
      </c>
      <c r="AF403" s="25"/>
      <c r="AG403" s="24">
        <f>IFERROR(__xludf.DUMMYFUNCTION("SUM(QUERY(Entregas_BD!D:W,""select U where D='""&amp;D403&amp;""'"",1))"),0.0)</f>
        <v>0</v>
      </c>
      <c r="AH403" s="24">
        <f>IFERROR(__xludf.DUMMYFUNCTION("SUM(QUERY(Entregas_BD!D:W,""select S where D='""&amp;D403&amp;""'"",1))"),0.0)</f>
        <v>0</v>
      </c>
      <c r="AI403" s="24">
        <f>IFERROR(__xludf.DUMMYFUNCTION("SUM(QUERY(Entregas_BD!D:W,""select T where D='""&amp;D403&amp;""'"",1))"),0.0)</f>
        <v>0</v>
      </c>
    </row>
    <row r="404" ht="19.5" customHeight="1">
      <c r="A404" s="88"/>
      <c r="B404" s="89"/>
      <c r="C404" s="9">
        <v>403.0</v>
      </c>
      <c r="D404" s="101" t="s">
        <v>922</v>
      </c>
      <c r="E404" s="10" t="s">
        <v>44</v>
      </c>
      <c r="F404" s="10" t="s">
        <v>45</v>
      </c>
      <c r="G404" s="10" t="s">
        <v>46</v>
      </c>
      <c r="H404" s="12" t="s">
        <v>849</v>
      </c>
      <c r="I404" s="11" t="s">
        <v>41</v>
      </c>
      <c r="J404" s="45"/>
      <c r="K404" s="12"/>
      <c r="L404" s="13"/>
      <c r="M404" s="45"/>
      <c r="N404" s="9">
        <f>IFERROR(__xludf.DUMMYFUNCTION("SUM(QUERY(Entregas_BD!D:L,""select G where D='""&amp;D404&amp;""'"",1))"),0.0)</f>
        <v>0</v>
      </c>
      <c r="O404" s="9">
        <f>IFERROR(__xludf.DUMMYFUNCTION("SUM(QUERY(Entregas_BD!D:L,""select H where D='""&amp;D404&amp;""'"",1))"),0.0)</f>
        <v>0</v>
      </c>
      <c r="P404" s="9">
        <f>IFERROR(__xludf.DUMMYFUNCTION("SUM(QUERY(Entregas_BD!D:L,""select I where D='""&amp;D404&amp;""'"",1))"),0.0)</f>
        <v>0</v>
      </c>
      <c r="Q404" s="9">
        <f>IFERROR(__xludf.DUMMYFUNCTION("SUM(QUERY(Entregas_BD!D:L,""select J where D='""&amp;D404&amp;""'"",1))"),0.0)</f>
        <v>0</v>
      </c>
      <c r="R404" s="15">
        <f>IFERROR(__xludf.DUMMYFUNCTION("SUM(QUERY(Entregas_BD!D:L,""select K where D='""&amp;D404&amp;""'"",1))"),0.0)</f>
        <v>0</v>
      </c>
      <c r="S404" s="15">
        <f>IFERROR(__xludf.DUMMYFUNCTION("SUM(QUERY(Entregas_BD!D:L,""select L where D='""&amp;D404&amp;""'"",1))"),0.0)</f>
        <v>0</v>
      </c>
      <c r="T404" s="9">
        <f>IFERROR(__xludf.DUMMYFUNCTION("SUM(QUERY(Entregas_BD!D:AL,""select AG where D='""&amp;D404&amp;""'"",1))"),50.0)</f>
        <v>50</v>
      </c>
      <c r="U404" s="9">
        <f>IFERROR(__xludf.DUMMYFUNCTION("SUM(QUERY(Entregas_BD!D:AL,""select AH where D='""&amp;D404&amp;""'"",1))"),0.0)</f>
        <v>0</v>
      </c>
      <c r="V404" s="9">
        <f>IFERROR(__xludf.DUMMYFUNCTION("SUM(QUERY(Entregas_BD!D:AL,""select AI where D='""&amp;D404&amp;""'"",1))"),0.0)</f>
        <v>0</v>
      </c>
      <c r="W404" s="9">
        <f>IFERROR(__xludf.DUMMYFUNCTION("SUM(QUERY(Entregas_BD!D:AL,""select AJ where D='""&amp;D404&amp;""'"",1))"),0.0)</f>
        <v>0</v>
      </c>
      <c r="X404" s="9">
        <f>IFERROR(__xludf.DUMMYFUNCTION("SUM(QUERY(Entregas_BD!D:AL,""select AL where D='""&amp;D404&amp;""'"",1))"),0.0)</f>
        <v>0</v>
      </c>
      <c r="Y404" s="9">
        <f>IFERROR(__xludf.DUMMYFUNCTION("SUM(QUERY(Entregas_BD!D:AL,""select AK where D='""&amp;D404&amp;""'"",1))"),0.0)</f>
        <v>0</v>
      </c>
      <c r="Z404" s="9">
        <v>-50.0</v>
      </c>
      <c r="AA404" s="9">
        <v>0.0</v>
      </c>
      <c r="AB404" s="9">
        <v>0.0</v>
      </c>
      <c r="AC404" s="9">
        <v>0.0</v>
      </c>
      <c r="AD404" s="9">
        <v>0.0</v>
      </c>
      <c r="AE404" s="9">
        <v>0.0</v>
      </c>
      <c r="AF404" s="37"/>
      <c r="AG404" s="15">
        <f>IFERROR(__xludf.DUMMYFUNCTION("SUM(QUERY(Entregas_BD!D:W,""select U where D='""&amp;D404&amp;""'"",1))"),0.0)</f>
        <v>0</v>
      </c>
      <c r="AH404" s="15">
        <f>IFERROR(__xludf.DUMMYFUNCTION("SUM(QUERY(Entregas_BD!D:W,""select S where D='""&amp;D404&amp;""'"",1))"),0.0)</f>
        <v>0</v>
      </c>
      <c r="AI404" s="15">
        <f>IFERROR(__xludf.DUMMYFUNCTION("SUM(QUERY(Entregas_BD!D:W,""select T where D='""&amp;D404&amp;""'"",1))"),0.0)</f>
        <v>0</v>
      </c>
    </row>
    <row r="405" ht="19.5" customHeight="1">
      <c r="A405" s="90"/>
      <c r="B405" s="91"/>
      <c r="C405" s="19">
        <v>404.0</v>
      </c>
      <c r="D405" s="80" t="s">
        <v>923</v>
      </c>
      <c r="E405" s="20" t="s">
        <v>44</v>
      </c>
      <c r="F405" s="20" t="s">
        <v>45</v>
      </c>
      <c r="G405" s="20" t="s">
        <v>46</v>
      </c>
      <c r="H405" s="34" t="s">
        <v>849</v>
      </c>
      <c r="I405" s="21" t="s">
        <v>41</v>
      </c>
      <c r="J405" s="44"/>
      <c r="K405" s="34"/>
      <c r="L405" s="42"/>
      <c r="M405" s="44"/>
      <c r="N405" s="19">
        <f>IFERROR(__xludf.DUMMYFUNCTION("SUM(QUERY(Entregas_BD!D:L,""select G where D='""&amp;D405&amp;""'"",1))"),0.0)</f>
        <v>0</v>
      </c>
      <c r="O405" s="19">
        <f>IFERROR(__xludf.DUMMYFUNCTION("SUM(QUERY(Entregas_BD!D:L,""select H where D='""&amp;D405&amp;""'"",1))"),0.0)</f>
        <v>0</v>
      </c>
      <c r="P405" s="19">
        <f>IFERROR(__xludf.DUMMYFUNCTION("SUM(QUERY(Entregas_BD!D:L,""select I where D='""&amp;D405&amp;""'"",1))"),0.0)</f>
        <v>0</v>
      </c>
      <c r="Q405" s="19">
        <f>IFERROR(__xludf.DUMMYFUNCTION("SUM(QUERY(Entregas_BD!D:L,""select J where D='""&amp;D405&amp;""'"",1))"),0.0)</f>
        <v>0</v>
      </c>
      <c r="R405" s="24">
        <f>IFERROR(__xludf.DUMMYFUNCTION("SUM(QUERY(Entregas_BD!D:L,""select K where D='""&amp;D405&amp;""'"",1))"),0.0)</f>
        <v>0</v>
      </c>
      <c r="S405" s="24">
        <f>IFERROR(__xludf.DUMMYFUNCTION("SUM(QUERY(Entregas_BD!D:L,""select L where D='""&amp;D405&amp;""'"",1))"),0.0)</f>
        <v>0</v>
      </c>
      <c r="T405" s="19">
        <f>IFERROR(__xludf.DUMMYFUNCTION("SUM(QUERY(Entregas_BD!D:AL,""select AG where D='""&amp;D405&amp;""'"",1))"),50.0)</f>
        <v>50</v>
      </c>
      <c r="U405" s="19">
        <f>IFERROR(__xludf.DUMMYFUNCTION("SUM(QUERY(Entregas_BD!D:AL,""select AH where D='""&amp;D405&amp;""'"",1))"),0.0)</f>
        <v>0</v>
      </c>
      <c r="V405" s="19">
        <f>IFERROR(__xludf.DUMMYFUNCTION("SUM(QUERY(Entregas_BD!D:AL,""select AI where D='""&amp;D405&amp;""'"",1))"),0.0)</f>
        <v>0</v>
      </c>
      <c r="W405" s="19">
        <f>IFERROR(__xludf.DUMMYFUNCTION("SUM(QUERY(Entregas_BD!D:AL,""select AJ where D='""&amp;D405&amp;""'"",1))"),0.0)</f>
        <v>0</v>
      </c>
      <c r="X405" s="19">
        <f>IFERROR(__xludf.DUMMYFUNCTION("SUM(QUERY(Entregas_BD!D:AL,""select AL where D='""&amp;D405&amp;""'"",1))"),0.0)</f>
        <v>0</v>
      </c>
      <c r="Y405" s="19">
        <f>IFERROR(__xludf.DUMMYFUNCTION("SUM(QUERY(Entregas_BD!D:AL,""select AK where D='""&amp;D405&amp;""'"",1))"),0.0)</f>
        <v>0</v>
      </c>
      <c r="Z405" s="19">
        <v>-50.0</v>
      </c>
      <c r="AA405" s="19">
        <v>0.0</v>
      </c>
      <c r="AB405" s="19">
        <v>0.0</v>
      </c>
      <c r="AC405" s="19">
        <v>0.0</v>
      </c>
      <c r="AD405" s="19">
        <v>0.0</v>
      </c>
      <c r="AE405" s="19">
        <v>0.0</v>
      </c>
      <c r="AF405" s="25"/>
      <c r="AG405" s="24">
        <f>IFERROR(__xludf.DUMMYFUNCTION("SUM(QUERY(Entregas_BD!D:W,""select U where D='""&amp;D405&amp;""'"",1))"),0.0)</f>
        <v>0</v>
      </c>
      <c r="AH405" s="24">
        <f>IFERROR(__xludf.DUMMYFUNCTION("SUM(QUERY(Entregas_BD!D:W,""select S where D='""&amp;D405&amp;""'"",1))"),0.0)</f>
        <v>0</v>
      </c>
      <c r="AI405" s="24">
        <f>IFERROR(__xludf.DUMMYFUNCTION("SUM(QUERY(Entregas_BD!D:W,""select T where D='""&amp;D405&amp;""'"",1))"),0.0)</f>
        <v>0</v>
      </c>
    </row>
    <row r="406" ht="19.5" customHeight="1">
      <c r="A406" s="88"/>
      <c r="B406" s="89"/>
      <c r="C406" s="9">
        <v>405.0</v>
      </c>
      <c r="D406" s="101" t="s">
        <v>924</v>
      </c>
      <c r="E406" s="10" t="s">
        <v>44</v>
      </c>
      <c r="F406" s="10" t="s">
        <v>45</v>
      </c>
      <c r="G406" s="10" t="s">
        <v>854</v>
      </c>
      <c r="H406" s="12" t="s">
        <v>849</v>
      </c>
      <c r="I406" s="11" t="s">
        <v>41</v>
      </c>
      <c r="J406" s="45"/>
      <c r="K406" s="12"/>
      <c r="L406" s="13"/>
      <c r="M406" s="45"/>
      <c r="N406" s="9">
        <f>IFERROR(__xludf.DUMMYFUNCTION("SUM(QUERY(Entregas_BD!D:L,""select G where D='""&amp;D406&amp;""'"",1))"),0.0)</f>
        <v>0</v>
      </c>
      <c r="O406" s="9">
        <f>IFERROR(__xludf.DUMMYFUNCTION("SUM(QUERY(Entregas_BD!D:L,""select H where D='""&amp;D406&amp;""'"",1))"),0.0)</f>
        <v>0</v>
      </c>
      <c r="P406" s="9">
        <f>IFERROR(__xludf.DUMMYFUNCTION("SUM(QUERY(Entregas_BD!D:L,""select I where D='""&amp;D406&amp;""'"",1))"),0.0)</f>
        <v>0</v>
      </c>
      <c r="Q406" s="9">
        <f>IFERROR(__xludf.DUMMYFUNCTION("SUM(QUERY(Entregas_BD!D:L,""select J where D='""&amp;D406&amp;""'"",1))"),0.0)</f>
        <v>0</v>
      </c>
      <c r="R406" s="15">
        <f>IFERROR(__xludf.DUMMYFUNCTION("SUM(QUERY(Entregas_BD!D:L,""select K where D='""&amp;D406&amp;""'"",1))"),0.0)</f>
        <v>0</v>
      </c>
      <c r="S406" s="15">
        <f>IFERROR(__xludf.DUMMYFUNCTION("SUM(QUERY(Entregas_BD!D:L,""select L where D='""&amp;D406&amp;""'"",1))"),0.0)</f>
        <v>0</v>
      </c>
      <c r="T406" s="9">
        <f>IFERROR(__xludf.DUMMYFUNCTION("SUM(QUERY(Entregas_BD!D:AL,""select AG where D='""&amp;D406&amp;""'"",1))"),50.0)</f>
        <v>50</v>
      </c>
      <c r="U406" s="9">
        <f>IFERROR(__xludf.DUMMYFUNCTION("SUM(QUERY(Entregas_BD!D:AL,""select AH where D='""&amp;D406&amp;""'"",1))"),0.0)</f>
        <v>0</v>
      </c>
      <c r="V406" s="9">
        <f>IFERROR(__xludf.DUMMYFUNCTION("SUM(QUERY(Entregas_BD!D:AL,""select AI where D='""&amp;D406&amp;""'"",1))"),0.0)</f>
        <v>0</v>
      </c>
      <c r="W406" s="9">
        <f>IFERROR(__xludf.DUMMYFUNCTION("SUM(QUERY(Entregas_BD!D:AL,""select AJ where D='""&amp;D406&amp;""'"",1))"),0.0)</f>
        <v>0</v>
      </c>
      <c r="X406" s="9">
        <f>IFERROR(__xludf.DUMMYFUNCTION("SUM(QUERY(Entregas_BD!D:AL,""select AL where D='""&amp;D406&amp;""'"",1))"),0.0)</f>
        <v>0</v>
      </c>
      <c r="Y406" s="9">
        <f>IFERROR(__xludf.DUMMYFUNCTION("SUM(QUERY(Entregas_BD!D:AL,""select AK where D='""&amp;D406&amp;""'"",1))"),0.0)</f>
        <v>0</v>
      </c>
      <c r="Z406" s="9">
        <v>-50.0</v>
      </c>
      <c r="AA406" s="9">
        <v>0.0</v>
      </c>
      <c r="AB406" s="9">
        <v>0.0</v>
      </c>
      <c r="AC406" s="9">
        <v>0.0</v>
      </c>
      <c r="AD406" s="9">
        <v>0.0</v>
      </c>
      <c r="AE406" s="9">
        <v>0.0</v>
      </c>
      <c r="AF406" s="37"/>
      <c r="AG406" s="15">
        <f>IFERROR(__xludf.DUMMYFUNCTION("SUM(QUERY(Entregas_BD!D:W,""select U where D='""&amp;D406&amp;""'"",1))"),0.0)</f>
        <v>0</v>
      </c>
      <c r="AH406" s="15">
        <f>IFERROR(__xludf.DUMMYFUNCTION("SUM(QUERY(Entregas_BD!D:W,""select S where D='""&amp;D406&amp;""'"",1))"),0.0)</f>
        <v>0</v>
      </c>
      <c r="AI406" s="15">
        <f>IFERROR(__xludf.DUMMYFUNCTION("SUM(QUERY(Entregas_BD!D:W,""select T where D='""&amp;D406&amp;""'"",1))"),0.0)</f>
        <v>0</v>
      </c>
    </row>
    <row r="407" ht="19.5" customHeight="1">
      <c r="A407" s="90"/>
      <c r="B407" s="91"/>
      <c r="C407" s="19">
        <v>406.0</v>
      </c>
      <c r="D407" s="44" t="s">
        <v>925</v>
      </c>
      <c r="E407" s="20"/>
      <c r="F407" s="20" t="s">
        <v>45</v>
      </c>
      <c r="G407" s="20" t="s">
        <v>45</v>
      </c>
      <c r="H407" s="44" t="s">
        <v>770</v>
      </c>
      <c r="I407" s="21" t="s">
        <v>41</v>
      </c>
      <c r="J407" s="44"/>
      <c r="K407" s="34"/>
      <c r="L407" s="42"/>
      <c r="M407" s="44"/>
      <c r="N407" s="19">
        <f>IFERROR(__xludf.DUMMYFUNCTION("SUM(QUERY(Entregas_BD!D:L,""select G where D='""&amp;D407&amp;""'"",1))"),0.0)</f>
        <v>0</v>
      </c>
      <c r="O407" s="19">
        <f>IFERROR(__xludf.DUMMYFUNCTION("SUM(QUERY(Entregas_BD!D:L,""select H where D='""&amp;D407&amp;""'"",1))"),0.0)</f>
        <v>0</v>
      </c>
      <c r="P407" s="19">
        <f>IFERROR(__xludf.DUMMYFUNCTION("SUM(QUERY(Entregas_BD!D:L,""select I where D='""&amp;D407&amp;""'"",1))"),0.0)</f>
        <v>0</v>
      </c>
      <c r="Q407" s="19">
        <f>IFERROR(__xludf.DUMMYFUNCTION("SUM(QUERY(Entregas_BD!D:L,""select J where D='""&amp;D407&amp;""'"",1))"),0.0)</f>
        <v>0</v>
      </c>
      <c r="R407" s="24">
        <f>IFERROR(__xludf.DUMMYFUNCTION("SUM(QUERY(Entregas_BD!D:L,""select K where D='""&amp;D407&amp;""'"",1))"),0.0)</f>
        <v>0</v>
      </c>
      <c r="S407" s="24">
        <f>IFERROR(__xludf.DUMMYFUNCTION("SUM(QUERY(Entregas_BD!D:L,""select L where D='""&amp;D407&amp;""'"",1))"),0.0)</f>
        <v>0</v>
      </c>
      <c r="T407" s="19">
        <f>IFERROR(__xludf.DUMMYFUNCTION("SUM(QUERY(Entregas_BD!D:AL,""select AG where D='""&amp;D407&amp;""'"",1))"),50.0)</f>
        <v>50</v>
      </c>
      <c r="U407" s="19">
        <f>IFERROR(__xludf.DUMMYFUNCTION("SUM(QUERY(Entregas_BD!D:AL,""select AH where D='""&amp;D407&amp;""'"",1))"),0.0)</f>
        <v>0</v>
      </c>
      <c r="V407" s="19">
        <f>IFERROR(__xludf.DUMMYFUNCTION("SUM(QUERY(Entregas_BD!D:AL,""select AI where D='""&amp;D407&amp;""'"",1))"),0.0)</f>
        <v>0</v>
      </c>
      <c r="W407" s="19">
        <f>IFERROR(__xludf.DUMMYFUNCTION("SUM(QUERY(Entregas_BD!D:AL,""select AJ where D='""&amp;D407&amp;""'"",1))"),0.0)</f>
        <v>0</v>
      </c>
      <c r="X407" s="19">
        <f>IFERROR(__xludf.DUMMYFUNCTION("SUM(QUERY(Entregas_BD!D:AL,""select AL where D='""&amp;D407&amp;""'"",1))"),0.0)</f>
        <v>0</v>
      </c>
      <c r="Y407" s="19">
        <f>IFERROR(__xludf.DUMMYFUNCTION("SUM(QUERY(Entregas_BD!D:AL,""select AK where D='""&amp;D407&amp;""'"",1))"),0.0)</f>
        <v>0</v>
      </c>
      <c r="Z407" s="19">
        <v>-50.0</v>
      </c>
      <c r="AA407" s="19">
        <v>0.0</v>
      </c>
      <c r="AB407" s="19">
        <v>0.0</v>
      </c>
      <c r="AC407" s="19">
        <v>0.0</v>
      </c>
      <c r="AD407" s="19">
        <v>0.0</v>
      </c>
      <c r="AE407" s="19">
        <v>0.0</v>
      </c>
      <c r="AF407" s="25"/>
      <c r="AG407" s="24">
        <f>IFERROR(__xludf.DUMMYFUNCTION("SUM(QUERY(Entregas_BD!D:W,""select U where D='""&amp;D407&amp;""'"",1))"),0.0)</f>
        <v>0</v>
      </c>
      <c r="AH407" s="24">
        <f>IFERROR(__xludf.DUMMYFUNCTION("SUM(QUERY(Entregas_BD!D:W,""select S where D='""&amp;D407&amp;""'"",1))"),0.0)</f>
        <v>0</v>
      </c>
      <c r="AI407" s="24">
        <f>IFERROR(__xludf.DUMMYFUNCTION("SUM(QUERY(Entregas_BD!D:W,""select T where D='""&amp;D407&amp;""'"",1))"),0.0)</f>
        <v>0</v>
      </c>
    </row>
    <row r="408" ht="19.5" customHeight="1">
      <c r="A408" s="88"/>
      <c r="B408" s="89"/>
      <c r="C408" s="9">
        <v>407.0</v>
      </c>
      <c r="D408" s="102" t="s">
        <v>926</v>
      </c>
      <c r="E408" s="10" t="s">
        <v>58</v>
      </c>
      <c r="F408" s="10" t="s">
        <v>45</v>
      </c>
      <c r="G408" s="10" t="s">
        <v>253</v>
      </c>
      <c r="H408" s="12" t="s">
        <v>849</v>
      </c>
      <c r="I408" s="11" t="s">
        <v>41</v>
      </c>
      <c r="J408" s="45"/>
      <c r="K408" s="12"/>
      <c r="L408" s="13"/>
      <c r="M408" s="45"/>
      <c r="N408" s="9">
        <f>IFERROR(__xludf.DUMMYFUNCTION("SUM(QUERY(Entregas_BD!D:L,""select G where D='""&amp;D408&amp;""'"",1))"),0.0)</f>
        <v>0</v>
      </c>
      <c r="O408" s="9">
        <f>IFERROR(__xludf.DUMMYFUNCTION("SUM(QUERY(Entregas_BD!D:L,""select H where D='""&amp;D408&amp;""'"",1))"),0.0)</f>
        <v>0</v>
      </c>
      <c r="P408" s="9">
        <f>IFERROR(__xludf.DUMMYFUNCTION("SUM(QUERY(Entregas_BD!D:L,""select I where D='""&amp;D408&amp;""'"",1))"),0.0)</f>
        <v>0</v>
      </c>
      <c r="Q408" s="9">
        <f>IFERROR(__xludf.DUMMYFUNCTION("SUM(QUERY(Entregas_BD!D:L,""select J where D='""&amp;D408&amp;""'"",1))"),0.0)</f>
        <v>0</v>
      </c>
      <c r="R408" s="15">
        <f>IFERROR(__xludf.DUMMYFUNCTION("SUM(QUERY(Entregas_BD!D:L,""select K where D='""&amp;D408&amp;""'"",1))"),0.0)</f>
        <v>0</v>
      </c>
      <c r="S408" s="15">
        <f>IFERROR(__xludf.DUMMYFUNCTION("SUM(QUERY(Entregas_BD!D:L,""select L where D='""&amp;D408&amp;""'"",1))"),0.0)</f>
        <v>0</v>
      </c>
      <c r="T408" s="9">
        <f>IFERROR(__xludf.DUMMYFUNCTION("SUM(QUERY(Entregas_BD!D:AL,""select AG where D='""&amp;D408&amp;""'"",1))"),50.0)</f>
        <v>50</v>
      </c>
      <c r="U408" s="9">
        <f>IFERROR(__xludf.DUMMYFUNCTION("SUM(QUERY(Entregas_BD!D:AL,""select AH where D='""&amp;D408&amp;""'"",1))"),0.0)</f>
        <v>0</v>
      </c>
      <c r="V408" s="9">
        <f>IFERROR(__xludf.DUMMYFUNCTION("SUM(QUERY(Entregas_BD!D:AL,""select AI where D='""&amp;D408&amp;""'"",1))"),0.0)</f>
        <v>0</v>
      </c>
      <c r="W408" s="9">
        <f>IFERROR(__xludf.DUMMYFUNCTION("SUM(QUERY(Entregas_BD!D:AL,""select AJ where D='""&amp;D408&amp;""'"",1))"),0.0)</f>
        <v>0</v>
      </c>
      <c r="X408" s="9">
        <f>IFERROR(__xludf.DUMMYFUNCTION("SUM(QUERY(Entregas_BD!D:AL,""select AL where D='""&amp;D408&amp;""'"",1))"),10.0)</f>
        <v>10</v>
      </c>
      <c r="Y408" s="9">
        <f>IFERROR(__xludf.DUMMYFUNCTION("SUM(QUERY(Entregas_BD!D:AL,""select AK where D='""&amp;D408&amp;""'"",1))"),20.0)</f>
        <v>20</v>
      </c>
      <c r="Z408" s="9">
        <v>-50.0</v>
      </c>
      <c r="AA408" s="9">
        <v>0.0</v>
      </c>
      <c r="AB408" s="9">
        <v>0.0</v>
      </c>
      <c r="AC408" s="9">
        <v>0.0</v>
      </c>
      <c r="AD408" s="9">
        <v>-20.0</v>
      </c>
      <c r="AE408" s="9">
        <v>-10.0</v>
      </c>
      <c r="AF408" s="37"/>
      <c r="AG408" s="15">
        <f>IFERROR(__xludf.DUMMYFUNCTION("SUM(QUERY(Entregas_BD!D:W,""select U where D='""&amp;D408&amp;""'"",1))"),0.0)</f>
        <v>0</v>
      </c>
      <c r="AH408" s="15">
        <f>IFERROR(__xludf.DUMMYFUNCTION("SUM(QUERY(Entregas_BD!D:W,""select S where D='""&amp;D408&amp;""'"",1))"),0.0)</f>
        <v>0</v>
      </c>
      <c r="AI408" s="15">
        <f>IFERROR(__xludf.DUMMYFUNCTION("SUM(QUERY(Entregas_BD!D:W,""select T where D='""&amp;D408&amp;""'"",1))"),0.0)</f>
        <v>0</v>
      </c>
    </row>
    <row r="409" ht="19.5" customHeight="1">
      <c r="A409" s="90"/>
      <c r="B409" s="91"/>
      <c r="C409" s="19">
        <v>408.0</v>
      </c>
      <c r="D409" s="103" t="s">
        <v>927</v>
      </c>
      <c r="E409" s="20" t="s">
        <v>44</v>
      </c>
      <c r="F409" s="20" t="s">
        <v>45</v>
      </c>
      <c r="G409" s="20" t="s">
        <v>46</v>
      </c>
      <c r="H409" s="34" t="s">
        <v>849</v>
      </c>
      <c r="I409" s="21" t="s">
        <v>41</v>
      </c>
      <c r="J409" s="44"/>
      <c r="K409" s="34"/>
      <c r="L409" s="42"/>
      <c r="M409" s="44"/>
      <c r="N409" s="19">
        <f>IFERROR(__xludf.DUMMYFUNCTION("SUM(QUERY(Entregas_BD!D:L,""select G where D='""&amp;D409&amp;""'"",1))"),0.0)</f>
        <v>0</v>
      </c>
      <c r="O409" s="19">
        <f>IFERROR(__xludf.DUMMYFUNCTION("SUM(QUERY(Entregas_BD!D:L,""select H where D='""&amp;D409&amp;""'"",1))"),0.0)</f>
        <v>0</v>
      </c>
      <c r="P409" s="19">
        <f>IFERROR(__xludf.DUMMYFUNCTION("SUM(QUERY(Entregas_BD!D:L,""select I where D='""&amp;D409&amp;""'"",1))"),0.0)</f>
        <v>0</v>
      </c>
      <c r="Q409" s="19">
        <f>IFERROR(__xludf.DUMMYFUNCTION("SUM(QUERY(Entregas_BD!D:L,""select J where D='""&amp;D409&amp;""'"",1))"),0.0)</f>
        <v>0</v>
      </c>
      <c r="R409" s="24">
        <f>IFERROR(__xludf.DUMMYFUNCTION("SUM(QUERY(Entregas_BD!D:L,""select K where D='""&amp;D409&amp;""'"",1))"),0.0)</f>
        <v>0</v>
      </c>
      <c r="S409" s="24">
        <f>IFERROR(__xludf.DUMMYFUNCTION("SUM(QUERY(Entregas_BD!D:L,""select L where D='""&amp;D409&amp;""'"",1))"),0.0)</f>
        <v>0</v>
      </c>
      <c r="T409" s="19">
        <f>IFERROR(__xludf.DUMMYFUNCTION("SUM(QUERY(Entregas_BD!D:AL,""select AG where D='""&amp;D409&amp;""'"",1))"),50.0)</f>
        <v>50</v>
      </c>
      <c r="U409" s="19">
        <f>IFERROR(__xludf.DUMMYFUNCTION("SUM(QUERY(Entregas_BD!D:AL,""select AH where D='""&amp;D409&amp;""'"",1))"),0.0)</f>
        <v>0</v>
      </c>
      <c r="V409" s="19">
        <f>IFERROR(__xludf.DUMMYFUNCTION("SUM(QUERY(Entregas_BD!D:AL,""select AI where D='""&amp;D409&amp;""'"",1))"),0.0)</f>
        <v>0</v>
      </c>
      <c r="W409" s="19">
        <f>IFERROR(__xludf.DUMMYFUNCTION("SUM(QUERY(Entregas_BD!D:AL,""select AJ where D='""&amp;D409&amp;""'"",1))"),0.0)</f>
        <v>0</v>
      </c>
      <c r="X409" s="19">
        <f>IFERROR(__xludf.DUMMYFUNCTION("SUM(QUERY(Entregas_BD!D:AL,""select AL where D='""&amp;D409&amp;""'"",1))"),20.0)</f>
        <v>20</v>
      </c>
      <c r="Y409" s="19">
        <f>IFERROR(__xludf.DUMMYFUNCTION("SUM(QUERY(Entregas_BD!D:AL,""select AK where D='""&amp;D409&amp;""'"",1))"),10.0)</f>
        <v>10</v>
      </c>
      <c r="Z409" s="19">
        <v>-50.0</v>
      </c>
      <c r="AA409" s="19">
        <v>0.0</v>
      </c>
      <c r="AB409" s="19">
        <v>0.0</v>
      </c>
      <c r="AC409" s="19">
        <v>0.0</v>
      </c>
      <c r="AD409" s="19">
        <v>-10.0</v>
      </c>
      <c r="AE409" s="19">
        <v>-20.0</v>
      </c>
      <c r="AF409" s="25"/>
      <c r="AG409" s="24">
        <f>IFERROR(__xludf.DUMMYFUNCTION("SUM(QUERY(Entregas_BD!D:W,""select U where D='""&amp;D409&amp;""'"",1))"),0.0)</f>
        <v>0</v>
      </c>
      <c r="AH409" s="24">
        <f>IFERROR(__xludf.DUMMYFUNCTION("SUM(QUERY(Entregas_BD!D:W,""select S where D='""&amp;D409&amp;""'"",1))"),0.0)</f>
        <v>0</v>
      </c>
      <c r="AI409" s="24">
        <f>IFERROR(__xludf.DUMMYFUNCTION("SUM(QUERY(Entregas_BD!D:W,""select T where D='""&amp;D409&amp;""'"",1))"),0.0)</f>
        <v>0</v>
      </c>
    </row>
    <row r="410" ht="19.5" customHeight="1">
      <c r="A410" s="88"/>
      <c r="B410" s="89"/>
      <c r="C410" s="9">
        <v>409.0</v>
      </c>
      <c r="D410" s="102" t="s">
        <v>928</v>
      </c>
      <c r="E410" s="10" t="s">
        <v>44</v>
      </c>
      <c r="F410" s="10" t="s">
        <v>45</v>
      </c>
      <c r="G410" s="10" t="s">
        <v>130</v>
      </c>
      <c r="H410" s="12" t="s">
        <v>849</v>
      </c>
      <c r="I410" s="11" t="s">
        <v>41</v>
      </c>
      <c r="J410" s="45"/>
      <c r="K410" s="12"/>
      <c r="L410" s="13"/>
      <c r="M410" s="45"/>
      <c r="N410" s="9">
        <f>IFERROR(__xludf.DUMMYFUNCTION("SUM(QUERY(Entregas_BD!D:L,""select G where D='""&amp;D410&amp;""'"",1))"),0.0)</f>
        <v>0</v>
      </c>
      <c r="O410" s="9">
        <f>IFERROR(__xludf.DUMMYFUNCTION("SUM(QUERY(Entregas_BD!D:L,""select H where D='""&amp;D410&amp;""'"",1))"),0.0)</f>
        <v>0</v>
      </c>
      <c r="P410" s="9">
        <f>IFERROR(__xludf.DUMMYFUNCTION("SUM(QUERY(Entregas_BD!D:L,""select I where D='""&amp;D410&amp;""'"",1))"),0.0)</f>
        <v>0</v>
      </c>
      <c r="Q410" s="9">
        <f>IFERROR(__xludf.DUMMYFUNCTION("SUM(QUERY(Entregas_BD!D:L,""select J where D='""&amp;D410&amp;""'"",1))"),0.0)</f>
        <v>0</v>
      </c>
      <c r="R410" s="15">
        <f>IFERROR(__xludf.DUMMYFUNCTION("SUM(QUERY(Entregas_BD!D:L,""select K where D='""&amp;D410&amp;""'"",1))"),0.0)</f>
        <v>0</v>
      </c>
      <c r="S410" s="15">
        <f>IFERROR(__xludf.DUMMYFUNCTION("SUM(QUERY(Entregas_BD!D:L,""select L where D='""&amp;D410&amp;""'"",1))"),0.0)</f>
        <v>0</v>
      </c>
      <c r="T410" s="9">
        <f>IFERROR(__xludf.DUMMYFUNCTION("SUM(QUERY(Entregas_BD!D:AL,""select AG where D='""&amp;D410&amp;""'"",1))"),50.0)</f>
        <v>50</v>
      </c>
      <c r="U410" s="9">
        <f>IFERROR(__xludf.DUMMYFUNCTION("SUM(QUERY(Entregas_BD!D:AL,""select AH where D='""&amp;D410&amp;""'"",1))"),0.0)</f>
        <v>0</v>
      </c>
      <c r="V410" s="9">
        <f>IFERROR(__xludf.DUMMYFUNCTION("SUM(QUERY(Entregas_BD!D:AL,""select AI where D='""&amp;D410&amp;""'"",1))"),0.0)</f>
        <v>0</v>
      </c>
      <c r="W410" s="9">
        <f>IFERROR(__xludf.DUMMYFUNCTION("SUM(QUERY(Entregas_BD!D:AL,""select AJ where D='""&amp;D410&amp;""'"",1))"),0.0)</f>
        <v>0</v>
      </c>
      <c r="X410" s="9">
        <f>IFERROR(__xludf.DUMMYFUNCTION("SUM(QUERY(Entregas_BD!D:AL,""select AL where D='""&amp;D410&amp;""'"",1))"),20.0)</f>
        <v>20</v>
      </c>
      <c r="Y410" s="9">
        <f>IFERROR(__xludf.DUMMYFUNCTION("SUM(QUERY(Entregas_BD!D:AL,""select AK where D='""&amp;D410&amp;""'"",1))"),10.0)</f>
        <v>10</v>
      </c>
      <c r="Z410" s="9">
        <v>-50.0</v>
      </c>
      <c r="AA410" s="9">
        <v>0.0</v>
      </c>
      <c r="AB410" s="9">
        <v>0.0</v>
      </c>
      <c r="AC410" s="9">
        <v>0.0</v>
      </c>
      <c r="AD410" s="9">
        <v>-10.0</v>
      </c>
      <c r="AE410" s="9">
        <v>-20.0</v>
      </c>
      <c r="AF410" s="37"/>
      <c r="AG410" s="15">
        <f>IFERROR(__xludf.DUMMYFUNCTION("SUM(QUERY(Entregas_BD!D:W,""select U where D='""&amp;D410&amp;""'"",1))"),0.0)</f>
        <v>0</v>
      </c>
      <c r="AH410" s="15">
        <f>IFERROR(__xludf.DUMMYFUNCTION("SUM(QUERY(Entregas_BD!D:W,""select S where D='""&amp;D410&amp;""'"",1))"),0.0)</f>
        <v>0</v>
      </c>
      <c r="AI410" s="15">
        <f>IFERROR(__xludf.DUMMYFUNCTION("SUM(QUERY(Entregas_BD!D:W,""select T where D='""&amp;D410&amp;""'"",1))"),0.0)</f>
        <v>0</v>
      </c>
    </row>
    <row r="411" ht="19.5" customHeight="1">
      <c r="A411" s="90"/>
      <c r="B411" s="91"/>
      <c r="C411" s="19">
        <v>410.0</v>
      </c>
      <c r="D411" s="103" t="s">
        <v>929</v>
      </c>
      <c r="E411" s="20" t="s">
        <v>44</v>
      </c>
      <c r="F411" s="20" t="s">
        <v>45</v>
      </c>
      <c r="G411" s="20" t="s">
        <v>930</v>
      </c>
      <c r="H411" s="34" t="s">
        <v>849</v>
      </c>
      <c r="I411" s="21" t="s">
        <v>41</v>
      </c>
      <c r="J411" s="44"/>
      <c r="K411" s="34"/>
      <c r="L411" s="42"/>
      <c r="M411" s="44"/>
      <c r="N411" s="19">
        <f>IFERROR(__xludf.DUMMYFUNCTION("SUM(QUERY(Entregas_BD!D:L,""select G where D='""&amp;D411&amp;""'"",1))"),0.0)</f>
        <v>0</v>
      </c>
      <c r="O411" s="19">
        <f>IFERROR(__xludf.DUMMYFUNCTION("SUM(QUERY(Entregas_BD!D:L,""select H where D='""&amp;D411&amp;""'"",1))"),0.0)</f>
        <v>0</v>
      </c>
      <c r="P411" s="19">
        <f>IFERROR(__xludf.DUMMYFUNCTION("SUM(QUERY(Entregas_BD!D:L,""select I where D='""&amp;D411&amp;""'"",1))"),0.0)</f>
        <v>0</v>
      </c>
      <c r="Q411" s="19">
        <f>IFERROR(__xludf.DUMMYFUNCTION("SUM(QUERY(Entregas_BD!D:L,""select J where D='""&amp;D411&amp;""'"",1))"),0.0)</f>
        <v>0</v>
      </c>
      <c r="R411" s="24">
        <f>IFERROR(__xludf.DUMMYFUNCTION("SUM(QUERY(Entregas_BD!D:L,""select K where D='""&amp;D411&amp;""'"",1))"),0.0)</f>
        <v>0</v>
      </c>
      <c r="S411" s="24">
        <f>IFERROR(__xludf.DUMMYFUNCTION("SUM(QUERY(Entregas_BD!D:L,""select L where D='""&amp;D411&amp;""'"",1))"),0.0)</f>
        <v>0</v>
      </c>
      <c r="T411" s="19">
        <f>IFERROR(__xludf.DUMMYFUNCTION("SUM(QUERY(Entregas_BD!D:AL,""select AG where D='""&amp;D411&amp;""'"",1))"),50.0)</f>
        <v>50</v>
      </c>
      <c r="U411" s="19">
        <f>IFERROR(__xludf.DUMMYFUNCTION("SUM(QUERY(Entregas_BD!D:AL,""select AH where D='""&amp;D411&amp;""'"",1))"),0.0)</f>
        <v>0</v>
      </c>
      <c r="V411" s="19">
        <f>IFERROR(__xludf.DUMMYFUNCTION("SUM(QUERY(Entregas_BD!D:AL,""select AI where D='""&amp;D411&amp;""'"",1))"),0.0)</f>
        <v>0</v>
      </c>
      <c r="W411" s="19">
        <f>IFERROR(__xludf.DUMMYFUNCTION("SUM(QUERY(Entregas_BD!D:AL,""select AJ where D='""&amp;D411&amp;""'"",1))"),0.0)</f>
        <v>0</v>
      </c>
      <c r="X411" s="19">
        <f>IFERROR(__xludf.DUMMYFUNCTION("SUM(QUERY(Entregas_BD!D:AL,""select AL where D='""&amp;D411&amp;""'"",1))"),20.0)</f>
        <v>20</v>
      </c>
      <c r="Y411" s="19">
        <f>IFERROR(__xludf.DUMMYFUNCTION("SUM(QUERY(Entregas_BD!D:AL,""select AK where D='""&amp;D411&amp;""'"",1))"),10.0)</f>
        <v>10</v>
      </c>
      <c r="Z411" s="19">
        <v>-50.0</v>
      </c>
      <c r="AA411" s="19">
        <v>0.0</v>
      </c>
      <c r="AB411" s="19">
        <v>0.0</v>
      </c>
      <c r="AC411" s="19">
        <v>0.0</v>
      </c>
      <c r="AD411" s="19">
        <v>-10.0</v>
      </c>
      <c r="AE411" s="19">
        <v>-20.0</v>
      </c>
      <c r="AF411" s="25"/>
      <c r="AG411" s="24">
        <f>IFERROR(__xludf.DUMMYFUNCTION("SUM(QUERY(Entregas_BD!D:W,""select U where D='""&amp;D411&amp;""'"",1))"),0.0)</f>
        <v>0</v>
      </c>
      <c r="AH411" s="24">
        <f>IFERROR(__xludf.DUMMYFUNCTION("SUM(QUERY(Entregas_BD!D:W,""select S where D='""&amp;D411&amp;""'"",1))"),0.0)</f>
        <v>0</v>
      </c>
      <c r="AI411" s="24">
        <f>IFERROR(__xludf.DUMMYFUNCTION("SUM(QUERY(Entregas_BD!D:W,""select T where D='""&amp;D411&amp;""'"",1))"),0.0)</f>
        <v>0</v>
      </c>
    </row>
    <row r="412" ht="19.5" customHeight="1">
      <c r="A412" s="88"/>
      <c r="B412" s="89"/>
      <c r="C412" s="9">
        <v>411.0</v>
      </c>
      <c r="D412" s="102" t="s">
        <v>931</v>
      </c>
      <c r="E412" s="10" t="s">
        <v>44</v>
      </c>
      <c r="F412" s="10" t="s">
        <v>45</v>
      </c>
      <c r="G412" s="10" t="s">
        <v>854</v>
      </c>
      <c r="H412" s="12" t="s">
        <v>849</v>
      </c>
      <c r="I412" s="11" t="s">
        <v>41</v>
      </c>
      <c r="J412" s="45"/>
      <c r="K412" s="12"/>
      <c r="L412" s="13"/>
      <c r="M412" s="45"/>
      <c r="N412" s="9">
        <f>IFERROR(__xludf.DUMMYFUNCTION("SUM(QUERY(Entregas_BD!D:L,""select G where D='""&amp;D412&amp;""'"",1))"),0.0)</f>
        <v>0</v>
      </c>
      <c r="O412" s="9">
        <f>IFERROR(__xludf.DUMMYFUNCTION("SUM(QUERY(Entregas_BD!D:L,""select H where D='""&amp;D412&amp;""'"",1))"),0.0)</f>
        <v>0</v>
      </c>
      <c r="P412" s="9">
        <f>IFERROR(__xludf.DUMMYFUNCTION("SUM(QUERY(Entregas_BD!D:L,""select I where D='""&amp;D412&amp;""'"",1))"),0.0)</f>
        <v>0</v>
      </c>
      <c r="Q412" s="9">
        <f>IFERROR(__xludf.DUMMYFUNCTION("SUM(QUERY(Entregas_BD!D:L,""select J where D='""&amp;D412&amp;""'"",1))"),0.0)</f>
        <v>0</v>
      </c>
      <c r="R412" s="15">
        <f>IFERROR(__xludf.DUMMYFUNCTION("SUM(QUERY(Entregas_BD!D:L,""select K where D='""&amp;D412&amp;""'"",1))"),0.0)</f>
        <v>0</v>
      </c>
      <c r="S412" s="15">
        <f>IFERROR(__xludf.DUMMYFUNCTION("SUM(QUERY(Entregas_BD!D:L,""select L where D='""&amp;D412&amp;""'"",1))"),0.0)</f>
        <v>0</v>
      </c>
      <c r="T412" s="9">
        <f>IFERROR(__xludf.DUMMYFUNCTION("SUM(QUERY(Entregas_BD!D:AL,""select AG where D='""&amp;D412&amp;""'"",1))"),50.0)</f>
        <v>50</v>
      </c>
      <c r="U412" s="9">
        <f>IFERROR(__xludf.DUMMYFUNCTION("SUM(QUERY(Entregas_BD!D:AL,""select AH where D='""&amp;D412&amp;""'"",1))"),0.0)</f>
        <v>0</v>
      </c>
      <c r="V412" s="9">
        <f>IFERROR(__xludf.DUMMYFUNCTION("SUM(QUERY(Entregas_BD!D:AL,""select AI where D='""&amp;D412&amp;""'"",1))"),0.0)</f>
        <v>0</v>
      </c>
      <c r="W412" s="9">
        <f>IFERROR(__xludf.DUMMYFUNCTION("SUM(QUERY(Entregas_BD!D:AL,""select AJ where D='""&amp;D412&amp;""'"",1))"),0.0)</f>
        <v>0</v>
      </c>
      <c r="X412" s="9">
        <f>IFERROR(__xludf.DUMMYFUNCTION("SUM(QUERY(Entregas_BD!D:AL,""select AL where D='""&amp;D412&amp;""'"",1))"),50.0)</f>
        <v>50</v>
      </c>
      <c r="Y412" s="9">
        <f>IFERROR(__xludf.DUMMYFUNCTION("SUM(QUERY(Entregas_BD!D:AL,""select AK where D='""&amp;D412&amp;""'"",1))"),10.0)</f>
        <v>10</v>
      </c>
      <c r="Z412" s="9">
        <v>-50.0</v>
      </c>
      <c r="AA412" s="9">
        <v>0.0</v>
      </c>
      <c r="AB412" s="9">
        <v>0.0</v>
      </c>
      <c r="AC412" s="9">
        <v>0.0</v>
      </c>
      <c r="AD412" s="9">
        <v>-10.0</v>
      </c>
      <c r="AE412" s="9">
        <v>-50.0</v>
      </c>
      <c r="AF412" s="37"/>
      <c r="AG412" s="15">
        <f>IFERROR(__xludf.DUMMYFUNCTION("SUM(QUERY(Entregas_BD!D:W,""select U where D='""&amp;D412&amp;""'"",1))"),0.0)</f>
        <v>0</v>
      </c>
      <c r="AH412" s="15">
        <f>IFERROR(__xludf.DUMMYFUNCTION("SUM(QUERY(Entregas_BD!D:W,""select S where D='""&amp;D412&amp;""'"",1))"),0.0)</f>
        <v>0</v>
      </c>
      <c r="AI412" s="15">
        <f>IFERROR(__xludf.DUMMYFUNCTION("SUM(QUERY(Entregas_BD!D:W,""select T where D='""&amp;D412&amp;""'"",1))"),0.0)</f>
        <v>0</v>
      </c>
    </row>
    <row r="413" ht="19.5" customHeight="1">
      <c r="A413" s="90"/>
      <c r="B413" s="91"/>
      <c r="C413" s="19">
        <v>412.0</v>
      </c>
      <c r="D413" s="104" t="s">
        <v>932</v>
      </c>
      <c r="E413" s="20" t="s">
        <v>58</v>
      </c>
      <c r="F413" s="20" t="s">
        <v>45</v>
      </c>
      <c r="G413" s="20" t="s">
        <v>82</v>
      </c>
      <c r="H413" s="34" t="s">
        <v>849</v>
      </c>
      <c r="I413" s="21" t="s">
        <v>41</v>
      </c>
      <c r="J413" s="44"/>
      <c r="K413" s="34"/>
      <c r="L413" s="42"/>
      <c r="M413" s="44"/>
      <c r="N413" s="19">
        <f>IFERROR(__xludf.DUMMYFUNCTION("SUM(QUERY(Entregas_BD!D:L,""select G where D='""&amp;D413&amp;""'"",1))"),0.0)</f>
        <v>0</v>
      </c>
      <c r="O413" s="19">
        <f>IFERROR(__xludf.DUMMYFUNCTION("SUM(QUERY(Entregas_BD!D:L,""select H where D='""&amp;D413&amp;""'"",1))"),0.0)</f>
        <v>0</v>
      </c>
      <c r="P413" s="19">
        <f>IFERROR(__xludf.DUMMYFUNCTION("SUM(QUERY(Entregas_BD!D:L,""select I where D='""&amp;D413&amp;""'"",1))"),0.0)</f>
        <v>0</v>
      </c>
      <c r="Q413" s="19">
        <f>IFERROR(__xludf.DUMMYFUNCTION("SUM(QUERY(Entregas_BD!D:L,""select J where D='""&amp;D413&amp;""'"",1))"),0.0)</f>
        <v>0</v>
      </c>
      <c r="R413" s="24">
        <f>IFERROR(__xludf.DUMMYFUNCTION("SUM(QUERY(Entregas_BD!D:L,""select K where D='""&amp;D413&amp;""'"",1))"),0.0)</f>
        <v>0</v>
      </c>
      <c r="S413" s="24">
        <f>IFERROR(__xludf.DUMMYFUNCTION("SUM(QUERY(Entregas_BD!D:L,""select L where D='""&amp;D413&amp;""'"",1))"),0.0)</f>
        <v>0</v>
      </c>
      <c r="T413" s="19">
        <f>IFERROR(__xludf.DUMMYFUNCTION("SUM(QUERY(Entregas_BD!D:AL,""select AG where D='""&amp;D413&amp;""'"",1))"),50.0)</f>
        <v>50</v>
      </c>
      <c r="U413" s="19">
        <f>IFERROR(__xludf.DUMMYFUNCTION("SUM(QUERY(Entregas_BD!D:AL,""select AH where D='""&amp;D413&amp;""'"",1))"),0.0)</f>
        <v>0</v>
      </c>
      <c r="V413" s="19">
        <f>IFERROR(__xludf.DUMMYFUNCTION("SUM(QUERY(Entregas_BD!D:AL,""select AI where D='""&amp;D413&amp;""'"",1))"),0.0)</f>
        <v>0</v>
      </c>
      <c r="W413" s="19">
        <f>IFERROR(__xludf.DUMMYFUNCTION("SUM(QUERY(Entregas_BD!D:AL,""select AJ where D='""&amp;D413&amp;""'"",1))"),0.0)</f>
        <v>0</v>
      </c>
      <c r="X413" s="19">
        <f>IFERROR(__xludf.DUMMYFUNCTION("SUM(QUERY(Entregas_BD!D:AL,""select AL where D='""&amp;D413&amp;""'"",1))"),25.0)</f>
        <v>25</v>
      </c>
      <c r="Y413" s="19">
        <f>IFERROR(__xludf.DUMMYFUNCTION("SUM(QUERY(Entregas_BD!D:AL,""select AK where D='""&amp;D413&amp;""'"",1))"),15.0)</f>
        <v>15</v>
      </c>
      <c r="Z413" s="19">
        <v>-50.0</v>
      </c>
      <c r="AA413" s="19">
        <v>0.0</v>
      </c>
      <c r="AB413" s="19">
        <v>0.0</v>
      </c>
      <c r="AC413" s="19">
        <v>0.0</v>
      </c>
      <c r="AD413" s="19">
        <v>-15.0</v>
      </c>
      <c r="AE413" s="19">
        <v>-25.0</v>
      </c>
      <c r="AF413" s="25"/>
      <c r="AG413" s="24">
        <f>IFERROR(__xludf.DUMMYFUNCTION("SUM(QUERY(Entregas_BD!D:W,""select U where D='""&amp;D413&amp;""'"",1))"),0.0)</f>
        <v>0</v>
      </c>
      <c r="AH413" s="24">
        <f>IFERROR(__xludf.DUMMYFUNCTION("SUM(QUERY(Entregas_BD!D:W,""select S where D='""&amp;D413&amp;""'"",1))"),0.0)</f>
        <v>0</v>
      </c>
      <c r="AI413" s="24">
        <f>IFERROR(__xludf.DUMMYFUNCTION("SUM(QUERY(Entregas_BD!D:W,""select T where D='""&amp;D413&amp;""'"",1))"),0.0)</f>
        <v>0</v>
      </c>
    </row>
    <row r="414" ht="19.5" customHeight="1">
      <c r="A414" s="88"/>
      <c r="B414" s="89"/>
      <c r="C414" s="9">
        <v>413.0</v>
      </c>
      <c r="D414" s="105" t="s">
        <v>933</v>
      </c>
      <c r="E414" s="10" t="s">
        <v>44</v>
      </c>
      <c r="F414" s="10" t="s">
        <v>45</v>
      </c>
      <c r="G414" s="10" t="s">
        <v>934</v>
      </c>
      <c r="H414" s="12" t="s">
        <v>593</v>
      </c>
      <c r="I414" s="11" t="s">
        <v>41</v>
      </c>
      <c r="J414" s="45"/>
      <c r="K414" s="12"/>
      <c r="L414" s="13"/>
      <c r="M414" s="45"/>
      <c r="N414" s="9">
        <f>IFERROR(__xludf.DUMMYFUNCTION("SUM(QUERY(Entregas_BD!D:L,""select G where D='""&amp;D414&amp;""'"",1))"),0.0)</f>
        <v>0</v>
      </c>
      <c r="O414" s="9">
        <f>IFERROR(__xludf.DUMMYFUNCTION("SUM(QUERY(Entregas_BD!D:L,""select H where D='""&amp;D414&amp;""'"",1))"),0.0)</f>
        <v>0</v>
      </c>
      <c r="P414" s="9">
        <f>IFERROR(__xludf.DUMMYFUNCTION("SUM(QUERY(Entregas_BD!D:L,""select I where D='""&amp;D414&amp;""'"",1))"),0.0)</f>
        <v>0</v>
      </c>
      <c r="Q414" s="9">
        <f>IFERROR(__xludf.DUMMYFUNCTION("SUM(QUERY(Entregas_BD!D:L,""select J where D='""&amp;D414&amp;""'"",1))"),0.0)</f>
        <v>0</v>
      </c>
      <c r="R414" s="15">
        <f>IFERROR(__xludf.DUMMYFUNCTION("SUM(QUERY(Entregas_BD!D:L,""select K where D='""&amp;D414&amp;""'"",1))"),0.0)</f>
        <v>0</v>
      </c>
      <c r="S414" s="15">
        <f>IFERROR(__xludf.DUMMYFUNCTION("SUM(QUERY(Entregas_BD!D:L,""select L where D='""&amp;D414&amp;""'"",1))"),0.0)</f>
        <v>0</v>
      </c>
      <c r="T414" s="9">
        <f>IFERROR(__xludf.DUMMYFUNCTION("SUM(QUERY(Entregas_BD!D:AL,""select AG where D='""&amp;D414&amp;""'"",1))"),50.0)</f>
        <v>50</v>
      </c>
      <c r="U414" s="9">
        <f>IFERROR(__xludf.DUMMYFUNCTION("SUM(QUERY(Entregas_BD!D:AL,""select AH where D='""&amp;D414&amp;""'"",1))"),0.0)</f>
        <v>0</v>
      </c>
      <c r="V414" s="9">
        <f>IFERROR(__xludf.DUMMYFUNCTION("SUM(QUERY(Entregas_BD!D:AL,""select AI where D='""&amp;D414&amp;""'"",1))"),0.0)</f>
        <v>0</v>
      </c>
      <c r="W414" s="9">
        <f>IFERROR(__xludf.DUMMYFUNCTION("SUM(QUERY(Entregas_BD!D:AL,""select AJ where D='""&amp;D414&amp;""'"",1))"),0.0)</f>
        <v>0</v>
      </c>
      <c r="X414" s="9">
        <f>IFERROR(__xludf.DUMMYFUNCTION("SUM(QUERY(Entregas_BD!D:AL,""select AL where D='""&amp;D414&amp;""'"",1))"),0.0)</f>
        <v>0</v>
      </c>
      <c r="Y414" s="9">
        <f>IFERROR(__xludf.DUMMYFUNCTION("SUM(QUERY(Entregas_BD!D:AL,""select AK where D='""&amp;D414&amp;""'"",1))"),10.0)</f>
        <v>10</v>
      </c>
      <c r="Z414" s="9">
        <v>-50.0</v>
      </c>
      <c r="AA414" s="9">
        <v>0.0</v>
      </c>
      <c r="AB414" s="9">
        <v>0.0</v>
      </c>
      <c r="AC414" s="9">
        <v>0.0</v>
      </c>
      <c r="AD414" s="9">
        <v>-10.0</v>
      </c>
      <c r="AE414" s="9">
        <v>0.0</v>
      </c>
      <c r="AF414" s="37"/>
      <c r="AG414" s="15">
        <f>IFERROR(__xludf.DUMMYFUNCTION("SUM(QUERY(Entregas_BD!D:W,""select U where D='""&amp;D414&amp;""'"",1))"),0.0)</f>
        <v>0</v>
      </c>
      <c r="AH414" s="15">
        <f>IFERROR(__xludf.DUMMYFUNCTION("SUM(QUERY(Entregas_BD!D:W,""select S where D='""&amp;D414&amp;""'"",1))"),0.0)</f>
        <v>0</v>
      </c>
      <c r="AI414" s="15">
        <f>IFERROR(__xludf.DUMMYFUNCTION("SUM(QUERY(Entregas_BD!D:W,""select T where D='""&amp;D414&amp;""'"",1))"),0.0)</f>
        <v>0</v>
      </c>
    </row>
    <row r="415" ht="19.5" customHeight="1">
      <c r="A415" s="90"/>
      <c r="B415" s="91"/>
      <c r="C415" s="19">
        <v>414.0</v>
      </c>
      <c r="D415" s="39" t="s">
        <v>935</v>
      </c>
      <c r="E415" s="20" t="s">
        <v>44</v>
      </c>
      <c r="F415" s="20" t="s">
        <v>45</v>
      </c>
      <c r="G415" s="20" t="s">
        <v>936</v>
      </c>
      <c r="H415" s="44" t="s">
        <v>845</v>
      </c>
      <c r="I415" s="21" t="s">
        <v>41</v>
      </c>
      <c r="J415" s="44"/>
      <c r="K415" s="34"/>
      <c r="L415" s="42"/>
      <c r="M415" s="44"/>
      <c r="N415" s="19">
        <f>IFERROR(__xludf.DUMMYFUNCTION("SUM(QUERY(Entregas_BD!D:L,""select G where D='""&amp;D415&amp;""'"",1))"),0.0)</f>
        <v>0</v>
      </c>
      <c r="O415" s="19">
        <f>IFERROR(__xludf.DUMMYFUNCTION("SUM(QUERY(Entregas_BD!D:L,""select H where D='""&amp;D415&amp;""'"",1))"),0.0)</f>
        <v>0</v>
      </c>
      <c r="P415" s="19">
        <f>IFERROR(__xludf.DUMMYFUNCTION("SUM(QUERY(Entregas_BD!D:L,""select I where D='""&amp;D415&amp;""'"",1))"),0.0)</f>
        <v>0</v>
      </c>
      <c r="Q415" s="19">
        <f>IFERROR(__xludf.DUMMYFUNCTION("SUM(QUERY(Entregas_BD!D:L,""select J where D='""&amp;D415&amp;""'"",1))"),0.0)</f>
        <v>0</v>
      </c>
      <c r="R415" s="24">
        <f>IFERROR(__xludf.DUMMYFUNCTION("SUM(QUERY(Entregas_BD!D:L,""select K where D='""&amp;D415&amp;""'"",1))"),0.0)</f>
        <v>0</v>
      </c>
      <c r="S415" s="24">
        <f>IFERROR(__xludf.DUMMYFUNCTION("SUM(QUERY(Entregas_BD!D:L,""select L where D='""&amp;D415&amp;""'"",1))"),0.0)</f>
        <v>0</v>
      </c>
      <c r="T415" s="19">
        <f>IFERROR(__xludf.DUMMYFUNCTION("SUM(QUERY(Entregas_BD!D:AL,""select AG where D='""&amp;D415&amp;""'"",1))"),2500.0)</f>
        <v>2500</v>
      </c>
      <c r="U415" s="19">
        <f>IFERROR(__xludf.DUMMYFUNCTION("SUM(QUERY(Entregas_BD!D:AL,""select AH where D='""&amp;D415&amp;""'"",1))"),0.0)</f>
        <v>0</v>
      </c>
      <c r="V415" s="19">
        <f>IFERROR(__xludf.DUMMYFUNCTION("SUM(QUERY(Entregas_BD!D:AL,""select AI where D='""&amp;D415&amp;""'"",1))"),0.0)</f>
        <v>0</v>
      </c>
      <c r="W415" s="19">
        <f>IFERROR(__xludf.DUMMYFUNCTION("SUM(QUERY(Entregas_BD!D:AL,""select AJ where D='""&amp;D415&amp;""'"",1))"),0.0)</f>
        <v>0</v>
      </c>
      <c r="X415" s="19">
        <f>IFERROR(__xludf.DUMMYFUNCTION("SUM(QUERY(Entregas_BD!D:AL,""select AL where D='""&amp;D415&amp;""'"",1))"),0.0)</f>
        <v>0</v>
      </c>
      <c r="Y415" s="19">
        <f>IFERROR(__xludf.DUMMYFUNCTION("SUM(QUERY(Entregas_BD!D:AL,""select AK where D='""&amp;D415&amp;""'"",1))"),0.0)</f>
        <v>0</v>
      </c>
      <c r="Z415" s="19">
        <v>-2500.0</v>
      </c>
      <c r="AA415" s="19">
        <v>0.0</v>
      </c>
      <c r="AB415" s="19">
        <v>0.0</v>
      </c>
      <c r="AC415" s="19">
        <v>0.0</v>
      </c>
      <c r="AD415" s="19">
        <v>0.0</v>
      </c>
      <c r="AE415" s="19">
        <v>0.0</v>
      </c>
      <c r="AF415" s="25"/>
      <c r="AG415" s="24">
        <f>IFERROR(__xludf.DUMMYFUNCTION("SUM(QUERY(Entregas_BD!D:W,""select U where D='""&amp;D415&amp;""'"",1))"),0.0)</f>
        <v>0</v>
      </c>
      <c r="AH415" s="24">
        <f>IFERROR(__xludf.DUMMYFUNCTION("SUM(QUERY(Entregas_BD!D:W,""select S where D='""&amp;D415&amp;""'"",1))"),0.0)</f>
        <v>0</v>
      </c>
      <c r="AI415" s="24">
        <f>IFERROR(__xludf.DUMMYFUNCTION("SUM(QUERY(Entregas_BD!D:W,""select T where D='""&amp;D415&amp;""'"",1))"),0.0)</f>
        <v>0</v>
      </c>
    </row>
    <row r="416" ht="19.5" customHeight="1">
      <c r="A416" s="88"/>
      <c r="B416" s="89"/>
      <c r="C416" s="9">
        <v>415.0</v>
      </c>
      <c r="D416" s="45" t="s">
        <v>937</v>
      </c>
      <c r="E416" s="10" t="s">
        <v>58</v>
      </c>
      <c r="F416" s="10" t="s">
        <v>45</v>
      </c>
      <c r="G416" s="10" t="s">
        <v>88</v>
      </c>
      <c r="H416" s="12" t="s">
        <v>622</v>
      </c>
      <c r="I416" s="11" t="s">
        <v>41</v>
      </c>
      <c r="J416" s="45"/>
      <c r="K416" s="12"/>
      <c r="L416" s="13"/>
      <c r="M416" s="45"/>
      <c r="N416" s="9">
        <f>IFERROR(__xludf.DUMMYFUNCTION("SUM(QUERY(Entregas_BD!D:L,""select G where D='""&amp;D416&amp;""'"",1))"),0.0)</f>
        <v>0</v>
      </c>
      <c r="O416" s="9">
        <f>IFERROR(__xludf.DUMMYFUNCTION("SUM(QUERY(Entregas_BD!D:L,""select H where D='""&amp;D416&amp;""'"",1))"),0.0)</f>
        <v>0</v>
      </c>
      <c r="P416" s="9">
        <f>IFERROR(__xludf.DUMMYFUNCTION("SUM(QUERY(Entregas_BD!D:L,""select I where D='""&amp;D416&amp;""'"",1))"),0.0)</f>
        <v>0</v>
      </c>
      <c r="Q416" s="9">
        <f>IFERROR(__xludf.DUMMYFUNCTION("SUM(QUERY(Entregas_BD!D:L,""select J where D='""&amp;D416&amp;""'"",1))"),0.0)</f>
        <v>0</v>
      </c>
      <c r="R416" s="15">
        <f>IFERROR(__xludf.DUMMYFUNCTION("SUM(QUERY(Entregas_BD!D:L,""select K where D='""&amp;D416&amp;""'"",1))"),0.0)</f>
        <v>0</v>
      </c>
      <c r="S416" s="15">
        <f>IFERROR(__xludf.DUMMYFUNCTION("SUM(QUERY(Entregas_BD!D:L,""select L where D='""&amp;D416&amp;""'"",1))"),0.0)</f>
        <v>0</v>
      </c>
      <c r="T416" s="9">
        <f>IFERROR(__xludf.DUMMYFUNCTION("SUM(QUERY(Entregas_BD!D:AL,""select AG where D='""&amp;D416&amp;""'"",1))"),50.0)</f>
        <v>50</v>
      </c>
      <c r="U416" s="9">
        <f>IFERROR(__xludf.DUMMYFUNCTION("SUM(QUERY(Entregas_BD!D:AL,""select AH where D='""&amp;D416&amp;""'"",1))"),0.0)</f>
        <v>0</v>
      </c>
      <c r="V416" s="9">
        <f>IFERROR(__xludf.DUMMYFUNCTION("SUM(QUERY(Entregas_BD!D:AL,""select AI where D='""&amp;D416&amp;""'"",1))"),0.0)</f>
        <v>0</v>
      </c>
      <c r="W416" s="9">
        <f>IFERROR(__xludf.DUMMYFUNCTION("SUM(QUERY(Entregas_BD!D:AL,""select AJ where D='""&amp;D416&amp;""'"",1))"),0.0)</f>
        <v>0</v>
      </c>
      <c r="X416" s="9">
        <f>IFERROR(__xludf.DUMMYFUNCTION("SUM(QUERY(Entregas_BD!D:AL,""select AL where D='""&amp;D416&amp;""'"",1))"),0.0)</f>
        <v>0</v>
      </c>
      <c r="Y416" s="9">
        <f>IFERROR(__xludf.DUMMYFUNCTION("SUM(QUERY(Entregas_BD!D:AL,""select AK where D='""&amp;D416&amp;""'"",1))"),0.0)</f>
        <v>0</v>
      </c>
      <c r="Z416" s="9">
        <v>-50.0</v>
      </c>
      <c r="AA416" s="9">
        <v>0.0</v>
      </c>
      <c r="AB416" s="9">
        <v>0.0</v>
      </c>
      <c r="AC416" s="9">
        <v>0.0</v>
      </c>
      <c r="AD416" s="9">
        <v>0.0</v>
      </c>
      <c r="AE416" s="9">
        <v>0.0</v>
      </c>
      <c r="AF416" s="37"/>
      <c r="AG416" s="15">
        <f>IFERROR(__xludf.DUMMYFUNCTION("SUM(QUERY(Entregas_BD!D:W,""select U where D='""&amp;D416&amp;""'"",1))"),0.0)</f>
        <v>0</v>
      </c>
      <c r="AH416" s="15">
        <f>IFERROR(__xludf.DUMMYFUNCTION("SUM(QUERY(Entregas_BD!D:W,""select S where D='""&amp;D416&amp;""'"",1))"),0.0)</f>
        <v>0</v>
      </c>
      <c r="AI416" s="15">
        <f>IFERROR(__xludf.DUMMYFUNCTION("SUM(QUERY(Entregas_BD!D:W,""select T where D='""&amp;D416&amp;""'"",1))"),0.0)</f>
        <v>0</v>
      </c>
    </row>
    <row r="417" ht="19.5" customHeight="1">
      <c r="A417" s="90"/>
      <c r="B417" s="91"/>
      <c r="C417" s="19">
        <v>416.0</v>
      </c>
      <c r="D417" s="106" t="s">
        <v>938</v>
      </c>
      <c r="E417" s="20" t="s">
        <v>44</v>
      </c>
      <c r="F417" s="20" t="s">
        <v>45</v>
      </c>
      <c r="G417" s="20" t="s">
        <v>362</v>
      </c>
      <c r="H417" s="34" t="s">
        <v>622</v>
      </c>
      <c r="I417" s="21" t="s">
        <v>41</v>
      </c>
      <c r="J417" s="44"/>
      <c r="K417" s="34"/>
      <c r="L417" s="42"/>
      <c r="M417" s="44"/>
      <c r="N417" s="19">
        <f>IFERROR(__xludf.DUMMYFUNCTION("SUM(QUERY(Entregas_BD!D:L,""select G where D='""&amp;D417&amp;""'"",1))"),0.0)</f>
        <v>0</v>
      </c>
      <c r="O417" s="19">
        <f>IFERROR(__xludf.DUMMYFUNCTION("SUM(QUERY(Entregas_BD!D:L,""select H where D='""&amp;D417&amp;""'"",1))"),0.0)</f>
        <v>0</v>
      </c>
      <c r="P417" s="19">
        <f>IFERROR(__xludf.DUMMYFUNCTION("SUM(QUERY(Entregas_BD!D:L,""select I where D='""&amp;D417&amp;""'"",1))"),0.0)</f>
        <v>0</v>
      </c>
      <c r="Q417" s="19">
        <f>IFERROR(__xludf.DUMMYFUNCTION("SUM(QUERY(Entregas_BD!D:L,""select J where D='""&amp;D417&amp;""'"",1))"),0.0)</f>
        <v>0</v>
      </c>
      <c r="R417" s="24">
        <f>IFERROR(__xludf.DUMMYFUNCTION("SUM(QUERY(Entregas_BD!D:L,""select K where D='""&amp;D417&amp;""'"",1))"),0.0)</f>
        <v>0</v>
      </c>
      <c r="S417" s="24">
        <f>IFERROR(__xludf.DUMMYFUNCTION("SUM(QUERY(Entregas_BD!D:L,""select L where D='""&amp;D417&amp;""'"",1))"),0.0)</f>
        <v>0</v>
      </c>
      <c r="T417" s="19">
        <f>IFERROR(__xludf.DUMMYFUNCTION("SUM(QUERY(Entregas_BD!D:AL,""select AG where D='""&amp;D417&amp;""'"",1))"),0.0)</f>
        <v>0</v>
      </c>
      <c r="U417" s="19">
        <f>IFERROR(__xludf.DUMMYFUNCTION("SUM(QUERY(Entregas_BD!D:AL,""select AH where D='""&amp;D417&amp;""'"",1))"),0.0)</f>
        <v>0</v>
      </c>
      <c r="V417" s="19">
        <f>IFERROR(__xludf.DUMMYFUNCTION("SUM(QUERY(Entregas_BD!D:AL,""select AI where D='""&amp;D417&amp;""'"",1))"),0.0)</f>
        <v>0</v>
      </c>
      <c r="W417" s="19">
        <f>IFERROR(__xludf.DUMMYFUNCTION("SUM(QUERY(Entregas_BD!D:AL,""select AJ where D='""&amp;D417&amp;""'"",1))"),0.0)</f>
        <v>0</v>
      </c>
      <c r="X417" s="19">
        <f>IFERROR(__xludf.DUMMYFUNCTION("SUM(QUERY(Entregas_BD!D:AL,""select AL where D='""&amp;D417&amp;""'"",1))"),25.0)</f>
        <v>25</v>
      </c>
      <c r="Y417" s="19">
        <f>IFERROR(__xludf.DUMMYFUNCTION("SUM(QUERY(Entregas_BD!D:AL,""select AK where D='""&amp;D417&amp;""'"",1))"),5.0)</f>
        <v>5</v>
      </c>
      <c r="Z417" s="19">
        <v>0.0</v>
      </c>
      <c r="AA417" s="19">
        <v>0.0</v>
      </c>
      <c r="AB417" s="19">
        <v>0.0</v>
      </c>
      <c r="AC417" s="19">
        <v>0.0</v>
      </c>
      <c r="AD417" s="19">
        <v>-5.0</v>
      </c>
      <c r="AE417" s="19">
        <v>-25.0</v>
      </c>
      <c r="AF417" s="25"/>
      <c r="AG417" s="24">
        <f>IFERROR(__xludf.DUMMYFUNCTION("SUM(QUERY(Entregas_BD!D:W,""select U where D='""&amp;D417&amp;""'"",1))"),0.0)</f>
        <v>0</v>
      </c>
      <c r="AH417" s="24">
        <f>IFERROR(__xludf.DUMMYFUNCTION("SUM(QUERY(Entregas_BD!D:W,""select S where D='""&amp;D417&amp;""'"",1))"),0.0)</f>
        <v>0</v>
      </c>
      <c r="AI417" s="24">
        <f>IFERROR(__xludf.DUMMYFUNCTION("SUM(QUERY(Entregas_BD!D:W,""select T where D='""&amp;D417&amp;""'"",1))"),0.0)</f>
        <v>0</v>
      </c>
    </row>
    <row r="418" ht="19.5" customHeight="1">
      <c r="A418" s="88"/>
      <c r="B418" s="89"/>
      <c r="C418" s="9">
        <v>417.0</v>
      </c>
      <c r="D418" s="105" t="s">
        <v>939</v>
      </c>
      <c r="E418" s="10" t="s">
        <v>63</v>
      </c>
      <c r="F418" s="10" t="s">
        <v>185</v>
      </c>
      <c r="G418" s="10" t="s">
        <v>940</v>
      </c>
      <c r="H418" s="12" t="s">
        <v>622</v>
      </c>
      <c r="I418" s="11" t="s">
        <v>41</v>
      </c>
      <c r="J418" s="45"/>
      <c r="K418" s="12"/>
      <c r="L418" s="13"/>
      <c r="M418" s="45"/>
      <c r="N418" s="9">
        <f>IFERROR(__xludf.DUMMYFUNCTION("SUM(QUERY(Entregas_BD!D:L,""select G where D='""&amp;D418&amp;""'"",1))"),0.0)</f>
        <v>0</v>
      </c>
      <c r="O418" s="9">
        <f>IFERROR(__xludf.DUMMYFUNCTION("SUM(QUERY(Entregas_BD!D:L,""select H where D='""&amp;D418&amp;""'"",1))"),0.0)</f>
        <v>0</v>
      </c>
      <c r="P418" s="9">
        <f>IFERROR(__xludf.DUMMYFUNCTION("SUM(QUERY(Entregas_BD!D:L,""select I where D='""&amp;D418&amp;""'"",1))"),0.0)</f>
        <v>0</v>
      </c>
      <c r="Q418" s="9">
        <f>IFERROR(__xludf.DUMMYFUNCTION("SUM(QUERY(Entregas_BD!D:L,""select J where D='""&amp;D418&amp;""'"",1))"),0.0)</f>
        <v>0</v>
      </c>
      <c r="R418" s="15">
        <f>IFERROR(__xludf.DUMMYFUNCTION("SUM(QUERY(Entregas_BD!D:L,""select K where D='""&amp;D418&amp;""'"",1))"),0.0)</f>
        <v>0</v>
      </c>
      <c r="S418" s="15">
        <f>IFERROR(__xludf.DUMMYFUNCTION("SUM(QUERY(Entregas_BD!D:L,""select L where D='""&amp;D418&amp;""'"",1))"),0.0)</f>
        <v>0</v>
      </c>
      <c r="T418" s="9">
        <f>IFERROR(__xludf.DUMMYFUNCTION("SUM(QUERY(Entregas_BD!D:AL,""select AG where D='""&amp;D418&amp;""'"",1))"),0.0)</f>
        <v>0</v>
      </c>
      <c r="U418" s="9">
        <f>IFERROR(__xludf.DUMMYFUNCTION("SUM(QUERY(Entregas_BD!D:AL,""select AH where D='""&amp;D418&amp;""'"",1))"),0.0)</f>
        <v>0</v>
      </c>
      <c r="V418" s="9">
        <f>IFERROR(__xludf.DUMMYFUNCTION("SUM(QUERY(Entregas_BD!D:AL,""select AI where D='""&amp;D418&amp;""'"",1))"),0.0)</f>
        <v>0</v>
      </c>
      <c r="W418" s="9">
        <f>IFERROR(__xludf.DUMMYFUNCTION("SUM(QUERY(Entregas_BD!D:AL,""select AJ where D='""&amp;D418&amp;""'"",1))"),0.0)</f>
        <v>0</v>
      </c>
      <c r="X418" s="9">
        <f>IFERROR(__xludf.DUMMYFUNCTION("SUM(QUERY(Entregas_BD!D:AL,""select AL where D='""&amp;D418&amp;""'"",1))"),0.0)</f>
        <v>0</v>
      </c>
      <c r="Y418" s="9">
        <f>IFERROR(__xludf.DUMMYFUNCTION("SUM(QUERY(Entregas_BD!D:AL,""select AK where D='""&amp;D418&amp;""'"",1))"),25.0)</f>
        <v>25</v>
      </c>
      <c r="Z418" s="9">
        <v>0.0</v>
      </c>
      <c r="AA418" s="9">
        <v>0.0</v>
      </c>
      <c r="AB418" s="9">
        <v>0.0</v>
      </c>
      <c r="AC418" s="9">
        <v>0.0</v>
      </c>
      <c r="AD418" s="9">
        <v>-25.0</v>
      </c>
      <c r="AE418" s="9">
        <v>0.0</v>
      </c>
      <c r="AF418" s="37"/>
      <c r="AG418" s="15">
        <f>IFERROR(__xludf.DUMMYFUNCTION("SUM(QUERY(Entregas_BD!D:W,""select U where D='""&amp;D418&amp;""'"",1))"),0.0)</f>
        <v>0</v>
      </c>
      <c r="AH418" s="15">
        <f>IFERROR(__xludf.DUMMYFUNCTION("SUM(QUERY(Entregas_BD!D:W,""select S where D='""&amp;D418&amp;""'"",1))"),0.0)</f>
        <v>0</v>
      </c>
      <c r="AI418" s="15">
        <f>IFERROR(__xludf.DUMMYFUNCTION("SUM(QUERY(Entregas_BD!D:W,""select T where D='""&amp;D418&amp;""'"",1))"),0.0)</f>
        <v>0</v>
      </c>
    </row>
    <row r="419" ht="19.5" customHeight="1">
      <c r="A419" s="90"/>
      <c r="B419" s="91"/>
      <c r="C419" s="19">
        <v>418.0</v>
      </c>
      <c r="D419" s="106" t="s">
        <v>941</v>
      </c>
      <c r="E419" s="20" t="s">
        <v>63</v>
      </c>
      <c r="F419" s="20" t="s">
        <v>888</v>
      </c>
      <c r="G419" s="20" t="s">
        <v>889</v>
      </c>
      <c r="H419" s="34" t="s">
        <v>622</v>
      </c>
      <c r="I419" s="21" t="s">
        <v>41</v>
      </c>
      <c r="J419" s="44"/>
      <c r="K419" s="34"/>
      <c r="L419" s="42"/>
      <c r="M419" s="44"/>
      <c r="N419" s="19">
        <f>IFERROR(__xludf.DUMMYFUNCTION("SUM(QUERY(Entregas_BD!D:L,""select G where D='""&amp;D419&amp;""'"",1))"),0.0)</f>
        <v>0</v>
      </c>
      <c r="O419" s="19">
        <f>IFERROR(__xludf.DUMMYFUNCTION("SUM(QUERY(Entregas_BD!D:L,""select H where D='""&amp;D419&amp;""'"",1))"),0.0)</f>
        <v>0</v>
      </c>
      <c r="P419" s="19">
        <f>IFERROR(__xludf.DUMMYFUNCTION("SUM(QUERY(Entregas_BD!D:L,""select I where D='""&amp;D419&amp;""'"",1))"),0.0)</f>
        <v>0</v>
      </c>
      <c r="Q419" s="19">
        <f>IFERROR(__xludf.DUMMYFUNCTION("SUM(QUERY(Entregas_BD!D:L,""select J where D='""&amp;D419&amp;""'"",1))"),0.0)</f>
        <v>0</v>
      </c>
      <c r="R419" s="24">
        <f>IFERROR(__xludf.DUMMYFUNCTION("SUM(QUERY(Entregas_BD!D:L,""select K where D='""&amp;D419&amp;""'"",1))"),0.0)</f>
        <v>0</v>
      </c>
      <c r="S419" s="24">
        <f>IFERROR(__xludf.DUMMYFUNCTION("SUM(QUERY(Entregas_BD!D:L,""select L where D='""&amp;D419&amp;""'"",1))"),0.0)</f>
        <v>0</v>
      </c>
      <c r="T419" s="19">
        <f>IFERROR(__xludf.DUMMYFUNCTION("SUM(QUERY(Entregas_BD!D:AL,""select AG where D='""&amp;D419&amp;""'"",1))"),0.0)</f>
        <v>0</v>
      </c>
      <c r="U419" s="19">
        <f>IFERROR(__xludf.DUMMYFUNCTION("SUM(QUERY(Entregas_BD!D:AL,""select AH where D='""&amp;D419&amp;""'"",1))"),0.0)</f>
        <v>0</v>
      </c>
      <c r="V419" s="19">
        <f>IFERROR(__xludf.DUMMYFUNCTION("SUM(QUERY(Entregas_BD!D:AL,""select AI where D='""&amp;D419&amp;""'"",1))"),0.0)</f>
        <v>0</v>
      </c>
      <c r="W419" s="19">
        <f>IFERROR(__xludf.DUMMYFUNCTION("SUM(QUERY(Entregas_BD!D:AL,""select AJ where D='""&amp;D419&amp;""'"",1))"),0.0)</f>
        <v>0</v>
      </c>
      <c r="X419" s="19">
        <f>IFERROR(__xludf.DUMMYFUNCTION("SUM(QUERY(Entregas_BD!D:AL,""select AL where D='""&amp;D419&amp;""'"",1))"),0.0)</f>
        <v>0</v>
      </c>
      <c r="Y419" s="19">
        <f>IFERROR(__xludf.DUMMYFUNCTION("SUM(QUERY(Entregas_BD!D:AL,""select AK where D='""&amp;D419&amp;""'"",1))"),25.0)</f>
        <v>25</v>
      </c>
      <c r="Z419" s="19">
        <v>0.0</v>
      </c>
      <c r="AA419" s="19">
        <v>0.0</v>
      </c>
      <c r="AB419" s="19">
        <v>0.0</v>
      </c>
      <c r="AC419" s="19">
        <v>0.0</v>
      </c>
      <c r="AD419" s="19">
        <v>-25.0</v>
      </c>
      <c r="AE419" s="19">
        <v>0.0</v>
      </c>
      <c r="AF419" s="25"/>
      <c r="AG419" s="24">
        <f>IFERROR(__xludf.DUMMYFUNCTION("SUM(QUERY(Entregas_BD!D:W,""select U where D='""&amp;D419&amp;""'"",1))"),0.0)</f>
        <v>0</v>
      </c>
      <c r="AH419" s="24">
        <f>IFERROR(__xludf.DUMMYFUNCTION("SUM(QUERY(Entregas_BD!D:W,""select S where D='""&amp;D419&amp;""'"",1))"),0.0)</f>
        <v>0</v>
      </c>
      <c r="AI419" s="24">
        <f>IFERROR(__xludf.DUMMYFUNCTION("SUM(QUERY(Entregas_BD!D:W,""select T where D='""&amp;D419&amp;""'"",1))"),0.0)</f>
        <v>0</v>
      </c>
    </row>
    <row r="420" ht="19.5" customHeight="1">
      <c r="A420" s="88"/>
      <c r="B420" s="89"/>
      <c r="C420" s="9">
        <v>419.0</v>
      </c>
      <c r="D420" s="105" t="s">
        <v>942</v>
      </c>
      <c r="E420" s="10" t="s">
        <v>72</v>
      </c>
      <c r="F420" s="10" t="s">
        <v>45</v>
      </c>
      <c r="G420" s="10" t="s">
        <v>943</v>
      </c>
      <c r="H420" s="12" t="s">
        <v>849</v>
      </c>
      <c r="I420" s="11" t="s">
        <v>41</v>
      </c>
      <c r="J420" s="45"/>
      <c r="K420" s="12"/>
      <c r="L420" s="13"/>
      <c r="M420" s="45"/>
      <c r="N420" s="9">
        <f>IFERROR(__xludf.DUMMYFUNCTION("SUM(QUERY(Entregas_BD!D:L,""select G where D='""&amp;D420&amp;""'"",1))"),0.0)</f>
        <v>0</v>
      </c>
      <c r="O420" s="9">
        <f>IFERROR(__xludf.DUMMYFUNCTION("SUM(QUERY(Entregas_BD!D:L,""select H where D='""&amp;D420&amp;""'"",1))"),0.0)</f>
        <v>0</v>
      </c>
      <c r="P420" s="9">
        <f>IFERROR(__xludf.DUMMYFUNCTION("SUM(QUERY(Entregas_BD!D:L,""select I where D='""&amp;D420&amp;""'"",1))"),0.0)</f>
        <v>0</v>
      </c>
      <c r="Q420" s="9">
        <f>IFERROR(__xludf.DUMMYFUNCTION("SUM(QUERY(Entregas_BD!D:L,""select J where D='""&amp;D420&amp;""'"",1))"),0.0)</f>
        <v>0</v>
      </c>
      <c r="R420" s="15">
        <f>IFERROR(__xludf.DUMMYFUNCTION("SUM(QUERY(Entregas_BD!D:L,""select K where D='""&amp;D420&amp;""'"",1))"),0.0)</f>
        <v>0</v>
      </c>
      <c r="S420" s="15">
        <f>IFERROR(__xludf.DUMMYFUNCTION("SUM(QUERY(Entregas_BD!D:L,""select L where D='""&amp;D420&amp;""'"",1))"),0.0)</f>
        <v>0</v>
      </c>
      <c r="T420" s="9">
        <f>IFERROR(__xludf.DUMMYFUNCTION("SUM(QUERY(Entregas_BD!D:AL,""select AG where D='""&amp;D420&amp;""'"",1))"),0.0)</f>
        <v>0</v>
      </c>
      <c r="U420" s="9">
        <f>IFERROR(__xludf.DUMMYFUNCTION("SUM(QUERY(Entregas_BD!D:AL,""select AH where D='""&amp;D420&amp;""'"",1))"),0.0)</f>
        <v>0</v>
      </c>
      <c r="V420" s="9">
        <f>IFERROR(__xludf.DUMMYFUNCTION("SUM(QUERY(Entregas_BD!D:AL,""select AI where D='""&amp;D420&amp;""'"",1))"),0.0)</f>
        <v>0</v>
      </c>
      <c r="W420" s="9">
        <f>IFERROR(__xludf.DUMMYFUNCTION("SUM(QUERY(Entregas_BD!D:AL,""select AJ where D='""&amp;D420&amp;""'"",1))"),0.0)</f>
        <v>0</v>
      </c>
      <c r="X420" s="9">
        <f>IFERROR(__xludf.DUMMYFUNCTION("SUM(QUERY(Entregas_BD!D:AL,""select AL where D='""&amp;D420&amp;""'"",1))"),10.0)</f>
        <v>10</v>
      </c>
      <c r="Y420" s="9">
        <f>IFERROR(__xludf.DUMMYFUNCTION("SUM(QUERY(Entregas_BD!D:AL,""select AK where D='""&amp;D420&amp;""'"",1))"),20.0)</f>
        <v>20</v>
      </c>
      <c r="Z420" s="9">
        <v>0.0</v>
      </c>
      <c r="AA420" s="9">
        <v>0.0</v>
      </c>
      <c r="AB420" s="9">
        <v>0.0</v>
      </c>
      <c r="AC420" s="9">
        <v>0.0</v>
      </c>
      <c r="AD420" s="9">
        <v>-20.0</v>
      </c>
      <c r="AE420" s="9">
        <v>-10.0</v>
      </c>
      <c r="AF420" s="37"/>
      <c r="AG420" s="15">
        <f>IFERROR(__xludf.DUMMYFUNCTION("SUM(QUERY(Entregas_BD!D:W,""select U where D='""&amp;D420&amp;""'"",1))"),0.0)</f>
        <v>0</v>
      </c>
      <c r="AH420" s="15">
        <f>IFERROR(__xludf.DUMMYFUNCTION("SUM(QUERY(Entregas_BD!D:W,""select S where D='""&amp;D420&amp;""'"",1))"),0.0)</f>
        <v>0</v>
      </c>
      <c r="AI420" s="15">
        <f>IFERROR(__xludf.DUMMYFUNCTION("SUM(QUERY(Entregas_BD!D:W,""select T where D='""&amp;D420&amp;""'"",1))"),0.0)</f>
        <v>0</v>
      </c>
    </row>
    <row r="421" ht="19.5" customHeight="1">
      <c r="A421" s="90"/>
      <c r="B421" s="91"/>
      <c r="C421" s="19">
        <v>420.0</v>
      </c>
      <c r="D421" s="106" t="s">
        <v>944</v>
      </c>
      <c r="E421" s="20" t="s">
        <v>58</v>
      </c>
      <c r="F421" s="20" t="s">
        <v>45</v>
      </c>
      <c r="G421" s="20" t="s">
        <v>945</v>
      </c>
      <c r="H421" s="34" t="s">
        <v>622</v>
      </c>
      <c r="I421" s="21" t="s">
        <v>41</v>
      </c>
      <c r="J421" s="44"/>
      <c r="K421" s="34"/>
      <c r="L421" s="42"/>
      <c r="M421" s="44"/>
      <c r="N421" s="19">
        <f>IFERROR(__xludf.DUMMYFUNCTION("SUM(QUERY(Entregas_BD!D:L,""select G where D='""&amp;D421&amp;""'"",1))"),0.0)</f>
        <v>0</v>
      </c>
      <c r="O421" s="19">
        <f>IFERROR(__xludf.DUMMYFUNCTION("SUM(QUERY(Entregas_BD!D:L,""select H where D='""&amp;D421&amp;""'"",1))"),0.0)</f>
        <v>0</v>
      </c>
      <c r="P421" s="19">
        <f>IFERROR(__xludf.DUMMYFUNCTION("SUM(QUERY(Entregas_BD!D:L,""select I where D='""&amp;D421&amp;""'"",1))"),0.0)</f>
        <v>0</v>
      </c>
      <c r="Q421" s="19">
        <f>IFERROR(__xludf.DUMMYFUNCTION("SUM(QUERY(Entregas_BD!D:L,""select J where D='""&amp;D421&amp;""'"",1))"),0.0)</f>
        <v>0</v>
      </c>
      <c r="R421" s="24">
        <f>IFERROR(__xludf.DUMMYFUNCTION("SUM(QUERY(Entregas_BD!D:L,""select K where D='""&amp;D421&amp;""'"",1))"),0.0)</f>
        <v>0</v>
      </c>
      <c r="S421" s="24">
        <f>IFERROR(__xludf.DUMMYFUNCTION("SUM(QUERY(Entregas_BD!D:L,""select L where D='""&amp;D421&amp;""'"",1))"),0.0)</f>
        <v>0</v>
      </c>
      <c r="T421" s="19">
        <f>IFERROR(__xludf.DUMMYFUNCTION("SUM(QUERY(Entregas_BD!D:AL,""select AG where D='""&amp;D421&amp;""'"",1))"),0.0)</f>
        <v>0</v>
      </c>
      <c r="U421" s="19">
        <f>IFERROR(__xludf.DUMMYFUNCTION("SUM(QUERY(Entregas_BD!D:AL,""select AH where D='""&amp;D421&amp;""'"",1))"),0.0)</f>
        <v>0</v>
      </c>
      <c r="V421" s="19">
        <f>IFERROR(__xludf.DUMMYFUNCTION("SUM(QUERY(Entregas_BD!D:AL,""select AI where D='""&amp;D421&amp;""'"",1))"),0.0)</f>
        <v>0</v>
      </c>
      <c r="W421" s="19">
        <f>IFERROR(__xludf.DUMMYFUNCTION("SUM(QUERY(Entregas_BD!D:AL,""select AJ where D='""&amp;D421&amp;""'"",1))"),0.0)</f>
        <v>0</v>
      </c>
      <c r="X421" s="19">
        <f>IFERROR(__xludf.DUMMYFUNCTION("SUM(QUERY(Entregas_BD!D:AL,""select AL where D='""&amp;D421&amp;""'"",1))"),20.0)</f>
        <v>20</v>
      </c>
      <c r="Y421" s="19">
        <f>IFERROR(__xludf.DUMMYFUNCTION("SUM(QUERY(Entregas_BD!D:AL,""select AK where D='""&amp;D421&amp;""'"",1))"),12.5)</f>
        <v>12.5</v>
      </c>
      <c r="Z421" s="19">
        <v>0.0</v>
      </c>
      <c r="AA421" s="19">
        <v>0.0</v>
      </c>
      <c r="AB421" s="19">
        <v>0.0</v>
      </c>
      <c r="AC421" s="19">
        <v>0.0</v>
      </c>
      <c r="AD421" s="19">
        <v>-12.5</v>
      </c>
      <c r="AE421" s="19">
        <v>-20.0</v>
      </c>
      <c r="AF421" s="25"/>
      <c r="AG421" s="24">
        <f>IFERROR(__xludf.DUMMYFUNCTION("SUM(QUERY(Entregas_BD!D:W,""select U where D='""&amp;D421&amp;""'"",1))"),0.0)</f>
        <v>0</v>
      </c>
      <c r="AH421" s="24">
        <f>IFERROR(__xludf.DUMMYFUNCTION("SUM(QUERY(Entregas_BD!D:W,""select S where D='""&amp;D421&amp;""'"",1))"),0.0)</f>
        <v>0</v>
      </c>
      <c r="AI421" s="24">
        <f>IFERROR(__xludf.DUMMYFUNCTION("SUM(QUERY(Entregas_BD!D:W,""select T where D='""&amp;D421&amp;""'"",1))"),0.0)</f>
        <v>0</v>
      </c>
    </row>
    <row r="422" ht="19.5" customHeight="1">
      <c r="A422" s="88"/>
      <c r="B422" s="89"/>
      <c r="C422" s="9">
        <v>421.0</v>
      </c>
      <c r="D422" s="62" t="s">
        <v>946</v>
      </c>
      <c r="E422" s="107" t="s">
        <v>44</v>
      </c>
      <c r="F422" s="10" t="s">
        <v>45</v>
      </c>
      <c r="G422" s="10" t="s">
        <v>903</v>
      </c>
      <c r="H422" s="45" t="s">
        <v>770</v>
      </c>
      <c r="I422" s="11" t="s">
        <v>41</v>
      </c>
      <c r="J422" s="45"/>
      <c r="K422" s="12"/>
      <c r="L422" s="13"/>
      <c r="M422" s="45"/>
      <c r="N422" s="9">
        <f>IFERROR(__xludf.DUMMYFUNCTION("SUM(QUERY(Entregas_BD!D:L,""select G where D='""&amp;D422&amp;""'"",1))"),0.0)</f>
        <v>0</v>
      </c>
      <c r="O422" s="9">
        <f>IFERROR(__xludf.DUMMYFUNCTION("SUM(QUERY(Entregas_BD!D:L,""select H where D='""&amp;D422&amp;""'"",1))"),0.0)</f>
        <v>0</v>
      </c>
      <c r="P422" s="9">
        <f>IFERROR(__xludf.DUMMYFUNCTION("SUM(QUERY(Entregas_BD!D:L,""select I where D='""&amp;D422&amp;""'"",1))"),0.0)</f>
        <v>0</v>
      </c>
      <c r="Q422" s="9">
        <f>IFERROR(__xludf.DUMMYFUNCTION("SUM(QUERY(Entregas_BD!D:L,""select J where D='""&amp;D422&amp;""'"",1))"),0.0)</f>
        <v>0</v>
      </c>
      <c r="R422" s="15">
        <f>IFERROR(__xludf.DUMMYFUNCTION("SUM(QUERY(Entregas_BD!D:L,""select K where D='""&amp;D422&amp;""'"",1))"),0.0)</f>
        <v>0</v>
      </c>
      <c r="S422" s="15">
        <f>IFERROR(__xludf.DUMMYFUNCTION("SUM(QUERY(Entregas_BD!D:L,""select L where D='""&amp;D422&amp;""'"",1))"),0.0)</f>
        <v>0</v>
      </c>
      <c r="T422" s="9">
        <f>IFERROR(__xludf.DUMMYFUNCTION("SUM(QUERY(Entregas_BD!D:AL,""select AG where D='""&amp;D422&amp;""'"",1))"),13.0)</f>
        <v>13</v>
      </c>
      <c r="U422" s="9">
        <f>IFERROR(__xludf.DUMMYFUNCTION("SUM(QUERY(Entregas_BD!D:AL,""select AH where D='""&amp;D422&amp;""'"",1))"),0.0)</f>
        <v>0</v>
      </c>
      <c r="V422" s="9">
        <f>IFERROR(__xludf.DUMMYFUNCTION("SUM(QUERY(Entregas_BD!D:AL,""select AI where D='""&amp;D422&amp;""'"",1))"),0.0)</f>
        <v>0</v>
      </c>
      <c r="W422" s="9">
        <f>IFERROR(__xludf.DUMMYFUNCTION("SUM(QUERY(Entregas_BD!D:AL,""select AJ where D='""&amp;D422&amp;""'"",1))"),0.0)</f>
        <v>0</v>
      </c>
      <c r="X422" s="9">
        <f>IFERROR(__xludf.DUMMYFUNCTION("SUM(QUERY(Entregas_BD!D:AL,""select AL where D='""&amp;D422&amp;""'"",1))"),0.0)</f>
        <v>0</v>
      </c>
      <c r="Y422" s="9">
        <f>IFERROR(__xludf.DUMMYFUNCTION("SUM(QUERY(Entregas_BD!D:AL,""select AK where D='""&amp;D422&amp;""'"",1))"),0.0)</f>
        <v>0</v>
      </c>
      <c r="Z422" s="9">
        <v>-13.0</v>
      </c>
      <c r="AA422" s="9">
        <v>0.0</v>
      </c>
      <c r="AB422" s="9">
        <v>0.0</v>
      </c>
      <c r="AC422" s="9">
        <v>0.0</v>
      </c>
      <c r="AD422" s="9">
        <v>0.0</v>
      </c>
      <c r="AE422" s="9">
        <v>0.0</v>
      </c>
      <c r="AF422" s="37"/>
      <c r="AG422" s="15">
        <f>IFERROR(__xludf.DUMMYFUNCTION("SUM(QUERY(Entregas_BD!D:W,""select U where D='""&amp;D422&amp;""'"",1))"),0.0)</f>
        <v>0</v>
      </c>
      <c r="AH422" s="15">
        <f>IFERROR(__xludf.DUMMYFUNCTION("SUM(QUERY(Entregas_BD!D:W,""select S where D='""&amp;D422&amp;""'"",1))"),0.0)</f>
        <v>0</v>
      </c>
      <c r="AI422" s="15">
        <f>IFERROR(__xludf.DUMMYFUNCTION("SUM(QUERY(Entregas_BD!D:W,""select T where D='""&amp;D422&amp;""'"",1))"),0.0)</f>
        <v>0</v>
      </c>
    </row>
    <row r="423" ht="19.5" customHeight="1">
      <c r="A423" s="90"/>
      <c r="B423" s="91"/>
      <c r="C423" s="71">
        <v>422.0</v>
      </c>
      <c r="D423" s="108" t="s">
        <v>947</v>
      </c>
      <c r="E423" s="108" t="s">
        <v>324</v>
      </c>
      <c r="F423" s="20" t="s">
        <v>917</v>
      </c>
      <c r="G423" s="20" t="s">
        <v>917</v>
      </c>
      <c r="H423" s="44" t="s">
        <v>770</v>
      </c>
      <c r="I423" s="21" t="s">
        <v>41</v>
      </c>
      <c r="J423" s="44"/>
      <c r="K423" s="34"/>
      <c r="L423" s="42"/>
      <c r="M423" s="44"/>
      <c r="N423" s="19">
        <f>IFERROR(__xludf.DUMMYFUNCTION("SUM(QUERY(Entregas_BD!D:L,""select G where D='""&amp;D423&amp;""'"",1))"),0.0)</f>
        <v>0</v>
      </c>
      <c r="O423" s="19">
        <f>IFERROR(__xludf.DUMMYFUNCTION("SUM(QUERY(Entregas_BD!D:L,""select H where D='""&amp;D423&amp;""'"",1))"),0.0)</f>
        <v>0</v>
      </c>
      <c r="P423" s="19">
        <f>IFERROR(__xludf.DUMMYFUNCTION("SUM(QUERY(Entregas_BD!D:L,""select I where D='""&amp;D423&amp;""'"",1))"),0.0)</f>
        <v>0</v>
      </c>
      <c r="Q423" s="19">
        <f>IFERROR(__xludf.DUMMYFUNCTION("SUM(QUERY(Entregas_BD!D:L,""select J where D='""&amp;D423&amp;""'"",1))"),0.0)</f>
        <v>0</v>
      </c>
      <c r="R423" s="24">
        <f>IFERROR(__xludf.DUMMYFUNCTION("SUM(QUERY(Entregas_BD!D:L,""select K where D='""&amp;D423&amp;""'"",1))"),0.0)</f>
        <v>0</v>
      </c>
      <c r="S423" s="24">
        <f>IFERROR(__xludf.DUMMYFUNCTION("SUM(QUERY(Entregas_BD!D:L,""select L where D='""&amp;D423&amp;""'"",1))"),0.0)</f>
        <v>0</v>
      </c>
      <c r="T423" s="19">
        <f>IFERROR(__xludf.DUMMYFUNCTION("SUM(QUERY(Entregas_BD!D:AL,""select AG where D='""&amp;D423&amp;""'"",1))"),15.0)</f>
        <v>15</v>
      </c>
      <c r="U423" s="19">
        <f>IFERROR(__xludf.DUMMYFUNCTION("SUM(QUERY(Entregas_BD!D:AL,""select AH where D='""&amp;D423&amp;""'"",1))"),0.0)</f>
        <v>0</v>
      </c>
      <c r="V423" s="19">
        <f>IFERROR(__xludf.DUMMYFUNCTION("SUM(QUERY(Entregas_BD!D:AL,""select AI where D='""&amp;D423&amp;""'"",1))"),0.0)</f>
        <v>0</v>
      </c>
      <c r="W423" s="19">
        <f>IFERROR(__xludf.DUMMYFUNCTION("SUM(QUERY(Entregas_BD!D:AL,""select AJ where D='""&amp;D423&amp;""'"",1))"),0.0)</f>
        <v>0</v>
      </c>
      <c r="X423" s="19">
        <f>IFERROR(__xludf.DUMMYFUNCTION("SUM(QUERY(Entregas_BD!D:AL,""select AL where D='""&amp;D423&amp;""'"",1))"),0.0)</f>
        <v>0</v>
      </c>
      <c r="Y423" s="19">
        <f>IFERROR(__xludf.DUMMYFUNCTION("SUM(QUERY(Entregas_BD!D:AL,""select AK where D='""&amp;D423&amp;""'"",1))"),0.0)</f>
        <v>0</v>
      </c>
      <c r="Z423" s="19">
        <v>-15.0</v>
      </c>
      <c r="AA423" s="19">
        <v>0.0</v>
      </c>
      <c r="AB423" s="19">
        <v>0.0</v>
      </c>
      <c r="AC423" s="19">
        <v>0.0</v>
      </c>
      <c r="AD423" s="19">
        <v>0.0</v>
      </c>
      <c r="AE423" s="19">
        <v>0.0</v>
      </c>
      <c r="AF423" s="25"/>
      <c r="AG423" s="24">
        <f>IFERROR(__xludf.DUMMYFUNCTION("SUM(QUERY(Entregas_BD!D:W,""select U where D='""&amp;D423&amp;""'"",1))"),0.0)</f>
        <v>0</v>
      </c>
      <c r="AH423" s="24">
        <f>IFERROR(__xludf.DUMMYFUNCTION("SUM(QUERY(Entregas_BD!D:W,""select S where D='""&amp;D423&amp;""'"",1))"),0.0)</f>
        <v>0</v>
      </c>
      <c r="AI423" s="24">
        <f>IFERROR(__xludf.DUMMYFUNCTION("SUM(QUERY(Entregas_BD!D:W,""select T where D='""&amp;D423&amp;""'"",1))"),0.0)</f>
        <v>0</v>
      </c>
    </row>
    <row r="424" ht="19.5" customHeight="1">
      <c r="A424" s="88"/>
      <c r="B424" s="89"/>
      <c r="C424" s="109">
        <v>423.0</v>
      </c>
      <c r="D424" s="62" t="s">
        <v>948</v>
      </c>
      <c r="E424" s="107" t="s">
        <v>44</v>
      </c>
      <c r="F424" s="10" t="s">
        <v>45</v>
      </c>
      <c r="G424" s="10" t="s">
        <v>949</v>
      </c>
      <c r="H424" s="45" t="s">
        <v>770</v>
      </c>
      <c r="I424" s="11" t="s">
        <v>41</v>
      </c>
      <c r="J424" s="45"/>
      <c r="K424" s="12"/>
      <c r="L424" s="13"/>
      <c r="M424" s="45"/>
      <c r="N424" s="9">
        <f>IFERROR(__xludf.DUMMYFUNCTION("SUM(QUERY(Entregas_BD!D:L,""select G where D='""&amp;D424&amp;""'"",1))"),0.0)</f>
        <v>0</v>
      </c>
      <c r="O424" s="9">
        <f>IFERROR(__xludf.DUMMYFUNCTION("SUM(QUERY(Entregas_BD!D:L,""select H where D='""&amp;D424&amp;""'"",1))"),0.0)</f>
        <v>0</v>
      </c>
      <c r="P424" s="9">
        <f>IFERROR(__xludf.DUMMYFUNCTION("SUM(QUERY(Entregas_BD!D:L,""select I where D='""&amp;D424&amp;""'"",1))"),0.0)</f>
        <v>0</v>
      </c>
      <c r="Q424" s="9">
        <f>IFERROR(__xludf.DUMMYFUNCTION("SUM(QUERY(Entregas_BD!D:L,""select J where D='""&amp;D424&amp;""'"",1))"),0.0)</f>
        <v>0</v>
      </c>
      <c r="R424" s="15">
        <f>IFERROR(__xludf.DUMMYFUNCTION("SUM(QUERY(Entregas_BD!D:L,""select K where D='""&amp;D424&amp;""'"",1))"),0.0)</f>
        <v>0</v>
      </c>
      <c r="S424" s="15">
        <f>IFERROR(__xludf.DUMMYFUNCTION("SUM(QUERY(Entregas_BD!D:L,""select L where D='""&amp;D424&amp;""'"",1))"),0.0)</f>
        <v>0</v>
      </c>
      <c r="T424" s="9">
        <f>IFERROR(__xludf.DUMMYFUNCTION("SUM(QUERY(Entregas_BD!D:AL,""select AG where D='""&amp;D424&amp;""'"",1))"),20.0)</f>
        <v>20</v>
      </c>
      <c r="U424" s="9">
        <f>IFERROR(__xludf.DUMMYFUNCTION("SUM(QUERY(Entregas_BD!D:AL,""select AH where D='""&amp;D424&amp;""'"",1))"),0.0)</f>
        <v>0</v>
      </c>
      <c r="V424" s="9">
        <f>IFERROR(__xludf.DUMMYFUNCTION("SUM(QUERY(Entregas_BD!D:AL,""select AI where D='""&amp;D424&amp;""'"",1))"),0.0)</f>
        <v>0</v>
      </c>
      <c r="W424" s="9">
        <f>IFERROR(__xludf.DUMMYFUNCTION("SUM(QUERY(Entregas_BD!D:AL,""select AJ where D='""&amp;D424&amp;""'"",1))"),0.0)</f>
        <v>0</v>
      </c>
      <c r="X424" s="9">
        <f>IFERROR(__xludf.DUMMYFUNCTION("SUM(QUERY(Entregas_BD!D:AL,""select AL where D='""&amp;D424&amp;""'"",1))"),0.0)</f>
        <v>0</v>
      </c>
      <c r="Y424" s="9">
        <f>IFERROR(__xludf.DUMMYFUNCTION("SUM(QUERY(Entregas_BD!D:AL,""select AK where D='""&amp;D424&amp;""'"",1))"),0.0)</f>
        <v>0</v>
      </c>
      <c r="Z424" s="9">
        <v>-20.0</v>
      </c>
      <c r="AA424" s="9">
        <v>0.0</v>
      </c>
      <c r="AB424" s="9">
        <v>0.0</v>
      </c>
      <c r="AC424" s="9">
        <v>0.0</v>
      </c>
      <c r="AD424" s="9">
        <v>0.0</v>
      </c>
      <c r="AE424" s="9">
        <v>0.0</v>
      </c>
      <c r="AF424" s="37"/>
      <c r="AG424" s="15">
        <f>IFERROR(__xludf.DUMMYFUNCTION("SUM(QUERY(Entregas_BD!D:W,""select U where D='""&amp;D424&amp;""'"",1))"),0.0)</f>
        <v>0</v>
      </c>
      <c r="AH424" s="15">
        <f>IFERROR(__xludf.DUMMYFUNCTION("SUM(QUERY(Entregas_BD!D:W,""select S where D='""&amp;D424&amp;""'"",1))"),0.0)</f>
        <v>0</v>
      </c>
      <c r="AI424" s="15">
        <f>IFERROR(__xludf.DUMMYFUNCTION("SUM(QUERY(Entregas_BD!D:W,""select T where D='""&amp;D424&amp;""'"",1))"),0.0)</f>
        <v>0</v>
      </c>
    </row>
    <row r="425" ht="19.5" customHeight="1">
      <c r="A425" s="90"/>
      <c r="B425" s="91"/>
      <c r="C425" s="71">
        <v>424.0</v>
      </c>
      <c r="D425" s="108" t="s">
        <v>950</v>
      </c>
      <c r="E425" s="108" t="s">
        <v>44</v>
      </c>
      <c r="F425" s="20" t="s">
        <v>45</v>
      </c>
      <c r="G425" s="20" t="s">
        <v>951</v>
      </c>
      <c r="H425" s="44" t="s">
        <v>770</v>
      </c>
      <c r="I425" s="21" t="s">
        <v>41</v>
      </c>
      <c r="J425" s="44"/>
      <c r="K425" s="34"/>
      <c r="L425" s="42"/>
      <c r="M425" s="44"/>
      <c r="N425" s="19">
        <f>IFERROR(__xludf.DUMMYFUNCTION("SUM(QUERY(Entregas_BD!D:L,""select G where D='""&amp;D425&amp;""'"",1))"),0.0)</f>
        <v>0</v>
      </c>
      <c r="O425" s="19">
        <f>IFERROR(__xludf.DUMMYFUNCTION("SUM(QUERY(Entregas_BD!D:L,""select H where D='""&amp;D425&amp;""'"",1))"),0.0)</f>
        <v>0</v>
      </c>
      <c r="P425" s="19">
        <f>IFERROR(__xludf.DUMMYFUNCTION("SUM(QUERY(Entregas_BD!D:L,""select I where D='""&amp;D425&amp;""'"",1))"),0.0)</f>
        <v>0</v>
      </c>
      <c r="Q425" s="19">
        <f>IFERROR(__xludf.DUMMYFUNCTION("SUM(QUERY(Entregas_BD!D:L,""select J where D='""&amp;D425&amp;""'"",1))"),0.0)</f>
        <v>0</v>
      </c>
      <c r="R425" s="24">
        <f>IFERROR(__xludf.DUMMYFUNCTION("SUM(QUERY(Entregas_BD!D:L,""select K where D='""&amp;D425&amp;""'"",1))"),0.0)</f>
        <v>0</v>
      </c>
      <c r="S425" s="24">
        <f>IFERROR(__xludf.DUMMYFUNCTION("SUM(QUERY(Entregas_BD!D:L,""select L where D='""&amp;D425&amp;""'"",1))"),0.0)</f>
        <v>0</v>
      </c>
      <c r="T425" s="19">
        <f>IFERROR(__xludf.DUMMYFUNCTION("SUM(QUERY(Entregas_BD!D:AL,""select AG where D='""&amp;D425&amp;""'"",1))"),12.0)</f>
        <v>12</v>
      </c>
      <c r="U425" s="19">
        <f>IFERROR(__xludf.DUMMYFUNCTION("SUM(QUERY(Entregas_BD!D:AL,""select AH where D='""&amp;D425&amp;""'"",1))"),0.0)</f>
        <v>0</v>
      </c>
      <c r="V425" s="19">
        <f>IFERROR(__xludf.DUMMYFUNCTION("SUM(QUERY(Entregas_BD!D:AL,""select AI where D='""&amp;D425&amp;""'"",1))"),0.0)</f>
        <v>0</v>
      </c>
      <c r="W425" s="19">
        <f>IFERROR(__xludf.DUMMYFUNCTION("SUM(QUERY(Entregas_BD!D:AL,""select AJ where D='""&amp;D425&amp;""'"",1))"),0.0)</f>
        <v>0</v>
      </c>
      <c r="X425" s="19">
        <f>IFERROR(__xludf.DUMMYFUNCTION("SUM(QUERY(Entregas_BD!D:AL,""select AL where D='""&amp;D425&amp;""'"",1))"),0.0)</f>
        <v>0</v>
      </c>
      <c r="Y425" s="19">
        <f>IFERROR(__xludf.DUMMYFUNCTION("SUM(QUERY(Entregas_BD!D:AL,""select AK where D='""&amp;D425&amp;""'"",1))"),0.0)</f>
        <v>0</v>
      </c>
      <c r="Z425" s="19">
        <v>-12.0</v>
      </c>
      <c r="AA425" s="19">
        <v>0.0</v>
      </c>
      <c r="AB425" s="19">
        <v>0.0</v>
      </c>
      <c r="AC425" s="19">
        <v>0.0</v>
      </c>
      <c r="AD425" s="19">
        <v>0.0</v>
      </c>
      <c r="AE425" s="19">
        <v>0.0</v>
      </c>
      <c r="AF425" s="25"/>
      <c r="AG425" s="24">
        <f>IFERROR(__xludf.DUMMYFUNCTION("SUM(QUERY(Entregas_BD!D:W,""select U where D='""&amp;D425&amp;""'"",1))"),0.0)</f>
        <v>0</v>
      </c>
      <c r="AH425" s="24">
        <f>IFERROR(__xludf.DUMMYFUNCTION("SUM(QUERY(Entregas_BD!D:W,""select S where D='""&amp;D425&amp;""'"",1))"),0.0)</f>
        <v>0</v>
      </c>
      <c r="AI425" s="24">
        <f>IFERROR(__xludf.DUMMYFUNCTION("SUM(QUERY(Entregas_BD!D:W,""select T where D='""&amp;D425&amp;""'"",1))"),0.0)</f>
        <v>0</v>
      </c>
    </row>
    <row r="426" ht="19.5" customHeight="1">
      <c r="A426" s="88"/>
      <c r="B426" s="89"/>
      <c r="C426" s="109">
        <v>425.0</v>
      </c>
      <c r="D426" s="62" t="s">
        <v>952</v>
      </c>
      <c r="E426" s="107" t="s">
        <v>953</v>
      </c>
      <c r="F426" s="10" t="s">
        <v>954</v>
      </c>
      <c r="G426" s="10" t="s">
        <v>954</v>
      </c>
      <c r="H426" s="45" t="s">
        <v>770</v>
      </c>
      <c r="I426" s="11" t="s">
        <v>41</v>
      </c>
      <c r="J426" s="45"/>
      <c r="K426" s="12"/>
      <c r="L426" s="13"/>
      <c r="M426" s="45"/>
      <c r="N426" s="9">
        <f>IFERROR(__xludf.DUMMYFUNCTION("SUM(QUERY(Entregas_BD!D:L,""select G where D='""&amp;D426&amp;""'"",1))"),0.0)</f>
        <v>0</v>
      </c>
      <c r="O426" s="9">
        <f>IFERROR(__xludf.DUMMYFUNCTION("SUM(QUERY(Entregas_BD!D:L,""select H where D='""&amp;D426&amp;""'"",1))"),0.0)</f>
        <v>0</v>
      </c>
      <c r="P426" s="9">
        <f>IFERROR(__xludf.DUMMYFUNCTION("SUM(QUERY(Entregas_BD!D:L,""select I where D='""&amp;D426&amp;""'"",1))"),0.0)</f>
        <v>0</v>
      </c>
      <c r="Q426" s="9">
        <f>IFERROR(__xludf.DUMMYFUNCTION("SUM(QUERY(Entregas_BD!D:L,""select J where D='""&amp;D426&amp;""'"",1))"),0.0)</f>
        <v>0</v>
      </c>
      <c r="R426" s="15">
        <f>IFERROR(__xludf.DUMMYFUNCTION("SUM(QUERY(Entregas_BD!D:L,""select K where D='""&amp;D426&amp;""'"",1))"),0.0)</f>
        <v>0</v>
      </c>
      <c r="S426" s="15">
        <f>IFERROR(__xludf.DUMMYFUNCTION("SUM(QUERY(Entregas_BD!D:L,""select L where D='""&amp;D426&amp;""'"",1))"),0.0)</f>
        <v>0</v>
      </c>
      <c r="T426" s="9">
        <f>IFERROR(__xludf.DUMMYFUNCTION("SUM(QUERY(Entregas_BD!D:AL,""select AG where D='""&amp;D426&amp;""'"",1))"),100.0)</f>
        <v>100</v>
      </c>
      <c r="U426" s="9">
        <f>IFERROR(__xludf.DUMMYFUNCTION("SUM(QUERY(Entregas_BD!D:AL,""select AH where D='""&amp;D426&amp;""'"",1))"),0.0)</f>
        <v>0</v>
      </c>
      <c r="V426" s="9">
        <f>IFERROR(__xludf.DUMMYFUNCTION("SUM(QUERY(Entregas_BD!D:AL,""select AI where D='""&amp;D426&amp;""'"",1))"),0.0)</f>
        <v>0</v>
      </c>
      <c r="W426" s="9">
        <f>IFERROR(__xludf.DUMMYFUNCTION("SUM(QUERY(Entregas_BD!D:AL,""select AJ where D='""&amp;D426&amp;""'"",1))"),0.0)</f>
        <v>0</v>
      </c>
      <c r="X426" s="9">
        <f>IFERROR(__xludf.DUMMYFUNCTION("SUM(QUERY(Entregas_BD!D:AL,""select AL where D='""&amp;D426&amp;""'"",1))"),0.0)</f>
        <v>0</v>
      </c>
      <c r="Y426" s="9">
        <f>IFERROR(__xludf.DUMMYFUNCTION("SUM(QUERY(Entregas_BD!D:AL,""select AK where D='""&amp;D426&amp;""'"",1))"),0.0)</f>
        <v>0</v>
      </c>
      <c r="Z426" s="9">
        <v>-100.0</v>
      </c>
      <c r="AA426" s="9">
        <v>0.0</v>
      </c>
      <c r="AB426" s="9">
        <v>0.0</v>
      </c>
      <c r="AC426" s="9">
        <v>0.0</v>
      </c>
      <c r="AD426" s="9">
        <v>0.0</v>
      </c>
      <c r="AE426" s="9">
        <v>0.0</v>
      </c>
      <c r="AF426" s="37"/>
      <c r="AG426" s="15">
        <f>IFERROR(__xludf.DUMMYFUNCTION("SUM(QUERY(Entregas_BD!D:W,""select U where D='""&amp;D426&amp;""'"",1))"),0.0)</f>
        <v>0</v>
      </c>
      <c r="AH426" s="15">
        <f>IFERROR(__xludf.DUMMYFUNCTION("SUM(QUERY(Entregas_BD!D:W,""select S where D='""&amp;D426&amp;""'"",1))"),0.0)</f>
        <v>0</v>
      </c>
      <c r="AI426" s="15">
        <f>IFERROR(__xludf.DUMMYFUNCTION("SUM(QUERY(Entregas_BD!D:W,""select T where D='""&amp;D426&amp;""'"",1))"),0.0)</f>
        <v>0</v>
      </c>
    </row>
    <row r="427" ht="19.5" customHeight="1">
      <c r="A427" s="90"/>
      <c r="B427" s="91"/>
      <c r="C427" s="71">
        <v>426.0</v>
      </c>
      <c r="D427" s="108" t="s">
        <v>955</v>
      </c>
      <c r="E427" s="108" t="s">
        <v>58</v>
      </c>
      <c r="F427" s="20" t="s">
        <v>45</v>
      </c>
      <c r="G427" s="20" t="s">
        <v>420</v>
      </c>
      <c r="H427" s="44" t="s">
        <v>770</v>
      </c>
      <c r="I427" s="21" t="s">
        <v>41</v>
      </c>
      <c r="J427" s="44"/>
      <c r="K427" s="34"/>
      <c r="L427" s="42"/>
      <c r="M427" s="44"/>
      <c r="N427" s="19">
        <f>IFERROR(__xludf.DUMMYFUNCTION("SUM(QUERY(Entregas_BD!D:L,""select G where D='""&amp;D427&amp;""'"",1))"),0.0)</f>
        <v>0</v>
      </c>
      <c r="O427" s="19">
        <f>IFERROR(__xludf.DUMMYFUNCTION("SUM(QUERY(Entregas_BD!D:L,""select H where D='""&amp;D427&amp;""'"",1))"),0.0)</f>
        <v>0</v>
      </c>
      <c r="P427" s="19">
        <f>IFERROR(__xludf.DUMMYFUNCTION("SUM(QUERY(Entregas_BD!D:L,""select I where D='""&amp;D427&amp;""'"",1))"),0.0)</f>
        <v>0</v>
      </c>
      <c r="Q427" s="19">
        <f>IFERROR(__xludf.DUMMYFUNCTION("SUM(QUERY(Entregas_BD!D:L,""select J where D='""&amp;D427&amp;""'"",1))"),0.0)</f>
        <v>0</v>
      </c>
      <c r="R427" s="24">
        <f>IFERROR(__xludf.DUMMYFUNCTION("SUM(QUERY(Entregas_BD!D:L,""select K where D='""&amp;D427&amp;""'"",1))"),0.0)</f>
        <v>0</v>
      </c>
      <c r="S427" s="24">
        <f>IFERROR(__xludf.DUMMYFUNCTION("SUM(QUERY(Entregas_BD!D:L,""select L where D='""&amp;D427&amp;""'"",1))"),0.0)</f>
        <v>0</v>
      </c>
      <c r="T427" s="19">
        <f>IFERROR(__xludf.DUMMYFUNCTION("SUM(QUERY(Entregas_BD!D:AL,""select AG where D='""&amp;D427&amp;""'"",1))"),60.0)</f>
        <v>60</v>
      </c>
      <c r="U427" s="19">
        <f>IFERROR(__xludf.DUMMYFUNCTION("SUM(QUERY(Entregas_BD!D:AL,""select AH where D='""&amp;D427&amp;""'"",1))"),0.0)</f>
        <v>0</v>
      </c>
      <c r="V427" s="19">
        <f>IFERROR(__xludf.DUMMYFUNCTION("SUM(QUERY(Entregas_BD!D:AL,""select AI where D='""&amp;D427&amp;""'"",1))"),0.0)</f>
        <v>0</v>
      </c>
      <c r="W427" s="19">
        <f>IFERROR(__xludf.DUMMYFUNCTION("SUM(QUERY(Entregas_BD!D:AL,""select AJ where D='""&amp;D427&amp;""'"",1))"),0.0)</f>
        <v>0</v>
      </c>
      <c r="X427" s="19">
        <f>IFERROR(__xludf.DUMMYFUNCTION("SUM(QUERY(Entregas_BD!D:AL,""select AL where D='""&amp;D427&amp;""'"",1))"),0.0)</f>
        <v>0</v>
      </c>
      <c r="Y427" s="19">
        <f>IFERROR(__xludf.DUMMYFUNCTION("SUM(QUERY(Entregas_BD!D:AL,""select AK where D='""&amp;D427&amp;""'"",1))"),0.0)</f>
        <v>0</v>
      </c>
      <c r="Z427" s="19">
        <v>-60.0</v>
      </c>
      <c r="AA427" s="19">
        <v>0.0</v>
      </c>
      <c r="AB427" s="19">
        <v>0.0</v>
      </c>
      <c r="AC427" s="19">
        <v>0.0</v>
      </c>
      <c r="AD427" s="19">
        <v>0.0</v>
      </c>
      <c r="AE427" s="19">
        <v>0.0</v>
      </c>
      <c r="AF427" s="25"/>
      <c r="AG427" s="24">
        <f>IFERROR(__xludf.DUMMYFUNCTION("SUM(QUERY(Entregas_BD!D:W,""select U where D='""&amp;D427&amp;""'"",1))"),0.0)</f>
        <v>0</v>
      </c>
      <c r="AH427" s="24">
        <f>IFERROR(__xludf.DUMMYFUNCTION("SUM(QUERY(Entregas_BD!D:W,""select S where D='""&amp;D427&amp;""'"",1))"),0.0)</f>
        <v>0</v>
      </c>
      <c r="AI427" s="24">
        <f>IFERROR(__xludf.DUMMYFUNCTION("SUM(QUERY(Entregas_BD!D:W,""select T where D='""&amp;D427&amp;""'"",1))"),0.0)</f>
        <v>0</v>
      </c>
    </row>
    <row r="428" ht="19.5" customHeight="1">
      <c r="A428" s="88"/>
      <c r="B428" s="89"/>
      <c r="C428" s="109">
        <v>427.0</v>
      </c>
      <c r="D428" s="62" t="s">
        <v>956</v>
      </c>
      <c r="E428" s="107" t="s">
        <v>953</v>
      </c>
      <c r="F428" s="10" t="s">
        <v>957</v>
      </c>
      <c r="G428" s="10" t="s">
        <v>958</v>
      </c>
      <c r="H428" s="12" t="s">
        <v>622</v>
      </c>
      <c r="I428" s="11" t="s">
        <v>41</v>
      </c>
      <c r="J428" s="45"/>
      <c r="K428" s="12"/>
      <c r="L428" s="13"/>
      <c r="M428" s="45"/>
      <c r="N428" s="9">
        <f>IFERROR(__xludf.DUMMYFUNCTION("SUM(QUERY(Entregas_BD!D:L,""select G where D='""&amp;D428&amp;""'"",1))"),0.0)</f>
        <v>0</v>
      </c>
      <c r="O428" s="9">
        <f>IFERROR(__xludf.DUMMYFUNCTION("SUM(QUERY(Entregas_BD!D:L,""select H where D='""&amp;D428&amp;""'"",1))"),0.0)</f>
        <v>0</v>
      </c>
      <c r="P428" s="9">
        <f>IFERROR(__xludf.DUMMYFUNCTION("SUM(QUERY(Entregas_BD!D:L,""select I where D='""&amp;D428&amp;""'"",1))"),0.0)</f>
        <v>0</v>
      </c>
      <c r="Q428" s="9">
        <f>IFERROR(__xludf.DUMMYFUNCTION("SUM(QUERY(Entregas_BD!D:L,""select J where D='""&amp;D428&amp;""'"",1))"),0.0)</f>
        <v>0</v>
      </c>
      <c r="R428" s="15">
        <f>IFERROR(__xludf.DUMMYFUNCTION("SUM(QUERY(Entregas_BD!D:L,""select K where D='""&amp;D428&amp;""'"",1))"),0.0)</f>
        <v>0</v>
      </c>
      <c r="S428" s="15">
        <f>IFERROR(__xludf.DUMMYFUNCTION("SUM(QUERY(Entregas_BD!D:L,""select L where D='""&amp;D428&amp;""'"",1))"),0.0)</f>
        <v>0</v>
      </c>
      <c r="T428" s="9">
        <f>IFERROR(__xludf.DUMMYFUNCTION("SUM(QUERY(Entregas_BD!D:AL,""select AG where D='""&amp;D428&amp;""'"",1))"),250.0)</f>
        <v>250</v>
      </c>
      <c r="U428" s="9">
        <f>IFERROR(__xludf.DUMMYFUNCTION("SUM(QUERY(Entregas_BD!D:AL,""select AH where D='""&amp;D428&amp;""'"",1))"),0.0)</f>
        <v>0</v>
      </c>
      <c r="V428" s="9">
        <f>IFERROR(__xludf.DUMMYFUNCTION("SUM(QUERY(Entregas_BD!D:AL,""select AI where D='""&amp;D428&amp;""'"",1))"),0.0)</f>
        <v>0</v>
      </c>
      <c r="W428" s="9">
        <f>IFERROR(__xludf.DUMMYFUNCTION("SUM(QUERY(Entregas_BD!D:AL,""select AJ where D='""&amp;D428&amp;""'"",1))"),0.0)</f>
        <v>0</v>
      </c>
      <c r="X428" s="9">
        <f>IFERROR(__xludf.DUMMYFUNCTION("SUM(QUERY(Entregas_BD!D:AL,""select AL where D='""&amp;D428&amp;""'"",1))"),0.0)</f>
        <v>0</v>
      </c>
      <c r="Y428" s="9">
        <f>IFERROR(__xludf.DUMMYFUNCTION("SUM(QUERY(Entregas_BD!D:AL,""select AK where D='""&amp;D428&amp;""'"",1))"),0.0)</f>
        <v>0</v>
      </c>
      <c r="Z428" s="9">
        <v>-250.0</v>
      </c>
      <c r="AA428" s="9">
        <v>0.0</v>
      </c>
      <c r="AB428" s="9">
        <v>0.0</v>
      </c>
      <c r="AC428" s="9">
        <v>0.0</v>
      </c>
      <c r="AD428" s="9">
        <v>0.0</v>
      </c>
      <c r="AE428" s="9">
        <v>0.0</v>
      </c>
      <c r="AF428" s="37"/>
      <c r="AG428" s="15">
        <f>IFERROR(__xludf.DUMMYFUNCTION("SUM(QUERY(Entregas_BD!D:W,""select U where D='""&amp;D428&amp;""'"",1))"),0.0)</f>
        <v>0</v>
      </c>
      <c r="AH428" s="15">
        <f>IFERROR(__xludf.DUMMYFUNCTION("SUM(QUERY(Entregas_BD!D:W,""select S where D='""&amp;D428&amp;""'"",1))"),0.0)</f>
        <v>0</v>
      </c>
      <c r="AI428" s="15">
        <f>IFERROR(__xludf.DUMMYFUNCTION("SUM(QUERY(Entregas_BD!D:W,""select T where D='""&amp;D428&amp;""'"",1))"),0.0)</f>
        <v>0</v>
      </c>
    </row>
    <row r="429" ht="19.5" customHeight="1">
      <c r="A429" s="90"/>
      <c r="B429" s="91"/>
      <c r="C429" s="71">
        <v>428.0</v>
      </c>
      <c r="D429" s="108" t="s">
        <v>959</v>
      </c>
      <c r="E429" s="110" t="s">
        <v>953</v>
      </c>
      <c r="F429" s="20" t="s">
        <v>960</v>
      </c>
      <c r="G429" s="20" t="s">
        <v>958</v>
      </c>
      <c r="H429" s="34" t="s">
        <v>622</v>
      </c>
      <c r="I429" s="21" t="s">
        <v>41</v>
      </c>
      <c r="J429" s="44"/>
      <c r="K429" s="34"/>
      <c r="L429" s="42"/>
      <c r="M429" s="44"/>
      <c r="N429" s="19">
        <f>IFERROR(__xludf.DUMMYFUNCTION("SUM(QUERY(Entregas_BD!D:L,""select G where D='""&amp;D429&amp;""'"",1))"),0.0)</f>
        <v>0</v>
      </c>
      <c r="O429" s="19">
        <f>IFERROR(__xludf.DUMMYFUNCTION("SUM(QUERY(Entregas_BD!D:L,""select H where D='""&amp;D429&amp;""'"",1))"),0.0)</f>
        <v>0</v>
      </c>
      <c r="P429" s="19">
        <f>IFERROR(__xludf.DUMMYFUNCTION("SUM(QUERY(Entregas_BD!D:L,""select I where D='""&amp;D429&amp;""'"",1))"),0.0)</f>
        <v>0</v>
      </c>
      <c r="Q429" s="19">
        <f>IFERROR(__xludf.DUMMYFUNCTION("SUM(QUERY(Entregas_BD!D:L,""select J where D='""&amp;D429&amp;""'"",1))"),0.0)</f>
        <v>0</v>
      </c>
      <c r="R429" s="24">
        <f>IFERROR(__xludf.DUMMYFUNCTION("SUM(QUERY(Entregas_BD!D:L,""select K where D='""&amp;D429&amp;""'"",1))"),0.0)</f>
        <v>0</v>
      </c>
      <c r="S429" s="24">
        <f>IFERROR(__xludf.DUMMYFUNCTION("SUM(QUERY(Entregas_BD!D:L,""select L where D='""&amp;D429&amp;""'"",1))"),0.0)</f>
        <v>0</v>
      </c>
      <c r="T429" s="19">
        <f>IFERROR(__xludf.DUMMYFUNCTION("SUM(QUERY(Entregas_BD!D:AL,""select AG where D='""&amp;D429&amp;""'"",1))"),200.0)</f>
        <v>200</v>
      </c>
      <c r="U429" s="19">
        <f>IFERROR(__xludf.DUMMYFUNCTION("SUM(QUERY(Entregas_BD!D:AL,""select AH where D='""&amp;D429&amp;""'"",1))"),0.0)</f>
        <v>0</v>
      </c>
      <c r="V429" s="19">
        <f>IFERROR(__xludf.DUMMYFUNCTION("SUM(QUERY(Entregas_BD!D:AL,""select AI where D='""&amp;D429&amp;""'"",1))"),0.0)</f>
        <v>0</v>
      </c>
      <c r="W429" s="19">
        <f>IFERROR(__xludf.DUMMYFUNCTION("SUM(QUERY(Entregas_BD!D:AL,""select AJ where D='""&amp;D429&amp;""'"",1))"),0.0)</f>
        <v>0</v>
      </c>
      <c r="X429" s="19">
        <f>IFERROR(__xludf.DUMMYFUNCTION("SUM(QUERY(Entregas_BD!D:AL,""select AL where D='""&amp;D429&amp;""'"",1))"),0.0)</f>
        <v>0</v>
      </c>
      <c r="Y429" s="19">
        <f>IFERROR(__xludf.DUMMYFUNCTION("SUM(QUERY(Entregas_BD!D:AL,""select AK where D='""&amp;D429&amp;""'"",1))"),0.0)</f>
        <v>0</v>
      </c>
      <c r="Z429" s="19">
        <v>-200.0</v>
      </c>
      <c r="AA429" s="19">
        <v>0.0</v>
      </c>
      <c r="AB429" s="19">
        <v>0.0</v>
      </c>
      <c r="AC429" s="19">
        <v>0.0</v>
      </c>
      <c r="AD429" s="19">
        <v>0.0</v>
      </c>
      <c r="AE429" s="19">
        <v>0.0</v>
      </c>
      <c r="AF429" s="25"/>
      <c r="AG429" s="24">
        <f>IFERROR(__xludf.DUMMYFUNCTION("SUM(QUERY(Entregas_BD!D:W,""select U where D='""&amp;D429&amp;""'"",1))"),0.0)</f>
        <v>0</v>
      </c>
      <c r="AH429" s="24">
        <f>IFERROR(__xludf.DUMMYFUNCTION("SUM(QUERY(Entregas_BD!D:W,""select S where D='""&amp;D429&amp;""'"",1))"),0.0)</f>
        <v>0</v>
      </c>
      <c r="AI429" s="24">
        <f>IFERROR(__xludf.DUMMYFUNCTION("SUM(QUERY(Entregas_BD!D:W,""select T where D='""&amp;D429&amp;""'"",1))"),0.0)</f>
        <v>0</v>
      </c>
    </row>
    <row r="430" ht="19.5" customHeight="1">
      <c r="A430" s="88"/>
      <c r="B430" s="89"/>
      <c r="C430" s="109">
        <v>429.0</v>
      </c>
      <c r="D430" s="62" t="s">
        <v>961</v>
      </c>
      <c r="E430" s="107" t="s">
        <v>953</v>
      </c>
      <c r="F430" s="10" t="s">
        <v>957</v>
      </c>
      <c r="G430" s="10" t="s">
        <v>958</v>
      </c>
      <c r="H430" s="45" t="s">
        <v>845</v>
      </c>
      <c r="I430" s="11" t="s">
        <v>41</v>
      </c>
      <c r="J430" s="45"/>
      <c r="K430" s="12"/>
      <c r="L430" s="13"/>
      <c r="M430" s="45"/>
      <c r="N430" s="9">
        <f>IFERROR(__xludf.DUMMYFUNCTION("SUM(QUERY(Entregas_BD!D:L,""select G where D='""&amp;D430&amp;""'"",1))"),0.0)</f>
        <v>0</v>
      </c>
      <c r="O430" s="9">
        <f>IFERROR(__xludf.DUMMYFUNCTION("SUM(QUERY(Entregas_BD!D:L,""select H where D='""&amp;D430&amp;""'"",1))"),0.0)</f>
        <v>0</v>
      </c>
      <c r="P430" s="9">
        <f>IFERROR(__xludf.DUMMYFUNCTION("SUM(QUERY(Entregas_BD!D:L,""select I where D='""&amp;D430&amp;""'"",1))"),0.0)</f>
        <v>0</v>
      </c>
      <c r="Q430" s="9">
        <f>IFERROR(__xludf.DUMMYFUNCTION("SUM(QUERY(Entregas_BD!D:L,""select J where D='""&amp;D430&amp;""'"",1))"),0.0)</f>
        <v>0</v>
      </c>
      <c r="R430" s="15">
        <f>IFERROR(__xludf.DUMMYFUNCTION("SUM(QUERY(Entregas_BD!D:L,""select K where D='""&amp;D430&amp;""'"",1))"),0.0)</f>
        <v>0</v>
      </c>
      <c r="S430" s="15">
        <f>IFERROR(__xludf.DUMMYFUNCTION("SUM(QUERY(Entregas_BD!D:L,""select L where D='""&amp;D430&amp;""'"",1))"),0.0)</f>
        <v>0</v>
      </c>
      <c r="T430" s="9">
        <f>IFERROR(__xludf.DUMMYFUNCTION("SUM(QUERY(Entregas_BD!D:AL,""select AG where D='""&amp;D430&amp;""'"",1))"),500.0)</f>
        <v>500</v>
      </c>
      <c r="U430" s="9">
        <f>IFERROR(__xludf.DUMMYFUNCTION("SUM(QUERY(Entregas_BD!D:AL,""select AH where D='""&amp;D430&amp;""'"",1))"),0.0)</f>
        <v>0</v>
      </c>
      <c r="V430" s="9">
        <f>IFERROR(__xludf.DUMMYFUNCTION("SUM(QUERY(Entregas_BD!D:AL,""select AI where D='""&amp;D430&amp;""'"",1))"),0.0)</f>
        <v>0</v>
      </c>
      <c r="W430" s="9">
        <f>IFERROR(__xludf.DUMMYFUNCTION("SUM(QUERY(Entregas_BD!D:AL,""select AJ where D='""&amp;D430&amp;""'"",1))"),0.0)</f>
        <v>0</v>
      </c>
      <c r="X430" s="9">
        <f>IFERROR(__xludf.DUMMYFUNCTION("SUM(QUERY(Entregas_BD!D:AL,""select AL where D='""&amp;D430&amp;""'"",1))"),0.0)</f>
        <v>0</v>
      </c>
      <c r="Y430" s="9">
        <f>IFERROR(__xludf.DUMMYFUNCTION("SUM(QUERY(Entregas_BD!D:AL,""select AK where D='""&amp;D430&amp;""'"",1))"),0.0)</f>
        <v>0</v>
      </c>
      <c r="Z430" s="9">
        <v>-500.0</v>
      </c>
      <c r="AA430" s="9">
        <v>0.0</v>
      </c>
      <c r="AB430" s="9">
        <v>0.0</v>
      </c>
      <c r="AC430" s="9">
        <v>0.0</v>
      </c>
      <c r="AD430" s="9">
        <v>0.0</v>
      </c>
      <c r="AE430" s="9">
        <v>0.0</v>
      </c>
      <c r="AF430" s="37"/>
      <c r="AG430" s="15">
        <f>IFERROR(__xludf.DUMMYFUNCTION("SUM(QUERY(Entregas_BD!D:W,""select U where D='""&amp;D430&amp;""'"",1))"),0.0)</f>
        <v>0</v>
      </c>
      <c r="AH430" s="15">
        <f>IFERROR(__xludf.DUMMYFUNCTION("SUM(QUERY(Entregas_BD!D:W,""select S where D='""&amp;D430&amp;""'"",1))"),0.0)</f>
        <v>0</v>
      </c>
      <c r="AI430" s="15">
        <f>IFERROR(__xludf.DUMMYFUNCTION("SUM(QUERY(Entregas_BD!D:W,""select T where D='""&amp;D430&amp;""'"",1))"),0.0)</f>
        <v>0</v>
      </c>
    </row>
    <row r="431" ht="19.5" customHeight="1">
      <c r="A431" s="90"/>
      <c r="B431" s="91"/>
      <c r="C431" s="71">
        <v>430.0</v>
      </c>
      <c r="D431" s="108" t="s">
        <v>962</v>
      </c>
      <c r="E431" s="110" t="s">
        <v>963</v>
      </c>
      <c r="F431" s="20" t="s">
        <v>791</v>
      </c>
      <c r="G431" s="20" t="s">
        <v>964</v>
      </c>
      <c r="H431" s="111" t="s">
        <v>622</v>
      </c>
      <c r="I431" s="21" t="s">
        <v>41</v>
      </c>
      <c r="J431" s="44"/>
      <c r="K431" s="34"/>
      <c r="L431" s="42"/>
      <c r="M431" s="44"/>
      <c r="N431" s="19">
        <f>IFERROR(__xludf.DUMMYFUNCTION("SUM(QUERY(Entregas_BD!D:L,""select G where D='""&amp;D431&amp;""'"",1))"),0.0)</f>
        <v>0</v>
      </c>
      <c r="O431" s="19">
        <f>IFERROR(__xludf.DUMMYFUNCTION("SUM(QUERY(Entregas_BD!D:L,""select H where D='""&amp;D431&amp;""'"",1))"),0.0)</f>
        <v>0</v>
      </c>
      <c r="P431" s="19">
        <f>IFERROR(__xludf.DUMMYFUNCTION("SUM(QUERY(Entregas_BD!D:L,""select I where D='""&amp;D431&amp;""'"",1))"),0.0)</f>
        <v>0</v>
      </c>
      <c r="Q431" s="19">
        <f>IFERROR(__xludf.DUMMYFUNCTION("SUM(QUERY(Entregas_BD!D:L,""select J where D='""&amp;D431&amp;""'"",1))"),0.0)</f>
        <v>0</v>
      </c>
      <c r="R431" s="24">
        <f>IFERROR(__xludf.DUMMYFUNCTION("SUM(QUERY(Entregas_BD!D:L,""select K where D='""&amp;D431&amp;""'"",1))"),0.0)</f>
        <v>0</v>
      </c>
      <c r="S431" s="24">
        <f>IFERROR(__xludf.DUMMYFUNCTION("SUM(QUERY(Entregas_BD!D:L,""select L where D='""&amp;D431&amp;""'"",1))"),0.0)</f>
        <v>0</v>
      </c>
      <c r="T431" s="19">
        <f>IFERROR(__xludf.DUMMYFUNCTION("SUM(QUERY(Entregas_BD!D:AL,""select AG where D='""&amp;D431&amp;""'"",1))"),300.0)</f>
        <v>300</v>
      </c>
      <c r="U431" s="19">
        <f>IFERROR(__xludf.DUMMYFUNCTION("SUM(QUERY(Entregas_BD!D:AL,""select AH where D='""&amp;D431&amp;""'"",1))"),0.0)</f>
        <v>0</v>
      </c>
      <c r="V431" s="19">
        <f>IFERROR(__xludf.DUMMYFUNCTION("SUM(QUERY(Entregas_BD!D:AL,""select AI where D='""&amp;D431&amp;""'"",1))"),0.0)</f>
        <v>0</v>
      </c>
      <c r="W431" s="19">
        <f>IFERROR(__xludf.DUMMYFUNCTION("SUM(QUERY(Entregas_BD!D:AL,""select AJ where D='""&amp;D431&amp;""'"",1))"),0.0)</f>
        <v>0</v>
      </c>
      <c r="X431" s="19">
        <f>IFERROR(__xludf.DUMMYFUNCTION("SUM(QUERY(Entregas_BD!D:AL,""select AL where D='""&amp;D431&amp;""'"",1))"),0.0)</f>
        <v>0</v>
      </c>
      <c r="Y431" s="19">
        <f>IFERROR(__xludf.DUMMYFUNCTION("SUM(QUERY(Entregas_BD!D:AL,""select AK where D='""&amp;D431&amp;""'"",1))"),0.0)</f>
        <v>0</v>
      </c>
      <c r="Z431" s="19">
        <v>-300.0</v>
      </c>
      <c r="AA431" s="19">
        <v>0.0</v>
      </c>
      <c r="AB431" s="19">
        <v>0.0</v>
      </c>
      <c r="AC431" s="19">
        <v>0.0</v>
      </c>
      <c r="AD431" s="19">
        <v>0.0</v>
      </c>
      <c r="AE431" s="19">
        <v>0.0</v>
      </c>
      <c r="AF431" s="25"/>
      <c r="AG431" s="24">
        <f>IFERROR(__xludf.DUMMYFUNCTION("SUM(QUERY(Entregas_BD!D:W,""select U where D='""&amp;D431&amp;""'"",1))"),0.0)</f>
        <v>0</v>
      </c>
      <c r="AH431" s="24">
        <f>IFERROR(__xludf.DUMMYFUNCTION("SUM(QUERY(Entregas_BD!D:W,""select S where D='""&amp;D431&amp;""'"",1))"),0.0)</f>
        <v>0</v>
      </c>
      <c r="AI431" s="24">
        <f>IFERROR(__xludf.DUMMYFUNCTION("SUM(QUERY(Entregas_BD!D:W,""select T where D='""&amp;D431&amp;""'"",1))"),0.0)</f>
        <v>0</v>
      </c>
    </row>
    <row r="432" ht="19.5" customHeight="1">
      <c r="A432" s="88"/>
      <c r="B432" s="89"/>
      <c r="C432" s="109">
        <v>431.0</v>
      </c>
      <c r="D432" s="62" t="s">
        <v>965</v>
      </c>
      <c r="E432" s="107" t="s">
        <v>953</v>
      </c>
      <c r="F432" s="10" t="s">
        <v>966</v>
      </c>
      <c r="G432" s="10" t="s">
        <v>966</v>
      </c>
      <c r="H432" s="45" t="s">
        <v>770</v>
      </c>
      <c r="I432" s="11" t="s">
        <v>41</v>
      </c>
      <c r="J432" s="45"/>
      <c r="K432" s="12"/>
      <c r="L432" s="13"/>
      <c r="M432" s="45"/>
      <c r="N432" s="9">
        <f>IFERROR(__xludf.DUMMYFUNCTION("SUM(QUERY(Entregas_BD!D:L,""select G where D='""&amp;D432&amp;""'"",1))"),0.0)</f>
        <v>0</v>
      </c>
      <c r="O432" s="9">
        <f>IFERROR(__xludf.DUMMYFUNCTION("SUM(QUERY(Entregas_BD!D:L,""select H where D='""&amp;D432&amp;""'"",1))"),0.0)</f>
        <v>0</v>
      </c>
      <c r="P432" s="9">
        <f>IFERROR(__xludf.DUMMYFUNCTION("SUM(QUERY(Entregas_BD!D:L,""select I where D='""&amp;D432&amp;""'"",1))"),0.0)</f>
        <v>0</v>
      </c>
      <c r="Q432" s="9">
        <f>IFERROR(__xludf.DUMMYFUNCTION("SUM(QUERY(Entregas_BD!D:L,""select J where D='""&amp;D432&amp;""'"",1))"),0.0)</f>
        <v>0</v>
      </c>
      <c r="R432" s="15">
        <f>IFERROR(__xludf.DUMMYFUNCTION("SUM(QUERY(Entregas_BD!D:L,""select K where D='""&amp;D432&amp;""'"",1))"),0.0)</f>
        <v>0</v>
      </c>
      <c r="S432" s="15">
        <f>IFERROR(__xludf.DUMMYFUNCTION("SUM(QUERY(Entregas_BD!D:L,""select L where D='""&amp;D432&amp;""'"",1))"),0.0)</f>
        <v>0</v>
      </c>
      <c r="T432" s="9">
        <f>IFERROR(__xludf.DUMMYFUNCTION("SUM(QUERY(Entregas_BD!D:AL,""select AG where D='""&amp;D432&amp;""'"",1))"),1190.0)</f>
        <v>1190</v>
      </c>
      <c r="U432" s="9">
        <f>IFERROR(__xludf.DUMMYFUNCTION("SUM(QUERY(Entregas_BD!D:AL,""select AH where D='""&amp;D432&amp;""'"",1))"),0.0)</f>
        <v>0</v>
      </c>
      <c r="V432" s="9">
        <f>IFERROR(__xludf.DUMMYFUNCTION("SUM(QUERY(Entregas_BD!D:AL,""select AI where D='""&amp;D432&amp;""'"",1))"),0.0)</f>
        <v>0</v>
      </c>
      <c r="W432" s="9">
        <f>IFERROR(__xludf.DUMMYFUNCTION("SUM(QUERY(Entregas_BD!D:AL,""select AJ where D='""&amp;D432&amp;""'"",1))"),0.0)</f>
        <v>0</v>
      </c>
      <c r="X432" s="9">
        <f>IFERROR(__xludf.DUMMYFUNCTION("SUM(QUERY(Entregas_BD!D:AL,""select AL where D='""&amp;D432&amp;""'"",1))"),0.0)</f>
        <v>0</v>
      </c>
      <c r="Y432" s="9">
        <f>IFERROR(__xludf.DUMMYFUNCTION("SUM(QUERY(Entregas_BD!D:AL,""select AK where D='""&amp;D432&amp;""'"",1))"),0.0)</f>
        <v>0</v>
      </c>
      <c r="Z432" s="9">
        <v>-1190.0</v>
      </c>
      <c r="AA432" s="9">
        <v>0.0</v>
      </c>
      <c r="AB432" s="9">
        <v>0.0</v>
      </c>
      <c r="AC432" s="9">
        <v>0.0</v>
      </c>
      <c r="AD432" s="9">
        <v>0.0</v>
      </c>
      <c r="AE432" s="9">
        <v>0.0</v>
      </c>
      <c r="AF432" s="37"/>
      <c r="AG432" s="15">
        <f>IFERROR(__xludf.DUMMYFUNCTION("SUM(QUERY(Entregas_BD!D:W,""select U where D='""&amp;D432&amp;""'"",1))"),0.0)</f>
        <v>0</v>
      </c>
      <c r="AH432" s="15">
        <f>IFERROR(__xludf.DUMMYFUNCTION("SUM(QUERY(Entregas_BD!D:W,""select S where D='""&amp;D432&amp;""'"",1))"),0.0)</f>
        <v>0</v>
      </c>
      <c r="AI432" s="15">
        <f>IFERROR(__xludf.DUMMYFUNCTION("SUM(QUERY(Entregas_BD!D:W,""select T where D='""&amp;D432&amp;""'"",1))"),0.0)</f>
        <v>0</v>
      </c>
    </row>
    <row r="433" ht="19.5" customHeight="1">
      <c r="A433" s="90"/>
      <c r="B433" s="91"/>
      <c r="C433" s="71">
        <v>432.0</v>
      </c>
      <c r="D433" s="108"/>
      <c r="E433" s="108"/>
      <c r="F433" s="20"/>
      <c r="G433" s="20"/>
      <c r="H433" s="44"/>
      <c r="I433" s="21"/>
      <c r="J433" s="44"/>
      <c r="K433" s="34"/>
      <c r="L433" s="42"/>
      <c r="M433" s="44"/>
      <c r="N433" s="19">
        <f>IFERROR(__xludf.DUMMYFUNCTION("SUM(QUERY(Entregas_BD!D:L,""select G where D='""&amp;D433&amp;""'"",1))"),0.0)</f>
        <v>0</v>
      </c>
      <c r="O433" s="19">
        <f>IFERROR(__xludf.DUMMYFUNCTION("SUM(QUERY(Entregas_BD!D:L,""select H where D='""&amp;D433&amp;""'"",1))"),0.0)</f>
        <v>0</v>
      </c>
      <c r="P433" s="19">
        <f>IFERROR(__xludf.DUMMYFUNCTION("SUM(QUERY(Entregas_BD!D:L,""select I where D='""&amp;D433&amp;""'"",1))"),0.0)</f>
        <v>0</v>
      </c>
      <c r="Q433" s="19">
        <f>IFERROR(__xludf.DUMMYFUNCTION("SUM(QUERY(Entregas_BD!D:L,""select J where D='""&amp;D433&amp;""'"",1))"),0.0)</f>
        <v>0</v>
      </c>
      <c r="R433" s="24">
        <f>IFERROR(__xludf.DUMMYFUNCTION("SUM(QUERY(Entregas_BD!D:L,""select K where D='""&amp;D433&amp;""'"",1))"),0.0)</f>
        <v>0</v>
      </c>
      <c r="S433" s="24">
        <f>IFERROR(__xludf.DUMMYFUNCTION("SUM(QUERY(Entregas_BD!D:L,""select L where D='""&amp;D433&amp;""'"",1))"),0.0)</f>
        <v>0</v>
      </c>
      <c r="T433" s="19">
        <f>IFERROR(__xludf.DUMMYFUNCTION("SUM(QUERY(Entregas_BD!D:AL,""select AG where D='""&amp;D433&amp;""'"",1))"),0.0)</f>
        <v>0</v>
      </c>
      <c r="U433" s="19">
        <f>IFERROR(__xludf.DUMMYFUNCTION("SUM(QUERY(Entregas_BD!D:AL,""select AH where D='""&amp;D433&amp;""'"",1))"),0.0)</f>
        <v>0</v>
      </c>
      <c r="V433" s="19">
        <f>IFERROR(__xludf.DUMMYFUNCTION("SUM(QUERY(Entregas_BD!D:AL,""select AI where D='""&amp;D433&amp;""'"",1))"),0.0)</f>
        <v>0</v>
      </c>
      <c r="W433" s="19">
        <f>IFERROR(__xludf.DUMMYFUNCTION("SUM(QUERY(Entregas_BD!D:AL,""select AJ where D='""&amp;D433&amp;""'"",1))"),0.0)</f>
        <v>0</v>
      </c>
      <c r="X433" s="19">
        <f>IFERROR(__xludf.DUMMYFUNCTION("SUM(QUERY(Entregas_BD!D:AL,""select AL where D='""&amp;D433&amp;""'"",1))"),0.0)</f>
        <v>0</v>
      </c>
      <c r="Y433" s="19">
        <f>IFERROR(__xludf.DUMMYFUNCTION("SUM(QUERY(Entregas_BD!D:AL,""select AK where D='""&amp;D433&amp;""'"",1))"),0.0)</f>
        <v>0</v>
      </c>
      <c r="Z433" s="19">
        <v>0.0</v>
      </c>
      <c r="AA433" s="19">
        <v>0.0</v>
      </c>
      <c r="AB433" s="19">
        <v>0.0</v>
      </c>
      <c r="AC433" s="19">
        <v>0.0</v>
      </c>
      <c r="AD433" s="19">
        <v>0.0</v>
      </c>
      <c r="AE433" s="19">
        <v>0.0</v>
      </c>
      <c r="AF433" s="44"/>
      <c r="AG433" s="24">
        <f>IFERROR(__xludf.DUMMYFUNCTION("SUM(QUERY(Entregas_BD!D:W,""select U where D='""&amp;D433&amp;""'"",1))"),0.0)</f>
        <v>0</v>
      </c>
      <c r="AH433" s="24">
        <f>IFERROR(__xludf.DUMMYFUNCTION("SUM(QUERY(Entregas_BD!D:W,""select S where D='""&amp;D433&amp;""'"",1))"),0.0)</f>
        <v>0</v>
      </c>
      <c r="AI433" s="24">
        <f>IFERROR(__xludf.DUMMYFUNCTION("SUM(QUERY(Entregas_BD!D:W,""select T where D='""&amp;D433&amp;""'"",1))"),0.0)</f>
        <v>0</v>
      </c>
    </row>
  </sheetData>
  <autoFilter ref="$A$1:$AI$433"/>
  <conditionalFormatting sqref="Z2:AE433">
    <cfRule type="cellIs" dxfId="0" priority="1" operator="lessThan">
      <formula>0</formula>
    </cfRule>
  </conditionalFormatting>
  <conditionalFormatting sqref="Z2:AE433">
    <cfRule type="cellIs" dxfId="1" priority="2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58.86"/>
    <col customWidth="1" min="13" max="13" width="22.57"/>
    <col customWidth="1" min="17" max="17" width="12.43"/>
    <col customWidth="1" min="18" max="18" width="45.71"/>
    <col customWidth="1" min="19" max="19" width="20.57"/>
    <col customWidth="1" min="20" max="20" width="22.57"/>
    <col customWidth="1" min="22" max="22" width="14.14"/>
    <col customWidth="1" min="23" max="23" width="19.43"/>
    <col customWidth="1" min="24" max="24" width="18.14"/>
    <col customWidth="1" min="29" max="31" width="16.71"/>
    <col customWidth="1" min="32" max="32" width="14.43"/>
  </cols>
  <sheetData>
    <row r="1" ht="30.75" customHeight="1">
      <c r="A1" s="112" t="s">
        <v>2</v>
      </c>
      <c r="B1" s="113" t="s">
        <v>3</v>
      </c>
      <c r="C1" s="112" t="s">
        <v>967</v>
      </c>
      <c r="D1" s="112" t="s">
        <v>968</v>
      </c>
      <c r="E1" s="112" t="s">
        <v>969</v>
      </c>
      <c r="F1" s="112" t="s">
        <v>970</v>
      </c>
      <c r="G1" s="112" t="s">
        <v>971</v>
      </c>
      <c r="H1" s="114" t="s">
        <v>972</v>
      </c>
      <c r="I1" s="114" t="s">
        <v>973</v>
      </c>
      <c r="J1" s="114" t="s">
        <v>974</v>
      </c>
      <c r="K1" s="114" t="s">
        <v>975</v>
      </c>
      <c r="L1" s="114" t="s">
        <v>976</v>
      </c>
      <c r="M1" s="115" t="s">
        <v>977</v>
      </c>
      <c r="N1" s="116" t="s">
        <v>978</v>
      </c>
      <c r="O1" s="115" t="s">
        <v>8</v>
      </c>
      <c r="P1" s="112" t="s">
        <v>979</v>
      </c>
      <c r="Q1" s="115" t="s">
        <v>10</v>
      </c>
      <c r="R1" s="115" t="s">
        <v>980</v>
      </c>
      <c r="S1" s="5" t="s">
        <v>981</v>
      </c>
      <c r="T1" s="5" t="s">
        <v>982</v>
      </c>
      <c r="U1" s="114" t="s">
        <v>983</v>
      </c>
      <c r="V1" s="117" t="s">
        <v>984</v>
      </c>
      <c r="W1" s="117" t="s">
        <v>985</v>
      </c>
      <c r="X1" s="112" t="s">
        <v>986</v>
      </c>
      <c r="Y1" s="112" t="s">
        <v>987</v>
      </c>
      <c r="Z1" s="112" t="s">
        <v>988</v>
      </c>
      <c r="AA1" s="112" t="s">
        <v>989</v>
      </c>
      <c r="AB1" s="112" t="s">
        <v>990</v>
      </c>
      <c r="AC1" s="112" t="s">
        <v>991</v>
      </c>
      <c r="AD1" s="112" t="s">
        <v>992</v>
      </c>
      <c r="AE1" s="112" t="s">
        <v>993</v>
      </c>
      <c r="AF1" s="4" t="s">
        <v>994</v>
      </c>
      <c r="AG1" s="4" t="s">
        <v>995</v>
      </c>
      <c r="AH1" s="118" t="s">
        <v>996</v>
      </c>
      <c r="AI1" s="118" t="s">
        <v>997</v>
      </c>
      <c r="AJ1" s="118" t="s">
        <v>998</v>
      </c>
      <c r="AK1" s="114" t="s">
        <v>999</v>
      </c>
      <c r="AL1" s="114" t="s">
        <v>1000</v>
      </c>
      <c r="AM1" s="112" t="s">
        <v>1001</v>
      </c>
    </row>
    <row r="2" ht="21.0" customHeight="1">
      <c r="A2" s="119"/>
      <c r="B2" s="120"/>
      <c r="C2" s="69" t="str">
        <f t="array" ref="C2:C233">ROW(A2:A330)-1</f>
        <v>#REF!</v>
      </c>
      <c r="D2" s="40" t="s">
        <v>53</v>
      </c>
      <c r="E2" s="121"/>
      <c r="F2" s="121"/>
      <c r="G2" s="122"/>
      <c r="H2" s="37"/>
      <c r="I2" s="37"/>
      <c r="J2" s="37"/>
      <c r="K2" s="37"/>
      <c r="L2" s="37"/>
      <c r="M2" s="123" t="str">
        <f>IFERROR(__xludf.DUMMYFUNCTION("QUERY(Hospitais_BD!D:I,""select E where D='""&amp;D2&amp;""'"",0)"),"ZONA SUL")</f>
        <v>ZONA SUL</v>
      </c>
      <c r="N2" s="124" t="str">
        <f>IFERROR(__xludf.DUMMYFUNCTION("QUERY(Hospitais_BD!D:I,""select F where D='""&amp;D2&amp;""'"")"),"Rio de Janeiro")</f>
        <v>Rio de Janeiro</v>
      </c>
      <c r="O2" s="125" t="str">
        <f>IFERROR(__xludf.DUMMYFUNCTION("QUERY(Hospitais_BD!D:I,""select G where D='""&amp;D2&amp;""'"")"),"Humaita")</f>
        <v>Humaita</v>
      </c>
      <c r="P2" s="121"/>
      <c r="Q2" s="125" t="str">
        <f>IFERROR(__xludf.DUMMYFUNCTION("QUERY(Hospitais_BD!D:I,""select I where D='""&amp;D2&amp;""'"")"),"Privado")</f>
        <v>Privado</v>
      </c>
      <c r="R2" s="125" t="str">
        <f>IFERROR(__xludf.DUMMYFUNCTION("QUERY(Hospitais_BD!D:I,""select H where D='""&amp;D2&amp;""'"")"),"Unidade básica - BAIXA COMPLEXIDADE")</f>
        <v>Unidade básica - BAIXA COMPLEXIDADE</v>
      </c>
      <c r="S2" s="126"/>
      <c r="T2" s="126"/>
      <c r="U2" s="127"/>
      <c r="V2" s="121"/>
      <c r="W2" s="121"/>
      <c r="X2" s="121"/>
      <c r="Y2" s="40"/>
      <c r="Z2" s="40"/>
      <c r="AA2" s="128"/>
      <c r="AB2" s="121"/>
      <c r="AC2" s="121"/>
      <c r="AD2" s="121"/>
      <c r="AE2" s="121"/>
      <c r="AF2" s="129" t="s">
        <v>1002</v>
      </c>
      <c r="AG2" s="130">
        <v>20.0</v>
      </c>
      <c r="AH2" s="129">
        <v>0.0</v>
      </c>
      <c r="AI2" s="129">
        <v>0.0</v>
      </c>
      <c r="AJ2" s="129">
        <v>0.0</v>
      </c>
      <c r="AK2" s="129">
        <v>0.0</v>
      </c>
      <c r="AL2" s="129"/>
      <c r="AM2" s="131" t="s">
        <v>1003</v>
      </c>
    </row>
    <row r="3" ht="21.0" customHeight="1">
      <c r="A3" s="132"/>
      <c r="B3" s="133"/>
      <c r="C3" s="50"/>
      <c r="D3" s="46" t="s">
        <v>67</v>
      </c>
      <c r="E3" s="134"/>
      <c r="F3" s="134"/>
      <c r="G3" s="135"/>
      <c r="H3" s="25"/>
      <c r="I3" s="25"/>
      <c r="J3" s="25"/>
      <c r="K3" s="25"/>
      <c r="L3" s="25"/>
      <c r="M3" s="136" t="str">
        <f>IFERROR(__xludf.DUMMYFUNCTION("QUERY(Hospitais_BD!D:I,""select E where D='""&amp;D3&amp;""'"",0)"),"ZONA SUL")</f>
        <v>ZONA SUL</v>
      </c>
      <c r="N3" s="94" t="str">
        <f>IFERROR(__xludf.DUMMYFUNCTION("QUERY(Hospitais_BD!D:I,""select F where D='""&amp;D3&amp;""'"")"),"Rio de Janeiro")</f>
        <v>Rio de Janeiro</v>
      </c>
      <c r="O3" s="137" t="str">
        <f>IFERROR(__xludf.DUMMYFUNCTION("QUERY(Hospitais_BD!D:I,""select G where D='""&amp;D3&amp;""'"")"),"Leblon")</f>
        <v>Leblon</v>
      </c>
      <c r="P3" s="134"/>
      <c r="Q3" s="137" t="str">
        <f>IFERROR(__xludf.DUMMYFUNCTION("QUERY(Hospitais_BD!D:I,""select I where D='""&amp;D3&amp;""'"")"),"Público")</f>
        <v>Público</v>
      </c>
      <c r="R3" s="137" t="str">
        <f>IFERROR(__xludf.DUMMYFUNCTION("QUERY(Hospitais_BD!D:I,""select H where D='""&amp;D3&amp;""'"")"),"Grande emergência - MÉDIA COMPLEXIDADE")</f>
        <v>Grande emergência - MÉDIA COMPLEXIDADE</v>
      </c>
      <c r="S3" s="138"/>
      <c r="T3" s="138"/>
      <c r="U3" s="139"/>
      <c r="V3" s="134"/>
      <c r="W3" s="134"/>
      <c r="X3" s="140"/>
      <c r="Y3" s="33"/>
      <c r="Z3" s="33"/>
      <c r="AA3" s="141"/>
      <c r="AB3" s="134"/>
      <c r="AC3" s="134"/>
      <c r="AD3" s="134"/>
      <c r="AE3" s="134"/>
      <c r="AF3" s="142" t="s">
        <v>1002</v>
      </c>
      <c r="AG3" s="143">
        <v>50.0</v>
      </c>
      <c r="AH3" s="144">
        <v>0.0</v>
      </c>
      <c r="AI3" s="144">
        <v>0.0</v>
      </c>
      <c r="AJ3" s="144">
        <v>0.0</v>
      </c>
      <c r="AK3" s="144">
        <v>0.0</v>
      </c>
      <c r="AL3" s="144"/>
      <c r="AM3" s="145" t="s">
        <v>1003</v>
      </c>
    </row>
    <row r="4" ht="21.0" customHeight="1">
      <c r="A4" s="119"/>
      <c r="B4" s="120"/>
      <c r="C4" s="69"/>
      <c r="D4" s="43" t="s">
        <v>884</v>
      </c>
      <c r="E4" s="121"/>
      <c r="F4" s="121"/>
      <c r="G4" s="129"/>
      <c r="H4" s="37"/>
      <c r="I4" s="37"/>
      <c r="J4" s="37"/>
      <c r="K4" s="37"/>
      <c r="L4" s="37"/>
      <c r="M4" s="123" t="str">
        <f>IFERROR(__xludf.DUMMYFUNCTION("QUERY(Hospitais_BD!D:I,""select E where D='""&amp;D4&amp;""'"",0)"),"CENTRO")</f>
        <v>CENTRO</v>
      </c>
      <c r="N4" s="124" t="str">
        <f>IFERROR(__xludf.DUMMYFUNCTION("QUERY(Hospitais_BD!D:I,""select F where D='""&amp;D4&amp;""'"")"),"Rio de Janeiro")</f>
        <v>Rio de Janeiro</v>
      </c>
      <c r="O4" s="125" t="str">
        <f>IFERROR(__xludf.DUMMYFUNCTION("QUERY(Hospitais_BD!D:I,""select G where D='""&amp;D4&amp;""'"")"),"Centro")</f>
        <v>Centro</v>
      </c>
      <c r="P4" s="121"/>
      <c r="Q4" s="125" t="str">
        <f>IFERROR(__xludf.DUMMYFUNCTION("QUERY(Hospitais_BD!D:I,""select I where D='""&amp;D4&amp;""'"")"),"Público")</f>
        <v>Público</v>
      </c>
      <c r="R4" s="125" t="str">
        <f>IFERROR(__xludf.DUMMYFUNCTION("QUERY(Hospitais_BD!D:I,""select H where D='""&amp;D4&amp;""'"")"),"Unidade básica de saúde - BAIXA COMPLEXIDADE")</f>
        <v>Unidade básica de saúde - BAIXA COMPLEXIDADE</v>
      </c>
      <c r="S4" s="126"/>
      <c r="T4" s="126"/>
      <c r="U4" s="127"/>
      <c r="V4" s="121"/>
      <c r="W4" s="121"/>
      <c r="X4" s="146"/>
      <c r="Y4" s="40"/>
      <c r="Z4" s="40"/>
      <c r="AA4" s="147"/>
      <c r="AB4" s="121"/>
      <c r="AC4" s="121"/>
      <c r="AD4" s="121"/>
      <c r="AE4" s="121"/>
      <c r="AF4" s="130" t="s">
        <v>1002</v>
      </c>
      <c r="AG4" s="148">
        <v>100.0</v>
      </c>
      <c r="AH4" s="129">
        <v>0.0</v>
      </c>
      <c r="AI4" s="129">
        <v>0.0</v>
      </c>
      <c r="AJ4" s="129">
        <v>0.0</v>
      </c>
      <c r="AK4" s="129">
        <v>0.0</v>
      </c>
      <c r="AL4" s="129"/>
      <c r="AM4" s="131" t="s">
        <v>1003</v>
      </c>
    </row>
    <row r="5" ht="21.0" customHeight="1">
      <c r="A5" s="132"/>
      <c r="B5" s="133"/>
      <c r="C5" s="50"/>
      <c r="D5" s="33" t="s">
        <v>108</v>
      </c>
      <c r="E5" s="134"/>
      <c r="F5" s="134"/>
      <c r="G5" s="83"/>
      <c r="H5" s="25"/>
      <c r="I5" s="25"/>
      <c r="J5" s="25"/>
      <c r="K5" s="25"/>
      <c r="L5" s="25"/>
      <c r="M5" s="136" t="str">
        <f>IFERROR(__xludf.DUMMYFUNCTION("QUERY(Hospitais_BD!D:I,""select E where D='""&amp;D5&amp;""'"",0)"),"ZONA SUL")</f>
        <v>ZONA SUL</v>
      </c>
      <c r="N5" s="94" t="str">
        <f>IFERROR(__xludf.DUMMYFUNCTION("QUERY(Hospitais_BD!D:I,""select F where D='""&amp;D5&amp;""'"")"),"Rio de Janeiro")</f>
        <v>Rio de Janeiro</v>
      </c>
      <c r="O5" s="137" t="str">
        <f>IFERROR(__xludf.DUMMYFUNCTION("QUERY(Hospitais_BD!D:I,""select G where D='""&amp;D5&amp;""'"")"),"Rocinha")</f>
        <v>Rocinha</v>
      </c>
      <c r="P5" s="134"/>
      <c r="Q5" s="137" t="str">
        <f>IFERROR(__xludf.DUMMYFUNCTION("QUERY(Hospitais_BD!D:I,""select I where D='""&amp;D5&amp;""'"")"),"Público")</f>
        <v>Público</v>
      </c>
      <c r="R5" s="137" t="str">
        <f>IFERROR(__xludf.DUMMYFUNCTION("QUERY(Hospitais_BD!D:I,""select H where D='""&amp;D5&amp;""'"")"),"Unidade básica - BAIXA COMPLEXIDADE")</f>
        <v>Unidade básica - BAIXA COMPLEXIDADE</v>
      </c>
      <c r="S5" s="138"/>
      <c r="T5" s="138"/>
      <c r="U5" s="139"/>
      <c r="V5" s="134"/>
      <c r="W5" s="134"/>
      <c r="X5" s="134"/>
      <c r="Y5" s="134"/>
      <c r="Z5" s="134"/>
      <c r="AA5" s="149"/>
      <c r="AB5" s="134"/>
      <c r="AC5" s="134"/>
      <c r="AD5" s="134"/>
      <c r="AE5" s="134"/>
      <c r="AF5" s="142" t="s">
        <v>1002</v>
      </c>
      <c r="AG5" s="143">
        <v>20.0</v>
      </c>
      <c r="AH5" s="144">
        <v>0.0</v>
      </c>
      <c r="AI5" s="144">
        <v>0.0</v>
      </c>
      <c r="AJ5" s="144">
        <v>0.0</v>
      </c>
      <c r="AK5" s="144">
        <v>0.0</v>
      </c>
      <c r="AL5" s="144"/>
      <c r="AM5" s="145" t="s">
        <v>1003</v>
      </c>
    </row>
    <row r="6" ht="21.0" customHeight="1">
      <c r="A6" s="119"/>
      <c r="B6" s="120"/>
      <c r="C6" s="69"/>
      <c r="D6" s="40" t="s">
        <v>111</v>
      </c>
      <c r="E6" s="121"/>
      <c r="F6" s="121"/>
      <c r="G6" s="29"/>
      <c r="H6" s="37"/>
      <c r="I6" s="37"/>
      <c r="J6" s="37"/>
      <c r="K6" s="37"/>
      <c r="L6" s="37"/>
      <c r="M6" s="123" t="str">
        <f>IFERROR(__xludf.DUMMYFUNCTION("QUERY(Hospitais_BD!D:I,""select E where D='""&amp;D6&amp;""'"",0)"),"ZONA NORTE")</f>
        <v>ZONA NORTE</v>
      </c>
      <c r="N6" s="124" t="str">
        <f>IFERROR(__xludf.DUMMYFUNCTION("QUERY(Hospitais_BD!D:I,""select F where D='""&amp;D6&amp;""'"")"),"Rio de Janeiro")</f>
        <v>Rio de Janeiro</v>
      </c>
      <c r="O6" s="125" t="str">
        <f>IFERROR(__xludf.DUMMYFUNCTION("QUERY(Hospitais_BD!D:I,""select G where D='""&amp;D6&amp;""'"")"),"Iraja")</f>
        <v>Iraja</v>
      </c>
      <c r="P6" s="121"/>
      <c r="Q6" s="125" t="str">
        <f>IFERROR(__xludf.DUMMYFUNCTION("QUERY(Hospitais_BD!D:I,""select I where D='""&amp;D6&amp;""'"")"),"Público")</f>
        <v>Público</v>
      </c>
      <c r="R6" s="125" t="str">
        <f>IFERROR(__xludf.DUMMYFUNCTION("QUERY(Hospitais_BD!D:I,""select H where D='""&amp;D6&amp;""'"")"),"Unidade básica - BAIXA COMPLEXIDADE")</f>
        <v>Unidade básica - BAIXA COMPLEXIDADE</v>
      </c>
      <c r="S6" s="126"/>
      <c r="T6" s="126"/>
      <c r="U6" s="127"/>
      <c r="V6" s="121"/>
      <c r="W6" s="121"/>
      <c r="X6" s="121"/>
      <c r="Y6" s="121"/>
      <c r="Z6" s="121"/>
      <c r="AA6" s="150"/>
      <c r="AB6" s="121"/>
      <c r="AC6" s="121"/>
      <c r="AD6" s="121"/>
      <c r="AE6" s="121"/>
      <c r="AF6" s="130" t="s">
        <v>1002</v>
      </c>
      <c r="AG6" s="148">
        <v>20.0</v>
      </c>
      <c r="AH6" s="129">
        <v>0.0</v>
      </c>
      <c r="AI6" s="129">
        <v>0.0</v>
      </c>
      <c r="AJ6" s="129">
        <v>0.0</v>
      </c>
      <c r="AK6" s="129">
        <v>0.0</v>
      </c>
      <c r="AL6" s="129"/>
      <c r="AM6" s="131" t="s">
        <v>1003</v>
      </c>
    </row>
    <row r="7" ht="21.0" customHeight="1">
      <c r="A7" s="132"/>
      <c r="B7" s="133"/>
      <c r="C7" s="50"/>
      <c r="D7" s="46" t="s">
        <v>117</v>
      </c>
      <c r="E7" s="134"/>
      <c r="F7" s="134"/>
      <c r="G7" s="135"/>
      <c r="H7" s="25"/>
      <c r="I7" s="25"/>
      <c r="J7" s="25"/>
      <c r="K7" s="25"/>
      <c r="L7" s="25"/>
      <c r="M7" s="136" t="str">
        <f>IFERROR(__xludf.DUMMYFUNCTION("QUERY(Hospitais_BD!D:I,""select E where D='""&amp;D7&amp;""'"",0)"),"ZONA OESTE")</f>
        <v>ZONA OESTE</v>
      </c>
      <c r="N7" s="94" t="str">
        <f>IFERROR(__xludf.DUMMYFUNCTION("QUERY(Hospitais_BD!D:I,""select F where D='""&amp;D7&amp;""'"")"),"Rio de Janeiro")</f>
        <v>Rio de Janeiro</v>
      </c>
      <c r="O7" s="137" t="str">
        <f>IFERROR(__xludf.DUMMYFUNCTION("QUERY(Hospitais_BD!D:I,""select G where D='""&amp;D7&amp;""'"")"),"Vargem grande")</f>
        <v>Vargem grande</v>
      </c>
      <c r="P7" s="134"/>
      <c r="Q7" s="137" t="str">
        <f>IFERROR(__xludf.DUMMYFUNCTION("QUERY(Hospitais_BD!D:I,""select I where D='""&amp;D7&amp;""'"")"),"Público")</f>
        <v>Público</v>
      </c>
      <c r="R7" s="137" t="str">
        <f>IFERROR(__xludf.DUMMYFUNCTION("QUERY(Hospitais_BD!D:I,""select H where D='""&amp;D7&amp;""'"")"),"Unidade básica - BAIXA COMPLEXIDADE")</f>
        <v>Unidade básica - BAIXA COMPLEXIDADE</v>
      </c>
      <c r="S7" s="138"/>
      <c r="T7" s="138"/>
      <c r="U7" s="139"/>
      <c r="V7" s="134"/>
      <c r="W7" s="134"/>
      <c r="X7" s="134"/>
      <c r="Y7" s="134"/>
      <c r="Z7" s="134"/>
      <c r="AA7" s="151"/>
      <c r="AB7" s="134"/>
      <c r="AC7" s="134"/>
      <c r="AD7" s="134"/>
      <c r="AE7" s="134"/>
      <c r="AF7" s="142" t="s">
        <v>1002</v>
      </c>
      <c r="AG7" s="143">
        <v>20.0</v>
      </c>
      <c r="AH7" s="144">
        <v>0.0</v>
      </c>
      <c r="AI7" s="144">
        <v>0.0</v>
      </c>
      <c r="AJ7" s="144">
        <v>0.0</v>
      </c>
      <c r="AK7" s="144">
        <v>0.0</v>
      </c>
      <c r="AL7" s="144"/>
      <c r="AM7" s="145" t="s">
        <v>1003</v>
      </c>
    </row>
    <row r="8" ht="21.0" customHeight="1">
      <c r="A8" s="119"/>
      <c r="B8" s="120"/>
      <c r="C8" s="69"/>
      <c r="D8" s="152" t="s">
        <v>123</v>
      </c>
      <c r="E8" s="121"/>
      <c r="F8" s="121"/>
      <c r="G8" s="122"/>
      <c r="H8" s="37"/>
      <c r="I8" s="37"/>
      <c r="J8" s="37"/>
      <c r="K8" s="37"/>
      <c r="L8" s="37"/>
      <c r="M8" s="123" t="str">
        <f>IFERROR(__xludf.DUMMYFUNCTION("QUERY(Hospitais_BD!D:I,""select E where D='""&amp;D8&amp;""'"",0)"),"ZONA NORTE")</f>
        <v>ZONA NORTE</v>
      </c>
      <c r="N8" s="124" t="str">
        <f>IFERROR(__xludf.DUMMYFUNCTION("QUERY(Hospitais_BD!D:I,""select F where D='""&amp;D8&amp;""'"")"),"Rio de Janeiro")</f>
        <v>Rio de Janeiro</v>
      </c>
      <c r="O8" s="125" t="str">
        <f>IFERROR(__xludf.DUMMYFUNCTION("QUERY(Hospitais_BD!D:I,""select G where D='""&amp;D8&amp;""'"")"),"Cordovil")</f>
        <v>Cordovil</v>
      </c>
      <c r="P8" s="121"/>
      <c r="Q8" s="125" t="str">
        <f>IFERROR(__xludf.DUMMYFUNCTION("QUERY(Hospitais_BD!D:I,""select I where D='""&amp;D8&amp;""'"")"),"Público")</f>
        <v>Público</v>
      </c>
      <c r="R8" s="125" t="str">
        <f>IFERROR(__xludf.DUMMYFUNCTION("QUERY(Hospitais_BD!D:I,""select H where D='""&amp;D8&amp;""'"")"),"Unidade básica - BAIXA COMPLEXIDADE")</f>
        <v>Unidade básica - BAIXA COMPLEXIDADE</v>
      </c>
      <c r="S8" s="126"/>
      <c r="T8" s="126"/>
      <c r="U8" s="127"/>
      <c r="V8" s="121"/>
      <c r="W8" s="121"/>
      <c r="X8" s="121"/>
      <c r="Y8" s="40"/>
      <c r="Z8" s="40"/>
      <c r="AA8" s="128"/>
      <c r="AB8" s="121"/>
      <c r="AC8" s="121"/>
      <c r="AD8" s="121"/>
      <c r="AE8" s="121"/>
      <c r="AF8" s="129" t="s">
        <v>1002</v>
      </c>
      <c r="AG8" s="130">
        <v>20.0</v>
      </c>
      <c r="AH8" s="129">
        <v>0.0</v>
      </c>
      <c r="AI8" s="129">
        <v>0.0</v>
      </c>
      <c r="AJ8" s="129">
        <v>0.0</v>
      </c>
      <c r="AK8" s="129">
        <v>0.0</v>
      </c>
      <c r="AL8" s="129"/>
      <c r="AM8" s="131" t="s">
        <v>1003</v>
      </c>
    </row>
    <row r="9" ht="21.0" customHeight="1">
      <c r="A9" s="132"/>
      <c r="B9" s="133"/>
      <c r="C9" s="50"/>
      <c r="D9" s="33" t="s">
        <v>126</v>
      </c>
      <c r="E9" s="134"/>
      <c r="F9" s="134"/>
      <c r="G9" s="135"/>
      <c r="H9" s="25"/>
      <c r="I9" s="25"/>
      <c r="J9" s="25"/>
      <c r="K9" s="25"/>
      <c r="L9" s="25"/>
      <c r="M9" s="136" t="str">
        <f>IFERROR(__xludf.DUMMYFUNCTION("QUERY(Hospitais_BD!D:I,""select E where D='""&amp;D9&amp;""'"",0)"),"ZONA SUL")</f>
        <v>ZONA SUL</v>
      </c>
      <c r="N9" s="94" t="str">
        <f>IFERROR(__xludf.DUMMYFUNCTION("QUERY(Hospitais_BD!D:I,""select F where D='""&amp;D9&amp;""'"")"),"Rio de Janeiro")</f>
        <v>Rio de Janeiro</v>
      </c>
      <c r="O9" s="137" t="str">
        <f>IFERROR(__xludf.DUMMYFUNCTION("QUERY(Hospitais_BD!D:I,""select G where D='""&amp;D9&amp;""'"")"),"Catete")</f>
        <v>Catete</v>
      </c>
      <c r="P9" s="134"/>
      <c r="Q9" s="137" t="str">
        <f>IFERROR(__xludf.DUMMYFUNCTION("QUERY(Hospitais_BD!D:I,""select I where D='""&amp;D9&amp;""'"")"),"Público")</f>
        <v>Público</v>
      </c>
      <c r="R9" s="137" t="str">
        <f>IFERROR(__xludf.DUMMYFUNCTION("QUERY(Hospitais_BD!D:I,""select H where D='""&amp;D9&amp;""'"")"),"Unidade básica - BAIXA COMPLEXIDADE")</f>
        <v>Unidade básica - BAIXA COMPLEXIDADE</v>
      </c>
      <c r="S9" s="138"/>
      <c r="T9" s="138"/>
      <c r="U9" s="139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42" t="s">
        <v>1002</v>
      </c>
      <c r="AG9" s="143">
        <v>20.0</v>
      </c>
      <c r="AH9" s="144">
        <v>0.0</v>
      </c>
      <c r="AI9" s="144">
        <v>0.0</v>
      </c>
      <c r="AJ9" s="144">
        <v>0.0</v>
      </c>
      <c r="AK9" s="144">
        <v>0.0</v>
      </c>
      <c r="AL9" s="144"/>
      <c r="AM9" s="145" t="s">
        <v>1003</v>
      </c>
    </row>
    <row r="10" ht="21.0" customHeight="1">
      <c r="A10" s="119"/>
      <c r="B10" s="120"/>
      <c r="C10" s="69"/>
      <c r="D10" s="40" t="s">
        <v>129</v>
      </c>
      <c r="E10" s="121"/>
      <c r="F10" s="121"/>
      <c r="G10" s="122"/>
      <c r="H10" s="37"/>
      <c r="I10" s="37"/>
      <c r="J10" s="37"/>
      <c r="K10" s="37"/>
      <c r="L10" s="37"/>
      <c r="M10" s="123" t="str">
        <f>IFERROR(__xludf.DUMMYFUNCTION("QUERY(Hospitais_BD!D:I,""select E where D='""&amp;D10&amp;""'"",0)"),"ZONA OESTE")</f>
        <v>ZONA OESTE</v>
      </c>
      <c r="N10" s="124" t="str">
        <f>IFERROR(__xludf.DUMMYFUNCTION("QUERY(Hospitais_BD!D:I,""select F where D='""&amp;D10&amp;""'"")"),"Rio de Janeiro")</f>
        <v>Rio de Janeiro</v>
      </c>
      <c r="O10" s="125" t="str">
        <f>IFERROR(__xludf.DUMMYFUNCTION("QUERY(Hospitais_BD!D:I,""select G where D='""&amp;D10&amp;""'"")"),"Padre Miguel")</f>
        <v>Padre Miguel</v>
      </c>
      <c r="P10" s="121"/>
      <c r="Q10" s="125" t="str">
        <f>IFERROR(__xludf.DUMMYFUNCTION("QUERY(Hospitais_BD!D:I,""select I where D='""&amp;D10&amp;""'"")"),"Público")</f>
        <v>Público</v>
      </c>
      <c r="R10" s="125" t="str">
        <f>IFERROR(__xludf.DUMMYFUNCTION("QUERY(Hospitais_BD!D:I,""select H where D='""&amp;D10&amp;""'"")"),"Unidade básica - BAIXA COMPLEXIDADE")</f>
        <v>Unidade básica - BAIXA COMPLEXIDADE</v>
      </c>
      <c r="S10" s="126"/>
      <c r="T10" s="126"/>
      <c r="U10" s="127"/>
      <c r="V10" s="121"/>
      <c r="W10" s="121"/>
      <c r="X10" s="121"/>
      <c r="Y10" s="121"/>
      <c r="Z10" s="121"/>
      <c r="AA10" s="150"/>
      <c r="AB10" s="121"/>
      <c r="AC10" s="121"/>
      <c r="AD10" s="121"/>
      <c r="AE10" s="121"/>
      <c r="AF10" s="130" t="s">
        <v>1002</v>
      </c>
      <c r="AG10" s="148">
        <v>20.0</v>
      </c>
      <c r="AH10" s="129">
        <v>0.0</v>
      </c>
      <c r="AI10" s="129">
        <v>0.0</v>
      </c>
      <c r="AJ10" s="129">
        <v>0.0</v>
      </c>
      <c r="AK10" s="129">
        <v>0.0</v>
      </c>
      <c r="AL10" s="129"/>
      <c r="AM10" s="131" t="s">
        <v>1003</v>
      </c>
    </row>
    <row r="11" ht="21.0" customHeight="1">
      <c r="A11" s="132"/>
      <c r="B11" s="133"/>
      <c r="C11" s="50"/>
      <c r="D11" s="134" t="s">
        <v>132</v>
      </c>
      <c r="E11" s="134"/>
      <c r="F11" s="134"/>
      <c r="G11" s="135"/>
      <c r="H11" s="25"/>
      <c r="I11" s="25"/>
      <c r="J11" s="25"/>
      <c r="K11" s="25"/>
      <c r="L11" s="25"/>
      <c r="M11" s="136" t="str">
        <f>IFERROR(__xludf.DUMMYFUNCTION("QUERY(Hospitais_BD!D:I,""select E where D='""&amp;D11&amp;""'"",0)"),"ZONA SUL")</f>
        <v>ZONA SUL</v>
      </c>
      <c r="N11" s="94" t="str">
        <f>IFERROR(__xludf.DUMMYFUNCTION("QUERY(Hospitais_BD!D:I,""select F where D='""&amp;D11&amp;""'"")"),"Rio de Janeiro")</f>
        <v>Rio de Janeiro</v>
      </c>
      <c r="O11" s="137" t="str">
        <f>IFERROR(__xludf.DUMMYFUNCTION("QUERY(Hospitais_BD!D:I,""select G where D='""&amp;D11&amp;""'"")"),"GAVEA")</f>
        <v>GAVEA</v>
      </c>
      <c r="P11" s="134"/>
      <c r="Q11" s="137" t="str">
        <f>IFERROR(__xludf.DUMMYFUNCTION("QUERY(Hospitais_BD!D:I,""select I where D='""&amp;D11&amp;""'"")"),"Público")</f>
        <v>Público</v>
      </c>
      <c r="R11" s="137" t="str">
        <f>IFERROR(__xludf.DUMMYFUNCTION("QUERY(Hospitais_BD!D:I,""select H where D='""&amp;D11&amp;""'"")"),"Unidade básica - BAIXA COMPLEXIDADE")</f>
        <v>Unidade básica - BAIXA COMPLEXIDADE</v>
      </c>
      <c r="S11" s="138"/>
      <c r="T11" s="138"/>
      <c r="U11" s="139"/>
      <c r="V11" s="134"/>
      <c r="W11" s="134"/>
      <c r="X11" s="134"/>
      <c r="Y11" s="134"/>
      <c r="Z11" s="134"/>
      <c r="AA11" s="153"/>
      <c r="AB11" s="134"/>
      <c r="AC11" s="134"/>
      <c r="AD11" s="134"/>
      <c r="AE11" s="134"/>
      <c r="AF11" s="144" t="s">
        <v>1002</v>
      </c>
      <c r="AG11" s="154">
        <v>20.0</v>
      </c>
      <c r="AH11" s="144">
        <v>0.0</v>
      </c>
      <c r="AI11" s="144">
        <v>0.0</v>
      </c>
      <c r="AJ11" s="144">
        <v>0.0</v>
      </c>
      <c r="AK11" s="144">
        <v>0.0</v>
      </c>
      <c r="AL11" s="144"/>
      <c r="AM11" s="145" t="s">
        <v>1003</v>
      </c>
    </row>
    <row r="12" ht="21.0" customHeight="1">
      <c r="A12" s="119"/>
      <c r="B12" s="120"/>
      <c r="C12" s="69"/>
      <c r="D12" s="40" t="s">
        <v>135</v>
      </c>
      <c r="E12" s="121"/>
      <c r="F12" s="121"/>
      <c r="G12" s="29"/>
      <c r="H12" s="37"/>
      <c r="I12" s="37"/>
      <c r="J12" s="37"/>
      <c r="K12" s="37"/>
      <c r="L12" s="37"/>
      <c r="M12" s="123" t="str">
        <f>IFERROR(__xludf.DUMMYFUNCTION("QUERY(Hospitais_BD!D:I,""select E where D='""&amp;D12&amp;""'"",0)"),"ZONA NORTE")</f>
        <v>ZONA NORTE</v>
      </c>
      <c r="N12" s="124" t="str">
        <f>IFERROR(__xludf.DUMMYFUNCTION("QUERY(Hospitais_BD!D:I,""select F where D='""&amp;D12&amp;""'"")"),"Rio de Janeiro")</f>
        <v>Rio de Janeiro</v>
      </c>
      <c r="O12" s="125" t="str">
        <f>IFERROR(__xludf.DUMMYFUNCTION("QUERY(Hospitais_BD!D:I,""select G where D='""&amp;D12&amp;""'"")"),"Rio Comprido")</f>
        <v>Rio Comprido</v>
      </c>
      <c r="P12" s="121"/>
      <c r="Q12" s="125" t="str">
        <f>IFERROR(__xludf.DUMMYFUNCTION("QUERY(Hospitais_BD!D:I,""select I where D='""&amp;D12&amp;""'"")"),"Público")</f>
        <v>Público</v>
      </c>
      <c r="R12" s="125" t="str">
        <f>IFERROR(__xludf.DUMMYFUNCTION("QUERY(Hospitais_BD!D:I,""select H where D='""&amp;D12&amp;""'"")"),"Unidade básica - BAIXA COMPLEXIDADE")</f>
        <v>Unidade básica - BAIXA COMPLEXIDADE</v>
      </c>
      <c r="S12" s="126"/>
      <c r="T12" s="126"/>
      <c r="U12" s="127"/>
      <c r="V12" s="121"/>
      <c r="W12" s="121"/>
      <c r="X12" s="121"/>
      <c r="Y12" s="121"/>
      <c r="Z12" s="121"/>
      <c r="AA12" s="150"/>
      <c r="AB12" s="121"/>
      <c r="AC12" s="121"/>
      <c r="AD12" s="121"/>
      <c r="AE12" s="121"/>
      <c r="AF12" s="130" t="s">
        <v>1002</v>
      </c>
      <c r="AG12" s="148">
        <v>20.0</v>
      </c>
      <c r="AH12" s="129">
        <v>0.0</v>
      </c>
      <c r="AI12" s="129">
        <v>0.0</v>
      </c>
      <c r="AJ12" s="129">
        <v>0.0</v>
      </c>
      <c r="AK12" s="129">
        <v>0.0</v>
      </c>
      <c r="AL12" s="129"/>
      <c r="AM12" s="131" t="s">
        <v>1003</v>
      </c>
    </row>
    <row r="13" ht="21.0" customHeight="1">
      <c r="A13" s="132"/>
      <c r="B13" s="133"/>
      <c r="C13" s="50"/>
      <c r="D13" s="134" t="s">
        <v>146</v>
      </c>
      <c r="E13" s="134"/>
      <c r="F13" s="134"/>
      <c r="G13" s="135"/>
      <c r="H13" s="25"/>
      <c r="I13" s="25"/>
      <c r="J13" s="25"/>
      <c r="K13" s="25"/>
      <c r="L13" s="25"/>
      <c r="M13" s="136" t="str">
        <f>IFERROR(__xludf.DUMMYFUNCTION("QUERY(Hospitais_BD!D:I,""select E where D='""&amp;D13&amp;""'"",0)"),"ZONA SUL")</f>
        <v>ZONA SUL</v>
      </c>
      <c r="N13" s="94" t="str">
        <f>IFERROR(__xludf.DUMMYFUNCTION("QUERY(Hospitais_BD!D:I,""select F where D='""&amp;D13&amp;""'"")"),"Rio de Janeiro")</f>
        <v>Rio de Janeiro</v>
      </c>
      <c r="O13" s="137" t="str">
        <f>IFERROR(__xludf.DUMMYFUNCTION("QUERY(Hospitais_BD!D:I,""select G where D='""&amp;D13&amp;""'"")"),"Catete")</f>
        <v>Catete</v>
      </c>
      <c r="P13" s="134"/>
      <c r="Q13" s="137" t="str">
        <f>IFERROR(__xludf.DUMMYFUNCTION("QUERY(Hospitais_BD!D:I,""select I where D='""&amp;D13&amp;""'"")"),"Público")</f>
        <v>Público</v>
      </c>
      <c r="R13" s="137" t="str">
        <f>IFERROR(__xludf.DUMMYFUNCTION("QUERY(Hospitais_BD!D:I,""select H where D='""&amp;D13&amp;""'"")"),"Unidade básica - BAIXA COMPLEXIDADE")</f>
        <v>Unidade básica - BAIXA COMPLEXIDADE</v>
      </c>
      <c r="S13" s="138"/>
      <c r="T13" s="138"/>
      <c r="U13" s="139"/>
      <c r="V13" s="134"/>
      <c r="W13" s="134"/>
      <c r="X13" s="134"/>
      <c r="Y13" s="134"/>
      <c r="Z13" s="134"/>
      <c r="AA13" s="153"/>
      <c r="AB13" s="134"/>
      <c r="AC13" s="134"/>
      <c r="AD13" s="134"/>
      <c r="AE13" s="134"/>
      <c r="AF13" s="144" t="s">
        <v>1002</v>
      </c>
      <c r="AG13" s="154">
        <v>100.0</v>
      </c>
      <c r="AH13" s="144">
        <v>0.0</v>
      </c>
      <c r="AI13" s="144">
        <v>0.0</v>
      </c>
      <c r="AJ13" s="144">
        <v>0.0</v>
      </c>
      <c r="AK13" s="144">
        <v>0.0</v>
      </c>
      <c r="AL13" s="144"/>
      <c r="AM13" s="145" t="s">
        <v>1003</v>
      </c>
    </row>
    <row r="14" ht="21.0" customHeight="1">
      <c r="A14" s="119"/>
      <c r="B14" s="120"/>
      <c r="C14" s="69"/>
      <c r="D14" s="43" t="s">
        <v>151</v>
      </c>
      <c r="E14" s="121"/>
      <c r="F14" s="121"/>
      <c r="G14" s="122"/>
      <c r="H14" s="37"/>
      <c r="I14" s="37"/>
      <c r="J14" s="37"/>
      <c r="K14" s="37"/>
      <c r="L14" s="37"/>
      <c r="M14" s="123" t="str">
        <f>IFERROR(__xludf.DUMMYFUNCTION("QUERY(Hospitais_BD!D:I,""select E where D='""&amp;D14&amp;""'"",0)"),"CENTRO")</f>
        <v>CENTRO</v>
      </c>
      <c r="N14" s="124" t="str">
        <f>IFERROR(__xludf.DUMMYFUNCTION("QUERY(Hospitais_BD!D:I,""select F where D='""&amp;D14&amp;""'"")"),"Rio de Janeiro")</f>
        <v>Rio de Janeiro</v>
      </c>
      <c r="O14" s="125" t="str">
        <f>IFERROR(__xludf.DUMMYFUNCTION("QUERY(Hospitais_BD!D:I,""select G where D='""&amp;D14&amp;""'"")"),"Centro")</f>
        <v>Centro</v>
      </c>
      <c r="P14" s="121"/>
      <c r="Q14" s="125" t="str">
        <f>IFERROR(__xludf.DUMMYFUNCTION("QUERY(Hospitais_BD!D:I,""select I where D='""&amp;D14&amp;""'"")"),"Público")</f>
        <v>Público</v>
      </c>
      <c r="R14" s="125" t="str">
        <f>IFERROR(__xludf.DUMMYFUNCTION("QUERY(Hospitais_BD!D:I,""select H where D='""&amp;D14&amp;""'"")"),"Referência - ALTA COMPLEXIDADE")</f>
        <v>Referência - ALTA COMPLEXIDADE</v>
      </c>
      <c r="S14" s="126"/>
      <c r="T14" s="126"/>
      <c r="U14" s="127"/>
      <c r="V14" s="121"/>
      <c r="W14" s="121"/>
      <c r="X14" s="121"/>
      <c r="Y14" s="121"/>
      <c r="Z14" s="121"/>
      <c r="AA14" s="155"/>
      <c r="AB14" s="121"/>
      <c r="AC14" s="121"/>
      <c r="AD14" s="121"/>
      <c r="AE14" s="121"/>
      <c r="AF14" s="130" t="s">
        <v>1002</v>
      </c>
      <c r="AG14" s="148">
        <v>70.0</v>
      </c>
      <c r="AH14" s="129">
        <v>0.0</v>
      </c>
      <c r="AI14" s="129">
        <v>0.0</v>
      </c>
      <c r="AJ14" s="129">
        <v>0.0</v>
      </c>
      <c r="AK14" s="129">
        <v>0.0</v>
      </c>
      <c r="AL14" s="129"/>
      <c r="AM14" s="131" t="s">
        <v>1003</v>
      </c>
    </row>
    <row r="15" ht="21.0" customHeight="1">
      <c r="A15" s="132"/>
      <c r="B15" s="133"/>
      <c r="C15" s="50"/>
      <c r="D15" s="92" t="s">
        <v>885</v>
      </c>
      <c r="E15" s="134"/>
      <c r="F15" s="134"/>
      <c r="G15" s="135"/>
      <c r="H15" s="25"/>
      <c r="I15" s="25"/>
      <c r="J15" s="25"/>
      <c r="K15" s="25"/>
      <c r="L15" s="25"/>
      <c r="M15" s="136" t="str">
        <f>IFERROR(__xludf.DUMMYFUNCTION("QUERY(Hospitais_BD!D:I,""select E where D='""&amp;D15&amp;""'"",0)"),"ZONA NORTE")</f>
        <v>ZONA NORTE</v>
      </c>
      <c r="N15" s="94" t="str">
        <f>IFERROR(__xludf.DUMMYFUNCTION("QUERY(Hospitais_BD!D:I,""select F where D='""&amp;D15&amp;""'"")"),"Rio de Janeiro")</f>
        <v>Rio de Janeiro</v>
      </c>
      <c r="O15" s="137" t="str">
        <f>IFERROR(__xludf.DUMMYFUNCTION("QUERY(Hospitais_BD!D:I,""select G where D='""&amp;D15&amp;""'"")"),"Manguinhos")</f>
        <v>Manguinhos</v>
      </c>
      <c r="P15" s="134"/>
      <c r="Q15" s="137" t="str">
        <f>IFERROR(__xludf.DUMMYFUNCTION("QUERY(Hospitais_BD!D:I,""select I where D='""&amp;D15&amp;""'"")"),"Público")</f>
        <v>Público</v>
      </c>
      <c r="R15" s="137" t="str">
        <f>IFERROR(__xludf.DUMMYFUNCTION("QUERY(Hospitais_BD!D:I,""select H where D='""&amp;D15&amp;""'"")"),"Unidade de Pesquisa")</f>
        <v>Unidade de Pesquisa</v>
      </c>
      <c r="S15" s="138"/>
      <c r="T15" s="138"/>
      <c r="U15" s="139"/>
      <c r="V15" s="134"/>
      <c r="W15" s="134"/>
      <c r="X15" s="134"/>
      <c r="Y15" s="156"/>
      <c r="Z15" s="156"/>
      <c r="AA15" s="134"/>
      <c r="AB15" s="134"/>
      <c r="AC15" s="134"/>
      <c r="AD15" s="134"/>
      <c r="AE15" s="134"/>
      <c r="AF15" s="142" t="s">
        <v>1002</v>
      </c>
      <c r="AG15" s="143">
        <v>40.0</v>
      </c>
      <c r="AH15" s="144">
        <v>0.0</v>
      </c>
      <c r="AI15" s="144">
        <v>0.0</v>
      </c>
      <c r="AJ15" s="144">
        <v>0.0</v>
      </c>
      <c r="AK15" s="144">
        <v>0.0</v>
      </c>
      <c r="AL15" s="144"/>
      <c r="AM15" s="145" t="s">
        <v>1003</v>
      </c>
    </row>
    <row r="16" ht="21.0" customHeight="1">
      <c r="A16" s="119"/>
      <c r="B16" s="120"/>
      <c r="C16" s="69"/>
      <c r="D16" s="152" t="s">
        <v>179</v>
      </c>
      <c r="E16" s="121"/>
      <c r="F16" s="121"/>
      <c r="G16" s="122"/>
      <c r="H16" s="37"/>
      <c r="I16" s="37"/>
      <c r="J16" s="37"/>
      <c r="K16" s="37"/>
      <c r="L16" s="37"/>
      <c r="M16" s="123" t="str">
        <f>IFERROR(__xludf.DUMMYFUNCTION("QUERY(Hospitais_BD!D:I,""select E where D='""&amp;D16&amp;""'"",0)"),"CENTRO")</f>
        <v>CENTRO</v>
      </c>
      <c r="N16" s="124" t="str">
        <f>IFERROR(__xludf.DUMMYFUNCTION("QUERY(Hospitais_BD!D:I,""select F where D='""&amp;D16&amp;""'"")"),"Rio de Janeiro")</f>
        <v>Rio de Janeiro</v>
      </c>
      <c r="O16" s="125" t="str">
        <f>IFERROR(__xludf.DUMMYFUNCTION("QUERY(Hospitais_BD!D:I,""select G where D='""&amp;D16&amp;""'"")"),"Rio Comprido")</f>
        <v>Rio Comprido</v>
      </c>
      <c r="P16" s="121"/>
      <c r="Q16" s="125" t="str">
        <f>IFERROR(__xludf.DUMMYFUNCTION("QUERY(Hospitais_BD!D:I,""select I where D='""&amp;D16&amp;""'"")"),"Público")</f>
        <v>Público</v>
      </c>
      <c r="R16" s="125" t="str">
        <f>IFERROR(__xludf.DUMMYFUNCTION("QUERY(Hospitais_BD!D:I,""select H where D='""&amp;D16&amp;""'"")"),"Referência - ALTA COMPLEXIDADE")</f>
        <v>Referência - ALTA COMPLEXIDADE</v>
      </c>
      <c r="S16" s="126"/>
      <c r="T16" s="126"/>
      <c r="U16" s="127"/>
      <c r="V16" s="121"/>
      <c r="W16" s="121"/>
      <c r="X16" s="121"/>
      <c r="Y16" s="40"/>
      <c r="Z16" s="40"/>
      <c r="AA16" s="147"/>
      <c r="AB16" s="121"/>
      <c r="AC16" s="121"/>
      <c r="AD16" s="121"/>
      <c r="AE16" s="121"/>
      <c r="AF16" s="130" t="s">
        <v>1002</v>
      </c>
      <c r="AG16" s="148">
        <v>100.0</v>
      </c>
      <c r="AH16" s="129">
        <v>0.0</v>
      </c>
      <c r="AI16" s="129">
        <v>0.0</v>
      </c>
      <c r="AJ16" s="129">
        <v>0.0</v>
      </c>
      <c r="AK16" s="129">
        <v>0.0</v>
      </c>
      <c r="AL16" s="129"/>
      <c r="AM16" s="131" t="s">
        <v>1003</v>
      </c>
    </row>
    <row r="17" ht="21.0" customHeight="1">
      <c r="A17" s="132"/>
      <c r="B17" s="133"/>
      <c r="C17" s="50"/>
      <c r="D17" s="157" t="s">
        <v>181</v>
      </c>
      <c r="E17" s="134"/>
      <c r="F17" s="134"/>
      <c r="G17" s="135"/>
      <c r="H17" s="25"/>
      <c r="I17" s="25"/>
      <c r="J17" s="25"/>
      <c r="K17" s="25"/>
      <c r="L17" s="25"/>
      <c r="M17" s="136" t="str">
        <f>IFERROR(__xludf.DUMMYFUNCTION("QUERY(Hospitais_BD!D:I,""select E where D='""&amp;D17&amp;""'"",0)"),"CENTRO")</f>
        <v>CENTRO</v>
      </c>
      <c r="N17" s="94" t="str">
        <f>IFERROR(__xludf.DUMMYFUNCTION("QUERY(Hospitais_BD!D:I,""select F where D='""&amp;D17&amp;""'"")"),"Rio de Janeiro")</f>
        <v>Rio de Janeiro</v>
      </c>
      <c r="O17" s="137" t="str">
        <f>IFERROR(__xludf.DUMMYFUNCTION("QUERY(Hospitais_BD!D:I,""select G where D='""&amp;D17&amp;""'"")"),"Estacio")</f>
        <v>Estacio</v>
      </c>
      <c r="P17" s="134"/>
      <c r="Q17" s="137" t="str">
        <f>IFERROR(__xludf.DUMMYFUNCTION("QUERY(Hospitais_BD!D:I,""select I where D='""&amp;D17&amp;""'"")"),"Público")</f>
        <v>Público</v>
      </c>
      <c r="R17" s="137" t="str">
        <f>IFERROR(__xludf.DUMMYFUNCTION("QUERY(Hospitais_BD!D:I,""select H where D='""&amp;D17&amp;""'"")"),"Unidade básica - BAIXA COMPLEXIDADE")</f>
        <v>Unidade básica - BAIXA COMPLEXIDADE</v>
      </c>
      <c r="S17" s="138"/>
      <c r="T17" s="138"/>
      <c r="U17" s="139"/>
      <c r="V17" s="134"/>
      <c r="W17" s="134"/>
      <c r="X17" s="134"/>
      <c r="Y17" s="33"/>
      <c r="Z17" s="33"/>
      <c r="AA17" s="151"/>
      <c r="AB17" s="134"/>
      <c r="AC17" s="134"/>
      <c r="AD17" s="134"/>
      <c r="AE17" s="134"/>
      <c r="AF17" s="142" t="s">
        <v>1002</v>
      </c>
      <c r="AG17" s="143">
        <v>100.0</v>
      </c>
      <c r="AH17" s="144">
        <v>0.0</v>
      </c>
      <c r="AI17" s="144">
        <v>0.0</v>
      </c>
      <c r="AJ17" s="144">
        <v>0.0</v>
      </c>
      <c r="AK17" s="144">
        <v>0.0</v>
      </c>
      <c r="AL17" s="144"/>
      <c r="AM17" s="145" t="s">
        <v>1003</v>
      </c>
    </row>
    <row r="18" ht="21.0" customHeight="1">
      <c r="A18" s="119"/>
      <c r="B18" s="120"/>
      <c r="C18" s="69"/>
      <c r="D18" s="40" t="s">
        <v>201</v>
      </c>
      <c r="E18" s="121"/>
      <c r="F18" s="121"/>
      <c r="G18" s="122"/>
      <c r="H18" s="37"/>
      <c r="I18" s="37"/>
      <c r="J18" s="37"/>
      <c r="K18" s="37"/>
      <c r="L18" s="37"/>
      <c r="M18" s="123" t="str">
        <f>IFERROR(__xludf.DUMMYFUNCTION("QUERY(Hospitais_BD!D:I,""select E where D='""&amp;D18&amp;""'"",0)"),"ZONA OESTE")</f>
        <v>ZONA OESTE</v>
      </c>
      <c r="N18" s="124" t="str">
        <f>IFERROR(__xludf.DUMMYFUNCTION("QUERY(Hospitais_BD!D:I,""select F where D='""&amp;D18&amp;""'"")"),"Rio de Janeiro")</f>
        <v>Rio de Janeiro</v>
      </c>
      <c r="O18" s="125" t="str">
        <f>IFERROR(__xludf.DUMMYFUNCTION("QUERY(Hospitais_BD!D:I,""select G where D='""&amp;D18&amp;""'"")"),"Bangu")</f>
        <v>Bangu</v>
      </c>
      <c r="P18" s="121"/>
      <c r="Q18" s="125" t="str">
        <f>IFERROR(__xludf.DUMMYFUNCTION("QUERY(Hospitais_BD!D:I,""select I where D='""&amp;D18&amp;""'"")"),"Público")</f>
        <v>Público</v>
      </c>
      <c r="R18" s="125" t="str">
        <f>IFERROR(__xludf.DUMMYFUNCTION("QUERY(Hospitais_BD!D:I,""select H where D='""&amp;D18&amp;""'"")"),"Grande emergência - MÉDIA COMPLEXIDADE")</f>
        <v>Grande emergência - MÉDIA COMPLEXIDADE</v>
      </c>
      <c r="S18" s="126"/>
      <c r="T18" s="126"/>
      <c r="U18" s="127"/>
      <c r="V18" s="121"/>
      <c r="W18" s="121"/>
      <c r="X18" s="121"/>
      <c r="Y18" s="121"/>
      <c r="Z18" s="121"/>
      <c r="AA18" s="150"/>
      <c r="AB18" s="121"/>
      <c r="AC18" s="121"/>
      <c r="AD18" s="121"/>
      <c r="AE18" s="121"/>
      <c r="AF18" s="130" t="s">
        <v>1002</v>
      </c>
      <c r="AG18" s="148">
        <v>20.0</v>
      </c>
      <c r="AH18" s="129">
        <v>0.0</v>
      </c>
      <c r="AI18" s="129">
        <v>0.0</v>
      </c>
      <c r="AJ18" s="129">
        <v>0.0</v>
      </c>
      <c r="AK18" s="129">
        <v>0.0</v>
      </c>
      <c r="AL18" s="129"/>
      <c r="AM18" s="131" t="s">
        <v>1003</v>
      </c>
    </row>
    <row r="19" ht="21.0" customHeight="1">
      <c r="A19" s="132"/>
      <c r="B19" s="133"/>
      <c r="C19" s="50"/>
      <c r="D19" s="33" t="s">
        <v>211</v>
      </c>
      <c r="E19" s="134"/>
      <c r="F19" s="134"/>
      <c r="G19" s="135"/>
      <c r="H19" s="25"/>
      <c r="I19" s="25"/>
      <c r="J19" s="25"/>
      <c r="K19" s="25"/>
      <c r="L19" s="25"/>
      <c r="M19" s="136" t="str">
        <f>IFERROR(__xludf.DUMMYFUNCTION("QUERY(Hospitais_BD!D:I,""select E where D='""&amp;D19&amp;""'"",0)"),"CENTRO")</f>
        <v>CENTRO</v>
      </c>
      <c r="N19" s="94" t="str">
        <f>IFERROR(__xludf.DUMMYFUNCTION("QUERY(Hospitais_BD!D:I,""select F where D='""&amp;D19&amp;""'"")"),"Rio de Janeiro")</f>
        <v>Rio de Janeiro</v>
      </c>
      <c r="O19" s="137" t="str">
        <f>IFERROR(__xludf.DUMMYFUNCTION("QUERY(Hospitais_BD!D:I,""select G where D='""&amp;D19&amp;""'"")"),"centro")</f>
        <v>centro</v>
      </c>
      <c r="P19" s="134"/>
      <c r="Q19" s="137" t="str">
        <f>IFERROR(__xludf.DUMMYFUNCTION("QUERY(Hospitais_BD!D:I,""select I where D='""&amp;D19&amp;""'"")"),"Público")</f>
        <v>Público</v>
      </c>
      <c r="R19" s="137" t="str">
        <f>IFERROR(__xludf.DUMMYFUNCTION("QUERY(Hospitais_BD!D:I,""select H where D='""&amp;D19&amp;""'"")"),"Unidade básica - BAIXA COMPLEXIDADE")</f>
        <v>Unidade básica - BAIXA COMPLEXIDADE</v>
      </c>
      <c r="S19" s="138"/>
      <c r="T19" s="138"/>
      <c r="U19" s="139"/>
      <c r="V19" s="134"/>
      <c r="W19" s="134"/>
      <c r="X19" s="134"/>
      <c r="Y19" s="134"/>
      <c r="Z19" s="134"/>
      <c r="AA19" s="153"/>
      <c r="AB19" s="134"/>
      <c r="AC19" s="134"/>
      <c r="AD19" s="134"/>
      <c r="AE19" s="134"/>
      <c r="AF19" s="142" t="s">
        <v>1002</v>
      </c>
      <c r="AG19" s="158">
        <v>100.0</v>
      </c>
      <c r="AH19" s="144">
        <v>0.0</v>
      </c>
      <c r="AI19" s="144">
        <v>0.0</v>
      </c>
      <c r="AJ19" s="144">
        <v>0.0</v>
      </c>
      <c r="AK19" s="144">
        <v>0.0</v>
      </c>
      <c r="AL19" s="144"/>
      <c r="AM19" s="145" t="s">
        <v>1003</v>
      </c>
    </row>
    <row r="20" ht="21.0" customHeight="1">
      <c r="A20" s="119"/>
      <c r="B20" s="120"/>
      <c r="C20" s="69"/>
      <c r="D20" s="40" t="s">
        <v>214</v>
      </c>
      <c r="E20" s="121"/>
      <c r="F20" s="121"/>
      <c r="G20" s="122"/>
      <c r="H20" s="37"/>
      <c r="I20" s="37"/>
      <c r="J20" s="37"/>
      <c r="K20" s="37"/>
      <c r="L20" s="37"/>
      <c r="M20" s="123" t="str">
        <f>IFERROR(__xludf.DUMMYFUNCTION("QUERY(Hospitais_BD!D:I,""select E where D='""&amp;D20&amp;""'"",0)"),"CENTRO")</f>
        <v>CENTRO</v>
      </c>
      <c r="N20" s="124" t="str">
        <f>IFERROR(__xludf.DUMMYFUNCTION("QUERY(Hospitais_BD!D:I,""select F where D='""&amp;D20&amp;""'"")"),"Rio de Janeiro")</f>
        <v>Rio de Janeiro</v>
      </c>
      <c r="O20" s="125" t="str">
        <f>IFERROR(__xludf.DUMMYFUNCTION("QUERY(Hospitais_BD!D:I,""select G where D='""&amp;D20&amp;""'"")"),"Santo Cristo")</f>
        <v>Santo Cristo</v>
      </c>
      <c r="P20" s="121"/>
      <c r="Q20" s="125" t="str">
        <f>IFERROR(__xludf.DUMMYFUNCTION("QUERY(Hospitais_BD!D:I,""select I where D='""&amp;D20&amp;""'"")"),"Público")</f>
        <v>Público</v>
      </c>
      <c r="R20" s="125" t="str">
        <f>IFERROR(__xludf.DUMMYFUNCTION("QUERY(Hospitais_BD!D:I,""select H where D='""&amp;D20&amp;""'"")"),"Unidade básica - BAIXA COMPLEXIDADE")</f>
        <v>Unidade básica - BAIXA COMPLEXIDADE</v>
      </c>
      <c r="S20" s="126"/>
      <c r="T20" s="126"/>
      <c r="U20" s="127"/>
      <c r="V20" s="121"/>
      <c r="W20" s="121"/>
      <c r="X20" s="121"/>
      <c r="Y20" s="121"/>
      <c r="Z20" s="121"/>
      <c r="AA20" s="150"/>
      <c r="AB20" s="121"/>
      <c r="AC20" s="121"/>
      <c r="AD20" s="121"/>
      <c r="AE20" s="121"/>
      <c r="AF20" s="130" t="s">
        <v>1002</v>
      </c>
      <c r="AG20" s="148">
        <v>50.0</v>
      </c>
      <c r="AH20" s="129">
        <v>0.0</v>
      </c>
      <c r="AI20" s="129">
        <v>0.0</v>
      </c>
      <c r="AJ20" s="129">
        <v>0.0</v>
      </c>
      <c r="AK20" s="129">
        <v>0.0</v>
      </c>
      <c r="AL20" s="129"/>
      <c r="AM20" s="131" t="s">
        <v>1003</v>
      </c>
    </row>
    <row r="21" ht="21.0" customHeight="1">
      <c r="A21" s="132"/>
      <c r="B21" s="133"/>
      <c r="C21" s="50"/>
      <c r="D21" s="33" t="s">
        <v>217</v>
      </c>
      <c r="E21" s="134"/>
      <c r="F21" s="134"/>
      <c r="G21" s="135"/>
      <c r="H21" s="25"/>
      <c r="I21" s="25"/>
      <c r="J21" s="25"/>
      <c r="K21" s="25"/>
      <c r="L21" s="25"/>
      <c r="M21" s="136" t="str">
        <f>IFERROR(__xludf.DUMMYFUNCTION("QUERY(Hospitais_BD!D:I,""select E where D='""&amp;D21&amp;""'"",0)"),"ZONA NORTE")</f>
        <v>ZONA NORTE</v>
      </c>
      <c r="N21" s="94" t="str">
        <f>IFERROR(__xludf.DUMMYFUNCTION("QUERY(Hospitais_BD!D:I,""select F where D='""&amp;D21&amp;""'"")"),"Rio de Janeiro")</f>
        <v>Rio de Janeiro</v>
      </c>
      <c r="O21" s="137" t="str">
        <f>IFERROR(__xludf.DUMMYFUNCTION("QUERY(Hospitais_BD!D:I,""select G where D='""&amp;D21&amp;""'"")"),"Vila Isabel")</f>
        <v>Vila Isabel</v>
      </c>
      <c r="P21" s="134"/>
      <c r="Q21" s="137" t="str">
        <f>IFERROR(__xludf.DUMMYFUNCTION("QUERY(Hospitais_BD!D:I,""select I where D='""&amp;D21&amp;""'"")"),"Público")</f>
        <v>Público</v>
      </c>
      <c r="R21" s="137" t="str">
        <f>IFERROR(__xludf.DUMMYFUNCTION("QUERY(Hospitais_BD!D:I,""select H where D='""&amp;D21&amp;""'"")"),"Unidade básica - BAIXA COMPLEXIDADE")</f>
        <v>Unidade básica - BAIXA COMPLEXIDADE</v>
      </c>
      <c r="S21" s="138"/>
      <c r="T21" s="138"/>
      <c r="U21" s="139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42" t="s">
        <v>1002</v>
      </c>
      <c r="AG21" s="143">
        <v>50.0</v>
      </c>
      <c r="AH21" s="144">
        <v>0.0</v>
      </c>
      <c r="AI21" s="144">
        <v>0.0</v>
      </c>
      <c r="AJ21" s="144">
        <v>0.0</v>
      </c>
      <c r="AK21" s="144">
        <v>0.0</v>
      </c>
      <c r="AL21" s="144"/>
      <c r="AM21" s="145" t="s">
        <v>1003</v>
      </c>
    </row>
    <row r="22" ht="21.0" customHeight="1">
      <c r="A22" s="119"/>
      <c r="B22" s="120"/>
      <c r="C22" s="69"/>
      <c r="D22" s="40" t="s">
        <v>220</v>
      </c>
      <c r="E22" s="121"/>
      <c r="F22" s="121"/>
      <c r="G22" s="122"/>
      <c r="H22" s="37"/>
      <c r="I22" s="37"/>
      <c r="J22" s="37"/>
      <c r="K22" s="37"/>
      <c r="L22" s="37"/>
      <c r="M22" s="123" t="str">
        <f>IFERROR(__xludf.DUMMYFUNCTION("QUERY(Hospitais_BD!D:I,""select E where D='""&amp;D22&amp;""'"",0)"),"ZONA NORTE")</f>
        <v>ZONA NORTE</v>
      </c>
      <c r="N22" s="124" t="str">
        <f>IFERROR(__xludf.DUMMYFUNCTION("QUERY(Hospitais_BD!D:I,""select F where D='""&amp;D22&amp;""'"")"),"Rio de Janeiro")</f>
        <v>Rio de Janeiro</v>
      </c>
      <c r="O22" s="125" t="str">
        <f>IFERROR(__xludf.DUMMYFUNCTION("QUERY(Hospitais_BD!D:I,""select G where D='""&amp;D22&amp;""'"")"),"Vila Isabel")</f>
        <v>Vila Isabel</v>
      </c>
      <c r="P22" s="121"/>
      <c r="Q22" s="125" t="str">
        <f>IFERROR(__xludf.DUMMYFUNCTION("QUERY(Hospitais_BD!D:I,""select I where D='""&amp;D22&amp;""'"")"),"Público")</f>
        <v>Público</v>
      </c>
      <c r="R22" s="125" t="str">
        <f>IFERROR(__xludf.DUMMYFUNCTION("QUERY(Hospitais_BD!D:I,""select H where D='""&amp;D22&amp;""'"")"),"Unidade básica - BAIXA COMPLEXIDADE")</f>
        <v>Unidade básica - BAIXA COMPLEXIDADE</v>
      </c>
      <c r="S22" s="126"/>
      <c r="T22" s="126"/>
      <c r="U22" s="127"/>
      <c r="V22" s="121"/>
      <c r="W22" s="121"/>
      <c r="X22" s="121"/>
      <c r="Y22" s="121"/>
      <c r="Z22" s="121"/>
      <c r="AA22" s="150"/>
      <c r="AB22" s="121"/>
      <c r="AC22" s="121"/>
      <c r="AD22" s="121"/>
      <c r="AE22" s="121"/>
      <c r="AF22" s="130" t="s">
        <v>1002</v>
      </c>
      <c r="AG22" s="148">
        <v>50.0</v>
      </c>
      <c r="AH22" s="129">
        <v>0.0</v>
      </c>
      <c r="AI22" s="129">
        <v>0.0</v>
      </c>
      <c r="AJ22" s="129">
        <v>0.0</v>
      </c>
      <c r="AK22" s="129">
        <v>0.0</v>
      </c>
      <c r="AL22" s="129"/>
      <c r="AM22" s="131" t="s">
        <v>1003</v>
      </c>
    </row>
    <row r="23" ht="21.0" customHeight="1">
      <c r="A23" s="132"/>
      <c r="B23" s="133"/>
      <c r="C23" s="50"/>
      <c r="D23" s="46" t="s">
        <v>242</v>
      </c>
      <c r="E23" s="134"/>
      <c r="F23" s="134"/>
      <c r="G23" s="135"/>
      <c r="H23" s="25"/>
      <c r="I23" s="25"/>
      <c r="J23" s="25"/>
      <c r="K23" s="25"/>
      <c r="L23" s="25"/>
      <c r="M23" s="136" t="str">
        <f>IFERROR(__xludf.DUMMYFUNCTION("QUERY(Hospitais_BD!D:I,""select E where D='""&amp;D23&amp;""'"",0)"),"BAIXADA FLUMINENSE")</f>
        <v>BAIXADA FLUMINENSE</v>
      </c>
      <c r="N23" s="94" t="str">
        <f>IFERROR(__xludf.DUMMYFUNCTION("QUERY(Hospitais_BD!D:I,""select F where D='""&amp;D23&amp;""'"")"),"Duque de Caxias")</f>
        <v>Duque de Caxias</v>
      </c>
      <c r="O23" s="137" t="str">
        <f>IFERROR(__xludf.DUMMYFUNCTION("QUERY(Hospitais_BD!D:I,""select G where D='""&amp;D23&amp;""'"")"),"Jardim Primavera")</f>
        <v>Jardim Primavera</v>
      </c>
      <c r="P23" s="134"/>
      <c r="Q23" s="137" t="str">
        <f>IFERROR(__xludf.DUMMYFUNCTION("QUERY(Hospitais_BD!D:I,""select I where D='""&amp;D23&amp;""'"")"),"Público")</f>
        <v>Público</v>
      </c>
      <c r="R23" s="137" t="str">
        <f>IFERROR(__xludf.DUMMYFUNCTION("QUERY(Hospitais_BD!D:I,""select H where D='""&amp;D23&amp;""'"")"),"Grande emergência - MÉDIA COMPLEXIDADE")</f>
        <v>Grande emergência - MÉDIA COMPLEXIDADE</v>
      </c>
      <c r="S23" s="138"/>
      <c r="T23" s="138"/>
      <c r="U23" s="139"/>
      <c r="V23" s="134"/>
      <c r="W23" s="134"/>
      <c r="X23" s="140"/>
      <c r="Y23" s="33"/>
      <c r="Z23" s="33"/>
      <c r="AA23" s="141"/>
      <c r="AB23" s="134"/>
      <c r="AC23" s="134"/>
      <c r="AD23" s="134"/>
      <c r="AE23" s="134"/>
      <c r="AF23" s="142" t="s">
        <v>1002</v>
      </c>
      <c r="AG23" s="158">
        <v>50.0</v>
      </c>
      <c r="AH23" s="144">
        <v>0.0</v>
      </c>
      <c r="AI23" s="144">
        <v>0.0</v>
      </c>
      <c r="AJ23" s="144">
        <v>0.0</v>
      </c>
      <c r="AK23" s="144">
        <v>0.0</v>
      </c>
      <c r="AL23" s="144"/>
      <c r="AM23" s="145" t="s">
        <v>1003</v>
      </c>
    </row>
    <row r="24" ht="21.0" customHeight="1">
      <c r="A24" s="119"/>
      <c r="B24" s="120"/>
      <c r="C24" s="69"/>
      <c r="D24" s="121" t="s">
        <v>242</v>
      </c>
      <c r="E24" s="121"/>
      <c r="F24" s="121"/>
      <c r="G24" s="122"/>
      <c r="H24" s="37"/>
      <c r="I24" s="37"/>
      <c r="J24" s="37"/>
      <c r="K24" s="37"/>
      <c r="L24" s="37"/>
      <c r="M24" s="123" t="str">
        <f>IFERROR(__xludf.DUMMYFUNCTION("QUERY(Hospitais_BD!D:I,""select E where D='""&amp;D24&amp;""'"",0)"),"BAIXADA FLUMINENSE")</f>
        <v>BAIXADA FLUMINENSE</v>
      </c>
      <c r="N24" s="124" t="str">
        <f>IFERROR(__xludf.DUMMYFUNCTION("QUERY(Hospitais_BD!D:I,""select F where D='""&amp;D24&amp;""'"")"),"Duque de Caxias")</f>
        <v>Duque de Caxias</v>
      </c>
      <c r="O24" s="125" t="str">
        <f>IFERROR(__xludf.DUMMYFUNCTION("QUERY(Hospitais_BD!D:I,""select G where D='""&amp;D24&amp;""'"")"),"Jardim Primavera")</f>
        <v>Jardim Primavera</v>
      </c>
      <c r="P24" s="121"/>
      <c r="Q24" s="125" t="str">
        <f>IFERROR(__xludf.DUMMYFUNCTION("QUERY(Hospitais_BD!D:I,""select I where D='""&amp;D24&amp;""'"")"),"Público")</f>
        <v>Público</v>
      </c>
      <c r="R24" s="125" t="str">
        <f>IFERROR(__xludf.DUMMYFUNCTION("QUERY(Hospitais_BD!D:I,""select H where D='""&amp;D24&amp;""'"")"),"Grande emergência - MÉDIA COMPLEXIDADE")</f>
        <v>Grande emergência - MÉDIA COMPLEXIDADE</v>
      </c>
      <c r="S24" s="126"/>
      <c r="T24" s="126"/>
      <c r="U24" s="127"/>
      <c r="V24" s="121"/>
      <c r="W24" s="121"/>
      <c r="X24" s="121"/>
      <c r="Y24" s="121"/>
      <c r="Z24" s="121"/>
      <c r="AA24" s="128"/>
      <c r="AB24" s="121"/>
      <c r="AC24" s="121"/>
      <c r="AD24" s="121"/>
      <c r="AE24" s="121"/>
      <c r="AF24" s="129" t="s">
        <v>1002</v>
      </c>
      <c r="AG24" s="159">
        <v>100.0</v>
      </c>
      <c r="AH24" s="129">
        <v>0.0</v>
      </c>
      <c r="AI24" s="129">
        <v>0.0</v>
      </c>
      <c r="AJ24" s="129">
        <v>0.0</v>
      </c>
      <c r="AK24" s="129">
        <v>0.0</v>
      </c>
      <c r="AL24" s="129"/>
      <c r="AM24" s="131" t="s">
        <v>1003</v>
      </c>
    </row>
    <row r="25" ht="21.0" customHeight="1">
      <c r="A25" s="132"/>
      <c r="B25" s="133"/>
      <c r="C25" s="50"/>
      <c r="D25" s="46" t="s">
        <v>246</v>
      </c>
      <c r="E25" s="134"/>
      <c r="F25" s="134"/>
      <c r="G25" s="135"/>
      <c r="H25" s="25"/>
      <c r="I25" s="25"/>
      <c r="J25" s="25"/>
      <c r="K25" s="25"/>
      <c r="L25" s="25"/>
      <c r="M25" s="136" t="str">
        <f>IFERROR(__xludf.DUMMYFUNCTION("QUERY(Hospitais_BD!D:I,""select E where D='""&amp;D25&amp;""'"",0)"),"REGIAO METROPOLITANA")</f>
        <v>REGIAO METROPOLITANA</v>
      </c>
      <c r="N25" s="94" t="str">
        <f>IFERROR(__xludf.DUMMYFUNCTION("QUERY(Hospitais_BD!D:I,""select F where D='""&amp;D25&amp;""'"")"),"São Gonçalo")</f>
        <v>São Gonçalo</v>
      </c>
      <c r="O25" s="137" t="str">
        <f>IFERROR(__xludf.DUMMYFUNCTION("QUERY(Hospitais_BD!D:I,""select G where D='""&amp;D25&amp;""'"")"),"Colunbandê")</f>
        <v>Colunbandê</v>
      </c>
      <c r="P25" s="134"/>
      <c r="Q25" s="137" t="str">
        <f>IFERROR(__xludf.DUMMYFUNCTION("QUERY(Hospitais_BD!D:I,""select I where D='""&amp;D25&amp;""'"")"),"Público")</f>
        <v>Público</v>
      </c>
      <c r="R25" s="137" t="str">
        <f>IFERROR(__xludf.DUMMYFUNCTION("QUERY(Hospitais_BD!D:I,""select H where D='""&amp;D25&amp;""'"")"),"Referência - ALTA COMPLEXIDADE")</f>
        <v>Referência - ALTA COMPLEXIDADE</v>
      </c>
      <c r="S25" s="138"/>
      <c r="T25" s="138"/>
      <c r="U25" s="139"/>
      <c r="V25" s="134"/>
      <c r="W25" s="134"/>
      <c r="X25" s="134"/>
      <c r="Y25" s="33"/>
      <c r="Z25" s="33"/>
      <c r="AA25" s="141"/>
      <c r="AB25" s="134"/>
      <c r="AC25" s="134"/>
      <c r="AD25" s="134"/>
      <c r="AE25" s="134"/>
      <c r="AF25" s="142" t="s">
        <v>1002</v>
      </c>
      <c r="AG25" s="143">
        <v>100.0</v>
      </c>
      <c r="AH25" s="144">
        <v>0.0</v>
      </c>
      <c r="AI25" s="144">
        <v>0.0</v>
      </c>
      <c r="AJ25" s="144">
        <v>0.0</v>
      </c>
      <c r="AK25" s="144">
        <v>0.0</v>
      </c>
      <c r="AL25" s="144"/>
      <c r="AM25" s="145" t="s">
        <v>1003</v>
      </c>
    </row>
    <row r="26" ht="21.0" customHeight="1">
      <c r="A26" s="119"/>
      <c r="B26" s="120"/>
      <c r="C26" s="69"/>
      <c r="D26" s="43" t="s">
        <v>249</v>
      </c>
      <c r="E26" s="121"/>
      <c r="F26" s="121"/>
      <c r="G26" s="122"/>
      <c r="H26" s="37"/>
      <c r="I26" s="37"/>
      <c r="J26" s="37"/>
      <c r="K26" s="37"/>
      <c r="L26" s="37"/>
      <c r="M26" s="123" t="str">
        <f>IFERROR(__xludf.DUMMYFUNCTION("QUERY(Hospitais_BD!D:I,""select E where D='""&amp;D26&amp;""'"",0)"),"REGIAO METROPOLITANA")</f>
        <v>REGIAO METROPOLITANA</v>
      </c>
      <c r="N26" s="124" t="str">
        <f>IFERROR(__xludf.DUMMYFUNCTION("QUERY(Hospitais_BD!D:I,""select F where D='""&amp;D26&amp;""'"")"),"Niteroi")</f>
        <v>Niteroi</v>
      </c>
      <c r="O26" s="125" t="str">
        <f>IFERROR(__xludf.DUMMYFUNCTION("QUERY(Hospitais_BD!D:I,""select G where D='""&amp;D26&amp;""'"")"),"Fonseca")</f>
        <v>Fonseca</v>
      </c>
      <c r="P26" s="121"/>
      <c r="Q26" s="125" t="str">
        <f>IFERROR(__xludf.DUMMYFUNCTION("QUERY(Hospitais_BD!D:I,""select I where D='""&amp;D26&amp;""'"")"),"Público")</f>
        <v>Público</v>
      </c>
      <c r="R26" s="125" t="str">
        <f>IFERROR(__xludf.DUMMYFUNCTION("QUERY(Hospitais_BD!D:I,""select H where D='""&amp;D26&amp;""'"")"),"Referência - ALTA COMPLEXIDADE")</f>
        <v>Referência - ALTA COMPLEXIDADE</v>
      </c>
      <c r="S26" s="126"/>
      <c r="T26" s="126"/>
      <c r="U26" s="127"/>
      <c r="V26" s="121"/>
      <c r="W26" s="121"/>
      <c r="X26" s="121"/>
      <c r="Y26" s="40"/>
      <c r="Z26" s="40"/>
      <c r="AA26" s="147"/>
      <c r="AB26" s="121"/>
      <c r="AC26" s="121"/>
      <c r="AD26" s="121"/>
      <c r="AE26" s="121"/>
      <c r="AF26" s="130" t="s">
        <v>1002</v>
      </c>
      <c r="AG26" s="148">
        <v>100.0</v>
      </c>
      <c r="AH26" s="129">
        <v>0.0</v>
      </c>
      <c r="AI26" s="129">
        <v>0.0</v>
      </c>
      <c r="AJ26" s="129">
        <v>0.0</v>
      </c>
      <c r="AK26" s="129">
        <v>0.0</v>
      </c>
      <c r="AL26" s="129"/>
      <c r="AM26" s="131" t="s">
        <v>1003</v>
      </c>
    </row>
    <row r="27" ht="21.0" customHeight="1">
      <c r="A27" s="132"/>
      <c r="B27" s="133"/>
      <c r="C27" s="50"/>
      <c r="D27" s="46" t="s">
        <v>255</v>
      </c>
      <c r="E27" s="134"/>
      <c r="F27" s="134"/>
      <c r="G27" s="135"/>
      <c r="H27" s="25"/>
      <c r="I27" s="25"/>
      <c r="J27" s="25"/>
      <c r="K27" s="25"/>
      <c r="L27" s="25"/>
      <c r="M27" s="136" t="str">
        <f>IFERROR(__xludf.DUMMYFUNCTION("QUERY(Hospitais_BD!D:I,""select E where D='""&amp;D27&amp;""'"",0)"),"ZONA OESTE")</f>
        <v>ZONA OESTE</v>
      </c>
      <c r="N27" s="94" t="str">
        <f>IFERROR(__xludf.DUMMYFUNCTION("QUERY(Hospitais_BD!D:I,""select F where D='""&amp;D27&amp;""'"")"),"Rio de Janeiro")</f>
        <v>Rio de Janeiro</v>
      </c>
      <c r="O27" s="137" t="str">
        <f>IFERROR(__xludf.DUMMYFUNCTION("QUERY(Hospitais_BD!D:I,""select G where D='""&amp;D27&amp;""'"")"),"Vila valqueire")</f>
        <v>Vila valqueire</v>
      </c>
      <c r="P27" s="134"/>
      <c r="Q27" s="137" t="str">
        <f>IFERROR(__xludf.DUMMYFUNCTION("QUERY(Hospitais_BD!D:I,""select I where D='""&amp;D27&amp;""'"")"),"Público")</f>
        <v>Público</v>
      </c>
      <c r="R27" s="137" t="str">
        <f>IFERROR(__xludf.DUMMYFUNCTION("QUERY(Hospitais_BD!D:I,""select H where D='""&amp;D27&amp;""'"")"),"Referência - ALTA COMPLEXIDADE")</f>
        <v>Referência - ALTA COMPLEXIDADE</v>
      </c>
      <c r="S27" s="138"/>
      <c r="T27" s="138"/>
      <c r="U27" s="139"/>
      <c r="V27" s="134"/>
      <c r="W27" s="134"/>
      <c r="X27" s="134"/>
      <c r="Y27" s="33"/>
      <c r="Z27" s="33"/>
      <c r="AA27" s="151"/>
      <c r="AB27" s="134"/>
      <c r="AC27" s="134"/>
      <c r="AD27" s="134"/>
      <c r="AE27" s="134"/>
      <c r="AF27" s="142" t="s">
        <v>1002</v>
      </c>
      <c r="AG27" s="143">
        <v>20.0</v>
      </c>
      <c r="AH27" s="144">
        <v>0.0</v>
      </c>
      <c r="AI27" s="144">
        <v>0.0</v>
      </c>
      <c r="AJ27" s="144">
        <v>0.0</v>
      </c>
      <c r="AK27" s="144">
        <v>0.0</v>
      </c>
      <c r="AL27" s="144"/>
      <c r="AM27" s="145" t="s">
        <v>1003</v>
      </c>
    </row>
    <row r="28" ht="21.0" customHeight="1">
      <c r="A28" s="119"/>
      <c r="B28" s="120"/>
      <c r="C28" s="69"/>
      <c r="D28" s="43" t="s">
        <v>887</v>
      </c>
      <c r="E28" s="121"/>
      <c r="F28" s="121"/>
      <c r="G28" s="122"/>
      <c r="H28" s="37"/>
      <c r="I28" s="37"/>
      <c r="J28" s="37"/>
      <c r="K28" s="37"/>
      <c r="L28" s="37"/>
      <c r="M28" s="123" t="str">
        <f>IFERROR(__xludf.DUMMYFUNCTION("QUERY(Hospitais_BD!D:I,""select E where D='""&amp;D28&amp;""'"",0)"),"REGIAO METROPOLITANA")</f>
        <v>REGIAO METROPOLITANA</v>
      </c>
      <c r="N28" s="124" t="str">
        <f>IFERROR(__xludf.DUMMYFUNCTION("QUERY(Hospitais_BD!D:I,""select F where D='""&amp;D28&amp;""'"")"),"Itaboraí")</f>
        <v>Itaboraí</v>
      </c>
      <c r="O28" s="125" t="str">
        <f>IFERROR(__xludf.DUMMYFUNCTION("QUERY(Hospitais_BD!D:I,""select G where D='""&amp;D28&amp;""'"")"),"Manilha")</f>
        <v>Manilha</v>
      </c>
      <c r="P28" s="121"/>
      <c r="Q28" s="125" t="str">
        <f>IFERROR(__xludf.DUMMYFUNCTION("QUERY(Hospitais_BD!D:I,""select I where D='""&amp;D28&amp;""'"")"),"Público")</f>
        <v>Público</v>
      </c>
      <c r="R28" s="125" t="str">
        <f>IFERROR(__xludf.DUMMYFUNCTION("QUERY(Hospitais_BD!D:I,""select H where D='""&amp;D28&amp;""'"")"),"Hospital de Referência - ALTA COMPLEXIDADE")</f>
        <v>Hospital de Referência - ALTA COMPLEXIDADE</v>
      </c>
      <c r="S28" s="126"/>
      <c r="T28" s="126"/>
      <c r="U28" s="127"/>
      <c r="V28" s="121"/>
      <c r="W28" s="121"/>
      <c r="X28" s="121"/>
      <c r="Y28" s="40"/>
      <c r="Z28" s="40"/>
      <c r="AA28" s="160"/>
      <c r="AB28" s="121"/>
      <c r="AC28" s="121"/>
      <c r="AD28" s="121"/>
      <c r="AE28" s="121"/>
      <c r="AF28" s="130" t="s">
        <v>1002</v>
      </c>
      <c r="AG28" s="148">
        <v>100.0</v>
      </c>
      <c r="AH28" s="129">
        <v>0.0</v>
      </c>
      <c r="AI28" s="129">
        <v>0.0</v>
      </c>
      <c r="AJ28" s="129">
        <v>0.0</v>
      </c>
      <c r="AK28" s="129">
        <v>0.0</v>
      </c>
      <c r="AL28" s="129"/>
      <c r="AM28" s="131" t="s">
        <v>1003</v>
      </c>
    </row>
    <row r="29" ht="21.0" customHeight="1">
      <c r="A29" s="132"/>
      <c r="B29" s="133"/>
      <c r="C29" s="50"/>
      <c r="D29" s="134" t="s">
        <v>261</v>
      </c>
      <c r="E29" s="134"/>
      <c r="F29" s="134"/>
      <c r="G29" s="135"/>
      <c r="H29" s="25"/>
      <c r="I29" s="25"/>
      <c r="J29" s="25"/>
      <c r="K29" s="25"/>
      <c r="L29" s="25"/>
      <c r="M29" s="136" t="str">
        <f>IFERROR(__xludf.DUMMYFUNCTION("QUERY(Hospitais_BD!D:I,""select E where D='""&amp;D29&amp;""'"",0)"),"ZONA OESTE")</f>
        <v>ZONA OESTE</v>
      </c>
      <c r="N29" s="94" t="str">
        <f>IFERROR(__xludf.DUMMYFUNCTION("QUERY(Hospitais_BD!D:I,""select F where D='""&amp;D29&amp;""'"")"),"Rio de Janeiro")</f>
        <v>Rio de Janeiro</v>
      </c>
      <c r="O29" s="137" t="str">
        <f>IFERROR(__xludf.DUMMYFUNCTION("QUERY(Hospitais_BD!D:I,""select G where D='""&amp;D29&amp;""'"")"),"Jacarepagua")</f>
        <v>Jacarepagua</v>
      </c>
      <c r="P29" s="134"/>
      <c r="Q29" s="137" t="str">
        <f>IFERROR(__xludf.DUMMYFUNCTION("QUERY(Hospitais_BD!D:I,""select I where D='""&amp;D29&amp;""'"")"),"Público")</f>
        <v>Público</v>
      </c>
      <c r="R29" s="137" t="str">
        <f>IFERROR(__xludf.DUMMYFUNCTION("QUERY(Hospitais_BD!D:I,""select H where D='""&amp;D29&amp;""'"")"),"Grande emergência - MÉDIA COMPLEXIDADE")</f>
        <v>Grande emergência - MÉDIA COMPLEXIDADE</v>
      </c>
      <c r="S29" s="138"/>
      <c r="T29" s="138"/>
      <c r="U29" s="139"/>
      <c r="V29" s="134"/>
      <c r="W29" s="134"/>
      <c r="X29" s="134"/>
      <c r="Y29" s="134"/>
      <c r="Z29" s="134"/>
      <c r="AA29" s="161"/>
      <c r="AB29" s="134"/>
      <c r="AC29" s="134"/>
      <c r="AD29" s="134"/>
      <c r="AE29" s="134"/>
      <c r="AF29" s="144" t="s">
        <v>1002</v>
      </c>
      <c r="AG29" s="154">
        <v>100.0</v>
      </c>
      <c r="AH29" s="144">
        <v>0.0</v>
      </c>
      <c r="AI29" s="144">
        <v>0.0</v>
      </c>
      <c r="AJ29" s="144">
        <v>0.0</v>
      </c>
      <c r="AK29" s="144">
        <v>0.0</v>
      </c>
      <c r="AL29" s="144"/>
      <c r="AM29" s="145" t="s">
        <v>1003</v>
      </c>
    </row>
    <row r="30" ht="21.0" customHeight="1">
      <c r="A30" s="119"/>
      <c r="B30" s="120"/>
      <c r="C30" s="69"/>
      <c r="D30" s="43" t="s">
        <v>264</v>
      </c>
      <c r="E30" s="121"/>
      <c r="F30" s="121"/>
      <c r="G30" s="122"/>
      <c r="H30" s="37"/>
      <c r="I30" s="37"/>
      <c r="J30" s="37"/>
      <c r="K30" s="37"/>
      <c r="L30" s="37"/>
      <c r="M30" s="123" t="str">
        <f>IFERROR(__xludf.DUMMYFUNCTION("QUERY(Hospitais_BD!D:I,""select E where D='""&amp;D30&amp;""'"",0)"),"ZONA OESTE")</f>
        <v>ZONA OESTE</v>
      </c>
      <c r="N30" s="124" t="str">
        <f>IFERROR(__xludf.DUMMYFUNCTION("QUERY(Hospitais_BD!D:I,""select F where D='""&amp;D30&amp;""'"")"),"Rio de Janeiro")</f>
        <v>Rio de Janeiro</v>
      </c>
      <c r="O30" s="125" t="str">
        <f>IFERROR(__xludf.DUMMYFUNCTION("QUERY(Hospitais_BD!D:I,""select G where D='""&amp;D30&amp;""'"")"),"Freguesia - RJ")</f>
        <v>Freguesia - RJ</v>
      </c>
      <c r="P30" s="121"/>
      <c r="Q30" s="125" t="str">
        <f>IFERROR(__xludf.DUMMYFUNCTION("QUERY(Hospitais_BD!D:I,""select I where D='""&amp;D30&amp;""'"")"),"Público")</f>
        <v>Público</v>
      </c>
      <c r="R30" s="125" t="str">
        <f>IFERROR(__xludf.DUMMYFUNCTION("QUERY(Hospitais_BD!D:I,""select H where D='""&amp;D30&amp;""'"")"),"Referência - ALTA COMPLEXIDADE")</f>
        <v>Referência - ALTA COMPLEXIDADE</v>
      </c>
      <c r="S30" s="126"/>
      <c r="T30" s="126"/>
      <c r="U30" s="127"/>
      <c r="V30" s="121"/>
      <c r="W30" s="121"/>
      <c r="X30" s="121"/>
      <c r="Y30" s="40"/>
      <c r="Z30" s="40"/>
      <c r="AA30" s="162"/>
      <c r="AB30" s="121"/>
      <c r="AC30" s="121"/>
      <c r="AD30" s="121"/>
      <c r="AE30" s="121"/>
      <c r="AF30" s="130" t="s">
        <v>1002</v>
      </c>
      <c r="AG30" s="163">
        <v>300.0</v>
      </c>
      <c r="AH30" s="129">
        <v>0.0</v>
      </c>
      <c r="AI30" s="129">
        <v>0.0</v>
      </c>
      <c r="AJ30" s="129">
        <v>0.0</v>
      </c>
      <c r="AK30" s="129">
        <v>0.0</v>
      </c>
      <c r="AL30" s="129"/>
      <c r="AM30" s="131" t="s">
        <v>1003</v>
      </c>
    </row>
    <row r="31" ht="21.0" customHeight="1">
      <c r="A31" s="132"/>
      <c r="B31" s="133"/>
      <c r="C31" s="50"/>
      <c r="D31" s="46" t="s">
        <v>267</v>
      </c>
      <c r="E31" s="134"/>
      <c r="F31" s="134"/>
      <c r="G31" s="135"/>
      <c r="H31" s="25"/>
      <c r="I31" s="25"/>
      <c r="J31" s="25"/>
      <c r="K31" s="25"/>
      <c r="L31" s="25"/>
      <c r="M31" s="136" t="str">
        <f>IFERROR(__xludf.DUMMYFUNCTION("QUERY(Hospitais_BD!D:I,""select E where D='""&amp;D31&amp;""'"",0)"),"ZONA SUL")</f>
        <v>ZONA SUL</v>
      </c>
      <c r="N31" s="94" t="str">
        <f>IFERROR(__xludf.DUMMYFUNCTION("QUERY(Hospitais_BD!D:I,""select F where D='""&amp;D31&amp;""'"")"),"Rio de Janeiro")</f>
        <v>Rio de Janeiro</v>
      </c>
      <c r="O31" s="137" t="str">
        <f>IFERROR(__xludf.DUMMYFUNCTION("QUERY(Hospitais_BD!D:I,""select G where D='""&amp;D31&amp;""'"")"),"Jardim Botanico")</f>
        <v>Jardim Botanico</v>
      </c>
      <c r="P31" s="134"/>
      <c r="Q31" s="137" t="str">
        <f>IFERROR(__xludf.DUMMYFUNCTION("QUERY(Hospitais_BD!D:I,""select I where D='""&amp;D31&amp;""'"")"),"Público")</f>
        <v>Público</v>
      </c>
      <c r="R31" s="137" t="str">
        <f>IFERROR(__xludf.DUMMYFUNCTION("QUERY(Hospitais_BD!D:I,""select H where D='""&amp;D31&amp;""'"")"),"Grande emergência - MÉDIA COMPLEXIDADE")</f>
        <v>Grande emergência - MÉDIA COMPLEXIDADE</v>
      </c>
      <c r="S31" s="138"/>
      <c r="T31" s="138"/>
      <c r="U31" s="139"/>
      <c r="V31" s="134"/>
      <c r="W31" s="134"/>
      <c r="X31" s="134"/>
      <c r="Y31" s="134"/>
      <c r="Z31" s="134"/>
      <c r="AA31" s="151"/>
      <c r="AB31" s="134"/>
      <c r="AC31" s="134"/>
      <c r="AD31" s="134"/>
      <c r="AE31" s="134"/>
      <c r="AF31" s="142" t="s">
        <v>1002</v>
      </c>
      <c r="AG31" s="143">
        <v>80.0</v>
      </c>
      <c r="AH31" s="144">
        <v>0.0</v>
      </c>
      <c r="AI31" s="144">
        <v>0.0</v>
      </c>
      <c r="AJ31" s="144">
        <v>0.0</v>
      </c>
      <c r="AK31" s="144">
        <v>0.0</v>
      </c>
      <c r="AL31" s="144"/>
      <c r="AM31" s="145" t="s">
        <v>1003</v>
      </c>
    </row>
    <row r="32" ht="21.0" customHeight="1">
      <c r="A32" s="119"/>
      <c r="B32" s="120"/>
      <c r="C32" s="69"/>
      <c r="D32" s="43" t="s">
        <v>270</v>
      </c>
      <c r="E32" s="121"/>
      <c r="F32" s="121"/>
      <c r="G32" s="122"/>
      <c r="H32" s="37"/>
      <c r="I32" s="37"/>
      <c r="J32" s="37"/>
      <c r="K32" s="37"/>
      <c r="L32" s="37"/>
      <c r="M32" s="123" t="str">
        <f>IFERROR(__xludf.DUMMYFUNCTION("QUERY(Hospitais_BD!D:I,""select E where D='""&amp;D32&amp;""'"",0)"),"ZONA SUL")</f>
        <v>ZONA SUL</v>
      </c>
      <c r="N32" s="124" t="str">
        <f>IFERROR(__xludf.DUMMYFUNCTION("QUERY(Hospitais_BD!D:I,""select F where D='""&amp;D32&amp;""'"")"),"Rio de Janeiro")</f>
        <v>Rio de Janeiro</v>
      </c>
      <c r="O32" s="125" t="str">
        <f>IFERROR(__xludf.DUMMYFUNCTION("QUERY(Hospitais_BD!D:I,""select G where D='""&amp;D32&amp;""'"")"),"Ipanema")</f>
        <v>Ipanema</v>
      </c>
      <c r="P32" s="121"/>
      <c r="Q32" s="125" t="str">
        <f>IFERROR(__xludf.DUMMYFUNCTION("QUERY(Hospitais_BD!D:I,""select I where D='""&amp;D32&amp;""'"")"),"Público")</f>
        <v>Público</v>
      </c>
      <c r="R32" s="125" t="str">
        <f>IFERROR(__xludf.DUMMYFUNCTION("QUERY(Hospitais_BD!D:I,""select H where D='""&amp;D32&amp;""'"")"),"Grande emergência - MÉDIA COMPLEXIDADE")</f>
        <v>Grande emergência - MÉDIA COMPLEXIDADE</v>
      </c>
      <c r="S32" s="126"/>
      <c r="T32" s="126"/>
      <c r="U32" s="127"/>
      <c r="V32" s="121"/>
      <c r="W32" s="121"/>
      <c r="X32" s="121"/>
      <c r="Y32" s="40"/>
      <c r="Z32" s="40"/>
      <c r="AA32" s="160"/>
      <c r="AB32" s="121"/>
      <c r="AC32" s="121"/>
      <c r="AD32" s="121"/>
      <c r="AE32" s="121"/>
      <c r="AF32" s="130" t="s">
        <v>1002</v>
      </c>
      <c r="AG32" s="148">
        <v>50.0</v>
      </c>
      <c r="AH32" s="129">
        <v>0.0</v>
      </c>
      <c r="AI32" s="129">
        <v>0.0</v>
      </c>
      <c r="AJ32" s="129">
        <v>0.0</v>
      </c>
      <c r="AK32" s="129">
        <v>0.0</v>
      </c>
      <c r="AL32" s="129"/>
      <c r="AM32" s="131" t="s">
        <v>1003</v>
      </c>
    </row>
    <row r="33" ht="21.0" customHeight="1">
      <c r="A33" s="132"/>
      <c r="B33" s="133"/>
      <c r="C33" s="50"/>
      <c r="D33" s="33" t="s">
        <v>270</v>
      </c>
      <c r="E33" s="134"/>
      <c r="F33" s="134"/>
      <c r="G33" s="135"/>
      <c r="H33" s="25"/>
      <c r="I33" s="25"/>
      <c r="J33" s="25"/>
      <c r="K33" s="25"/>
      <c r="L33" s="25"/>
      <c r="M33" s="136" t="str">
        <f>IFERROR(__xludf.DUMMYFUNCTION("QUERY(Hospitais_BD!D:I,""select E where D='""&amp;D33&amp;""'"",0)"),"ZONA SUL")</f>
        <v>ZONA SUL</v>
      </c>
      <c r="N33" s="94" t="str">
        <f>IFERROR(__xludf.DUMMYFUNCTION("QUERY(Hospitais_BD!D:I,""select F where D='""&amp;D33&amp;""'"")"),"Rio de Janeiro")</f>
        <v>Rio de Janeiro</v>
      </c>
      <c r="O33" s="137" t="str">
        <f>IFERROR(__xludf.DUMMYFUNCTION("QUERY(Hospitais_BD!D:I,""select G where D='""&amp;D33&amp;""'"")"),"Ipanema")</f>
        <v>Ipanema</v>
      </c>
      <c r="P33" s="134"/>
      <c r="Q33" s="137" t="str">
        <f>IFERROR(__xludf.DUMMYFUNCTION("QUERY(Hospitais_BD!D:I,""select I where D='""&amp;D33&amp;""'"")"),"Público")</f>
        <v>Público</v>
      </c>
      <c r="R33" s="137" t="str">
        <f>IFERROR(__xludf.DUMMYFUNCTION("QUERY(Hospitais_BD!D:I,""select H where D='""&amp;D33&amp;""'"")"),"Grande emergência - MÉDIA COMPLEXIDADE")</f>
        <v>Grande emergência - MÉDIA COMPLEXIDADE</v>
      </c>
      <c r="S33" s="138"/>
      <c r="T33" s="138"/>
      <c r="U33" s="139"/>
      <c r="V33" s="134"/>
      <c r="W33" s="134"/>
      <c r="X33" s="134"/>
      <c r="Y33" s="33"/>
      <c r="Z33" s="33"/>
      <c r="AA33" s="164"/>
      <c r="AB33" s="134"/>
      <c r="AC33" s="134"/>
      <c r="AD33" s="134"/>
      <c r="AE33" s="134"/>
      <c r="AF33" s="142" t="s">
        <v>1002</v>
      </c>
      <c r="AG33" s="143">
        <v>50.0</v>
      </c>
      <c r="AH33" s="144">
        <v>0.0</v>
      </c>
      <c r="AI33" s="144">
        <v>0.0</v>
      </c>
      <c r="AJ33" s="144">
        <v>0.0</v>
      </c>
      <c r="AK33" s="144">
        <v>0.0</v>
      </c>
      <c r="AL33" s="144"/>
      <c r="AM33" s="145" t="s">
        <v>1003</v>
      </c>
    </row>
    <row r="34" ht="21.0" customHeight="1">
      <c r="A34" s="119"/>
      <c r="B34" s="120"/>
      <c r="C34" s="69"/>
      <c r="D34" s="43" t="s">
        <v>801</v>
      </c>
      <c r="E34" s="121"/>
      <c r="F34" s="121"/>
      <c r="G34" s="122"/>
      <c r="H34" s="37"/>
      <c r="I34" s="37"/>
      <c r="J34" s="37"/>
      <c r="K34" s="37"/>
      <c r="L34" s="37"/>
      <c r="M34" s="123" t="str">
        <f>IFERROR(__xludf.DUMMYFUNCTION("QUERY(Hospitais_BD!D:I,""select E where D='""&amp;D34&amp;""'"",0)"),"ZONA NORTE")</f>
        <v>ZONA NORTE</v>
      </c>
      <c r="N34" s="124" t="str">
        <f>IFERROR(__xludf.DUMMYFUNCTION("QUERY(Hospitais_BD!D:I,""select F where D='""&amp;D34&amp;""'"")"),"Rio de Janeiro")</f>
        <v>Rio de Janeiro</v>
      </c>
      <c r="O34" s="125" t="str">
        <f>IFERROR(__xludf.DUMMYFUNCTION("QUERY(Hospitais_BD!D:I,""select G where D='""&amp;D34&amp;""'"")"),"Andaraí")</f>
        <v>Andaraí</v>
      </c>
      <c r="P34" s="121"/>
      <c r="Q34" s="125" t="str">
        <f>IFERROR(__xludf.DUMMYFUNCTION("QUERY(Hospitais_BD!D:I,""select I where D='""&amp;D34&amp;""'"")"),"Público")</f>
        <v>Público</v>
      </c>
      <c r="R34" s="125" t="str">
        <f>IFERROR(__xludf.DUMMYFUNCTION("QUERY(Hospitais_BD!D:I,""select H where D='""&amp;D34&amp;""'"")"),"Hospital de Referência - ALTA COMPLEXIDADE
")</f>
        <v>Hospital de Referência - ALTA COMPLEXIDADE
</v>
      </c>
      <c r="S34" s="126"/>
      <c r="T34" s="126"/>
      <c r="U34" s="127"/>
      <c r="V34" s="121"/>
      <c r="W34" s="121"/>
      <c r="X34" s="121"/>
      <c r="Y34" s="40"/>
      <c r="Z34" s="40"/>
      <c r="AA34" s="147"/>
      <c r="AB34" s="121"/>
      <c r="AC34" s="121"/>
      <c r="AD34" s="121"/>
      <c r="AE34" s="121"/>
      <c r="AF34" s="130" t="s">
        <v>1002</v>
      </c>
      <c r="AG34" s="163">
        <v>200.0</v>
      </c>
      <c r="AH34" s="129">
        <v>0.0</v>
      </c>
      <c r="AI34" s="129">
        <v>0.0</v>
      </c>
      <c r="AJ34" s="129">
        <v>0.0</v>
      </c>
      <c r="AK34" s="129">
        <v>0.0</v>
      </c>
      <c r="AL34" s="129"/>
      <c r="AM34" s="131" t="s">
        <v>1003</v>
      </c>
    </row>
    <row r="35" ht="21.0" customHeight="1">
      <c r="A35" s="132"/>
      <c r="B35" s="133"/>
      <c r="C35" s="50"/>
      <c r="D35" s="157" t="s">
        <v>273</v>
      </c>
      <c r="E35" s="134"/>
      <c r="F35" s="134"/>
      <c r="G35" s="135"/>
      <c r="H35" s="25"/>
      <c r="I35" s="25"/>
      <c r="J35" s="25"/>
      <c r="K35" s="25"/>
      <c r="L35" s="25"/>
      <c r="M35" s="136" t="str">
        <f>IFERROR(__xludf.DUMMYFUNCTION("QUERY(Hospitais_BD!D:I,""select E where D='""&amp;D35&amp;""'"",0)"),"#REF!")</f>
        <v>#REF!</v>
      </c>
      <c r="N35" s="94" t="str">
        <f>IFERROR(__xludf.DUMMYFUNCTION("QUERY(Hospitais_BD!D:I,""select F where D='""&amp;D35&amp;""'"")"),"#REF!")</f>
        <v>#REF!</v>
      </c>
      <c r="O35" s="137" t="str">
        <f>IFERROR(__xludf.DUMMYFUNCTION("QUERY(Hospitais_BD!D:I,""select G where D='""&amp;D35&amp;""'"")"),"#REF!")</f>
        <v>#REF!</v>
      </c>
      <c r="P35" s="134"/>
      <c r="Q35" s="137" t="str">
        <f>IFERROR(__xludf.DUMMYFUNCTION("QUERY(Hospitais_BD!D:I,""select I where D='""&amp;D35&amp;""'"")"),"#REF!")</f>
        <v>#REF!</v>
      </c>
      <c r="R35" s="137" t="str">
        <f>IFERROR(__xludf.DUMMYFUNCTION("QUERY(Hospitais_BD!D:I,""select H where D='""&amp;D35&amp;""'"")"),"#REF!")</f>
        <v>#REF!</v>
      </c>
      <c r="S35" s="138"/>
      <c r="T35" s="138"/>
      <c r="U35" s="139"/>
      <c r="V35" s="134"/>
      <c r="W35" s="134"/>
      <c r="X35" s="134"/>
      <c r="Y35" s="33"/>
      <c r="Z35" s="33"/>
      <c r="AA35" s="151"/>
      <c r="AB35" s="134"/>
      <c r="AC35" s="134"/>
      <c r="AD35" s="134"/>
      <c r="AE35" s="134"/>
      <c r="AF35" s="142" t="s">
        <v>1002</v>
      </c>
      <c r="AG35" s="143">
        <v>100.0</v>
      </c>
      <c r="AH35" s="144">
        <v>0.0</v>
      </c>
      <c r="AI35" s="144">
        <v>0.0</v>
      </c>
      <c r="AJ35" s="144">
        <v>0.0</v>
      </c>
      <c r="AK35" s="144">
        <v>0.0</v>
      </c>
      <c r="AL35" s="144"/>
      <c r="AM35" s="145" t="s">
        <v>1003</v>
      </c>
    </row>
    <row r="36" ht="21.0" customHeight="1">
      <c r="A36" s="119"/>
      <c r="B36" s="120"/>
      <c r="C36" s="69"/>
      <c r="D36" s="121" t="s">
        <v>607</v>
      </c>
      <c r="E36" s="121"/>
      <c r="F36" s="121"/>
      <c r="G36" s="122"/>
      <c r="H36" s="37"/>
      <c r="I36" s="37"/>
      <c r="J36" s="37"/>
      <c r="K36" s="37"/>
      <c r="L36" s="37"/>
      <c r="M36" s="123" t="str">
        <f>IFERROR(__xludf.DUMMYFUNCTION("QUERY(Hospitais_BD!D:I,""select E where D='""&amp;D36&amp;""'"",0)"),"REGIAO NORTE")</f>
        <v>REGIAO NORTE</v>
      </c>
      <c r="N36" s="124" t="str">
        <f>IFERROR(__xludf.DUMMYFUNCTION("QUERY(Hospitais_BD!D:I,""select F where D='""&amp;D36&amp;""'"")"),"Campos dos Goytacazes")</f>
        <v>Campos dos Goytacazes</v>
      </c>
      <c r="O36" s="125" t="str">
        <f>IFERROR(__xludf.DUMMYFUNCTION("QUERY(Hospitais_BD!D:I,""select G where D='""&amp;D36&amp;""'"")"),"Centro")</f>
        <v>Centro</v>
      </c>
      <c r="P36" s="121"/>
      <c r="Q36" s="125" t="str">
        <f>IFERROR(__xludf.DUMMYFUNCTION("QUERY(Hospitais_BD!D:I,""select I where D='""&amp;D36&amp;""'"")"),"Público")</f>
        <v>Público</v>
      </c>
      <c r="R36" s="125" t="str">
        <f>IFERROR(__xludf.DUMMYFUNCTION("QUERY(Hospitais_BD!D:I,""select H where D='""&amp;D36&amp;""'"")"),"Grande emergência - MÉDIA COMPLEXIDADE")</f>
        <v>Grande emergência - MÉDIA COMPLEXIDADE</v>
      </c>
      <c r="S36" s="126"/>
      <c r="T36" s="126"/>
      <c r="U36" s="127"/>
      <c r="V36" s="121"/>
      <c r="W36" s="121"/>
      <c r="X36" s="121"/>
      <c r="Y36" s="121"/>
      <c r="Z36" s="121"/>
      <c r="AA36" s="165"/>
      <c r="AB36" s="121"/>
      <c r="AC36" s="121"/>
      <c r="AD36" s="121"/>
      <c r="AE36" s="121"/>
      <c r="AF36" s="129" t="s">
        <v>1002</v>
      </c>
      <c r="AG36" s="129">
        <v>100.0</v>
      </c>
      <c r="AH36" s="129">
        <v>0.0</v>
      </c>
      <c r="AI36" s="129">
        <v>0.0</v>
      </c>
      <c r="AJ36" s="129">
        <v>0.0</v>
      </c>
      <c r="AK36" s="129">
        <v>0.0</v>
      </c>
      <c r="AL36" s="129"/>
      <c r="AM36" s="131" t="s">
        <v>1003</v>
      </c>
    </row>
    <row r="37" ht="21.0" customHeight="1">
      <c r="A37" s="132"/>
      <c r="B37" s="133"/>
      <c r="C37" s="50"/>
      <c r="D37" s="134" t="s">
        <v>275</v>
      </c>
      <c r="E37" s="134"/>
      <c r="F37" s="134"/>
      <c r="G37" s="135"/>
      <c r="H37" s="25"/>
      <c r="I37" s="25"/>
      <c r="J37" s="25"/>
      <c r="K37" s="25"/>
      <c r="L37" s="25"/>
      <c r="M37" s="136" t="str">
        <f>IFERROR(__xludf.DUMMYFUNCTION("QUERY(Hospitais_BD!D:I,""select E where D='""&amp;D37&amp;""'"",0)"),"REGIAO DOS LAGOS")</f>
        <v>REGIAO DOS LAGOS</v>
      </c>
      <c r="N37" s="94" t="str">
        <f>IFERROR(__xludf.DUMMYFUNCTION("QUERY(Hospitais_BD!D:I,""select F where D='""&amp;D37&amp;""'"")"),"Arraial do Cabo")</f>
        <v>Arraial do Cabo</v>
      </c>
      <c r="O37" s="137" t="str">
        <f>IFERROR(__xludf.DUMMYFUNCTION("QUERY(Hospitais_BD!D:I,""select G where D='""&amp;D37&amp;""'"")"),"Centro")</f>
        <v>Centro</v>
      </c>
      <c r="P37" s="134"/>
      <c r="Q37" s="137" t="str">
        <f>IFERROR(__xludf.DUMMYFUNCTION("QUERY(Hospitais_BD!D:I,""select I where D='""&amp;D37&amp;""'"")"),"Público")</f>
        <v>Público</v>
      </c>
      <c r="R37" s="137" t="str">
        <f>IFERROR(__xludf.DUMMYFUNCTION("QUERY(Hospitais_BD!D:I,""select H where D='""&amp;D37&amp;""'"")"),"Referência - ALTA COMPLEXIDADE")</f>
        <v>Referência - ALTA COMPLEXIDADE</v>
      </c>
      <c r="S37" s="138"/>
      <c r="T37" s="138"/>
      <c r="U37" s="139"/>
      <c r="V37" s="134"/>
      <c r="W37" s="134"/>
      <c r="X37" s="134"/>
      <c r="Y37" s="134"/>
      <c r="Z37" s="134"/>
      <c r="AA37" s="153"/>
      <c r="AB37" s="134"/>
      <c r="AC37" s="134"/>
      <c r="AD37" s="134"/>
      <c r="AE37" s="134"/>
      <c r="AF37" s="144" t="s">
        <v>1002</v>
      </c>
      <c r="AG37" s="154">
        <v>50.0</v>
      </c>
      <c r="AH37" s="144">
        <v>0.0</v>
      </c>
      <c r="AI37" s="144">
        <v>0.0</v>
      </c>
      <c r="AJ37" s="144">
        <v>0.0</v>
      </c>
      <c r="AK37" s="144">
        <v>0.0</v>
      </c>
      <c r="AL37" s="144"/>
      <c r="AM37" s="145" t="s">
        <v>1003</v>
      </c>
    </row>
    <row r="38" ht="21.0" customHeight="1">
      <c r="A38" s="119"/>
      <c r="B38" s="120"/>
      <c r="C38" s="69"/>
      <c r="D38" s="152" t="s">
        <v>173</v>
      </c>
      <c r="E38" s="121"/>
      <c r="F38" s="121"/>
      <c r="G38" s="122"/>
      <c r="H38" s="37"/>
      <c r="I38" s="37"/>
      <c r="J38" s="37"/>
      <c r="K38" s="37"/>
      <c r="L38" s="37"/>
      <c r="M38" s="123" t="str">
        <f>IFERROR(__xludf.DUMMYFUNCTION("QUERY(Hospitais_BD!D:I,""select E where D='""&amp;D38&amp;""'"",0)"),"ZONA NORTE")</f>
        <v>ZONA NORTE</v>
      </c>
      <c r="N38" s="124" t="str">
        <f>IFERROR(__xludf.DUMMYFUNCTION("QUERY(Hospitais_BD!D:I,""select F where D='""&amp;D38&amp;""'"")"),"Rio de Janeiro")</f>
        <v>Rio de Janeiro</v>
      </c>
      <c r="O38" s="125" t="str">
        <f>IFERROR(__xludf.DUMMYFUNCTION("QUERY(Hospitais_BD!D:I,""select G where D='""&amp;D38&amp;""'"")"),"Bonsucesso")</f>
        <v>Bonsucesso</v>
      </c>
      <c r="P38" s="121"/>
      <c r="Q38" s="125" t="str">
        <f>IFERROR(__xludf.DUMMYFUNCTION("QUERY(Hospitais_BD!D:I,""select I where D='""&amp;D38&amp;""'"")"),"Público")</f>
        <v>Público</v>
      </c>
      <c r="R38" s="125" t="str">
        <f>IFERROR(__xludf.DUMMYFUNCTION("QUERY(Hospitais_BD!D:I,""select H where D='""&amp;D38&amp;""'"")"),"Referência - ALTA COMPLEXIDADE")</f>
        <v>Referência - ALTA COMPLEXIDADE</v>
      </c>
      <c r="S38" s="126"/>
      <c r="T38" s="126"/>
      <c r="U38" s="127"/>
      <c r="V38" s="121"/>
      <c r="W38" s="121"/>
      <c r="X38" s="121"/>
      <c r="Y38" s="166"/>
      <c r="Z38" s="166"/>
      <c r="AA38" s="121"/>
      <c r="AB38" s="121"/>
      <c r="AC38" s="121"/>
      <c r="AD38" s="121"/>
      <c r="AE38" s="121"/>
      <c r="AF38" s="130" t="s">
        <v>1002</v>
      </c>
      <c r="AG38" s="163">
        <v>95.0</v>
      </c>
      <c r="AH38" s="129">
        <v>0.0</v>
      </c>
      <c r="AI38" s="129">
        <v>0.0</v>
      </c>
      <c r="AJ38" s="129">
        <v>0.0</v>
      </c>
      <c r="AK38" s="129">
        <v>0.0</v>
      </c>
      <c r="AL38" s="129"/>
      <c r="AM38" s="131" t="s">
        <v>1003</v>
      </c>
    </row>
    <row r="39" ht="21.0" customHeight="1">
      <c r="A39" s="132"/>
      <c r="B39" s="133"/>
      <c r="C39" s="50"/>
      <c r="D39" s="134" t="s">
        <v>579</v>
      </c>
      <c r="E39" s="134"/>
      <c r="F39" s="134"/>
      <c r="G39" s="135"/>
      <c r="H39" s="25"/>
      <c r="I39" s="25"/>
      <c r="J39" s="25"/>
      <c r="K39" s="25"/>
      <c r="L39" s="25"/>
      <c r="M39" s="136" t="str">
        <f>IFERROR(__xludf.DUMMYFUNCTION("QUERY(Hospitais_BD!D:I,""select E where D='""&amp;D39&amp;""'"",0)"),"REGIAO NORTE")</f>
        <v>REGIAO NORTE</v>
      </c>
      <c r="N39" s="94" t="str">
        <f>IFERROR(__xludf.DUMMYFUNCTION("QUERY(Hospitais_BD!D:I,""select F where D='""&amp;D39&amp;""'"")"),"Campos dos Goytacazes")</f>
        <v>Campos dos Goytacazes</v>
      </c>
      <c r="O39" s="137" t="str">
        <f>IFERROR(__xludf.DUMMYFUNCTION("QUERY(Hospitais_BD!D:I,""select G where D='""&amp;D39&amp;""'"")"),"Guarus")</f>
        <v>Guarus</v>
      </c>
      <c r="P39" s="134"/>
      <c r="Q39" s="137" t="str">
        <f>IFERROR(__xludf.DUMMYFUNCTION("QUERY(Hospitais_BD!D:I,""select I where D='""&amp;D39&amp;""'"")"),"Público")</f>
        <v>Público</v>
      </c>
      <c r="R39" s="137" t="str">
        <f>IFERROR(__xludf.DUMMYFUNCTION("QUERY(Hospitais_BD!D:I,""select H where D='""&amp;D39&amp;""'"")"),"Referência - ALTA COMPLEXIDADE")</f>
        <v>Referência - ALTA COMPLEXIDADE</v>
      </c>
      <c r="S39" s="138"/>
      <c r="T39" s="138"/>
      <c r="U39" s="139"/>
      <c r="V39" s="134"/>
      <c r="W39" s="134"/>
      <c r="X39" s="134"/>
      <c r="Y39" s="134"/>
      <c r="Z39" s="134"/>
      <c r="AA39" s="153"/>
      <c r="AB39" s="134"/>
      <c r="AC39" s="134"/>
      <c r="AD39" s="134"/>
      <c r="AE39" s="134"/>
      <c r="AF39" s="144" t="s">
        <v>1002</v>
      </c>
      <c r="AG39" s="144">
        <v>50.0</v>
      </c>
      <c r="AH39" s="144">
        <v>0.0</v>
      </c>
      <c r="AI39" s="144">
        <v>0.0</v>
      </c>
      <c r="AJ39" s="144">
        <v>0.0</v>
      </c>
      <c r="AK39" s="144">
        <v>0.0</v>
      </c>
      <c r="AL39" s="144"/>
      <c r="AM39" s="145" t="s">
        <v>1003</v>
      </c>
    </row>
    <row r="40" ht="21.0" customHeight="1">
      <c r="A40" s="119"/>
      <c r="B40" s="120"/>
      <c r="C40" s="69"/>
      <c r="D40" s="43" t="s">
        <v>819</v>
      </c>
      <c r="E40" s="121"/>
      <c r="F40" s="121"/>
      <c r="G40" s="122"/>
      <c r="H40" s="37"/>
      <c r="I40" s="37"/>
      <c r="J40" s="37"/>
      <c r="K40" s="37"/>
      <c r="L40" s="37"/>
      <c r="M40" s="123" t="str">
        <f>IFERROR(__xludf.DUMMYFUNCTION("QUERY(Hospitais_BD!D:I,""select E where D='""&amp;D40&amp;""'"",0)"),"BAIXADA FLUMINENSE")</f>
        <v>BAIXADA FLUMINENSE</v>
      </c>
      <c r="N40" s="124" t="str">
        <f>IFERROR(__xludf.DUMMYFUNCTION("QUERY(Hospitais_BD!D:I,""select F where D='""&amp;D40&amp;""'"")"),"Nova Iguaçu")</f>
        <v>Nova Iguaçu</v>
      </c>
      <c r="O40" s="125" t="str">
        <f>IFERROR(__xludf.DUMMYFUNCTION("QUERY(Hospitais_BD!D:I,""select G where D='""&amp;D40&amp;""'"")"),"Posse")</f>
        <v>Posse</v>
      </c>
      <c r="P40" s="121"/>
      <c r="Q40" s="125" t="str">
        <f>IFERROR(__xludf.DUMMYFUNCTION("QUERY(Hospitais_BD!D:I,""select I where D='""&amp;D40&amp;""'"")"),"Público")</f>
        <v>Público</v>
      </c>
      <c r="R40" s="125" t="str">
        <f>IFERROR(__xludf.DUMMYFUNCTION("QUERY(Hospitais_BD!D:I,""select H where D='""&amp;D40&amp;""'"")"),"Hospital de Referência - ALTA COMPLEXIDADE
")</f>
        <v>Hospital de Referência - ALTA COMPLEXIDADE
</v>
      </c>
      <c r="S40" s="126"/>
      <c r="T40" s="126"/>
      <c r="U40" s="127"/>
      <c r="V40" s="121"/>
      <c r="W40" s="121"/>
      <c r="X40" s="146"/>
      <c r="Y40" s="40"/>
      <c r="Z40" s="40"/>
      <c r="AA40" s="160"/>
      <c r="AB40" s="121"/>
      <c r="AC40" s="121"/>
      <c r="AD40" s="121"/>
      <c r="AE40" s="121"/>
      <c r="AF40" s="130" t="s">
        <v>1002</v>
      </c>
      <c r="AG40" s="163">
        <v>400.0</v>
      </c>
      <c r="AH40" s="129">
        <v>0.0</v>
      </c>
      <c r="AI40" s="129">
        <v>0.0</v>
      </c>
      <c r="AJ40" s="129">
        <v>0.0</v>
      </c>
      <c r="AK40" s="129">
        <v>0.0</v>
      </c>
      <c r="AL40" s="129"/>
      <c r="AM40" s="131" t="s">
        <v>1003</v>
      </c>
    </row>
    <row r="41" ht="21.0" customHeight="1">
      <c r="A41" s="132"/>
      <c r="B41" s="133"/>
      <c r="C41" s="50"/>
      <c r="D41" s="33" t="s">
        <v>294</v>
      </c>
      <c r="E41" s="134"/>
      <c r="F41" s="134"/>
      <c r="G41" s="135"/>
      <c r="H41" s="25"/>
      <c r="I41" s="25"/>
      <c r="J41" s="25"/>
      <c r="K41" s="25"/>
      <c r="L41" s="25"/>
      <c r="M41" s="136" t="str">
        <f>IFERROR(__xludf.DUMMYFUNCTION("QUERY(Hospitais_BD!D:I,""select E where D='""&amp;D41&amp;""'"",0)"),"ZONA NORTE")</f>
        <v>ZONA NORTE</v>
      </c>
      <c r="N41" s="94" t="str">
        <f>IFERROR(__xludf.DUMMYFUNCTION("QUERY(Hospitais_BD!D:I,""select F where D='""&amp;D41&amp;""'"")"),"Rio de Janeiro")</f>
        <v>Rio de Janeiro</v>
      </c>
      <c r="O41" s="137" t="str">
        <f>IFERROR(__xludf.DUMMYFUNCTION("QUERY(Hospitais_BD!D:I,""select G where D='""&amp;D41&amp;""'"")"),"Penha")</f>
        <v>Penha</v>
      </c>
      <c r="P41" s="134"/>
      <c r="Q41" s="137" t="str">
        <f>IFERROR(__xludf.DUMMYFUNCTION("QUERY(Hospitais_BD!D:I,""select I where D='""&amp;D41&amp;""'"")"),"Público")</f>
        <v>Público</v>
      </c>
      <c r="R41" s="137" t="str">
        <f>IFERROR(__xludf.DUMMYFUNCTION("QUERY(Hospitais_BD!D:I,""select H where D='""&amp;D41&amp;""'"")"),"Unidade básica - BAIXA COMPLEXIDADE")</f>
        <v>Unidade básica - BAIXA COMPLEXIDADE</v>
      </c>
      <c r="S41" s="138"/>
      <c r="T41" s="138"/>
      <c r="U41" s="139"/>
      <c r="V41" s="134"/>
      <c r="W41" s="134"/>
      <c r="X41" s="134"/>
      <c r="Y41" s="33"/>
      <c r="Z41" s="33"/>
      <c r="AA41" s="153"/>
      <c r="AB41" s="134"/>
      <c r="AC41" s="134"/>
      <c r="AD41" s="134"/>
      <c r="AE41" s="134"/>
      <c r="AF41" s="144" t="s">
        <v>1002</v>
      </c>
      <c r="AG41" s="142">
        <v>50.0</v>
      </c>
      <c r="AH41" s="144">
        <v>0.0</v>
      </c>
      <c r="AI41" s="144">
        <v>0.0</v>
      </c>
      <c r="AJ41" s="144">
        <v>0.0</v>
      </c>
      <c r="AK41" s="144">
        <v>0.0</v>
      </c>
      <c r="AL41" s="144"/>
      <c r="AM41" s="145" t="s">
        <v>1003</v>
      </c>
    </row>
    <row r="42" ht="21.0" customHeight="1">
      <c r="A42" s="119"/>
      <c r="B42" s="167"/>
      <c r="C42" s="69"/>
      <c r="D42" s="43" t="s">
        <v>299</v>
      </c>
      <c r="E42" s="40"/>
      <c r="F42" s="40"/>
      <c r="G42" s="122"/>
      <c r="H42" s="109"/>
      <c r="I42" s="109"/>
      <c r="J42" s="109"/>
      <c r="K42" s="109"/>
      <c r="L42" s="109"/>
      <c r="M42" s="123" t="str">
        <f>IFERROR(__xludf.DUMMYFUNCTION("QUERY(Hospitais_BD!D:I,""select E where D='""&amp;D42&amp;""'"",0)"),"ZONA OESTE")</f>
        <v>ZONA OESTE</v>
      </c>
      <c r="N42" s="40" t="str">
        <f>IFERROR(__xludf.DUMMYFUNCTION("QUERY(Hospitais_BD!D:I,""select F where D='""&amp;D42&amp;""'"")"),"Rio de Janeiro")</f>
        <v>Rio de Janeiro</v>
      </c>
      <c r="O42" s="125" t="str">
        <f>IFERROR(__xludf.DUMMYFUNCTION("QUERY(Hospitais_BD!D:I,""select G where D='""&amp;D42&amp;""'"")"),"Realengo")</f>
        <v>Realengo</v>
      </c>
      <c r="P42" s="40"/>
      <c r="Q42" s="125" t="str">
        <f>IFERROR(__xludf.DUMMYFUNCTION("QUERY(Hospitais_BD!D:I,""select I where D='""&amp;D42&amp;""'"")"),"Público")</f>
        <v>Público</v>
      </c>
      <c r="R42" s="125" t="str">
        <f>IFERROR(__xludf.DUMMYFUNCTION("QUERY(Hospitais_BD!D:I,""select H where D='""&amp;D42&amp;""'"")"),"Grande emergência - MÉDIA COMPLEXIDADE")</f>
        <v>Grande emergência - MÉDIA COMPLEXIDADE</v>
      </c>
      <c r="S42" s="125"/>
      <c r="T42" s="125"/>
      <c r="U42" s="168"/>
      <c r="V42" s="40"/>
      <c r="W42" s="40"/>
      <c r="X42" s="146"/>
      <c r="Y42" s="40"/>
      <c r="Z42" s="40"/>
      <c r="AA42" s="169"/>
      <c r="AB42" s="40"/>
      <c r="AC42" s="40"/>
      <c r="AD42" s="40"/>
      <c r="AE42" s="40"/>
      <c r="AF42" s="130" t="s">
        <v>1002</v>
      </c>
      <c r="AG42" s="148">
        <v>50.0</v>
      </c>
      <c r="AH42" s="170">
        <v>0.0</v>
      </c>
      <c r="AI42" s="170">
        <v>0.0</v>
      </c>
      <c r="AJ42" s="170">
        <v>0.0</v>
      </c>
      <c r="AK42" s="170">
        <v>0.0</v>
      </c>
      <c r="AL42" s="170"/>
      <c r="AM42" s="171" t="s">
        <v>1003</v>
      </c>
    </row>
    <row r="43" ht="21.0" customHeight="1">
      <c r="A43" s="132"/>
      <c r="B43" s="133"/>
      <c r="C43" s="50"/>
      <c r="D43" s="172" t="s">
        <v>890</v>
      </c>
      <c r="E43" s="134"/>
      <c r="F43" s="134"/>
      <c r="G43" s="135"/>
      <c r="H43" s="25"/>
      <c r="I43" s="25"/>
      <c r="J43" s="25"/>
      <c r="K43" s="25"/>
      <c r="L43" s="25"/>
      <c r="M43" s="136" t="str">
        <f>IFERROR(__xludf.DUMMYFUNCTION("QUERY(Hospitais_BD!D:I,""select E where D='""&amp;D43&amp;""'"",0)"),"ZONA OESTE")</f>
        <v>ZONA OESTE</v>
      </c>
      <c r="N43" s="94" t="str">
        <f>IFERROR(__xludf.DUMMYFUNCTION("QUERY(Hospitais_BD!D:I,""select F where D='""&amp;D43&amp;""'"")"),"Rio de Janeiro")</f>
        <v>Rio de Janeiro</v>
      </c>
      <c r="O43" s="137" t="str">
        <f>IFERROR(__xludf.DUMMYFUNCTION("QUERY(Hospitais_BD!D:I,""select G where D='""&amp;D43&amp;""'"")"),"Taquara")</f>
        <v>Taquara</v>
      </c>
      <c r="P43" s="134"/>
      <c r="Q43" s="137" t="str">
        <f>IFERROR(__xludf.DUMMYFUNCTION("QUERY(Hospitais_BD!D:I,""select I where D='""&amp;D43&amp;""'"")"),"Público")</f>
        <v>Público</v>
      </c>
      <c r="R43" s="137" t="str">
        <f>IFERROR(__xludf.DUMMYFUNCTION("QUERY(Hospitais_BD!D:I,""select H where D='""&amp;D43&amp;""'"")"),"Grande emergência - MÉDIA COMPLEXIDADE
")</f>
        <v>Grande emergência - MÉDIA COMPLEXIDADE
</v>
      </c>
      <c r="S43" s="138"/>
      <c r="T43" s="138"/>
      <c r="U43" s="139"/>
      <c r="V43" s="134"/>
      <c r="W43" s="134"/>
      <c r="X43" s="134"/>
      <c r="Y43" s="134"/>
      <c r="Z43" s="134"/>
      <c r="AA43" s="161"/>
      <c r="AB43" s="134"/>
      <c r="AC43" s="134"/>
      <c r="AD43" s="134"/>
      <c r="AE43" s="134"/>
      <c r="AF43" s="144" t="s">
        <v>1002</v>
      </c>
      <c r="AG43" s="154">
        <v>90.0</v>
      </c>
      <c r="AH43" s="144">
        <v>0.0</v>
      </c>
      <c r="AI43" s="144">
        <v>0.0</v>
      </c>
      <c r="AJ43" s="144">
        <v>0.0</v>
      </c>
      <c r="AK43" s="144">
        <v>0.0</v>
      </c>
      <c r="AL43" s="144"/>
      <c r="AM43" s="145" t="s">
        <v>1003</v>
      </c>
    </row>
    <row r="44" ht="21.0" customHeight="1">
      <c r="A44" s="119"/>
      <c r="B44" s="120"/>
      <c r="C44" s="69"/>
      <c r="D44" s="40" t="s">
        <v>891</v>
      </c>
      <c r="E44" s="121"/>
      <c r="F44" s="121"/>
      <c r="G44" s="122"/>
      <c r="H44" s="37"/>
      <c r="I44" s="37"/>
      <c r="J44" s="37"/>
      <c r="K44" s="37"/>
      <c r="L44" s="37"/>
      <c r="M44" s="123" t="str">
        <f>IFERROR(__xludf.DUMMYFUNCTION("QUERY(Hospitais_BD!D:I,""select E where D='""&amp;D44&amp;""'"",0)"),"CENTRO")</f>
        <v>CENTRO</v>
      </c>
      <c r="N44" s="124" t="str">
        <f>IFERROR(__xludf.DUMMYFUNCTION("QUERY(Hospitais_BD!D:I,""select F where D='""&amp;D44&amp;""'"")"),"Rio de Janeiro")</f>
        <v>Rio de Janeiro</v>
      </c>
      <c r="O44" s="125" t="str">
        <f>IFERROR(__xludf.DUMMYFUNCTION("QUERY(Hospitais_BD!D:I,""select G where D='""&amp;D44&amp;""'"")"),"Mangueira")</f>
        <v>Mangueira</v>
      </c>
      <c r="P44" s="121"/>
      <c r="Q44" s="125" t="str">
        <f>IFERROR(__xludf.DUMMYFUNCTION("QUERY(Hospitais_BD!D:I,""select I where D='""&amp;D44&amp;""'"")"),"Público")</f>
        <v>Público</v>
      </c>
      <c r="R44" s="125" t="str">
        <f>IFERROR(__xludf.DUMMYFUNCTION("QUERY(Hospitais_BD!D:I,""select H where D='""&amp;D44&amp;""'"")"),"Grande emergência - MÉDIA COMPLEXIDADE
")</f>
        <v>Grande emergência - MÉDIA COMPLEXIDADE
</v>
      </c>
      <c r="S44" s="126"/>
      <c r="T44" s="126"/>
      <c r="U44" s="127"/>
      <c r="V44" s="121"/>
      <c r="W44" s="121"/>
      <c r="X44" s="121"/>
      <c r="Y44" s="40"/>
      <c r="Z44" s="40"/>
      <c r="AA44" s="165"/>
      <c r="AB44" s="121"/>
      <c r="AC44" s="121"/>
      <c r="AD44" s="121"/>
      <c r="AE44" s="121"/>
      <c r="AF44" s="129" t="s">
        <v>1002</v>
      </c>
      <c r="AG44" s="159">
        <v>100.0</v>
      </c>
      <c r="AH44" s="129">
        <v>0.0</v>
      </c>
      <c r="AI44" s="129">
        <v>0.0</v>
      </c>
      <c r="AJ44" s="129">
        <v>0.0</v>
      </c>
      <c r="AK44" s="129">
        <v>0.0</v>
      </c>
      <c r="AL44" s="129"/>
      <c r="AM44" s="131" t="s">
        <v>1003</v>
      </c>
    </row>
    <row r="45" ht="21.0" customHeight="1">
      <c r="A45" s="132"/>
      <c r="B45" s="133"/>
      <c r="C45" s="50"/>
      <c r="D45" s="46" t="s">
        <v>1004</v>
      </c>
      <c r="E45" s="134"/>
      <c r="F45" s="134"/>
      <c r="G45" s="135"/>
      <c r="H45" s="25"/>
      <c r="I45" s="25"/>
      <c r="J45" s="25"/>
      <c r="K45" s="25"/>
      <c r="L45" s="25"/>
      <c r="M45" s="70" t="s">
        <v>197</v>
      </c>
      <c r="N45" s="172" t="s">
        <v>316</v>
      </c>
      <c r="O45" s="70" t="s">
        <v>149</v>
      </c>
      <c r="P45" s="134"/>
      <c r="Q45" s="70" t="s">
        <v>1005</v>
      </c>
      <c r="R45" s="137" t="str">
        <f>IFERROR(__xludf.DUMMYFUNCTION("QUERY(Hospitais_BD!D:I,""select H where D='""&amp;D45&amp;""'"")"),"#N/A")</f>
        <v>#N/A</v>
      </c>
      <c r="S45" s="138"/>
      <c r="T45" s="138"/>
      <c r="U45" s="139"/>
      <c r="V45" s="134"/>
      <c r="W45" s="134"/>
      <c r="X45" s="140"/>
      <c r="Y45" s="33"/>
      <c r="Z45" s="33"/>
      <c r="AA45" s="164"/>
      <c r="AB45" s="134"/>
      <c r="AC45" s="134"/>
      <c r="AD45" s="134"/>
      <c r="AE45" s="134"/>
      <c r="AF45" s="142" t="s">
        <v>1002</v>
      </c>
      <c r="AG45" s="143">
        <v>50.0</v>
      </c>
      <c r="AH45" s="144">
        <v>0.0</v>
      </c>
      <c r="AI45" s="144">
        <v>0.0</v>
      </c>
      <c r="AJ45" s="144">
        <v>0.0</v>
      </c>
      <c r="AK45" s="144">
        <v>0.0</v>
      </c>
      <c r="AL45" s="144"/>
      <c r="AM45" s="145" t="s">
        <v>1003</v>
      </c>
    </row>
    <row r="46" ht="21.0" customHeight="1">
      <c r="A46" s="119"/>
      <c r="B46" s="120"/>
      <c r="C46" s="69"/>
      <c r="D46" s="152" t="s">
        <v>312</v>
      </c>
      <c r="E46" s="121"/>
      <c r="F46" s="121"/>
      <c r="G46" s="122"/>
      <c r="H46" s="37"/>
      <c r="I46" s="37"/>
      <c r="J46" s="37"/>
      <c r="K46" s="37"/>
      <c r="L46" s="37"/>
      <c r="M46" s="123" t="str">
        <f>IFERROR(__xludf.DUMMYFUNCTION("QUERY(Hospitais_BD!D:I,""select E where D='""&amp;D46&amp;""'"",0)"),"ZONA NORTE")</f>
        <v>ZONA NORTE</v>
      </c>
      <c r="N46" s="124" t="str">
        <f>IFERROR(__xludf.DUMMYFUNCTION("QUERY(Hospitais_BD!D:I,""select F where D='""&amp;D46&amp;""'"")"),"Rio de Janeiro")</f>
        <v>Rio de Janeiro</v>
      </c>
      <c r="O46" s="125" t="str">
        <f>IFERROR(__xludf.DUMMYFUNCTION("QUERY(Hospitais_BD!D:I,""select G where D='""&amp;D46&amp;""'"")"),"Piedade")</f>
        <v>Piedade</v>
      </c>
      <c r="P46" s="121"/>
      <c r="Q46" s="125" t="str">
        <f>IFERROR(__xludf.DUMMYFUNCTION("QUERY(Hospitais_BD!D:I,""select I where D='""&amp;D46&amp;""'"")"),"Público")</f>
        <v>Público</v>
      </c>
      <c r="R46" s="125" t="str">
        <f>IFERROR(__xludf.DUMMYFUNCTION("QUERY(Hospitais_BD!D:I,""select H where D='""&amp;D46&amp;""'"")"),"Grande emergência - MÉDIA COMPLEXIDADE")</f>
        <v>Grande emergência - MÉDIA COMPLEXIDADE</v>
      </c>
      <c r="S46" s="126"/>
      <c r="T46" s="126"/>
      <c r="U46" s="127"/>
      <c r="V46" s="121"/>
      <c r="W46" s="121"/>
      <c r="X46" s="121"/>
      <c r="Y46" s="40"/>
      <c r="Z46" s="40"/>
      <c r="AA46" s="128"/>
      <c r="AB46" s="121"/>
      <c r="AC46" s="121"/>
      <c r="AD46" s="121"/>
      <c r="AE46" s="121"/>
      <c r="AF46" s="129" t="s">
        <v>1002</v>
      </c>
      <c r="AG46" s="130">
        <v>100.0</v>
      </c>
      <c r="AH46" s="129">
        <v>0.0</v>
      </c>
      <c r="AI46" s="129">
        <v>0.0</v>
      </c>
      <c r="AJ46" s="129">
        <v>0.0</v>
      </c>
      <c r="AK46" s="129">
        <v>0.0</v>
      </c>
      <c r="AL46" s="129"/>
      <c r="AM46" s="131" t="s">
        <v>1003</v>
      </c>
    </row>
    <row r="47" ht="21.0" customHeight="1">
      <c r="A47" s="132"/>
      <c r="B47" s="133"/>
      <c r="C47" s="50"/>
      <c r="D47" s="134" t="s">
        <v>892</v>
      </c>
      <c r="E47" s="134"/>
      <c r="F47" s="134"/>
      <c r="G47" s="135"/>
      <c r="H47" s="25"/>
      <c r="I47" s="25"/>
      <c r="J47" s="25"/>
      <c r="K47" s="25"/>
      <c r="L47" s="25"/>
      <c r="M47" s="136" t="str">
        <f>IFERROR(__xludf.DUMMYFUNCTION("QUERY(Hospitais_BD!D:I,""select E where D='""&amp;D47&amp;""'"",0)"),"REGIAO METROPOLITANA")</f>
        <v>REGIAO METROPOLITANA</v>
      </c>
      <c r="N47" s="94" t="str">
        <f>IFERROR(__xludf.DUMMYFUNCTION("QUERY(Hospitais_BD!D:I,""select F where D='""&amp;D47&amp;""'"")"),"Itaboraí")</f>
        <v>Itaboraí</v>
      </c>
      <c r="O47" s="137" t="str">
        <f>IFERROR(__xludf.DUMMYFUNCTION("QUERY(Hospitais_BD!D:I,""select G where D='""&amp;D47&amp;""'"")"),"Nancilândia")</f>
        <v>Nancilândia</v>
      </c>
      <c r="P47" s="134"/>
      <c r="Q47" s="137" t="str">
        <f>IFERROR(__xludf.DUMMYFUNCTION("QUERY(Hospitais_BD!D:I,""select I where D='""&amp;D47&amp;""'"")"),"Público")</f>
        <v>Público</v>
      </c>
      <c r="R47" s="137" t="str">
        <f>IFERROR(__xludf.DUMMYFUNCTION("QUERY(Hospitais_BD!D:I,""select H where D='""&amp;D47&amp;""'"")"),"Grande emergência - MÉDIA COMPLEXIDADE
")</f>
        <v>Grande emergência - MÉDIA COMPLEXIDADE
</v>
      </c>
      <c r="S47" s="138"/>
      <c r="T47" s="138"/>
      <c r="U47" s="139"/>
      <c r="V47" s="134"/>
      <c r="W47" s="134"/>
      <c r="X47" s="134"/>
      <c r="Y47" s="134"/>
      <c r="Z47" s="134"/>
      <c r="AA47" s="153"/>
      <c r="AB47" s="134"/>
      <c r="AC47" s="134"/>
      <c r="AD47" s="134"/>
      <c r="AE47" s="134"/>
      <c r="AF47" s="144" t="s">
        <v>1002</v>
      </c>
      <c r="AG47" s="154">
        <v>100.0</v>
      </c>
      <c r="AH47" s="144">
        <v>0.0</v>
      </c>
      <c r="AI47" s="144">
        <v>0.0</v>
      </c>
      <c r="AJ47" s="144">
        <v>0.0</v>
      </c>
      <c r="AK47" s="144">
        <v>0.0</v>
      </c>
      <c r="AL47" s="144"/>
      <c r="AM47" s="145" t="s">
        <v>1003</v>
      </c>
    </row>
    <row r="48" ht="21.0" customHeight="1">
      <c r="A48" s="119"/>
      <c r="B48" s="120"/>
      <c r="C48" s="69"/>
      <c r="D48" s="43" t="s">
        <v>323</v>
      </c>
      <c r="E48" s="121"/>
      <c r="F48" s="121"/>
      <c r="G48" s="122"/>
      <c r="H48" s="37"/>
      <c r="I48" s="37"/>
      <c r="J48" s="37"/>
      <c r="K48" s="37"/>
      <c r="L48" s="37"/>
      <c r="M48" s="123" t="str">
        <f>IFERROR(__xludf.DUMMYFUNCTION("QUERY(Hospitais_BD!D:I,""select E where D='""&amp;D48&amp;""'"",0)"),"REGIAO SERRANA")</f>
        <v>REGIAO SERRANA</v>
      </c>
      <c r="N48" s="124" t="str">
        <f>IFERROR(__xludf.DUMMYFUNCTION("QUERY(Hospitais_BD!D:I,""select F where D='""&amp;D48&amp;""'"")"),"Petropólis")</f>
        <v>Petropólis</v>
      </c>
      <c r="O48" s="125" t="str">
        <f>IFERROR(__xludf.DUMMYFUNCTION("QUERY(Hospitais_BD!D:I,""select G where D='""&amp;D48&amp;""'"")"),"Centro")</f>
        <v>Centro</v>
      </c>
      <c r="P48" s="121"/>
      <c r="Q48" s="125" t="str">
        <f>IFERROR(__xludf.DUMMYFUNCTION("QUERY(Hospitais_BD!D:I,""select I where D='""&amp;D48&amp;""'"")"),"Público")</f>
        <v>Público</v>
      </c>
      <c r="R48" s="125" t="str">
        <f>IFERROR(__xludf.DUMMYFUNCTION("QUERY(Hospitais_BD!D:I,""select H where D='""&amp;D48&amp;""'"")"),"Referência - ALTA COMPLEXIDADE")</f>
        <v>Referência - ALTA COMPLEXIDADE</v>
      </c>
      <c r="S48" s="126"/>
      <c r="T48" s="126"/>
      <c r="U48" s="127"/>
      <c r="V48" s="121"/>
      <c r="W48" s="121"/>
      <c r="X48" s="121"/>
      <c r="Y48" s="121"/>
      <c r="Z48" s="121"/>
      <c r="AA48" s="43"/>
      <c r="AB48" s="121"/>
      <c r="AC48" s="121"/>
      <c r="AD48" s="121"/>
      <c r="AE48" s="121"/>
      <c r="AF48" s="130" t="s">
        <v>1002</v>
      </c>
      <c r="AG48" s="148">
        <v>50.0</v>
      </c>
      <c r="AH48" s="129">
        <v>0.0</v>
      </c>
      <c r="AI48" s="129">
        <v>0.0</v>
      </c>
      <c r="AJ48" s="129">
        <v>0.0</v>
      </c>
      <c r="AK48" s="129">
        <v>0.0</v>
      </c>
      <c r="AL48" s="129"/>
      <c r="AM48" s="131" t="s">
        <v>1003</v>
      </c>
    </row>
    <row r="49" ht="21.0" customHeight="1">
      <c r="A49" s="132"/>
      <c r="B49" s="133"/>
      <c r="C49" s="50"/>
      <c r="D49" s="157" t="s">
        <v>327</v>
      </c>
      <c r="E49" s="134"/>
      <c r="F49" s="134"/>
      <c r="G49" s="135"/>
      <c r="H49" s="25"/>
      <c r="I49" s="25"/>
      <c r="J49" s="25"/>
      <c r="K49" s="25"/>
      <c r="L49" s="25"/>
      <c r="M49" s="136" t="str">
        <f>IFERROR(__xludf.DUMMYFUNCTION("QUERY(Hospitais_BD!D:I,""select E where D='""&amp;D49&amp;""'"",0)"),"REGIAO DOS LAGOS")</f>
        <v>REGIAO DOS LAGOS</v>
      </c>
      <c r="N49" s="94" t="str">
        <f>IFERROR(__xludf.DUMMYFUNCTION("QUERY(Hospitais_BD!D:I,""select F where D='""&amp;D49&amp;""'"")"),"Macaé")</f>
        <v>Macaé</v>
      </c>
      <c r="O49" s="137" t="str">
        <f>IFERROR(__xludf.DUMMYFUNCTION("QUERY(Hospitais_BD!D:I,""select G where D='""&amp;D49&amp;""'"")"),"Virgem Santa")</f>
        <v>Virgem Santa</v>
      </c>
      <c r="P49" s="134"/>
      <c r="Q49" s="137" t="str">
        <f>IFERROR(__xludf.DUMMYFUNCTION("QUERY(Hospitais_BD!D:I,""select I where D='""&amp;D49&amp;""'"")"),"Público")</f>
        <v>Público</v>
      </c>
      <c r="R49" s="137" t="str">
        <f>IFERROR(__xludf.DUMMYFUNCTION("QUERY(Hospitais_BD!D:I,""select H where D='""&amp;D49&amp;""'"")"),"Referência - ALTA COMPLEXIDADE")</f>
        <v>Referência - ALTA COMPLEXIDADE</v>
      </c>
      <c r="S49" s="138"/>
      <c r="T49" s="138"/>
      <c r="U49" s="139"/>
      <c r="V49" s="134"/>
      <c r="W49" s="134"/>
      <c r="X49" s="134"/>
      <c r="Y49" s="134"/>
      <c r="Z49" s="134"/>
      <c r="AA49" s="153"/>
      <c r="AB49" s="134"/>
      <c r="AC49" s="134"/>
      <c r="AD49" s="134"/>
      <c r="AE49" s="134"/>
      <c r="AF49" s="144" t="s">
        <v>1002</v>
      </c>
      <c r="AG49" s="154">
        <v>50.0</v>
      </c>
      <c r="AH49" s="144">
        <v>0.0</v>
      </c>
      <c r="AI49" s="144">
        <v>0.0</v>
      </c>
      <c r="AJ49" s="144">
        <v>0.0</v>
      </c>
      <c r="AK49" s="144">
        <v>0.0</v>
      </c>
      <c r="AL49" s="144"/>
      <c r="AM49" s="145" t="s">
        <v>1003</v>
      </c>
    </row>
    <row r="50" ht="21.0" customHeight="1">
      <c r="A50" s="119"/>
      <c r="B50" s="120"/>
      <c r="C50" s="69"/>
      <c r="D50" s="43" t="s">
        <v>834</v>
      </c>
      <c r="E50" s="121"/>
      <c r="F50" s="121"/>
      <c r="G50" s="122"/>
      <c r="H50" s="37"/>
      <c r="I50" s="37"/>
      <c r="J50" s="37"/>
      <c r="K50" s="37"/>
      <c r="L50" s="37"/>
      <c r="M50" s="123" t="str">
        <f>IFERROR(__xludf.DUMMYFUNCTION("QUERY(Hospitais_BD!D:I,""select E where D='""&amp;D50&amp;""'"",0)"),"ZONA NORTE")</f>
        <v>ZONA NORTE</v>
      </c>
      <c r="N50" s="124" t="str">
        <f>IFERROR(__xludf.DUMMYFUNCTION("QUERY(Hospitais_BD!D:I,""select F where D='""&amp;D50&amp;""'"")"),"Rio de Janeiro")</f>
        <v>Rio de Janeiro</v>
      </c>
      <c r="O50" s="125" t="str">
        <f>IFERROR(__xludf.DUMMYFUNCTION("QUERY(Hospitais_BD!D:I,""select G where D='""&amp;D50&amp;""'"")"),"Portuguesa")</f>
        <v>Portuguesa</v>
      </c>
      <c r="P50" s="121"/>
      <c r="Q50" s="125" t="str">
        <f>IFERROR(__xludf.DUMMYFUNCTION("QUERY(Hospitais_BD!D:I,""select I where D='""&amp;D50&amp;""'"")"),"Público")</f>
        <v>Público</v>
      </c>
      <c r="R50" s="125" t="str">
        <f>IFERROR(__xludf.DUMMYFUNCTION("QUERY(Hospitais_BD!D:I,""select H where D='""&amp;D50&amp;""'"")"),"Hospital de Referência - ALTA COMPLEXIDADE
")</f>
        <v>Hospital de Referência - ALTA COMPLEXIDADE
</v>
      </c>
      <c r="S50" s="126"/>
      <c r="T50" s="126"/>
      <c r="U50" s="127"/>
      <c r="V50" s="121"/>
      <c r="W50" s="121"/>
      <c r="X50" s="121"/>
      <c r="Y50" s="121"/>
      <c r="Z50" s="121"/>
      <c r="AA50" s="155"/>
      <c r="AB50" s="121"/>
      <c r="AC50" s="121"/>
      <c r="AD50" s="121"/>
      <c r="AE50" s="121"/>
      <c r="AF50" s="130" t="s">
        <v>1002</v>
      </c>
      <c r="AG50" s="148">
        <v>80.0</v>
      </c>
      <c r="AH50" s="129">
        <v>0.0</v>
      </c>
      <c r="AI50" s="129">
        <v>0.0</v>
      </c>
      <c r="AJ50" s="129">
        <v>0.0</v>
      </c>
      <c r="AK50" s="129">
        <v>0.0</v>
      </c>
      <c r="AL50" s="129"/>
      <c r="AM50" s="131" t="s">
        <v>1003</v>
      </c>
    </row>
    <row r="51" ht="21.0" customHeight="1">
      <c r="A51" s="132"/>
      <c r="B51" s="133"/>
      <c r="C51" s="50"/>
      <c r="D51" s="46" t="s">
        <v>335</v>
      </c>
      <c r="E51" s="134"/>
      <c r="F51" s="134"/>
      <c r="G51" s="135"/>
      <c r="H51" s="25"/>
      <c r="I51" s="25"/>
      <c r="J51" s="25"/>
      <c r="K51" s="25"/>
      <c r="L51" s="25"/>
      <c r="M51" s="136" t="str">
        <f>IFERROR(__xludf.DUMMYFUNCTION("QUERY(Hospitais_BD!D:I,""select E where D='""&amp;D51&amp;""'"",0)"),"#REF!")</f>
        <v>#REF!</v>
      </c>
      <c r="N51" s="94" t="str">
        <f>IFERROR(__xludf.DUMMYFUNCTION("QUERY(Hospitais_BD!D:I,""select F where D='""&amp;D51&amp;""'"")"),"#REF!")</f>
        <v>#REF!</v>
      </c>
      <c r="O51" s="137" t="str">
        <f>IFERROR(__xludf.DUMMYFUNCTION("QUERY(Hospitais_BD!D:I,""select G where D='""&amp;D51&amp;""'"")"),"#REF!")</f>
        <v>#REF!</v>
      </c>
      <c r="P51" s="134"/>
      <c r="Q51" s="137" t="str">
        <f>IFERROR(__xludf.DUMMYFUNCTION("QUERY(Hospitais_BD!D:I,""select I where D='""&amp;D51&amp;""'"")"),"#REF!")</f>
        <v>#REF!</v>
      </c>
      <c r="R51" s="137" t="str">
        <f>IFERROR(__xludf.DUMMYFUNCTION("QUERY(Hospitais_BD!D:I,""select H where D='""&amp;D51&amp;""'"")"),"#REF!")</f>
        <v>#REF!</v>
      </c>
      <c r="S51" s="138"/>
      <c r="T51" s="138"/>
      <c r="U51" s="139"/>
      <c r="V51" s="134"/>
      <c r="W51" s="134"/>
      <c r="X51" s="134"/>
      <c r="Y51" s="134"/>
      <c r="Z51" s="134"/>
      <c r="AA51" s="151"/>
      <c r="AB51" s="134"/>
      <c r="AC51" s="134"/>
      <c r="AD51" s="134"/>
      <c r="AE51" s="134"/>
      <c r="AF51" s="142" t="s">
        <v>1002</v>
      </c>
      <c r="AG51" s="143">
        <v>50.0</v>
      </c>
      <c r="AH51" s="144">
        <v>0.0</v>
      </c>
      <c r="AI51" s="144">
        <v>0.0</v>
      </c>
      <c r="AJ51" s="144">
        <v>0.0</v>
      </c>
      <c r="AK51" s="144">
        <v>0.0</v>
      </c>
      <c r="AL51" s="144"/>
      <c r="AM51" s="145" t="s">
        <v>1003</v>
      </c>
    </row>
    <row r="52" ht="21.0" customHeight="1">
      <c r="A52" s="119"/>
      <c r="B52" s="120"/>
      <c r="C52" s="69"/>
      <c r="D52" s="43" t="s">
        <v>337</v>
      </c>
      <c r="E52" s="121"/>
      <c r="F52" s="121"/>
      <c r="G52" s="122"/>
      <c r="H52" s="37"/>
      <c r="I52" s="37"/>
      <c r="J52" s="37"/>
      <c r="K52" s="37"/>
      <c r="L52" s="37"/>
      <c r="M52" s="123" t="str">
        <f>IFERROR(__xludf.DUMMYFUNCTION("QUERY(Hospitais_BD!D:I,""select E where D='""&amp;D52&amp;""'"",0)"),"ZONA NORTE")</f>
        <v>ZONA NORTE</v>
      </c>
      <c r="N52" s="124" t="str">
        <f>IFERROR(__xludf.DUMMYFUNCTION("QUERY(Hospitais_BD!D:I,""select F where D='""&amp;D52&amp;""'"")"),"Rio de Janeiro")</f>
        <v>Rio de Janeiro</v>
      </c>
      <c r="O52" s="125" t="str">
        <f>IFERROR(__xludf.DUMMYFUNCTION("QUERY(Hospitais_BD!D:I,""select G where D='""&amp;D52&amp;""'"")"),"Vila Isabel")</f>
        <v>Vila Isabel</v>
      </c>
      <c r="P52" s="121"/>
      <c r="Q52" s="125" t="str">
        <f>IFERROR(__xludf.DUMMYFUNCTION("QUERY(Hospitais_BD!D:I,""select I where D='""&amp;D52&amp;""'"")"),"Público")</f>
        <v>Público</v>
      </c>
      <c r="R52" s="125" t="str">
        <f>IFERROR(__xludf.DUMMYFUNCTION("QUERY(Hospitais_BD!D:I,""select H where D='""&amp;D52&amp;""'"")"),"Grande emergência - MÉDIA COMPLEXIDADE")</f>
        <v>Grande emergência - MÉDIA COMPLEXIDADE</v>
      </c>
      <c r="S52" s="126"/>
      <c r="T52" s="126"/>
      <c r="U52" s="127"/>
      <c r="V52" s="121"/>
      <c r="W52" s="121"/>
      <c r="X52" s="121"/>
      <c r="Y52" s="121"/>
      <c r="Z52" s="121"/>
      <c r="AA52" s="155"/>
      <c r="AB52" s="121"/>
      <c r="AC52" s="121"/>
      <c r="AD52" s="121"/>
      <c r="AE52" s="121"/>
      <c r="AF52" s="130" t="s">
        <v>1002</v>
      </c>
      <c r="AG52" s="148">
        <v>30.0</v>
      </c>
      <c r="AH52" s="129">
        <v>0.0</v>
      </c>
      <c r="AI52" s="129">
        <v>0.0</v>
      </c>
      <c r="AJ52" s="129">
        <v>0.0</v>
      </c>
      <c r="AK52" s="129">
        <v>0.0</v>
      </c>
      <c r="AL52" s="129"/>
      <c r="AM52" s="131" t="s">
        <v>1003</v>
      </c>
    </row>
    <row r="53" ht="21.0" customHeight="1">
      <c r="A53" s="132"/>
      <c r="B53" s="133"/>
      <c r="C53" s="50"/>
      <c r="D53" s="46" t="s">
        <v>339</v>
      </c>
      <c r="E53" s="134"/>
      <c r="F53" s="134"/>
      <c r="G53" s="135"/>
      <c r="H53" s="25"/>
      <c r="I53" s="25"/>
      <c r="J53" s="25"/>
      <c r="K53" s="25"/>
      <c r="L53" s="25"/>
      <c r="M53" s="136" t="str">
        <f>IFERROR(__xludf.DUMMYFUNCTION("QUERY(Hospitais_BD!D:I,""select E where D='""&amp;D53&amp;""'"",0)"),"REGIAO SERRANA")</f>
        <v>REGIAO SERRANA</v>
      </c>
      <c r="N53" s="94" t="str">
        <f>IFERROR(__xludf.DUMMYFUNCTION("QUERY(Hospitais_BD!D:I,""select F where D='""&amp;D53&amp;""'"")"),"Guapimirim serrana")</f>
        <v>Guapimirim serrana</v>
      </c>
      <c r="O53" s="137" t="str">
        <f>IFERROR(__xludf.DUMMYFUNCTION("QUERY(Hospitais_BD!D:I,""select G where D='""&amp;D53&amp;""'"")"),"Bananal")</f>
        <v>Bananal</v>
      </c>
      <c r="P53" s="134"/>
      <c r="Q53" s="137" t="str">
        <f>IFERROR(__xludf.DUMMYFUNCTION("QUERY(Hospitais_BD!D:I,""select I where D='""&amp;D53&amp;""'"")"),"Público")</f>
        <v>Público</v>
      </c>
      <c r="R53" s="137" t="str">
        <f>IFERROR(__xludf.DUMMYFUNCTION("QUERY(Hospitais_BD!D:I,""select H where D='""&amp;D53&amp;""'"")"),"Referência - ALTA COMPLEXIDADE")</f>
        <v>Referência - ALTA COMPLEXIDADE</v>
      </c>
      <c r="S53" s="138"/>
      <c r="T53" s="138"/>
      <c r="U53" s="139"/>
      <c r="V53" s="134"/>
      <c r="W53" s="134"/>
      <c r="X53" s="173"/>
      <c r="Y53" s="33"/>
      <c r="Z53" s="33"/>
      <c r="AA53" s="141"/>
      <c r="AB53" s="134"/>
      <c r="AC53" s="134"/>
      <c r="AD53" s="134"/>
      <c r="AE53" s="134"/>
      <c r="AF53" s="142" t="s">
        <v>1002</v>
      </c>
      <c r="AG53" s="143">
        <v>50.0</v>
      </c>
      <c r="AH53" s="144">
        <v>0.0</v>
      </c>
      <c r="AI53" s="144">
        <v>0.0</v>
      </c>
      <c r="AJ53" s="144">
        <v>0.0</v>
      </c>
      <c r="AK53" s="144">
        <v>0.0</v>
      </c>
      <c r="AL53" s="144"/>
      <c r="AM53" s="145" t="s">
        <v>1003</v>
      </c>
    </row>
    <row r="54" ht="21.0" customHeight="1">
      <c r="A54" s="119"/>
      <c r="B54" s="120"/>
      <c r="C54" s="69"/>
      <c r="D54" s="166" t="s">
        <v>345</v>
      </c>
      <c r="E54" s="121"/>
      <c r="F54" s="121"/>
      <c r="G54" s="122"/>
      <c r="H54" s="37"/>
      <c r="I54" s="37"/>
      <c r="J54" s="37"/>
      <c r="K54" s="37"/>
      <c r="L54" s="37"/>
      <c r="M54" s="123" t="str">
        <f>IFERROR(__xludf.DUMMYFUNCTION("QUERY(Hospitais_BD!D:I,""select E where D='""&amp;D54&amp;""'"",0)"),"ZONA OESTE")</f>
        <v>ZONA OESTE</v>
      </c>
      <c r="N54" s="124" t="str">
        <f>IFERROR(__xludf.DUMMYFUNCTION("QUERY(Hospitais_BD!D:I,""select F where D='""&amp;D54&amp;""'"")"),"Rio de Janeiro")</f>
        <v>Rio de Janeiro</v>
      </c>
      <c r="O54" s="125" t="str">
        <f>IFERROR(__xludf.DUMMYFUNCTION("QUERY(Hospitais_BD!D:I,""select G where D='""&amp;D54&amp;""'"")"),"Barra da Tijuca")</f>
        <v>Barra da Tijuca</v>
      </c>
      <c r="P54" s="121"/>
      <c r="Q54" s="125" t="str">
        <f>IFERROR(__xludf.DUMMYFUNCTION("QUERY(Hospitais_BD!D:I,""select I where D='""&amp;D54&amp;""'"")"),"Público")</f>
        <v>Público</v>
      </c>
      <c r="R54" s="125" t="str">
        <f>IFERROR(__xludf.DUMMYFUNCTION("QUERY(Hospitais_BD!D:I,""select H where D='""&amp;D54&amp;""'"")"),"Grande emergência - MÉDIA COMPLEXIDADE")</f>
        <v>Grande emergência - MÉDIA COMPLEXIDADE</v>
      </c>
      <c r="S54" s="126"/>
      <c r="T54" s="126"/>
      <c r="U54" s="127"/>
      <c r="V54" s="121"/>
      <c r="W54" s="121"/>
      <c r="X54" s="121"/>
      <c r="Y54" s="166"/>
      <c r="Z54" s="166"/>
      <c r="AA54" s="121"/>
      <c r="AB54" s="121"/>
      <c r="AC54" s="121"/>
      <c r="AD54" s="121"/>
      <c r="AE54" s="121"/>
      <c r="AF54" s="75" t="s">
        <v>1002</v>
      </c>
      <c r="AG54" s="174">
        <v>50.0</v>
      </c>
      <c r="AH54" s="129">
        <v>0.0</v>
      </c>
      <c r="AI54" s="129">
        <v>0.0</v>
      </c>
      <c r="AJ54" s="129">
        <v>0.0</v>
      </c>
      <c r="AK54" s="129">
        <v>0.0</v>
      </c>
      <c r="AL54" s="129"/>
      <c r="AM54" s="131" t="s">
        <v>1003</v>
      </c>
    </row>
    <row r="55" ht="21.0" customHeight="1">
      <c r="A55" s="132"/>
      <c r="B55" s="133"/>
      <c r="C55" s="50"/>
      <c r="D55" s="46" t="s">
        <v>346</v>
      </c>
      <c r="E55" s="134"/>
      <c r="F55" s="134"/>
      <c r="G55" s="135"/>
      <c r="H55" s="25"/>
      <c r="I55" s="25"/>
      <c r="J55" s="25"/>
      <c r="K55" s="25"/>
      <c r="L55" s="25"/>
      <c r="M55" s="136" t="str">
        <f>IFERROR(__xludf.DUMMYFUNCTION("QUERY(Hospitais_BD!D:I,""select E where D='""&amp;D55&amp;""'"",0)"),"ZONA SUL")</f>
        <v>ZONA SUL</v>
      </c>
      <c r="N55" s="94" t="str">
        <f>IFERROR(__xludf.DUMMYFUNCTION("QUERY(Hospitais_BD!D:I,""select F where D='""&amp;D55&amp;""'"")"),"Rio de Janeiro")</f>
        <v>Rio de Janeiro</v>
      </c>
      <c r="O55" s="137" t="str">
        <f>IFERROR(__xludf.DUMMYFUNCTION("QUERY(Hospitais_BD!D:I,""select G where D='""&amp;D55&amp;""'"")"),"Leblon/Gavea")</f>
        <v>Leblon/Gavea</v>
      </c>
      <c r="P55" s="134"/>
      <c r="Q55" s="137" t="str">
        <f>IFERROR(__xludf.DUMMYFUNCTION("QUERY(Hospitais_BD!D:I,""select I where D='""&amp;D55&amp;""'"")"),"Público")</f>
        <v>Público</v>
      </c>
      <c r="R55" s="137" t="str">
        <f>IFERROR(__xludf.DUMMYFUNCTION("QUERY(Hospitais_BD!D:I,""select H where D='""&amp;D55&amp;""'"")"),"Grande emergência - MÉDIA COMPLEXIDADE")</f>
        <v>Grande emergência - MÉDIA COMPLEXIDADE</v>
      </c>
      <c r="S55" s="138"/>
      <c r="T55" s="138"/>
      <c r="U55" s="139"/>
      <c r="V55" s="134"/>
      <c r="W55" s="134"/>
      <c r="X55" s="140"/>
      <c r="Y55" s="33"/>
      <c r="Z55" s="33"/>
      <c r="AA55" s="164"/>
      <c r="AB55" s="134"/>
      <c r="AC55" s="134"/>
      <c r="AD55" s="134"/>
      <c r="AE55" s="134"/>
      <c r="AF55" s="142" t="s">
        <v>1002</v>
      </c>
      <c r="AG55" s="143">
        <v>50.0</v>
      </c>
      <c r="AH55" s="144">
        <v>0.0</v>
      </c>
      <c r="AI55" s="144">
        <v>0.0</v>
      </c>
      <c r="AJ55" s="144">
        <v>0.0</v>
      </c>
      <c r="AK55" s="144">
        <v>0.0</v>
      </c>
      <c r="AL55" s="144"/>
      <c r="AM55" s="145" t="s">
        <v>1003</v>
      </c>
    </row>
    <row r="56" ht="21.0" customHeight="1">
      <c r="A56" s="119"/>
      <c r="B56" s="120"/>
      <c r="C56" s="69"/>
      <c r="D56" s="121" t="s">
        <v>346</v>
      </c>
      <c r="E56" s="121"/>
      <c r="F56" s="121"/>
      <c r="G56" s="122"/>
      <c r="H56" s="37"/>
      <c r="I56" s="37"/>
      <c r="J56" s="37"/>
      <c r="K56" s="37"/>
      <c r="L56" s="37"/>
      <c r="M56" s="123" t="str">
        <f>IFERROR(__xludf.DUMMYFUNCTION("QUERY(Hospitais_BD!D:I,""select E where D='""&amp;D56&amp;""'"",0)"),"ZONA SUL")</f>
        <v>ZONA SUL</v>
      </c>
      <c r="N56" s="124" t="str">
        <f>IFERROR(__xludf.DUMMYFUNCTION("QUERY(Hospitais_BD!D:I,""select F where D='""&amp;D56&amp;""'"")"),"Rio de Janeiro")</f>
        <v>Rio de Janeiro</v>
      </c>
      <c r="O56" s="125" t="str">
        <f>IFERROR(__xludf.DUMMYFUNCTION("QUERY(Hospitais_BD!D:I,""select G where D='""&amp;D56&amp;""'"")"),"Leblon/Gavea")</f>
        <v>Leblon/Gavea</v>
      </c>
      <c r="P56" s="121"/>
      <c r="Q56" s="125" t="str">
        <f>IFERROR(__xludf.DUMMYFUNCTION("QUERY(Hospitais_BD!D:I,""select I where D='""&amp;D56&amp;""'"")"),"Público")</f>
        <v>Público</v>
      </c>
      <c r="R56" s="125" t="str">
        <f>IFERROR(__xludf.DUMMYFUNCTION("QUERY(Hospitais_BD!D:I,""select H where D='""&amp;D56&amp;""'"")"),"Grande emergência - MÉDIA COMPLEXIDADE")</f>
        <v>Grande emergência - MÉDIA COMPLEXIDADE</v>
      </c>
      <c r="S56" s="126"/>
      <c r="T56" s="126"/>
      <c r="U56" s="127"/>
      <c r="V56" s="121"/>
      <c r="W56" s="121"/>
      <c r="X56" s="121"/>
      <c r="Y56" s="121"/>
      <c r="Z56" s="121"/>
      <c r="AA56" s="128"/>
      <c r="AB56" s="121"/>
      <c r="AC56" s="121"/>
      <c r="AD56" s="121"/>
      <c r="AE56" s="121"/>
      <c r="AF56" s="129" t="s">
        <v>1002</v>
      </c>
      <c r="AG56" s="159">
        <v>100.0</v>
      </c>
      <c r="AH56" s="129">
        <v>0.0</v>
      </c>
      <c r="AI56" s="129">
        <v>0.0</v>
      </c>
      <c r="AJ56" s="129">
        <v>0.0</v>
      </c>
      <c r="AK56" s="129">
        <v>0.0</v>
      </c>
      <c r="AL56" s="129"/>
      <c r="AM56" s="131" t="s">
        <v>1003</v>
      </c>
    </row>
    <row r="57" ht="21.0" customHeight="1">
      <c r="A57" s="132"/>
      <c r="B57" s="133"/>
      <c r="C57" s="50"/>
      <c r="D57" s="46" t="s">
        <v>349</v>
      </c>
      <c r="E57" s="134"/>
      <c r="F57" s="134"/>
      <c r="G57" s="135"/>
      <c r="H57" s="25"/>
      <c r="I57" s="25"/>
      <c r="J57" s="25"/>
      <c r="K57" s="25"/>
      <c r="L57" s="25"/>
      <c r="M57" s="136" t="str">
        <f>IFERROR(__xludf.DUMMYFUNCTION("QUERY(Hospitais_BD!D:I,""select E where D='""&amp;D57&amp;""'"",0)"),"BAIXADA FLUMINENSE")</f>
        <v>BAIXADA FLUMINENSE</v>
      </c>
      <c r="N57" s="94" t="str">
        <f>IFERROR(__xludf.DUMMYFUNCTION("QUERY(Hospitais_BD!D:I,""select F where D='""&amp;D57&amp;""'"")"),"Rio de Janeiro")</f>
        <v>Rio de Janeiro</v>
      </c>
      <c r="O57" s="137" t="str">
        <f>IFERROR(__xludf.DUMMYFUNCTION("QUERY(Hospitais_BD!D:I,""select G where D='""&amp;D57&amp;""'"")"),"Vila sao luiz")</f>
        <v>Vila sao luiz</v>
      </c>
      <c r="P57" s="134"/>
      <c r="Q57" s="137" t="str">
        <f>IFERROR(__xludf.DUMMYFUNCTION("QUERY(Hospitais_BD!D:I,""select I where D='""&amp;D57&amp;""'"")"),"Público")</f>
        <v>Público</v>
      </c>
      <c r="R57" s="137" t="str">
        <f>IFERROR(__xludf.DUMMYFUNCTION("QUERY(Hospitais_BD!D:I,""select H where D='""&amp;D57&amp;""'"")"),"Referência - ALTA COMPLEXIDADE")</f>
        <v>Referência - ALTA COMPLEXIDADE</v>
      </c>
      <c r="S57" s="138"/>
      <c r="T57" s="138"/>
      <c r="U57" s="139"/>
      <c r="V57" s="134"/>
      <c r="W57" s="134"/>
      <c r="X57" s="134"/>
      <c r="Y57" s="33"/>
      <c r="Z57" s="33"/>
      <c r="AA57" s="149"/>
      <c r="AB57" s="134"/>
      <c r="AC57" s="134"/>
      <c r="AD57" s="134"/>
      <c r="AE57" s="134"/>
      <c r="AF57" s="142" t="s">
        <v>1002</v>
      </c>
      <c r="AG57" s="158">
        <v>300.0</v>
      </c>
      <c r="AH57" s="144">
        <v>0.0</v>
      </c>
      <c r="AI57" s="144">
        <v>0.0</v>
      </c>
      <c r="AJ57" s="144">
        <v>0.0</v>
      </c>
      <c r="AK57" s="144">
        <v>0.0</v>
      </c>
      <c r="AL57" s="144"/>
      <c r="AM57" s="145" t="s">
        <v>1003</v>
      </c>
    </row>
    <row r="58" ht="21.0" customHeight="1">
      <c r="A58" s="119"/>
      <c r="B58" s="120"/>
      <c r="C58" s="69"/>
      <c r="D58" s="40" t="s">
        <v>352</v>
      </c>
      <c r="E58" s="121"/>
      <c r="F58" s="121"/>
      <c r="G58" s="122"/>
      <c r="H58" s="37"/>
      <c r="I58" s="37"/>
      <c r="J58" s="37"/>
      <c r="K58" s="37"/>
      <c r="L58" s="37"/>
      <c r="M58" s="123" t="str">
        <f>IFERROR(__xludf.DUMMYFUNCTION("QUERY(Hospitais_BD!D:I,""select E where D='""&amp;D58&amp;""'"",0)"),"ZONA NORTE")</f>
        <v>ZONA NORTE</v>
      </c>
      <c r="N58" s="124" t="str">
        <f>IFERROR(__xludf.DUMMYFUNCTION("QUERY(Hospitais_BD!D:I,""select F where D='""&amp;D58&amp;""'"")"),"Rio de Janeiro")</f>
        <v>Rio de Janeiro</v>
      </c>
      <c r="O58" s="125" t="str">
        <f>IFERROR(__xludf.DUMMYFUNCTION("QUERY(Hospitais_BD!D:I,""select G where D='""&amp;D58&amp;""'"")"),"Ilha do Governador")</f>
        <v>Ilha do Governador</v>
      </c>
      <c r="P58" s="121"/>
      <c r="Q58" s="125" t="str">
        <f>IFERROR(__xludf.DUMMYFUNCTION("QUERY(Hospitais_BD!D:I,""select I where D='""&amp;D58&amp;""'"")"),"Público")</f>
        <v>Público</v>
      </c>
      <c r="R58" s="125" t="str">
        <f>IFERROR(__xludf.DUMMYFUNCTION("QUERY(Hospitais_BD!D:I,""select H where D='""&amp;D58&amp;""'"")"),"Grande emergência - MÉDIA COMPLEXIDADE")</f>
        <v>Grande emergência - MÉDIA COMPLEXIDADE</v>
      </c>
      <c r="S58" s="126"/>
      <c r="T58" s="126"/>
      <c r="U58" s="127"/>
      <c r="V58" s="121"/>
      <c r="W58" s="121"/>
      <c r="X58" s="121"/>
      <c r="Y58" s="40"/>
      <c r="Z58" s="40"/>
      <c r="AA58" s="165"/>
      <c r="AB58" s="121"/>
      <c r="AC58" s="121"/>
      <c r="AD58" s="121"/>
      <c r="AE58" s="121"/>
      <c r="AF58" s="129" t="s">
        <v>1002</v>
      </c>
      <c r="AG58" s="130">
        <v>50.0</v>
      </c>
      <c r="AH58" s="129">
        <v>0.0</v>
      </c>
      <c r="AI58" s="129">
        <v>0.0</v>
      </c>
      <c r="AJ58" s="129">
        <v>0.0</v>
      </c>
      <c r="AK58" s="129">
        <v>0.0</v>
      </c>
      <c r="AL58" s="129"/>
      <c r="AM58" s="131" t="s">
        <v>1003</v>
      </c>
    </row>
    <row r="59" ht="21.0" customHeight="1">
      <c r="A59" s="132"/>
      <c r="B59" s="133"/>
      <c r="C59" s="50"/>
      <c r="D59" s="46" t="s">
        <v>355</v>
      </c>
      <c r="E59" s="134"/>
      <c r="F59" s="134"/>
      <c r="G59" s="135"/>
      <c r="H59" s="25"/>
      <c r="I59" s="25"/>
      <c r="J59" s="25"/>
      <c r="K59" s="25"/>
      <c r="L59" s="25"/>
      <c r="M59" s="136" t="str">
        <f>IFERROR(__xludf.DUMMYFUNCTION("QUERY(Hospitais_BD!D:I,""select E where D='""&amp;D59&amp;""'"",0)"),"ZONA OESTE")</f>
        <v>ZONA OESTE</v>
      </c>
      <c r="N59" s="94" t="str">
        <f>IFERROR(__xludf.DUMMYFUNCTION("QUERY(Hospitais_BD!D:I,""select F where D='""&amp;D59&amp;""'"")"),"Rio de Janeiro")</f>
        <v>Rio de Janeiro</v>
      </c>
      <c r="O59" s="137" t="str">
        <f>IFERROR(__xludf.DUMMYFUNCTION("QUERY(Hospitais_BD!D:I,""select G where D='""&amp;D59&amp;""'"")"),"Santa Cruz")</f>
        <v>Santa Cruz</v>
      </c>
      <c r="P59" s="134"/>
      <c r="Q59" s="137" t="str">
        <f>IFERROR(__xludf.DUMMYFUNCTION("QUERY(Hospitais_BD!D:I,""select I where D='""&amp;D59&amp;""'"")"),"Público")</f>
        <v>Público</v>
      </c>
      <c r="R59" s="137" t="str">
        <f>IFERROR(__xludf.DUMMYFUNCTION("QUERY(Hospitais_BD!D:I,""select H where D='""&amp;D59&amp;""'"")"),"Grande emergência - MÉDIA COMPLEXIDADE")</f>
        <v>Grande emergência - MÉDIA COMPLEXIDADE</v>
      </c>
      <c r="S59" s="138"/>
      <c r="T59" s="138"/>
      <c r="U59" s="139"/>
      <c r="V59" s="134"/>
      <c r="W59" s="134"/>
      <c r="X59" s="134"/>
      <c r="Y59" s="134"/>
      <c r="Z59" s="134"/>
      <c r="AA59" s="141"/>
      <c r="AB59" s="134"/>
      <c r="AC59" s="134"/>
      <c r="AD59" s="134"/>
      <c r="AE59" s="134"/>
      <c r="AF59" s="142" t="s">
        <v>1002</v>
      </c>
      <c r="AG59" s="143">
        <v>50.0</v>
      </c>
      <c r="AH59" s="144">
        <v>0.0</v>
      </c>
      <c r="AI59" s="144">
        <v>0.0</v>
      </c>
      <c r="AJ59" s="144">
        <v>0.0</v>
      </c>
      <c r="AK59" s="144">
        <v>0.0</v>
      </c>
      <c r="AL59" s="144"/>
      <c r="AM59" s="145" t="s">
        <v>1003</v>
      </c>
    </row>
    <row r="60" ht="21.0" customHeight="1">
      <c r="A60" s="119"/>
      <c r="B60" s="120"/>
      <c r="C60" s="69"/>
      <c r="D60" s="121" t="s">
        <v>358</v>
      </c>
      <c r="E60" s="121"/>
      <c r="F60" s="121"/>
      <c r="G60" s="122"/>
      <c r="H60" s="37"/>
      <c r="I60" s="37"/>
      <c r="J60" s="37"/>
      <c r="K60" s="37"/>
      <c r="L60" s="37"/>
      <c r="M60" s="123" t="str">
        <f>IFERROR(__xludf.DUMMYFUNCTION("QUERY(Hospitais_BD!D:I,""select E where D='""&amp;D60&amp;""'"",0)"),"ZONA OESTE")</f>
        <v>ZONA OESTE</v>
      </c>
      <c r="N60" s="124" t="str">
        <f>IFERROR(__xludf.DUMMYFUNCTION("QUERY(Hospitais_BD!D:I,""select F where D='""&amp;D60&amp;""'"")"),"Rio de Janeiro")</f>
        <v>Rio de Janeiro</v>
      </c>
      <c r="O60" s="125" t="str">
        <f>IFERROR(__xludf.DUMMYFUNCTION("QUERY(Hospitais_BD!D:I,""select G where D='""&amp;D60&amp;""'"")"),"Curicica")</f>
        <v>Curicica</v>
      </c>
      <c r="P60" s="121"/>
      <c r="Q60" s="125" t="str">
        <f>IFERROR(__xludf.DUMMYFUNCTION("QUERY(Hospitais_BD!D:I,""select I where D='""&amp;D60&amp;""'"")"),"Público")</f>
        <v>Público</v>
      </c>
      <c r="R60" s="125" t="str">
        <f>IFERROR(__xludf.DUMMYFUNCTION("QUERY(Hospitais_BD!D:I,""select H where D='""&amp;D60&amp;""'"")"),"Grande emergência - MÉDIA COMPLEXIDADE")</f>
        <v>Grande emergência - MÉDIA COMPLEXIDADE</v>
      </c>
      <c r="S60" s="126"/>
      <c r="T60" s="126"/>
      <c r="U60" s="127"/>
      <c r="V60" s="121"/>
      <c r="W60" s="121"/>
      <c r="X60" s="121"/>
      <c r="Y60" s="121"/>
      <c r="Z60" s="121"/>
      <c r="AA60" s="128"/>
      <c r="AB60" s="121"/>
      <c r="AC60" s="121"/>
      <c r="AD60" s="121"/>
      <c r="AE60" s="121"/>
      <c r="AF60" s="129" t="s">
        <v>1002</v>
      </c>
      <c r="AG60" s="159">
        <v>50.0</v>
      </c>
      <c r="AH60" s="129">
        <v>0.0</v>
      </c>
      <c r="AI60" s="129">
        <v>0.0</v>
      </c>
      <c r="AJ60" s="129">
        <v>0.0</v>
      </c>
      <c r="AK60" s="129">
        <v>0.0</v>
      </c>
      <c r="AL60" s="129"/>
      <c r="AM60" s="131" t="s">
        <v>1003</v>
      </c>
    </row>
    <row r="61" ht="21.0" customHeight="1">
      <c r="A61" s="132"/>
      <c r="B61" s="133"/>
      <c r="C61" s="50"/>
      <c r="D61" s="46" t="s">
        <v>361</v>
      </c>
      <c r="E61" s="134"/>
      <c r="F61" s="134"/>
      <c r="G61" s="135"/>
      <c r="H61" s="25"/>
      <c r="I61" s="25"/>
      <c r="J61" s="25"/>
      <c r="K61" s="25"/>
      <c r="L61" s="25"/>
      <c r="M61" s="136" t="str">
        <f>IFERROR(__xludf.DUMMYFUNCTION("QUERY(Hospitais_BD!D:I,""select E where D='""&amp;D61&amp;""'"",0)"),"ZONA OESTE")</f>
        <v>ZONA OESTE</v>
      </c>
      <c r="N61" s="94" t="str">
        <f>IFERROR(__xludf.DUMMYFUNCTION("QUERY(Hospitais_BD!D:I,""select F where D='""&amp;D61&amp;""'"")"),"Rio de Janeiro")</f>
        <v>Rio de Janeiro</v>
      </c>
      <c r="O61" s="137" t="str">
        <f>IFERROR(__xludf.DUMMYFUNCTION("QUERY(Hospitais_BD!D:I,""select G where D='""&amp;D61&amp;""'"")"),"Campo Grande")</f>
        <v>Campo Grande</v>
      </c>
      <c r="P61" s="134"/>
      <c r="Q61" s="137" t="str">
        <f>IFERROR(__xludf.DUMMYFUNCTION("QUERY(Hospitais_BD!D:I,""select I where D='""&amp;D61&amp;""'"")"),"Público")</f>
        <v>Público</v>
      </c>
      <c r="R61" s="137" t="str">
        <f>IFERROR(__xludf.DUMMYFUNCTION("QUERY(Hospitais_BD!D:I,""select H where D='""&amp;D61&amp;""'"")"),"Grande emergência - MÉDIA COMPLEXIDADE")</f>
        <v>Grande emergência - MÉDIA COMPLEXIDADE</v>
      </c>
      <c r="S61" s="138"/>
      <c r="T61" s="138"/>
      <c r="U61" s="139"/>
      <c r="V61" s="134"/>
      <c r="W61" s="134"/>
      <c r="X61" s="134"/>
      <c r="Y61" s="33"/>
      <c r="Z61" s="33"/>
      <c r="AA61" s="164"/>
      <c r="AB61" s="134"/>
      <c r="AC61" s="134"/>
      <c r="AD61" s="134"/>
      <c r="AE61" s="134"/>
      <c r="AF61" s="142" t="s">
        <v>1002</v>
      </c>
      <c r="AG61" s="143">
        <v>50.0</v>
      </c>
      <c r="AH61" s="144">
        <v>0.0</v>
      </c>
      <c r="AI61" s="144">
        <v>0.0</v>
      </c>
      <c r="AJ61" s="144">
        <v>0.0</v>
      </c>
      <c r="AK61" s="144">
        <v>0.0</v>
      </c>
      <c r="AL61" s="144"/>
      <c r="AM61" s="145" t="s">
        <v>1003</v>
      </c>
    </row>
    <row r="62" ht="21.0" customHeight="1">
      <c r="A62" s="119"/>
      <c r="B62" s="120"/>
      <c r="C62" s="69"/>
      <c r="D62" s="43" t="s">
        <v>367</v>
      </c>
      <c r="E62" s="121"/>
      <c r="F62" s="121"/>
      <c r="G62" s="170"/>
      <c r="H62" s="37"/>
      <c r="I62" s="37"/>
      <c r="J62" s="37"/>
      <c r="K62" s="37"/>
      <c r="L62" s="37"/>
      <c r="M62" s="123" t="str">
        <f>IFERROR(__xludf.DUMMYFUNCTION("QUERY(Hospitais_BD!D:I,""select E where D='""&amp;D62&amp;""'"",0)"),"ZONA NORTE")</f>
        <v>ZONA NORTE</v>
      </c>
      <c r="N62" s="124" t="str">
        <f>IFERROR(__xludf.DUMMYFUNCTION("QUERY(Hospitais_BD!D:I,""select F where D='""&amp;D62&amp;""'"")"),"Rio de Janeiro")</f>
        <v>Rio de Janeiro</v>
      </c>
      <c r="O62" s="125" t="str">
        <f>IFERROR(__xludf.DUMMYFUNCTION("QUERY(Hospitais_BD!D:I,""select G where D='""&amp;D62&amp;""'"")"),"Acari")</f>
        <v>Acari</v>
      </c>
      <c r="P62" s="121"/>
      <c r="Q62" s="125" t="str">
        <f>IFERROR(__xludf.DUMMYFUNCTION("QUERY(Hospitais_BD!D:I,""select I where D='""&amp;D62&amp;""'"")"),"Público")</f>
        <v>Público</v>
      </c>
      <c r="R62" s="125" t="str">
        <f>IFERROR(__xludf.DUMMYFUNCTION("QUERY(Hospitais_BD!D:I,""select H where D='""&amp;D62&amp;""'"")"),"Referência - ALTA COMPLEXIDADE")</f>
        <v>Referência - ALTA COMPLEXIDADE</v>
      </c>
      <c r="S62" s="126"/>
      <c r="T62" s="126"/>
      <c r="U62" s="127"/>
      <c r="V62" s="121"/>
      <c r="W62" s="121"/>
      <c r="X62" s="146"/>
      <c r="Y62" s="40"/>
      <c r="Z62" s="40"/>
      <c r="AA62" s="160"/>
      <c r="AB62" s="121"/>
      <c r="AC62" s="121"/>
      <c r="AD62" s="121"/>
      <c r="AE62" s="121"/>
      <c r="AF62" s="130" t="s">
        <v>1002</v>
      </c>
      <c r="AG62" s="163">
        <v>500.0</v>
      </c>
      <c r="AH62" s="129">
        <v>0.0</v>
      </c>
      <c r="AI62" s="129">
        <v>0.0</v>
      </c>
      <c r="AJ62" s="129">
        <v>0.0</v>
      </c>
      <c r="AK62" s="129">
        <v>0.0</v>
      </c>
      <c r="AL62" s="129"/>
      <c r="AM62" s="131" t="s">
        <v>1003</v>
      </c>
    </row>
    <row r="63" ht="21.0" customHeight="1">
      <c r="A63" s="132"/>
      <c r="B63" s="133"/>
      <c r="C63" s="50"/>
      <c r="D63" s="46" t="s">
        <v>368</v>
      </c>
      <c r="E63" s="134"/>
      <c r="F63" s="134"/>
      <c r="G63" s="135"/>
      <c r="H63" s="25"/>
      <c r="I63" s="25"/>
      <c r="J63" s="25"/>
      <c r="K63" s="25"/>
      <c r="L63" s="25"/>
      <c r="M63" s="136" t="str">
        <f>IFERROR(__xludf.DUMMYFUNCTION("QUERY(Hospitais_BD!D:I,""select E where D='""&amp;D63&amp;""'"",0)"),"#REF!")</f>
        <v>#REF!</v>
      </c>
      <c r="N63" s="94" t="str">
        <f>IFERROR(__xludf.DUMMYFUNCTION("QUERY(Hospitais_BD!D:I,""select F where D='""&amp;D63&amp;""'"")"),"#REF!")</f>
        <v>#REF!</v>
      </c>
      <c r="O63" s="137" t="str">
        <f>IFERROR(__xludf.DUMMYFUNCTION("QUERY(Hospitais_BD!D:I,""select G where D='""&amp;D63&amp;""'"")"),"#REF!")</f>
        <v>#REF!</v>
      </c>
      <c r="P63" s="134"/>
      <c r="Q63" s="137" t="str">
        <f>IFERROR(__xludf.DUMMYFUNCTION("QUERY(Hospitais_BD!D:I,""select I where D='""&amp;D63&amp;""'"")"),"#REF!")</f>
        <v>#REF!</v>
      </c>
      <c r="R63" s="137" t="str">
        <f>IFERROR(__xludf.DUMMYFUNCTION("QUERY(Hospitais_BD!D:I,""select H where D='""&amp;D63&amp;""'"")"),"#REF!")</f>
        <v>#REF!</v>
      </c>
      <c r="S63" s="138"/>
      <c r="T63" s="138"/>
      <c r="U63" s="139"/>
      <c r="V63" s="134"/>
      <c r="W63" s="134"/>
      <c r="X63" s="134"/>
      <c r="Y63" s="134"/>
      <c r="Z63" s="134"/>
      <c r="AA63" s="46"/>
      <c r="AB63" s="134"/>
      <c r="AC63" s="134"/>
      <c r="AD63" s="134"/>
      <c r="AE63" s="134"/>
      <c r="AF63" s="142" t="s">
        <v>1002</v>
      </c>
      <c r="AG63" s="143">
        <v>80.0</v>
      </c>
      <c r="AH63" s="144">
        <v>0.0</v>
      </c>
      <c r="AI63" s="144">
        <v>0.0</v>
      </c>
      <c r="AJ63" s="144">
        <v>0.0</v>
      </c>
      <c r="AK63" s="144">
        <v>0.0</v>
      </c>
      <c r="AL63" s="144"/>
      <c r="AM63" s="145" t="s">
        <v>1003</v>
      </c>
    </row>
    <row r="64" ht="21.0" customHeight="1">
      <c r="A64" s="119"/>
      <c r="B64" s="120"/>
      <c r="C64" s="69"/>
      <c r="D64" s="43" t="s">
        <v>372</v>
      </c>
      <c r="E64" s="121"/>
      <c r="F64" s="121"/>
      <c r="G64" s="122"/>
      <c r="H64" s="37"/>
      <c r="I64" s="37"/>
      <c r="J64" s="37"/>
      <c r="K64" s="37"/>
      <c r="L64" s="37"/>
      <c r="M64" s="123" t="str">
        <f>IFERROR(__xludf.DUMMYFUNCTION("QUERY(Hospitais_BD!D:I,""select E where D='""&amp;D64&amp;""'"",0)"),"REGIAO METROPOLITANA")</f>
        <v>REGIAO METROPOLITANA</v>
      </c>
      <c r="N64" s="124" t="str">
        <f>IFERROR(__xludf.DUMMYFUNCTION("QUERY(Hospitais_BD!D:I,""select F where D='""&amp;D64&amp;""'"")"),"Itaguai")</f>
        <v>Itaguai</v>
      </c>
      <c r="O64" s="125" t="str">
        <f>IFERROR(__xludf.DUMMYFUNCTION("QUERY(Hospitais_BD!D:I,""select G where D='""&amp;D64&amp;""'"")"),"Centro")</f>
        <v>Centro</v>
      </c>
      <c r="P64" s="121"/>
      <c r="Q64" s="125" t="str">
        <f>IFERROR(__xludf.DUMMYFUNCTION("QUERY(Hospitais_BD!D:I,""select I where D='""&amp;D64&amp;""'"")"),"Público")</f>
        <v>Público</v>
      </c>
      <c r="R64" s="125" t="str">
        <f>IFERROR(__xludf.DUMMYFUNCTION("QUERY(Hospitais_BD!D:I,""select H where D='""&amp;D64&amp;""'"")"),"Referência - ALTA COMPLEXIDADE")</f>
        <v>Referência - ALTA COMPLEXIDADE</v>
      </c>
      <c r="S64" s="126"/>
      <c r="T64" s="126"/>
      <c r="U64" s="127"/>
      <c r="V64" s="121"/>
      <c r="W64" s="121"/>
      <c r="X64" s="121"/>
      <c r="Y64" s="121"/>
      <c r="Z64" s="121"/>
      <c r="AA64" s="43"/>
      <c r="AB64" s="121"/>
      <c r="AC64" s="121"/>
      <c r="AD64" s="121"/>
      <c r="AE64" s="121"/>
      <c r="AF64" s="130" t="s">
        <v>1002</v>
      </c>
      <c r="AG64" s="148">
        <v>100.0</v>
      </c>
      <c r="AH64" s="129">
        <v>0.0</v>
      </c>
      <c r="AI64" s="129">
        <v>0.0</v>
      </c>
      <c r="AJ64" s="129">
        <v>0.0</v>
      </c>
      <c r="AK64" s="129">
        <v>0.0</v>
      </c>
      <c r="AL64" s="129"/>
      <c r="AM64" s="131" t="s">
        <v>1003</v>
      </c>
    </row>
    <row r="65" ht="21.0" customHeight="1">
      <c r="A65" s="132"/>
      <c r="B65" s="133"/>
      <c r="C65" s="50"/>
      <c r="D65" s="46" t="s">
        <v>375</v>
      </c>
      <c r="E65" s="134"/>
      <c r="F65" s="134"/>
      <c r="G65" s="135"/>
      <c r="H65" s="25"/>
      <c r="I65" s="25"/>
      <c r="J65" s="25"/>
      <c r="K65" s="25"/>
      <c r="L65" s="25"/>
      <c r="M65" s="136" t="str">
        <f>IFERROR(__xludf.DUMMYFUNCTION("QUERY(Hospitais_BD!D:I,""select E where D='""&amp;D65&amp;""'"",0)"),"CENTRO")</f>
        <v>CENTRO</v>
      </c>
      <c r="N65" s="94" t="str">
        <f>IFERROR(__xludf.DUMMYFUNCTION("QUERY(Hospitais_BD!D:I,""select F where D='""&amp;D65&amp;""'"")"),"Rio de Janeiro")</f>
        <v>Rio de Janeiro</v>
      </c>
      <c r="O65" s="137" t="str">
        <f>IFERROR(__xludf.DUMMYFUNCTION("QUERY(Hospitais_BD!D:I,""select G where D='""&amp;D65&amp;""'"")"),"Centro")</f>
        <v>Centro</v>
      </c>
      <c r="P65" s="134"/>
      <c r="Q65" s="137" t="str">
        <f>IFERROR(__xludf.DUMMYFUNCTION("QUERY(Hospitais_BD!D:I,""select I where D='""&amp;D65&amp;""'"")"),"Público")</f>
        <v>Público</v>
      </c>
      <c r="R65" s="137" t="str">
        <f>IFERROR(__xludf.DUMMYFUNCTION("QUERY(Hospitais_BD!D:I,""select H where D='""&amp;D65&amp;""'"")"),"Grande emergência - MÉDIA COMPLEXIDADE")</f>
        <v>Grande emergência - MÉDIA COMPLEXIDADE</v>
      </c>
      <c r="S65" s="138"/>
      <c r="T65" s="138"/>
      <c r="U65" s="145"/>
      <c r="V65" s="134"/>
      <c r="W65" s="134"/>
      <c r="X65" s="134"/>
      <c r="Y65" s="156"/>
      <c r="Z65" s="156"/>
      <c r="AA65" s="134"/>
      <c r="AB65" s="134"/>
      <c r="AC65" s="134"/>
      <c r="AD65" s="134"/>
      <c r="AE65" s="134"/>
      <c r="AF65" s="142" t="s">
        <v>1002</v>
      </c>
      <c r="AG65" s="158">
        <v>265.0</v>
      </c>
      <c r="AH65" s="144">
        <v>0.0</v>
      </c>
      <c r="AI65" s="144">
        <v>0.0</v>
      </c>
      <c r="AJ65" s="144">
        <v>0.0</v>
      </c>
      <c r="AK65" s="144">
        <v>0.0</v>
      </c>
      <c r="AL65" s="144"/>
      <c r="AM65" s="145" t="s">
        <v>1003</v>
      </c>
    </row>
    <row r="66" ht="21.0" customHeight="1">
      <c r="A66" s="119"/>
      <c r="B66" s="120"/>
      <c r="C66" s="69"/>
      <c r="D66" s="121" t="s">
        <v>538</v>
      </c>
      <c r="E66" s="121"/>
      <c r="F66" s="121"/>
      <c r="G66" s="122"/>
      <c r="H66" s="37"/>
      <c r="I66" s="37"/>
      <c r="J66" s="37"/>
      <c r="K66" s="37"/>
      <c r="L66" s="37"/>
      <c r="M66" s="123" t="str">
        <f>IFERROR(__xludf.DUMMYFUNCTION("QUERY(Hospitais_BD!D:I,""select E where D='""&amp;D66&amp;""'"",0)"),"ZONA OESTE")</f>
        <v>ZONA OESTE</v>
      </c>
      <c r="N66" s="124" t="str">
        <f>IFERROR(__xludf.DUMMYFUNCTION("QUERY(Hospitais_BD!D:I,""select F where D='""&amp;D66&amp;""'"")"),"Rio de Janeiro")</f>
        <v>Rio de Janeiro</v>
      </c>
      <c r="O66" s="125" t="str">
        <f>IFERROR(__xludf.DUMMYFUNCTION("QUERY(Hospitais_BD!D:I,""select G where D='""&amp;D66&amp;""'"")"),"Barra da Tijuca")</f>
        <v>Barra da Tijuca</v>
      </c>
      <c r="P66" s="121"/>
      <c r="Q66" s="125" t="str">
        <f>IFERROR(__xludf.DUMMYFUNCTION("QUERY(Hospitais_BD!D:I,""select I where D='""&amp;D66&amp;""'"")"),"Privado")</f>
        <v>Privado</v>
      </c>
      <c r="R66" s="125" t="str">
        <f>IFERROR(__xludf.DUMMYFUNCTION("QUERY(Hospitais_BD!D:I,""select H where D='""&amp;D66&amp;""'"")"),"Referência - ALTA COMPLEXIDADE")</f>
        <v>Referência - ALTA COMPLEXIDADE</v>
      </c>
      <c r="S66" s="126"/>
      <c r="T66" s="126"/>
      <c r="U66" s="127"/>
      <c r="V66" s="121"/>
      <c r="W66" s="121"/>
      <c r="X66" s="121"/>
      <c r="Y66" s="121"/>
      <c r="Z66" s="121"/>
      <c r="AA66" s="128"/>
      <c r="AB66" s="121"/>
      <c r="AC66" s="121"/>
      <c r="AD66" s="121"/>
      <c r="AE66" s="121"/>
      <c r="AF66" s="129" t="s">
        <v>1002</v>
      </c>
      <c r="AG66" s="159">
        <v>50.0</v>
      </c>
      <c r="AH66" s="129">
        <v>0.0</v>
      </c>
      <c r="AI66" s="129">
        <v>0.0</v>
      </c>
      <c r="AJ66" s="129">
        <v>0.0</v>
      </c>
      <c r="AK66" s="129">
        <v>0.0</v>
      </c>
      <c r="AL66" s="129"/>
      <c r="AM66" s="131" t="s">
        <v>1003</v>
      </c>
    </row>
    <row r="67" ht="21.0" customHeight="1">
      <c r="A67" s="132"/>
      <c r="B67" s="133"/>
      <c r="C67" s="50"/>
      <c r="D67" s="25" t="s">
        <v>419</v>
      </c>
      <c r="E67" s="134"/>
      <c r="F67" s="134"/>
      <c r="G67" s="135"/>
      <c r="H67" s="25"/>
      <c r="I67" s="25"/>
      <c r="J67" s="25"/>
      <c r="K67" s="25"/>
      <c r="L67" s="25"/>
      <c r="M67" s="136" t="str">
        <f>IFERROR(__xludf.DUMMYFUNCTION("QUERY(Hospitais_BD!D:I,""select E where D='""&amp;D67&amp;""'"",0)"),"ZONA NORTE")</f>
        <v>ZONA NORTE</v>
      </c>
      <c r="N67" s="94" t="str">
        <f>IFERROR(__xludf.DUMMYFUNCTION("QUERY(Hospitais_BD!D:I,""select F where D='""&amp;D67&amp;""'"")"),"Rio de Janeiro")</f>
        <v>Rio de Janeiro</v>
      </c>
      <c r="O67" s="137" t="str">
        <f>IFERROR(__xludf.DUMMYFUNCTION("QUERY(Hospitais_BD!D:I,""select G where D='""&amp;D67&amp;""'"")"),"Ilha do Fundão")</f>
        <v>Ilha do Fundão</v>
      </c>
      <c r="P67" s="134"/>
      <c r="Q67" s="137" t="str">
        <f>IFERROR(__xludf.DUMMYFUNCTION("QUERY(Hospitais_BD!D:I,""select I where D='""&amp;D67&amp;""'"")"),"Público")</f>
        <v>Público</v>
      </c>
      <c r="R67" s="137" t="str">
        <f>IFERROR(__xludf.DUMMYFUNCTION("QUERY(Hospitais_BD!D:I,""select H where D='""&amp;D67&amp;""'"")"),"Referência - ALTA COMPLEXIDADE")</f>
        <v>Referência - ALTA COMPLEXIDADE</v>
      </c>
      <c r="S67" s="138"/>
      <c r="T67" s="138"/>
      <c r="U67" s="145"/>
      <c r="V67" s="134"/>
      <c r="W67" s="134"/>
      <c r="X67" s="134"/>
      <c r="Y67" s="156"/>
      <c r="Z67" s="156"/>
      <c r="AA67" s="134"/>
      <c r="AB67" s="134"/>
      <c r="AC67" s="134"/>
      <c r="AD67" s="134"/>
      <c r="AE67" s="134"/>
      <c r="AF67" s="142" t="s">
        <v>1002</v>
      </c>
      <c r="AG67" s="143">
        <v>100.0</v>
      </c>
      <c r="AH67" s="144">
        <v>0.0</v>
      </c>
      <c r="AI67" s="144">
        <v>0.0</v>
      </c>
      <c r="AJ67" s="144">
        <v>0.0</v>
      </c>
      <c r="AK67" s="144">
        <v>0.0</v>
      </c>
      <c r="AL67" s="144"/>
      <c r="AM67" s="145" t="s">
        <v>1003</v>
      </c>
    </row>
    <row r="68" ht="21.0" customHeight="1">
      <c r="A68" s="119"/>
      <c r="B68" s="120"/>
      <c r="C68" s="69"/>
      <c r="D68" s="43" t="s">
        <v>422</v>
      </c>
      <c r="E68" s="121"/>
      <c r="F68" s="121"/>
      <c r="G68" s="122"/>
      <c r="H68" s="37"/>
      <c r="I68" s="37"/>
      <c r="J68" s="37"/>
      <c r="K68" s="37"/>
      <c r="L68" s="37"/>
      <c r="M68" s="123" t="str">
        <f>IFERROR(__xludf.DUMMYFUNCTION("QUERY(Hospitais_BD!D:I,""select E where D='""&amp;D68&amp;""'"",0)"),"#REF!")</f>
        <v>#REF!</v>
      </c>
      <c r="N68" s="124" t="str">
        <f>IFERROR(__xludf.DUMMYFUNCTION("QUERY(Hospitais_BD!D:I,""select F where D='""&amp;D68&amp;""'"")"),"#REF!")</f>
        <v>#REF!</v>
      </c>
      <c r="O68" s="125" t="str">
        <f>IFERROR(__xludf.DUMMYFUNCTION("QUERY(Hospitais_BD!D:I,""select G where D='""&amp;D68&amp;""'"")"),"#REF!")</f>
        <v>#REF!</v>
      </c>
      <c r="P68" s="121"/>
      <c r="Q68" s="125" t="str">
        <f>IFERROR(__xludf.DUMMYFUNCTION("QUERY(Hospitais_BD!D:I,""select I where D='""&amp;D68&amp;""'"")"),"#REF!")</f>
        <v>#REF!</v>
      </c>
      <c r="R68" s="125" t="str">
        <f>IFERROR(__xludf.DUMMYFUNCTION("QUERY(Hospitais_BD!D:I,""select H where D='""&amp;D68&amp;""'"")"),"#REF!")</f>
        <v>#REF!</v>
      </c>
      <c r="S68" s="126"/>
      <c r="T68" s="126"/>
      <c r="U68" s="127"/>
      <c r="V68" s="121"/>
      <c r="W68" s="121"/>
      <c r="X68" s="146"/>
      <c r="Y68" s="40"/>
      <c r="Z68" s="40"/>
      <c r="AA68" s="160"/>
      <c r="AB68" s="121"/>
      <c r="AC68" s="121"/>
      <c r="AD68" s="121"/>
      <c r="AE68" s="121"/>
      <c r="AF68" s="130" t="s">
        <v>1002</v>
      </c>
      <c r="AG68" s="148">
        <v>90.0</v>
      </c>
      <c r="AH68" s="129">
        <v>0.0</v>
      </c>
      <c r="AI68" s="129">
        <v>0.0</v>
      </c>
      <c r="AJ68" s="129">
        <v>0.0</v>
      </c>
      <c r="AK68" s="129">
        <v>0.0</v>
      </c>
      <c r="AL68" s="129"/>
      <c r="AM68" s="131" t="s">
        <v>1003</v>
      </c>
    </row>
    <row r="69" ht="21.0" customHeight="1">
      <c r="A69" s="132"/>
      <c r="B69" s="133"/>
      <c r="C69" s="50"/>
      <c r="D69" s="157" t="s">
        <v>424</v>
      </c>
      <c r="E69" s="134"/>
      <c r="F69" s="134"/>
      <c r="G69" s="135"/>
      <c r="H69" s="25"/>
      <c r="I69" s="25"/>
      <c r="J69" s="25"/>
      <c r="K69" s="25"/>
      <c r="L69" s="25"/>
      <c r="M69" s="136" t="str">
        <f>IFERROR(__xludf.DUMMYFUNCTION("QUERY(Hospitais_BD!D:I,""select E where D='""&amp;D69&amp;""'"",0)"),"#REF!")</f>
        <v>#REF!</v>
      </c>
      <c r="N69" s="94" t="str">
        <f>IFERROR(__xludf.DUMMYFUNCTION("QUERY(Hospitais_BD!D:I,""select F where D='""&amp;D69&amp;""'"")"),"#REF!")</f>
        <v>#REF!</v>
      </c>
      <c r="O69" s="137" t="str">
        <f>IFERROR(__xludf.DUMMYFUNCTION("QUERY(Hospitais_BD!D:I,""select G where D='""&amp;D69&amp;""'"")"),"#REF!")</f>
        <v>#REF!</v>
      </c>
      <c r="P69" s="134"/>
      <c r="Q69" s="137" t="str">
        <f>IFERROR(__xludf.DUMMYFUNCTION("QUERY(Hospitais_BD!D:I,""select I where D='""&amp;D69&amp;""'"")"),"#REF!")</f>
        <v>#REF!</v>
      </c>
      <c r="R69" s="137" t="str">
        <f>IFERROR(__xludf.DUMMYFUNCTION("QUERY(Hospitais_BD!D:I,""select H where D='""&amp;D69&amp;""'"")"),"#REF!")</f>
        <v>#REF!</v>
      </c>
      <c r="S69" s="138"/>
      <c r="T69" s="138"/>
      <c r="U69" s="139"/>
      <c r="V69" s="134"/>
      <c r="W69" s="134"/>
      <c r="X69" s="140"/>
      <c r="Y69" s="33"/>
      <c r="Z69" s="33"/>
      <c r="AA69" s="141"/>
      <c r="AB69" s="134"/>
      <c r="AC69" s="134"/>
      <c r="AD69" s="134"/>
      <c r="AE69" s="134"/>
      <c r="AF69" s="142" t="s">
        <v>1002</v>
      </c>
      <c r="AG69" s="143">
        <v>100.0</v>
      </c>
      <c r="AH69" s="144">
        <v>0.0</v>
      </c>
      <c r="AI69" s="144">
        <v>0.0</v>
      </c>
      <c r="AJ69" s="144">
        <v>0.0</v>
      </c>
      <c r="AK69" s="144">
        <v>0.0</v>
      </c>
      <c r="AL69" s="144"/>
      <c r="AM69" s="145" t="s">
        <v>1003</v>
      </c>
    </row>
    <row r="70" ht="21.0" customHeight="1">
      <c r="A70" s="119"/>
      <c r="B70" s="120"/>
      <c r="C70" s="69"/>
      <c r="D70" s="43" t="s">
        <v>894</v>
      </c>
      <c r="E70" s="121"/>
      <c r="F70" s="121"/>
      <c r="G70" s="122"/>
      <c r="H70" s="37"/>
      <c r="I70" s="37"/>
      <c r="J70" s="37"/>
      <c r="K70" s="37"/>
      <c r="L70" s="37"/>
      <c r="M70" s="123" t="str">
        <f>IFERROR(__xludf.DUMMYFUNCTION("QUERY(Hospitais_BD!D:I,""select E where D='""&amp;D70&amp;""'"",0)"),"CENTRO")</f>
        <v>CENTRO</v>
      </c>
      <c r="N70" s="124" t="str">
        <f>IFERROR(__xludf.DUMMYFUNCTION("QUERY(Hospitais_BD!D:I,""select F where D='""&amp;D70&amp;""'"")"),"Rio de Janeiro")</f>
        <v>Rio de Janeiro</v>
      </c>
      <c r="O70" s="125" t="str">
        <f>IFERROR(__xludf.DUMMYFUNCTION("QUERY(Hospitais_BD!D:I,""select G where D='""&amp;D70&amp;""'"")"),"CENTRO")</f>
        <v>CENTRO</v>
      </c>
      <c r="P70" s="121"/>
      <c r="Q70" s="125" t="str">
        <f>IFERROR(__xludf.DUMMYFUNCTION("QUERY(Hospitais_BD!D:I,""select I where D='""&amp;D70&amp;""'"")"),"Público")</f>
        <v>Público</v>
      </c>
      <c r="R70" s="125" t="str">
        <f>IFERROR(__xludf.DUMMYFUNCTION("QUERY(Hospitais_BD!D:I,""select H where D='""&amp;D70&amp;""'"")"),"Unidade de Pesquisa")</f>
        <v>Unidade de Pesquisa</v>
      </c>
      <c r="S70" s="126"/>
      <c r="T70" s="126"/>
      <c r="U70" s="127"/>
      <c r="V70" s="121"/>
      <c r="W70" s="121"/>
      <c r="X70" s="121"/>
      <c r="Y70" s="40"/>
      <c r="Z70" s="40"/>
      <c r="AA70" s="147"/>
      <c r="AB70" s="121"/>
      <c r="AC70" s="121"/>
      <c r="AD70" s="121"/>
      <c r="AE70" s="121"/>
      <c r="AF70" s="130" t="s">
        <v>1002</v>
      </c>
      <c r="AG70" s="148">
        <v>25.0</v>
      </c>
      <c r="AH70" s="129">
        <v>0.0</v>
      </c>
      <c r="AI70" s="129">
        <v>0.0</v>
      </c>
      <c r="AJ70" s="129">
        <v>0.0</v>
      </c>
      <c r="AK70" s="129">
        <v>0.0</v>
      </c>
      <c r="AL70" s="129"/>
      <c r="AM70" s="131" t="s">
        <v>1003</v>
      </c>
    </row>
    <row r="71" ht="21.0" customHeight="1">
      <c r="A71" s="132"/>
      <c r="B71" s="133"/>
      <c r="C71" s="50"/>
      <c r="D71" s="157" t="s">
        <v>451</v>
      </c>
      <c r="E71" s="134"/>
      <c r="F71" s="134"/>
      <c r="G71" s="135"/>
      <c r="H71" s="25"/>
      <c r="I71" s="25"/>
      <c r="J71" s="25"/>
      <c r="K71" s="25"/>
      <c r="L71" s="25"/>
      <c r="M71" s="136" t="str">
        <f>IFERROR(__xludf.DUMMYFUNCTION("QUERY(Hospitais_BD!D:I,""select E where D='""&amp;D71&amp;""'"",0)"),"CENTRO")</f>
        <v>CENTRO</v>
      </c>
      <c r="N71" s="94" t="str">
        <f>IFERROR(__xludf.DUMMYFUNCTION("QUERY(Hospitais_BD!D:I,""select F where D='""&amp;D71&amp;""'"")"),"Rio de Janeiro")</f>
        <v>Rio de Janeiro</v>
      </c>
      <c r="O71" s="137" t="str">
        <f>IFERROR(__xludf.DUMMYFUNCTION("QUERY(Hospitais_BD!D:I,""select G where D='""&amp;D71&amp;""'"")"),"Central do Brasil")</f>
        <v>Central do Brasil</v>
      </c>
      <c r="P71" s="134"/>
      <c r="Q71" s="137" t="str">
        <f>IFERROR(__xludf.DUMMYFUNCTION("QUERY(Hospitais_BD!D:I,""select I where D='""&amp;D71&amp;""'"")"),"Público")</f>
        <v>Público</v>
      </c>
      <c r="R71" s="137" t="str">
        <f>IFERROR(__xludf.DUMMYFUNCTION("QUERY(Hospitais_BD!D:I,""select H where D='""&amp;D71&amp;""'"")"),"Unidade básica - BAIXA COMPLEXIDADE")</f>
        <v>Unidade básica - BAIXA COMPLEXIDADE</v>
      </c>
      <c r="S71" s="138"/>
      <c r="T71" s="138"/>
      <c r="U71" s="139"/>
      <c r="V71" s="134"/>
      <c r="W71" s="134"/>
      <c r="X71" s="134"/>
      <c r="Y71" s="134"/>
      <c r="Z71" s="134"/>
      <c r="AA71" s="161"/>
      <c r="AB71" s="134"/>
      <c r="AC71" s="134"/>
      <c r="AD71" s="134"/>
      <c r="AE71" s="134"/>
      <c r="AF71" s="144" t="s">
        <v>1002</v>
      </c>
      <c r="AG71" s="154">
        <v>50.0</v>
      </c>
      <c r="AH71" s="144">
        <v>0.0</v>
      </c>
      <c r="AI71" s="144">
        <v>0.0</v>
      </c>
      <c r="AJ71" s="144">
        <v>0.0</v>
      </c>
      <c r="AK71" s="144">
        <v>0.0</v>
      </c>
      <c r="AL71" s="144"/>
      <c r="AM71" s="145" t="s">
        <v>1003</v>
      </c>
    </row>
    <row r="72" ht="21.0" customHeight="1">
      <c r="A72" s="119"/>
      <c r="B72" s="120"/>
      <c r="C72" s="69"/>
      <c r="D72" s="43" t="s">
        <v>454</v>
      </c>
      <c r="E72" s="121"/>
      <c r="F72" s="121"/>
      <c r="G72" s="122"/>
      <c r="H72" s="37"/>
      <c r="I72" s="37"/>
      <c r="J72" s="37"/>
      <c r="K72" s="37"/>
      <c r="L72" s="37"/>
      <c r="M72" s="123" t="str">
        <f>IFERROR(__xludf.DUMMYFUNCTION("QUERY(Hospitais_BD!D:I,""select E where D='""&amp;D72&amp;""'"",0)"),"REGIAO METROPOLITANA")</f>
        <v>REGIAO METROPOLITANA</v>
      </c>
      <c r="N72" s="124" t="str">
        <f>IFERROR(__xludf.DUMMYFUNCTION("QUERY(Hospitais_BD!D:I,""select F where D='""&amp;D72&amp;""'"")"),"Niteroi")</f>
        <v>Niteroi</v>
      </c>
      <c r="O72" s="125" t="str">
        <f>IFERROR(__xludf.DUMMYFUNCTION("QUERY(Hospitais_BD!D:I,""select G where D='""&amp;D72&amp;""'"")"),"Barreto")</f>
        <v>Barreto</v>
      </c>
      <c r="P72" s="121"/>
      <c r="Q72" s="125" t="str">
        <f>IFERROR(__xludf.DUMMYFUNCTION("QUERY(Hospitais_BD!D:I,""select I where D='""&amp;D72&amp;""'"")"),"Público")</f>
        <v>Público</v>
      </c>
      <c r="R72" s="125" t="str">
        <f>IFERROR(__xludf.DUMMYFUNCTION("QUERY(Hospitais_BD!D:I,""select H where D='""&amp;D72&amp;""'"")"),"Referência - ALTA COMPLEXIDADE")</f>
        <v>Referência - ALTA COMPLEXIDADE</v>
      </c>
      <c r="S72" s="126"/>
      <c r="T72" s="126"/>
      <c r="U72" s="127"/>
      <c r="V72" s="121"/>
      <c r="W72" s="121"/>
      <c r="X72" s="121"/>
      <c r="Y72" s="40"/>
      <c r="Z72" s="40"/>
      <c r="AA72" s="160"/>
      <c r="AB72" s="121"/>
      <c r="AC72" s="121"/>
      <c r="AD72" s="121"/>
      <c r="AE72" s="121"/>
      <c r="AF72" s="130" t="s">
        <v>1002</v>
      </c>
      <c r="AG72" s="163">
        <v>150.0</v>
      </c>
      <c r="AH72" s="129">
        <v>0.0</v>
      </c>
      <c r="AI72" s="129">
        <v>0.0</v>
      </c>
      <c r="AJ72" s="129">
        <v>0.0</v>
      </c>
      <c r="AK72" s="129">
        <v>0.0</v>
      </c>
      <c r="AL72" s="129"/>
      <c r="AM72" s="131" t="s">
        <v>1003</v>
      </c>
    </row>
    <row r="73" ht="21.0" customHeight="1">
      <c r="A73" s="132"/>
      <c r="B73" s="133"/>
      <c r="C73" s="50"/>
      <c r="D73" s="46" t="s">
        <v>457</v>
      </c>
      <c r="E73" s="134"/>
      <c r="F73" s="134"/>
      <c r="G73" s="135"/>
      <c r="H73" s="25"/>
      <c r="I73" s="25"/>
      <c r="J73" s="25"/>
      <c r="K73" s="25"/>
      <c r="L73" s="25"/>
      <c r="M73" s="70" t="s">
        <v>72</v>
      </c>
      <c r="N73" s="172" t="s">
        <v>45</v>
      </c>
      <c r="O73" s="70" t="s">
        <v>149</v>
      </c>
      <c r="P73" s="134"/>
      <c r="Q73" s="70" t="s">
        <v>1005</v>
      </c>
      <c r="R73" s="137" t="str">
        <f>IFERROR(__xludf.DUMMYFUNCTION("QUERY(Hospitais_BD!D:I,""select H where D='""&amp;D73&amp;""'"")"),"Referência - ALTA COMPLEXIDADE")</f>
        <v>Referência - ALTA COMPLEXIDADE</v>
      </c>
      <c r="S73" s="138"/>
      <c r="T73" s="138"/>
      <c r="U73" s="139"/>
      <c r="V73" s="134"/>
      <c r="W73" s="134"/>
      <c r="X73" s="140"/>
      <c r="Y73" s="33"/>
      <c r="Z73" s="33"/>
      <c r="AA73" s="141"/>
      <c r="AB73" s="134"/>
      <c r="AC73" s="134"/>
      <c r="AD73" s="134"/>
      <c r="AE73" s="134"/>
      <c r="AF73" s="142" t="s">
        <v>1002</v>
      </c>
      <c r="AG73" s="143">
        <v>50.0</v>
      </c>
      <c r="AH73" s="144">
        <v>0.0</v>
      </c>
      <c r="AI73" s="144">
        <v>0.0</v>
      </c>
      <c r="AJ73" s="144">
        <v>0.0</v>
      </c>
      <c r="AK73" s="144">
        <v>0.0</v>
      </c>
      <c r="AL73" s="144"/>
      <c r="AM73" s="145" t="s">
        <v>1003</v>
      </c>
    </row>
    <row r="74" ht="21.0" customHeight="1">
      <c r="A74" s="119"/>
      <c r="B74" s="120"/>
      <c r="C74" s="69"/>
      <c r="D74" s="43" t="s">
        <v>468</v>
      </c>
      <c r="E74" s="121"/>
      <c r="F74" s="121"/>
      <c r="G74" s="122"/>
      <c r="H74" s="37"/>
      <c r="I74" s="37"/>
      <c r="J74" s="37"/>
      <c r="K74" s="37"/>
      <c r="L74" s="37"/>
      <c r="M74" s="123" t="str">
        <f>IFERROR(__xludf.DUMMYFUNCTION("QUERY(Hospitais_BD!D:I,""select E where D='""&amp;D74&amp;""'"",0)"),"ZONA SUL")</f>
        <v>ZONA SUL</v>
      </c>
      <c r="N74" s="124" t="str">
        <f>IFERROR(__xludf.DUMMYFUNCTION("QUERY(Hospitais_BD!D:I,""select F where D='""&amp;D74&amp;""'"")"),"Rio de Janeiro")</f>
        <v>Rio de Janeiro</v>
      </c>
      <c r="O74" s="125" t="str">
        <f>IFERROR(__xludf.DUMMYFUNCTION("QUERY(Hospitais_BD!D:I,""select G where D='""&amp;D74&amp;""'"")"),"Flamengo")</f>
        <v>Flamengo</v>
      </c>
      <c r="P74" s="121"/>
      <c r="Q74" s="125" t="str">
        <f>IFERROR(__xludf.DUMMYFUNCTION("QUERY(Hospitais_BD!D:I,""select I where D='""&amp;D74&amp;""'"")"),"Público")</f>
        <v>Público</v>
      </c>
      <c r="R74" s="125" t="str">
        <f>IFERROR(__xludf.DUMMYFUNCTION("QUERY(Hospitais_BD!D:I,""select H where D='""&amp;D74&amp;""'"")"),"Referência - ALTA COMPLEXIDADE")</f>
        <v>Referência - ALTA COMPLEXIDADE</v>
      </c>
      <c r="S74" s="126"/>
      <c r="T74" s="126"/>
      <c r="U74" s="127"/>
      <c r="V74" s="121"/>
      <c r="W74" s="121"/>
      <c r="X74" s="121"/>
      <c r="Y74" s="40"/>
      <c r="Z74" s="40"/>
      <c r="AA74" s="160"/>
      <c r="AB74" s="121"/>
      <c r="AC74" s="121"/>
      <c r="AD74" s="121"/>
      <c r="AE74" s="121"/>
      <c r="AF74" s="130" t="s">
        <v>1002</v>
      </c>
      <c r="AG74" s="148">
        <v>100.0</v>
      </c>
      <c r="AH74" s="129">
        <v>0.0</v>
      </c>
      <c r="AI74" s="129">
        <v>0.0</v>
      </c>
      <c r="AJ74" s="129">
        <v>0.0</v>
      </c>
      <c r="AK74" s="129">
        <v>0.0</v>
      </c>
      <c r="AL74" s="129"/>
      <c r="AM74" s="131" t="s">
        <v>1003</v>
      </c>
    </row>
    <row r="75" ht="21.0" customHeight="1">
      <c r="A75" s="132"/>
      <c r="B75" s="133"/>
      <c r="C75" s="50"/>
      <c r="D75" s="70" t="s">
        <v>500</v>
      </c>
      <c r="E75" s="134"/>
      <c r="F75" s="134"/>
      <c r="G75" s="135"/>
      <c r="H75" s="25"/>
      <c r="I75" s="25"/>
      <c r="J75" s="25"/>
      <c r="K75" s="25"/>
      <c r="L75" s="25"/>
      <c r="M75" s="136" t="str">
        <f>IFERROR(__xludf.DUMMYFUNCTION("QUERY(Hospitais_BD!D:I,""select E where D='""&amp;D75&amp;""'"",0)"),"ZONA NORTE")</f>
        <v>ZONA NORTE</v>
      </c>
      <c r="N75" s="94" t="str">
        <f>IFERROR(__xludf.DUMMYFUNCTION("QUERY(Hospitais_BD!D:I,""select F where D='""&amp;D75&amp;""'"")"),"Rio de Janeiro")</f>
        <v>Rio de Janeiro</v>
      </c>
      <c r="O75" s="137" t="str">
        <f>IFERROR(__xludf.DUMMYFUNCTION("QUERY(Hospitais_BD!D:I,""select G where D='""&amp;D75&amp;""'"")"),"Cocotá")</f>
        <v>Cocotá</v>
      </c>
      <c r="P75" s="134"/>
      <c r="Q75" s="137" t="str">
        <f>IFERROR(__xludf.DUMMYFUNCTION("QUERY(Hospitais_BD!D:I,""select I where D='""&amp;D75&amp;""'"")"),"Público")</f>
        <v>Público</v>
      </c>
      <c r="R75" s="137" t="str">
        <f>IFERROR(__xludf.DUMMYFUNCTION("QUERY(Hospitais_BD!D:I,""select H where D='""&amp;D75&amp;""'"")"),"Unidade básica - BAIXA COMPLEXIDADE")</f>
        <v>Unidade básica - BAIXA COMPLEXIDADE</v>
      </c>
      <c r="S75" s="138"/>
      <c r="T75" s="138"/>
      <c r="U75" s="139"/>
      <c r="V75" s="134"/>
      <c r="W75" s="134"/>
      <c r="X75" s="134"/>
      <c r="Y75" s="33"/>
      <c r="Z75" s="33"/>
      <c r="AA75" s="164"/>
      <c r="AB75" s="134"/>
      <c r="AC75" s="134"/>
      <c r="AD75" s="134"/>
      <c r="AE75" s="134"/>
      <c r="AF75" s="142" t="s">
        <v>1002</v>
      </c>
      <c r="AG75" s="143">
        <v>6.0</v>
      </c>
      <c r="AH75" s="144">
        <v>0.0</v>
      </c>
      <c r="AI75" s="144">
        <v>0.0</v>
      </c>
      <c r="AJ75" s="144">
        <v>0.0</v>
      </c>
      <c r="AK75" s="144">
        <v>0.0</v>
      </c>
      <c r="AL75" s="144"/>
      <c r="AM75" s="145" t="s">
        <v>1003</v>
      </c>
    </row>
    <row r="76" ht="21.0" customHeight="1">
      <c r="A76" s="119"/>
      <c r="B76" s="120"/>
      <c r="C76" s="69"/>
      <c r="D76" s="40" t="s">
        <v>514</v>
      </c>
      <c r="E76" s="121"/>
      <c r="F76" s="121"/>
      <c r="G76" s="122"/>
      <c r="H76" s="37"/>
      <c r="I76" s="37"/>
      <c r="J76" s="37"/>
      <c r="K76" s="37"/>
      <c r="L76" s="37"/>
      <c r="M76" s="123" t="str">
        <f>IFERROR(__xludf.DUMMYFUNCTION("QUERY(Hospitais_BD!D:I,""select E where D='""&amp;D76&amp;""'"",0)"),"BAIXADA FLUMINENSE")</f>
        <v>BAIXADA FLUMINENSE</v>
      </c>
      <c r="N76" s="124" t="str">
        <f>IFERROR(__xludf.DUMMYFUNCTION("QUERY(Hospitais_BD!D:I,""select F where D='""&amp;D76&amp;""'"")"),"Duque de Caxias")</f>
        <v>Duque de Caxias</v>
      </c>
      <c r="O76" s="125" t="str">
        <f>IFERROR(__xludf.DUMMYFUNCTION("QUERY(Hospitais_BD!D:I,""select G where D='""&amp;D76&amp;""'"")"),"Parque Beira Mar")</f>
        <v>Parque Beira Mar</v>
      </c>
      <c r="P76" s="121"/>
      <c r="Q76" s="125" t="str">
        <f>IFERROR(__xludf.DUMMYFUNCTION("QUERY(Hospitais_BD!D:I,""select I where D='""&amp;D76&amp;""'"")"),"Público")</f>
        <v>Público</v>
      </c>
      <c r="R76" s="125" t="str">
        <f>IFERROR(__xludf.DUMMYFUNCTION("QUERY(Hospitais_BD!D:I,""select H where D='""&amp;D76&amp;""'"")"),"Unidade básica - BAIXA COMPLEXIDADE")</f>
        <v>Unidade básica - BAIXA COMPLEXIDADE</v>
      </c>
      <c r="S76" s="126"/>
      <c r="T76" s="126"/>
      <c r="U76" s="127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30" t="s">
        <v>1002</v>
      </c>
      <c r="AG76" s="163">
        <v>120.0</v>
      </c>
      <c r="AH76" s="129">
        <v>0.0</v>
      </c>
      <c r="AI76" s="129">
        <v>0.0</v>
      </c>
      <c r="AJ76" s="129">
        <v>0.0</v>
      </c>
      <c r="AK76" s="129">
        <v>0.0</v>
      </c>
      <c r="AL76" s="129"/>
      <c r="AM76" s="131" t="s">
        <v>1003</v>
      </c>
    </row>
    <row r="77" ht="21.0" customHeight="1">
      <c r="A77" s="132"/>
      <c r="B77" s="133"/>
      <c r="C77" s="50"/>
      <c r="D77" s="33" t="s">
        <v>516</v>
      </c>
      <c r="E77" s="134"/>
      <c r="F77" s="134"/>
      <c r="G77" s="135"/>
      <c r="H77" s="25"/>
      <c r="I77" s="25"/>
      <c r="J77" s="25"/>
      <c r="K77" s="25"/>
      <c r="L77" s="25"/>
      <c r="M77" s="136" t="str">
        <f>IFERROR(__xludf.DUMMYFUNCTION("QUERY(Hospitais_BD!D:I,""select E where D='""&amp;D77&amp;""'"",0)"),"BAIXADA FLUMINENSE")</f>
        <v>BAIXADA FLUMINENSE</v>
      </c>
      <c r="N77" s="94" t="str">
        <f>IFERROR(__xludf.DUMMYFUNCTION("QUERY(Hospitais_BD!D:I,""select F where D='""&amp;D77&amp;""'"")"),"Sao Joao de Meriti")</f>
        <v>Sao Joao de Meriti</v>
      </c>
      <c r="O77" s="137" t="str">
        <f>IFERROR(__xludf.DUMMYFUNCTION("QUERY(Hospitais_BD!D:I,""select G where D='""&amp;D77&amp;""'"")"),"Jardim Meriti")</f>
        <v>Jardim Meriti</v>
      </c>
      <c r="P77" s="134"/>
      <c r="Q77" s="137" t="str">
        <f>IFERROR(__xludf.DUMMYFUNCTION("QUERY(Hospitais_BD!D:I,""select I where D='""&amp;D77&amp;""'"")"),"Público")</f>
        <v>Público</v>
      </c>
      <c r="R77" s="137" t="str">
        <f>IFERROR(__xludf.DUMMYFUNCTION("QUERY(Hospitais_BD!D:I,""select H where D='""&amp;D77&amp;""'"")"),"Unidade básica - BAIXA COMPLEXIDADE")</f>
        <v>Unidade básica - BAIXA COMPLEXIDADE</v>
      </c>
      <c r="S77" s="138"/>
      <c r="T77" s="138"/>
      <c r="U77" s="139"/>
      <c r="V77" s="134"/>
      <c r="W77" s="134"/>
      <c r="X77" s="134"/>
      <c r="Y77" s="134"/>
      <c r="Z77" s="134"/>
      <c r="AA77" s="149"/>
      <c r="AB77" s="134"/>
      <c r="AC77" s="134"/>
      <c r="AD77" s="134"/>
      <c r="AE77" s="134"/>
      <c r="AF77" s="142" t="s">
        <v>1002</v>
      </c>
      <c r="AG77" s="158">
        <v>120.0</v>
      </c>
      <c r="AH77" s="144">
        <v>0.0</v>
      </c>
      <c r="AI77" s="144">
        <v>0.0</v>
      </c>
      <c r="AJ77" s="144">
        <v>0.0</v>
      </c>
      <c r="AK77" s="144">
        <v>0.0</v>
      </c>
      <c r="AL77" s="144"/>
      <c r="AM77" s="145" t="s">
        <v>1003</v>
      </c>
    </row>
    <row r="78" ht="21.0" customHeight="1">
      <c r="A78" s="119"/>
      <c r="B78" s="120"/>
      <c r="C78" s="69"/>
      <c r="D78" s="166" t="s">
        <v>539</v>
      </c>
      <c r="E78" s="121"/>
      <c r="F78" s="121"/>
      <c r="G78" s="122"/>
      <c r="H78" s="37"/>
      <c r="I78" s="37"/>
      <c r="J78" s="37"/>
      <c r="K78" s="37"/>
      <c r="L78" s="37"/>
      <c r="M78" s="123" t="str">
        <f>IFERROR(__xludf.DUMMYFUNCTION("QUERY(Hospitais_BD!D:I,""select E where D='""&amp;D78&amp;""'"",0)"),"REGIAO METROPOLITANA")</f>
        <v>REGIAO METROPOLITANA</v>
      </c>
      <c r="N78" s="124" t="str">
        <f>IFERROR(__xludf.DUMMYFUNCTION("QUERY(Hospitais_BD!D:I,""select F where D='""&amp;D78&amp;""'"")"),"Niteroi")</f>
        <v>Niteroi</v>
      </c>
      <c r="O78" s="125" t="str">
        <f>IFERROR(__xludf.DUMMYFUNCTION("QUERY(Hospitais_BD!D:I,""select G where D='""&amp;D78&amp;""'"")"),"Regiao oceanica")</f>
        <v>Regiao oceanica</v>
      </c>
      <c r="P78" s="121"/>
      <c r="Q78" s="125" t="str">
        <f>IFERROR(__xludf.DUMMYFUNCTION("QUERY(Hospitais_BD!D:I,""select I where D='""&amp;D78&amp;""'"")"),"Público")</f>
        <v>Público</v>
      </c>
      <c r="R78" s="125" t="str">
        <f>IFERROR(__xludf.DUMMYFUNCTION("QUERY(Hospitais_BD!D:I,""select H where D='""&amp;D78&amp;""'"")"),"Grande emergência - MÉDIA COMPLEXIDADE")</f>
        <v>Grande emergência - MÉDIA COMPLEXIDADE</v>
      </c>
      <c r="S78" s="126"/>
      <c r="T78" s="126"/>
      <c r="U78" s="127"/>
      <c r="V78" s="121"/>
      <c r="W78" s="121"/>
      <c r="X78" s="43"/>
      <c r="Y78" s="166"/>
      <c r="Z78" s="166"/>
      <c r="AA78" s="128"/>
      <c r="AB78" s="121"/>
      <c r="AC78" s="121"/>
      <c r="AD78" s="121"/>
      <c r="AE78" s="121"/>
      <c r="AF78" s="75" t="s">
        <v>1002</v>
      </c>
      <c r="AG78" s="174">
        <v>5.0</v>
      </c>
      <c r="AH78" s="129">
        <v>0.0</v>
      </c>
      <c r="AI78" s="129">
        <v>0.0</v>
      </c>
      <c r="AJ78" s="129">
        <v>0.0</v>
      </c>
      <c r="AK78" s="129">
        <v>0.0</v>
      </c>
      <c r="AL78" s="129"/>
      <c r="AM78" s="131" t="s">
        <v>1003</v>
      </c>
    </row>
    <row r="79" ht="21.0" customHeight="1">
      <c r="A79" s="132"/>
      <c r="B79" s="133"/>
      <c r="C79" s="50"/>
      <c r="D79" s="46" t="s">
        <v>541</v>
      </c>
      <c r="E79" s="134"/>
      <c r="F79" s="134"/>
      <c r="G79" s="135"/>
      <c r="H79" s="25"/>
      <c r="I79" s="25"/>
      <c r="J79" s="25"/>
      <c r="K79" s="25"/>
      <c r="L79" s="25"/>
      <c r="M79" s="136" t="str">
        <f>IFERROR(__xludf.DUMMYFUNCTION("QUERY(Hospitais_BD!D:I,""select E where D='""&amp;D79&amp;""'"",0)"),"ZONA NORTE")</f>
        <v>ZONA NORTE</v>
      </c>
      <c r="N79" s="94" t="str">
        <f>IFERROR(__xludf.DUMMYFUNCTION("QUERY(Hospitais_BD!D:I,""select F where D='""&amp;D79&amp;""'"")"),"Rio de Janeiro")</f>
        <v>Rio de Janeiro</v>
      </c>
      <c r="O79" s="137" t="str">
        <f>IFERROR(__xludf.DUMMYFUNCTION("QUERY(Hospitais_BD!D:I,""select G where D='""&amp;D79&amp;""'"")"),"Benfica")</f>
        <v>Benfica</v>
      </c>
      <c r="P79" s="134"/>
      <c r="Q79" s="137" t="str">
        <f>IFERROR(__xludf.DUMMYFUNCTION("QUERY(Hospitais_BD!D:I,""select I where D='""&amp;D79&amp;""'"")"),"Público")</f>
        <v>Público</v>
      </c>
      <c r="R79" s="137" t="str">
        <f>IFERROR(__xludf.DUMMYFUNCTION("QUERY(Hospitais_BD!D:I,""select H where D='""&amp;D79&amp;""'"")"),"Grande emergência - MÉDIA COMPLEXIDADE")</f>
        <v>Grande emergência - MÉDIA COMPLEXIDADE</v>
      </c>
      <c r="S79" s="138"/>
      <c r="T79" s="138"/>
      <c r="U79" s="139"/>
      <c r="V79" s="134"/>
      <c r="W79" s="134"/>
      <c r="X79" s="134"/>
      <c r="Y79" s="33"/>
      <c r="Z79" s="33"/>
      <c r="AA79" s="151"/>
      <c r="AB79" s="134"/>
      <c r="AC79" s="134"/>
      <c r="AD79" s="134"/>
      <c r="AE79" s="134"/>
      <c r="AF79" s="142" t="s">
        <v>1002</v>
      </c>
      <c r="AG79" s="143">
        <v>5.0</v>
      </c>
      <c r="AH79" s="144">
        <v>0.0</v>
      </c>
      <c r="AI79" s="144">
        <v>0.0</v>
      </c>
      <c r="AJ79" s="144">
        <v>0.0</v>
      </c>
      <c r="AK79" s="144">
        <v>25.0</v>
      </c>
      <c r="AL79" s="144"/>
      <c r="AM79" s="145" t="s">
        <v>1003</v>
      </c>
    </row>
    <row r="80" ht="21.0" customHeight="1">
      <c r="A80" s="119"/>
      <c r="B80" s="120"/>
      <c r="C80" s="69"/>
      <c r="D80" s="40" t="s">
        <v>543</v>
      </c>
      <c r="E80" s="121"/>
      <c r="F80" s="121"/>
      <c r="G80" s="122"/>
      <c r="H80" s="37"/>
      <c r="I80" s="37"/>
      <c r="J80" s="37"/>
      <c r="K80" s="37"/>
      <c r="L80" s="37"/>
      <c r="M80" s="123" t="str">
        <f>IFERROR(__xludf.DUMMYFUNCTION("QUERY(Hospitais_BD!D:I,""select E where D='""&amp;D80&amp;""'"",0)"),"REGIAO METROPOLITANA")</f>
        <v>REGIAO METROPOLITANA</v>
      </c>
      <c r="N80" s="124" t="str">
        <f>IFERROR(__xludf.DUMMYFUNCTION("QUERY(Hospitais_BD!D:I,""select F where D='""&amp;D80&amp;""'"")"),"Niterói")</f>
        <v>Niterói</v>
      </c>
      <c r="O80" s="125" t="str">
        <f>IFERROR(__xludf.DUMMYFUNCTION("QUERY(Hospitais_BD!D:I,""select G where D='""&amp;D80&amp;""'"")"),"Centro / Silva Jardim")</f>
        <v>Centro / Silva Jardim</v>
      </c>
      <c r="P80" s="121"/>
      <c r="Q80" s="125" t="str">
        <f>IFERROR(__xludf.DUMMYFUNCTION("QUERY(Hospitais_BD!D:I,""select I where D='""&amp;D80&amp;""'"")"),"Público")</f>
        <v>Público</v>
      </c>
      <c r="R80" s="125" t="str">
        <f>IFERROR(__xludf.DUMMYFUNCTION("QUERY(Hospitais_BD!D:I,""select H where D='""&amp;D80&amp;""'"")"),"Grande emergência - MÉDIA COMPLEXIDADE")</f>
        <v>Grande emergência - MÉDIA COMPLEXIDADE</v>
      </c>
      <c r="S80" s="126"/>
      <c r="T80" s="126"/>
      <c r="U80" s="127"/>
      <c r="V80" s="121"/>
      <c r="W80" s="121"/>
      <c r="X80" s="121"/>
      <c r="Y80" s="121"/>
      <c r="Z80" s="121"/>
      <c r="AA80" s="150"/>
      <c r="AB80" s="121"/>
      <c r="AC80" s="121"/>
      <c r="AD80" s="121"/>
      <c r="AE80" s="121"/>
      <c r="AF80" s="130" t="s">
        <v>1002</v>
      </c>
      <c r="AG80" s="148">
        <v>20.0</v>
      </c>
      <c r="AH80" s="129">
        <v>0.0</v>
      </c>
      <c r="AI80" s="129">
        <v>0.0</v>
      </c>
      <c r="AJ80" s="129">
        <v>0.0</v>
      </c>
      <c r="AK80" s="129">
        <v>0.0</v>
      </c>
      <c r="AL80" s="129"/>
      <c r="AM80" s="131" t="s">
        <v>1003</v>
      </c>
    </row>
    <row r="81" ht="21.0" customHeight="1">
      <c r="A81" s="132"/>
      <c r="B81" s="133"/>
      <c r="C81" s="50"/>
      <c r="D81" s="22" t="s">
        <v>545</v>
      </c>
      <c r="E81" s="134"/>
      <c r="F81" s="134"/>
      <c r="G81" s="135"/>
      <c r="H81" s="25"/>
      <c r="I81" s="25"/>
      <c r="J81" s="25"/>
      <c r="K81" s="25"/>
      <c r="L81" s="25"/>
      <c r="M81" s="136" t="str">
        <f>IFERROR(__xludf.DUMMYFUNCTION("QUERY(Hospitais_BD!D:I,""select E where D='""&amp;D81&amp;""'"",0)"),"ZONA OESTE")</f>
        <v>ZONA OESTE</v>
      </c>
      <c r="N81" s="94" t="str">
        <f>IFERROR(__xludf.DUMMYFUNCTION("QUERY(Hospitais_BD!D:I,""select F where D='""&amp;D81&amp;""'"")"),"Rio de Janeiro")</f>
        <v>Rio de Janeiro</v>
      </c>
      <c r="O81" s="137" t="str">
        <f>IFERROR(__xludf.DUMMYFUNCTION("QUERY(Hospitais_BD!D:I,""select G where D='""&amp;D81&amp;""'"")"),"Campo Grande")</f>
        <v>Campo Grande</v>
      </c>
      <c r="P81" s="134"/>
      <c r="Q81" s="137" t="str">
        <f>IFERROR(__xludf.DUMMYFUNCTION("QUERY(Hospitais_BD!D:I,""select I where D='""&amp;D81&amp;""'"")"),"Público")</f>
        <v>Público</v>
      </c>
      <c r="R81" s="137" t="str">
        <f>IFERROR(__xludf.DUMMYFUNCTION("QUERY(Hospitais_BD!D:I,""select H where D='""&amp;D81&amp;""'"")"),"Grande emergência - MÉDIA COMPLEXIDADE")</f>
        <v>Grande emergência - MÉDIA COMPLEXIDADE</v>
      </c>
      <c r="S81" s="138"/>
      <c r="T81" s="138"/>
      <c r="U81" s="139"/>
      <c r="V81" s="134"/>
      <c r="W81" s="134"/>
      <c r="X81" s="134"/>
      <c r="Y81" s="33"/>
      <c r="Z81" s="33"/>
      <c r="AA81" s="141"/>
      <c r="AB81" s="134"/>
      <c r="AC81" s="134"/>
      <c r="AD81" s="134"/>
      <c r="AE81" s="134"/>
      <c r="AF81" s="142" t="s">
        <v>1002</v>
      </c>
      <c r="AG81" s="143">
        <v>5.0</v>
      </c>
      <c r="AH81" s="144">
        <v>0.0</v>
      </c>
      <c r="AI81" s="144">
        <v>0.0</v>
      </c>
      <c r="AJ81" s="144">
        <v>0.0</v>
      </c>
      <c r="AK81" s="144">
        <v>5.0</v>
      </c>
      <c r="AL81" s="144">
        <v>25.0</v>
      </c>
      <c r="AM81" s="145" t="s">
        <v>1003</v>
      </c>
    </row>
    <row r="82" ht="21.0" customHeight="1">
      <c r="A82" s="119"/>
      <c r="B82" s="120"/>
      <c r="C82" s="69"/>
      <c r="D82" s="40" t="s">
        <v>546</v>
      </c>
      <c r="E82" s="121"/>
      <c r="F82" s="121"/>
      <c r="G82" s="122"/>
      <c r="H82" s="37"/>
      <c r="I82" s="37"/>
      <c r="J82" s="37"/>
      <c r="K82" s="37"/>
      <c r="L82" s="37"/>
      <c r="M82" s="123" t="str">
        <f>IFERROR(__xludf.DUMMYFUNCTION("QUERY(Hospitais_BD!D:I,""select E where D='""&amp;D82&amp;""'"",0)"),"ZONA SUL")</f>
        <v>ZONA SUL</v>
      </c>
      <c r="N82" s="124" t="str">
        <f>IFERROR(__xludf.DUMMYFUNCTION("QUERY(Hospitais_BD!D:I,""select F where D='""&amp;D82&amp;""'"")"),"Rio de Janeiro")</f>
        <v>Rio de Janeiro</v>
      </c>
      <c r="O82" s="125" t="str">
        <f>IFERROR(__xludf.DUMMYFUNCTION("QUERY(Hospitais_BD!D:I,""select G where D='""&amp;D82&amp;""'"")"),"Copacabana")</f>
        <v>Copacabana</v>
      </c>
      <c r="P82" s="121"/>
      <c r="Q82" s="125" t="str">
        <f>IFERROR(__xludf.DUMMYFUNCTION("QUERY(Hospitais_BD!D:I,""select I where D='""&amp;D82&amp;""'"")"),"Público")</f>
        <v>Público</v>
      </c>
      <c r="R82" s="125" t="str">
        <f>IFERROR(__xludf.DUMMYFUNCTION("QUERY(Hospitais_BD!D:I,""select H where D='""&amp;D82&amp;""'"")"),"Grande emergência - MÉDIA COMPLEXIDADE")</f>
        <v>Grande emergência - MÉDIA COMPLEXIDADE</v>
      </c>
      <c r="S82" s="126"/>
      <c r="T82" s="126"/>
      <c r="U82" s="127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30" t="s">
        <v>1002</v>
      </c>
      <c r="AG82" s="148">
        <v>20.0</v>
      </c>
      <c r="AH82" s="129">
        <v>0.0</v>
      </c>
      <c r="AI82" s="129">
        <v>0.0</v>
      </c>
      <c r="AJ82" s="129">
        <v>0.0</v>
      </c>
      <c r="AK82" s="129">
        <v>0.0</v>
      </c>
      <c r="AL82" s="129">
        <v>25.0</v>
      </c>
      <c r="AM82" s="131" t="s">
        <v>1003</v>
      </c>
    </row>
    <row r="83" ht="21.0" customHeight="1">
      <c r="A83" s="132"/>
      <c r="B83" s="133"/>
      <c r="C83" s="50"/>
      <c r="D83" s="71" t="s">
        <v>553</v>
      </c>
      <c r="E83" s="134"/>
      <c r="F83" s="134"/>
      <c r="G83" s="135"/>
      <c r="H83" s="25"/>
      <c r="I83" s="25"/>
      <c r="J83" s="25"/>
      <c r="K83" s="25"/>
      <c r="L83" s="25"/>
      <c r="M83" s="136" t="str">
        <f>IFERROR(__xludf.DUMMYFUNCTION("QUERY(Hospitais_BD!D:I,""select E where D='""&amp;D83&amp;""'"",0)"),"BAIXADA FLUMINENSE")</f>
        <v>BAIXADA FLUMINENSE</v>
      </c>
      <c r="N83" s="94" t="str">
        <f>IFERROR(__xludf.DUMMYFUNCTION("QUERY(Hospitais_BD!D:I,""select F where D='""&amp;D83&amp;""'"")"),"Rio de Janeiro")</f>
        <v>Rio de Janeiro</v>
      </c>
      <c r="O83" s="137" t="str">
        <f>IFERROR(__xludf.DUMMYFUNCTION("QUERY(Hospitais_BD!D:I,""select G where D='""&amp;D83&amp;""'"")"),"Jardim Iris")</f>
        <v>Jardim Iris</v>
      </c>
      <c r="P83" s="134"/>
      <c r="Q83" s="137" t="str">
        <f>IFERROR(__xludf.DUMMYFUNCTION("QUERY(Hospitais_BD!D:I,""select I where D='""&amp;D83&amp;""'"")"),"Público")</f>
        <v>Público</v>
      </c>
      <c r="R83" s="137" t="str">
        <f>IFERROR(__xludf.DUMMYFUNCTION("QUERY(Hospitais_BD!D:I,""select H where D='""&amp;D83&amp;""'"")"),"Referência - ALTA COMPLEXIDADE")</f>
        <v>Referência - ALTA COMPLEXIDADE</v>
      </c>
      <c r="S83" s="138"/>
      <c r="T83" s="138"/>
      <c r="U83" s="139"/>
      <c r="V83" s="134"/>
      <c r="W83" s="134"/>
      <c r="X83" s="134"/>
      <c r="Y83" s="33"/>
      <c r="Z83" s="33"/>
      <c r="AA83" s="141"/>
      <c r="AB83" s="134"/>
      <c r="AC83" s="134"/>
      <c r="AD83" s="134"/>
      <c r="AE83" s="134"/>
      <c r="AF83" s="142" t="s">
        <v>1002</v>
      </c>
      <c r="AG83" s="158">
        <v>55.0</v>
      </c>
      <c r="AH83" s="144">
        <v>0.0</v>
      </c>
      <c r="AI83" s="144">
        <v>0.0</v>
      </c>
      <c r="AJ83" s="144">
        <v>0.0</v>
      </c>
      <c r="AK83" s="144">
        <v>6.0</v>
      </c>
      <c r="AL83" s="144"/>
      <c r="AM83" s="145" t="s">
        <v>1003</v>
      </c>
    </row>
    <row r="84" ht="21.0" customHeight="1">
      <c r="A84" s="119"/>
      <c r="B84" s="120"/>
      <c r="C84" s="69"/>
      <c r="D84" s="152" t="s">
        <v>556</v>
      </c>
      <c r="E84" s="121"/>
      <c r="F84" s="121"/>
      <c r="G84" s="122"/>
      <c r="H84" s="37"/>
      <c r="I84" s="37"/>
      <c r="J84" s="37"/>
      <c r="K84" s="37"/>
      <c r="L84" s="37"/>
      <c r="M84" s="123" t="str">
        <f>IFERROR(__xludf.DUMMYFUNCTION("QUERY(Hospitais_BD!D:I,""select E where D='""&amp;D85&amp;""'"",0)"),"ZONA NORTE")</f>
        <v>ZONA NORTE</v>
      </c>
      <c r="N84" s="124" t="str">
        <f>IFERROR(__xludf.DUMMYFUNCTION("QUERY(Hospitais_BD!D:I,""select F where D='""&amp;D84&amp;""'"")"),"Rio de Janeiro")</f>
        <v>Rio de Janeiro</v>
      </c>
      <c r="O84" s="125" t="str">
        <f>IFERROR(__xludf.DUMMYFUNCTION("QUERY(Hospitais_BD!D:I,""select G where D='""&amp;D84&amp;""'"")"),"Rocinha")</f>
        <v>Rocinha</v>
      </c>
      <c r="P84" s="121"/>
      <c r="Q84" s="125" t="str">
        <f>IFERROR(__xludf.DUMMYFUNCTION("QUERY(Hospitais_BD!D:I,""select I where D='""&amp;D84&amp;""'"")"),"Público")</f>
        <v>Público</v>
      </c>
      <c r="R84" s="125" t="str">
        <f>IFERROR(__xludf.DUMMYFUNCTION("QUERY(Hospitais_BD!D:I,""select H where D='""&amp;D84&amp;""'"")"),"Grande emergência - MÉDIA COMPLEXIDADE")</f>
        <v>Grande emergência - MÉDIA COMPLEXIDADE</v>
      </c>
      <c r="S84" s="126"/>
      <c r="T84" s="126"/>
      <c r="U84" s="127"/>
      <c r="V84" s="121"/>
      <c r="W84" s="121"/>
      <c r="X84" s="121"/>
      <c r="Y84" s="40"/>
      <c r="Z84" s="40"/>
      <c r="AA84" s="160"/>
      <c r="AB84" s="121"/>
      <c r="AC84" s="121"/>
      <c r="AD84" s="121"/>
      <c r="AE84" s="121"/>
      <c r="AF84" s="130" t="s">
        <v>1002</v>
      </c>
      <c r="AG84" s="148">
        <v>5.0</v>
      </c>
      <c r="AH84" s="129">
        <v>0.0</v>
      </c>
      <c r="AI84" s="129">
        <v>0.0</v>
      </c>
      <c r="AJ84" s="129">
        <v>0.0</v>
      </c>
      <c r="AK84" s="129">
        <v>7.5</v>
      </c>
      <c r="AL84" s="129">
        <v>10.0</v>
      </c>
      <c r="AM84" s="131" t="s">
        <v>1003</v>
      </c>
    </row>
    <row r="85" ht="21.0" customHeight="1">
      <c r="A85" s="132"/>
      <c r="B85" s="133"/>
      <c r="C85" s="50"/>
      <c r="D85" s="46" t="s">
        <v>557</v>
      </c>
      <c r="E85" s="134"/>
      <c r="F85" s="134"/>
      <c r="G85" s="135"/>
      <c r="H85" s="25"/>
      <c r="I85" s="25"/>
      <c r="J85" s="25"/>
      <c r="K85" s="25"/>
      <c r="L85" s="25"/>
      <c r="M85" s="94" t="str">
        <f>IFERROR(__xludf.DUMMYFUNCTION("QUERY(Hospitais_BD!D:I,""select E where D='""&amp;D85&amp;""'"",0)"),"ZONA NORTE")</f>
        <v>ZONA NORTE</v>
      </c>
      <c r="N85" s="94" t="str">
        <f>IFERROR(__xludf.DUMMYFUNCTION("QUERY(Hospitais_BD!D:I,""select F where D='""&amp;D85&amp;""'"")"),"Rio de Janeiro")</f>
        <v>Rio de Janeiro</v>
      </c>
      <c r="O85" s="137" t="str">
        <f>IFERROR(__xludf.DUMMYFUNCTION("QUERY(Hospitais_BD!D:I,""select G where D='""&amp;D85&amp;""'"")"),"Tijuca")</f>
        <v>Tijuca</v>
      </c>
      <c r="P85" s="134"/>
      <c r="Q85" s="137" t="str">
        <f>IFERROR(__xludf.DUMMYFUNCTION("QUERY(Hospitais_BD!D:I,""select I where D='""&amp;D85&amp;""'"")"),"Público")</f>
        <v>Público</v>
      </c>
      <c r="R85" s="137" t="str">
        <f>IFERROR(__xludf.DUMMYFUNCTION("QUERY(Hospitais_BD!D:I,""select H where D='""&amp;D85&amp;""'"")"),"Grande emergência - MÉDIA COMPLEXIDADE")</f>
        <v>Grande emergência - MÉDIA COMPLEXIDADE</v>
      </c>
      <c r="S85" s="138"/>
      <c r="T85" s="138"/>
      <c r="U85" s="139"/>
      <c r="V85" s="134"/>
      <c r="W85" s="134"/>
      <c r="X85" s="134"/>
      <c r="Y85" s="33"/>
      <c r="Z85" s="33"/>
      <c r="AA85" s="141"/>
      <c r="AB85" s="134"/>
      <c r="AC85" s="134"/>
      <c r="AD85" s="134"/>
      <c r="AE85" s="134"/>
      <c r="AF85" s="142" t="s">
        <v>1002</v>
      </c>
      <c r="AG85" s="143">
        <v>5.0</v>
      </c>
      <c r="AH85" s="144">
        <v>0.0</v>
      </c>
      <c r="AI85" s="144">
        <v>0.0</v>
      </c>
      <c r="AJ85" s="144">
        <v>0.0</v>
      </c>
      <c r="AK85" s="144">
        <v>0.0</v>
      </c>
      <c r="AL85" s="144"/>
      <c r="AM85" s="145" t="s">
        <v>1003</v>
      </c>
    </row>
    <row r="86" ht="21.0" customHeight="1">
      <c r="A86" s="175" t="s">
        <v>1006</v>
      </c>
      <c r="B86" s="176">
        <v>0.4109143518518519</v>
      </c>
      <c r="C86" s="69"/>
      <c r="D86" s="177" t="s">
        <v>565</v>
      </c>
      <c r="E86" s="121"/>
      <c r="F86" s="121"/>
      <c r="G86" s="178"/>
      <c r="H86" s="37"/>
      <c r="I86" s="37"/>
      <c r="J86" s="37"/>
      <c r="K86" s="37"/>
      <c r="L86" s="37"/>
      <c r="M86" s="123" t="str">
        <f>IFERROR(__xludf.DUMMYFUNCTION("QUERY(Hospitais_BD!D:I,""select E where D='""&amp;D86&amp;""'"",0)"),"REGIAO SERRANA")</f>
        <v>REGIAO SERRANA</v>
      </c>
      <c r="N86" s="124" t="str">
        <f>IFERROR(__xludf.DUMMYFUNCTION("QUERY(Hospitais_BD!D:I,""select F where D='""&amp;D86&amp;""'"")"),"VASSOURAS")</f>
        <v>VASSOURAS</v>
      </c>
      <c r="O86" s="125" t="str">
        <f>IFERROR(__xludf.DUMMYFUNCTION("QUERY(Hospitais_BD!D:I,""select G where D='""&amp;D86&amp;""'"")"),"MADRUGA")</f>
        <v>MADRUGA</v>
      </c>
      <c r="P86" s="121"/>
      <c r="Q86" s="125" t="str">
        <f>IFERROR(__xludf.DUMMYFUNCTION("QUERY(Hospitais_BD!D:I,""select I where D='""&amp;D86&amp;""'"")"),"Público")</f>
        <v>Público</v>
      </c>
      <c r="R86" s="125" t="str">
        <f>IFERROR(__xludf.DUMMYFUNCTION("QUERY(Hospitais_BD!D:I,""select H where D='""&amp;D86&amp;""'"")"),"Referência - ALTA COMPLEXIDADE")</f>
        <v>Referência - ALTA COMPLEXIDADE</v>
      </c>
      <c r="S86" s="179" t="s">
        <v>1007</v>
      </c>
      <c r="T86" s="126"/>
      <c r="U86" s="180"/>
      <c r="V86" s="121"/>
      <c r="W86" s="178"/>
      <c r="X86" s="101"/>
      <c r="Y86" s="178"/>
      <c r="Z86" s="178"/>
      <c r="AA86" s="101"/>
      <c r="AB86" s="121"/>
      <c r="AC86" s="121"/>
      <c r="AD86" s="121"/>
      <c r="AE86" s="121"/>
      <c r="AF86" s="170" t="s">
        <v>1002</v>
      </c>
      <c r="AG86" s="122">
        <v>250.0</v>
      </c>
      <c r="AH86" s="129">
        <v>0.0</v>
      </c>
      <c r="AI86" s="129">
        <v>0.0</v>
      </c>
      <c r="AJ86" s="129">
        <v>0.0</v>
      </c>
      <c r="AK86" s="129">
        <v>0.0</v>
      </c>
      <c r="AL86" s="129"/>
      <c r="AM86" s="131" t="s">
        <v>1003</v>
      </c>
    </row>
    <row r="87" ht="21.0" customHeight="1">
      <c r="A87" s="181" t="s">
        <v>1006</v>
      </c>
      <c r="B87" s="182">
        <v>0.6631481481481482</v>
      </c>
      <c r="C87" s="50"/>
      <c r="D87" s="80" t="s">
        <v>568</v>
      </c>
      <c r="E87" s="134"/>
      <c r="F87" s="134"/>
      <c r="G87" s="183"/>
      <c r="H87" s="25"/>
      <c r="I87" s="25"/>
      <c r="J87" s="25"/>
      <c r="K87" s="25"/>
      <c r="L87" s="25"/>
      <c r="M87" s="136" t="str">
        <f>IFERROR(__xludf.DUMMYFUNCTION("QUERY(Hospitais_BD!D:I,""select E where D='""&amp;D87&amp;""'"",0)"),"BAIXADA FLUMINENSE")</f>
        <v>BAIXADA FLUMINENSE</v>
      </c>
      <c r="N87" s="94" t="str">
        <f>IFERROR(__xludf.DUMMYFUNCTION("QUERY(Hospitais_BD!D:I,""select F where D='""&amp;D87&amp;""'"")"),"Nova Iguaçu")</f>
        <v>Nova Iguaçu</v>
      </c>
      <c r="O87" s="137" t="str">
        <f>IFERROR(__xludf.DUMMYFUNCTION("QUERY(Hospitais_BD!D:I,""select G where D='""&amp;D87&amp;""'"")"),"Cabuçu")</f>
        <v>Cabuçu</v>
      </c>
      <c r="P87" s="134"/>
      <c r="Q87" s="137" t="str">
        <f>IFERROR(__xludf.DUMMYFUNCTION("QUERY(Hospitais_BD!D:I,""select I where D='""&amp;D87&amp;""'"")"),"Público")</f>
        <v>Público</v>
      </c>
      <c r="R87" s="137" t="str">
        <f>IFERROR(__xludf.DUMMYFUNCTION("QUERY(Hospitais_BD!D:I,""select H where D='""&amp;D87&amp;""'"")"),"Grande emergência - MÉDIA COMPLEXIDADE")</f>
        <v>Grande emergência - MÉDIA COMPLEXIDADE</v>
      </c>
      <c r="S87" s="184" t="s">
        <v>1008</v>
      </c>
      <c r="T87" s="138"/>
      <c r="U87" s="185"/>
      <c r="V87" s="134"/>
      <c r="W87" s="183"/>
      <c r="X87" s="80"/>
      <c r="Y87" s="183"/>
      <c r="Z87" s="183"/>
      <c r="AA87" s="80"/>
      <c r="AB87" s="134"/>
      <c r="AC87" s="134"/>
      <c r="AD87" s="134"/>
      <c r="AE87" s="134"/>
      <c r="AF87" s="142"/>
      <c r="AG87" s="135">
        <v>50.0</v>
      </c>
      <c r="AH87" s="144">
        <v>0.0</v>
      </c>
      <c r="AI87" s="144">
        <v>0.0</v>
      </c>
      <c r="AJ87" s="144">
        <v>0.0</v>
      </c>
      <c r="AK87" s="144">
        <v>0.0</v>
      </c>
      <c r="AL87" s="144"/>
      <c r="AM87" s="145" t="s">
        <v>1003</v>
      </c>
    </row>
    <row r="88" ht="21.0" customHeight="1">
      <c r="A88" s="175" t="s">
        <v>1009</v>
      </c>
      <c r="B88" s="176">
        <v>0.46315972222222224</v>
      </c>
      <c r="C88" s="69"/>
      <c r="D88" s="101" t="s">
        <v>1010</v>
      </c>
      <c r="E88" s="121"/>
      <c r="F88" s="121"/>
      <c r="G88" s="178"/>
      <c r="H88" s="37"/>
      <c r="I88" s="37"/>
      <c r="J88" s="37"/>
      <c r="K88" s="37"/>
      <c r="L88" s="37"/>
      <c r="M88" s="53" t="s">
        <v>58</v>
      </c>
      <c r="N88" s="186" t="s">
        <v>571</v>
      </c>
      <c r="O88" s="53" t="s">
        <v>572</v>
      </c>
      <c r="P88" s="121"/>
      <c r="Q88" s="53" t="s">
        <v>41</v>
      </c>
      <c r="R88" s="53" t="s">
        <v>51</v>
      </c>
      <c r="S88" s="179" t="s">
        <v>1011</v>
      </c>
      <c r="T88" s="126"/>
      <c r="U88" s="180"/>
      <c r="V88" s="121"/>
      <c r="W88" s="178"/>
      <c r="X88" s="101"/>
      <c r="Y88" s="187"/>
      <c r="Z88" s="187"/>
      <c r="AA88" s="101"/>
      <c r="AB88" s="121"/>
      <c r="AC88" s="121"/>
      <c r="AD88" s="121"/>
      <c r="AE88" s="121"/>
      <c r="AF88" s="130"/>
      <c r="AG88" s="163">
        <v>25.0</v>
      </c>
      <c r="AH88" s="129">
        <v>0.0</v>
      </c>
      <c r="AI88" s="129">
        <v>0.0</v>
      </c>
      <c r="AJ88" s="129">
        <v>0.0</v>
      </c>
      <c r="AK88" s="129">
        <v>0.0</v>
      </c>
      <c r="AL88" s="129"/>
      <c r="AM88" s="131" t="s">
        <v>1003</v>
      </c>
    </row>
    <row r="89" ht="21.0" customHeight="1">
      <c r="A89" s="181" t="s">
        <v>1009</v>
      </c>
      <c r="B89" s="182">
        <v>0.8441550925925926</v>
      </c>
      <c r="C89" s="50"/>
      <c r="D89" s="80" t="s">
        <v>573</v>
      </c>
      <c r="E89" s="134"/>
      <c r="F89" s="134"/>
      <c r="G89" s="183"/>
      <c r="H89" s="25"/>
      <c r="I89" s="25"/>
      <c r="J89" s="25"/>
      <c r="K89" s="25"/>
      <c r="L89" s="25"/>
      <c r="M89" s="136" t="str">
        <f>IFERROR(__xludf.DUMMYFUNCTION("QUERY(Hospitais_BD!D:I,""select E where D='""&amp;D89&amp;""'"",0)"),"ZONA SUL")</f>
        <v>ZONA SUL</v>
      </c>
      <c r="N89" s="94" t="str">
        <f>IFERROR(__xludf.DUMMYFUNCTION("QUERY(Hospitais_BD!D:I,""select F where D='""&amp;D89&amp;""'"")"),"Rio de Janeiro")</f>
        <v>Rio de Janeiro</v>
      </c>
      <c r="O89" s="137" t="str">
        <f>IFERROR(__xludf.DUMMYFUNCTION("QUERY(Hospitais_BD!D:I,""select G where D='""&amp;D89&amp;""'"")"),"Copacabana")</f>
        <v>Copacabana</v>
      </c>
      <c r="P89" s="134"/>
      <c r="Q89" s="137" t="str">
        <f>IFERROR(__xludf.DUMMYFUNCTION("QUERY(Hospitais_BD!D:I,""select I where D='""&amp;D89&amp;""'"")"),"Público")</f>
        <v>Público</v>
      </c>
      <c r="R89" s="137" t="str">
        <f>IFERROR(__xludf.DUMMYFUNCTION("QUERY(Hospitais_BD!D:I,""select H where D='""&amp;D89&amp;""'"")"),"Grande emergência - MÉDIA COMPLEXIDADE")</f>
        <v>Grande emergência - MÉDIA COMPLEXIDADE</v>
      </c>
      <c r="S89" s="184" t="s">
        <v>1012</v>
      </c>
      <c r="T89" s="138"/>
      <c r="U89" s="185"/>
      <c r="V89" s="134"/>
      <c r="W89" s="183"/>
      <c r="X89" s="80"/>
      <c r="Y89" s="183"/>
      <c r="Z89" s="183"/>
      <c r="AA89" s="80"/>
      <c r="AB89" s="134"/>
      <c r="AC89" s="134"/>
      <c r="AD89" s="134"/>
      <c r="AE89" s="134"/>
      <c r="AF89" s="142"/>
      <c r="AG89" s="158">
        <v>50.0</v>
      </c>
      <c r="AH89" s="144">
        <v>0.0</v>
      </c>
      <c r="AI89" s="144">
        <v>0.0</v>
      </c>
      <c r="AJ89" s="144">
        <v>0.0</v>
      </c>
      <c r="AK89" s="144">
        <v>6.0</v>
      </c>
      <c r="AL89" s="144"/>
      <c r="AM89" s="145" t="s">
        <v>1003</v>
      </c>
    </row>
    <row r="90" ht="21.0" customHeight="1">
      <c r="A90" s="175" t="s">
        <v>1009</v>
      </c>
      <c r="B90" s="176">
        <v>0.8557754629629629</v>
      </c>
      <c r="C90" s="69"/>
      <c r="D90" s="101" t="s">
        <v>574</v>
      </c>
      <c r="E90" s="121"/>
      <c r="F90" s="121"/>
      <c r="G90" s="178"/>
      <c r="H90" s="37"/>
      <c r="I90" s="37"/>
      <c r="J90" s="37"/>
      <c r="K90" s="37"/>
      <c r="L90" s="37"/>
      <c r="M90" s="123" t="str">
        <f>IFERROR(__xludf.DUMMYFUNCTION("QUERY(Hospitais_BD!D:I,""select E where D='""&amp;D90&amp;""'"",0)"),"ZONA SUL")</f>
        <v>ZONA SUL</v>
      </c>
      <c r="N90" s="124" t="str">
        <f>IFERROR(__xludf.DUMMYFUNCTION("QUERY(Hospitais_BD!D:I,""select F where D='""&amp;D90&amp;""'"")"),"Rio de Janeiro")</f>
        <v>Rio de Janeiro</v>
      </c>
      <c r="O90" s="125" t="str">
        <f>IFERROR(__xludf.DUMMYFUNCTION("QUERY(Hospitais_BD!D:I,""select G where D='""&amp;D90&amp;""'"")"),"LEME")</f>
        <v>LEME</v>
      </c>
      <c r="P90" s="121"/>
      <c r="Q90" s="125" t="str">
        <f>IFERROR(__xludf.DUMMYFUNCTION("QUERY(Hospitais_BD!D:I,""select I where D='""&amp;D90&amp;""'"")"),"Público")</f>
        <v>Público</v>
      </c>
      <c r="R90" s="125" t="str">
        <f>IFERROR(__xludf.DUMMYFUNCTION("QUERY(Hospitais_BD!D:I,""select H where D='""&amp;D90&amp;""'"")"),"Grande emergência - MÉDIA COMPLEXIDADE")</f>
        <v>Grande emergência - MÉDIA COMPLEXIDADE</v>
      </c>
      <c r="S90" s="179" t="s">
        <v>1013</v>
      </c>
      <c r="T90" s="126"/>
      <c r="U90" s="180"/>
      <c r="V90" s="121"/>
      <c r="W90" s="178"/>
      <c r="X90" s="101"/>
      <c r="Y90" s="178"/>
      <c r="Z90" s="178"/>
      <c r="AA90" s="101"/>
      <c r="AB90" s="121"/>
      <c r="AC90" s="121"/>
      <c r="AD90" s="121"/>
      <c r="AE90" s="121"/>
      <c r="AF90" s="130"/>
      <c r="AG90" s="163"/>
      <c r="AH90" s="129"/>
      <c r="AI90" s="129"/>
      <c r="AJ90" s="129"/>
      <c r="AK90" s="129">
        <v>0.0</v>
      </c>
      <c r="AL90" s="129"/>
      <c r="AM90" s="131" t="s">
        <v>1014</v>
      </c>
    </row>
    <row r="91" ht="21.0" customHeight="1">
      <c r="A91" s="181" t="s">
        <v>1015</v>
      </c>
      <c r="B91" s="182">
        <v>0.6010763888888889</v>
      </c>
      <c r="C91" s="50"/>
      <c r="D91" s="80" t="s">
        <v>576</v>
      </c>
      <c r="E91" s="134"/>
      <c r="F91" s="134"/>
      <c r="G91" s="183"/>
      <c r="H91" s="25"/>
      <c r="I91" s="25"/>
      <c r="J91" s="25"/>
      <c r="K91" s="25"/>
      <c r="L91" s="25"/>
      <c r="M91" s="136" t="str">
        <f>IFERROR(__xludf.DUMMYFUNCTION("QUERY(Hospitais_BD!D:I,""select E where D='""&amp;D91&amp;""'"",0)"),"REGIAO DOS LAGOS")</f>
        <v>REGIAO DOS LAGOS</v>
      </c>
      <c r="N91" s="94" t="str">
        <f>IFERROR(__xludf.DUMMYFUNCTION("QUERY(Hospitais_BD!D:I,""select F where D='""&amp;D91&amp;""'"")"),"Cabo frio")</f>
        <v>Cabo frio</v>
      </c>
      <c r="O91" s="137" t="str">
        <f>IFERROR(__xludf.DUMMYFUNCTION("QUERY(Hospitais_BD!D:I,""select G where D='""&amp;D91&amp;""'"")"),"Tamoios")</f>
        <v>Tamoios</v>
      </c>
      <c r="P91" s="134"/>
      <c r="Q91" s="137" t="str">
        <f>IFERROR(__xludf.DUMMYFUNCTION("QUERY(Hospitais_BD!D:I,""select I where D='""&amp;D91&amp;""'"")"),"Público")</f>
        <v>Público</v>
      </c>
      <c r="R91" s="137" t="str">
        <f>IFERROR(__xludf.DUMMYFUNCTION("QUERY(Hospitais_BD!D:I,""select H where D='""&amp;D91&amp;""'"")"),"Grande emergência - MÉDIA COMPLEXIDADE")</f>
        <v>Grande emergência - MÉDIA COMPLEXIDADE</v>
      </c>
      <c r="S91" s="184" t="s">
        <v>1016</v>
      </c>
      <c r="T91" s="138"/>
      <c r="U91" s="185"/>
      <c r="V91" s="134"/>
      <c r="W91" s="183"/>
      <c r="X91" s="80"/>
      <c r="Y91" s="183"/>
      <c r="Z91" s="183"/>
      <c r="AA91" s="80"/>
      <c r="AB91" s="134"/>
      <c r="AC91" s="134"/>
      <c r="AD91" s="134"/>
      <c r="AE91" s="134"/>
      <c r="AF91" s="142"/>
      <c r="AG91" s="158">
        <v>50.0</v>
      </c>
      <c r="AH91" s="144">
        <v>0.0</v>
      </c>
      <c r="AI91" s="144">
        <v>0.0</v>
      </c>
      <c r="AJ91" s="144">
        <v>0.0</v>
      </c>
      <c r="AK91" s="144">
        <v>0.0</v>
      </c>
      <c r="AL91" s="144"/>
      <c r="AM91" s="145" t="s">
        <v>1003</v>
      </c>
    </row>
    <row r="92" ht="21.0" customHeight="1">
      <c r="A92" s="175" t="s">
        <v>1015</v>
      </c>
      <c r="B92" s="176">
        <v>0.6166435185185185</v>
      </c>
      <c r="C92" s="69"/>
      <c r="D92" s="101" t="s">
        <v>579</v>
      </c>
      <c r="E92" s="121"/>
      <c r="F92" s="121"/>
      <c r="G92" s="178"/>
      <c r="H92" s="37"/>
      <c r="I92" s="37"/>
      <c r="J92" s="37"/>
      <c r="K92" s="37"/>
      <c r="L92" s="37"/>
      <c r="M92" s="123" t="str">
        <f>IFERROR(__xludf.DUMMYFUNCTION("QUERY(Hospitais_BD!D:I,""select E where D='""&amp;D92&amp;""'"",0)"),"REGIAO NORTE")</f>
        <v>REGIAO NORTE</v>
      </c>
      <c r="N92" s="124" t="str">
        <f>IFERROR(__xludf.DUMMYFUNCTION("QUERY(Hospitais_BD!D:I,""select F where D='""&amp;D92&amp;""'"")"),"Campos dos Goytacazes")</f>
        <v>Campos dos Goytacazes</v>
      </c>
      <c r="O92" s="125" t="str">
        <f>IFERROR(__xludf.DUMMYFUNCTION("QUERY(Hospitais_BD!D:I,""select G where D='""&amp;D92&amp;""'"")"),"Guarus")</f>
        <v>Guarus</v>
      </c>
      <c r="P92" s="121"/>
      <c r="Q92" s="125" t="str">
        <f>IFERROR(__xludf.DUMMYFUNCTION("QUERY(Hospitais_BD!D:I,""select I where D='""&amp;D92&amp;""'"")"),"Público")</f>
        <v>Público</v>
      </c>
      <c r="R92" s="125" t="str">
        <f>IFERROR(__xludf.DUMMYFUNCTION("QUERY(Hospitais_BD!D:I,""select H where D='""&amp;D92&amp;""'"")"),"Referência - ALTA COMPLEXIDADE")</f>
        <v>Referência - ALTA COMPLEXIDADE</v>
      </c>
      <c r="S92" s="179" t="s">
        <v>1017</v>
      </c>
      <c r="T92" s="126"/>
      <c r="U92" s="188"/>
      <c r="V92" s="121"/>
      <c r="W92" s="155"/>
      <c r="X92" s="101"/>
      <c r="Y92" s="178"/>
      <c r="Z92" s="178"/>
      <c r="AA92" s="101"/>
      <c r="AB92" s="121"/>
      <c r="AC92" s="121"/>
      <c r="AD92" s="121"/>
      <c r="AE92" s="121"/>
      <c r="AF92" s="130"/>
      <c r="AG92" s="163"/>
      <c r="AH92" s="129">
        <v>0.0</v>
      </c>
      <c r="AI92" s="129">
        <v>0.0</v>
      </c>
      <c r="AJ92" s="129">
        <v>0.0</v>
      </c>
      <c r="AK92" s="129">
        <v>0.0</v>
      </c>
      <c r="AL92" s="129"/>
      <c r="AM92" s="131" t="s">
        <v>1014</v>
      </c>
    </row>
    <row r="93" ht="21.0" customHeight="1">
      <c r="A93" s="181" t="s">
        <v>1015</v>
      </c>
      <c r="B93" s="182">
        <v>0.6484143518518518</v>
      </c>
      <c r="C93" s="50"/>
      <c r="D93" s="80" t="s">
        <v>582</v>
      </c>
      <c r="E93" s="134"/>
      <c r="F93" s="134"/>
      <c r="G93" s="183"/>
      <c r="H93" s="25"/>
      <c r="I93" s="25"/>
      <c r="J93" s="25"/>
      <c r="K93" s="25"/>
      <c r="L93" s="25"/>
      <c r="M93" s="136" t="str">
        <f>IFERROR(__xludf.DUMMYFUNCTION("QUERY(Hospitais_BD!D:I,""select E where D='""&amp;D93&amp;""'"",0)"),"BAIXADA FLUMINENSE")</f>
        <v>BAIXADA FLUMINENSE</v>
      </c>
      <c r="N93" s="94" t="str">
        <f>IFERROR(__xludf.DUMMYFUNCTION("QUERY(Hospitais_BD!D:I,""select F where D='""&amp;D93&amp;""'"")"),"Mesquita")</f>
        <v>Mesquita</v>
      </c>
      <c r="O93" s="137" t="str">
        <f>IFERROR(__xludf.DUMMYFUNCTION("QUERY(Hospitais_BD!D:I,""select G where D='""&amp;D93&amp;""'"")"),"Rocha Sobrinho")</f>
        <v>Rocha Sobrinho</v>
      </c>
      <c r="P93" s="134"/>
      <c r="Q93" s="137" t="str">
        <f>IFERROR(__xludf.DUMMYFUNCTION("QUERY(Hospitais_BD!D:I,""select I where D='""&amp;D93&amp;""'"")"),"Público")</f>
        <v>Público</v>
      </c>
      <c r="R93" s="137" t="str">
        <f>IFERROR(__xludf.DUMMYFUNCTION("QUERY(Hospitais_BD!D:I,""select H where D='""&amp;D93&amp;""'"")"),"Unidade básica - BAIXA COMPLEXIDADE")</f>
        <v>Unidade básica - BAIXA COMPLEXIDADE</v>
      </c>
      <c r="S93" s="184" t="s">
        <v>1018</v>
      </c>
      <c r="T93" s="138"/>
      <c r="U93" s="185"/>
      <c r="V93" s="134"/>
      <c r="W93" s="80"/>
      <c r="X93" s="80"/>
      <c r="Y93" s="183"/>
      <c r="Z93" s="183"/>
      <c r="AA93" s="80"/>
      <c r="AB93" s="134"/>
      <c r="AC93" s="134"/>
      <c r="AD93" s="134"/>
      <c r="AE93" s="134"/>
      <c r="AF93" s="142"/>
      <c r="AG93" s="158">
        <v>0.0</v>
      </c>
      <c r="AH93" s="144">
        <v>0.0</v>
      </c>
      <c r="AI93" s="144">
        <v>0.0</v>
      </c>
      <c r="AJ93" s="144">
        <v>0.0</v>
      </c>
      <c r="AK93" s="144">
        <v>0.0</v>
      </c>
      <c r="AL93" s="144"/>
      <c r="AM93" s="145" t="s">
        <v>1019</v>
      </c>
    </row>
    <row r="94" ht="21.0" customHeight="1">
      <c r="A94" s="175" t="s">
        <v>1015</v>
      </c>
      <c r="B94" s="176">
        <v>0.6943981481481482</v>
      </c>
      <c r="C94" s="69"/>
      <c r="D94" s="152" t="s">
        <v>579</v>
      </c>
      <c r="E94" s="121"/>
      <c r="F94" s="121"/>
      <c r="G94" s="178"/>
      <c r="H94" s="37"/>
      <c r="I94" s="37"/>
      <c r="J94" s="37"/>
      <c r="K94" s="37"/>
      <c r="L94" s="37"/>
      <c r="M94" s="123" t="str">
        <f>IFERROR(__xludf.DUMMYFUNCTION("QUERY(Hospitais_BD!D:I,""select E where D='""&amp;D94&amp;""'"",0)"),"REGIAO NORTE")</f>
        <v>REGIAO NORTE</v>
      </c>
      <c r="N94" s="124" t="str">
        <f>IFERROR(__xludf.DUMMYFUNCTION("QUERY(Hospitais_BD!D:I,""select F where D='""&amp;D94&amp;""'"")"),"Campos dos Goytacazes")</f>
        <v>Campos dos Goytacazes</v>
      </c>
      <c r="O94" s="125" t="str">
        <f>IFERROR(__xludf.DUMMYFUNCTION("QUERY(Hospitais_BD!D:I,""select G where D='""&amp;D94&amp;""'"")"),"Guarus")</f>
        <v>Guarus</v>
      </c>
      <c r="P94" s="121"/>
      <c r="Q94" s="125" t="str">
        <f>IFERROR(__xludf.DUMMYFUNCTION("QUERY(Hospitais_BD!D:I,""select I where D='""&amp;D94&amp;""'"")"),"Público")</f>
        <v>Público</v>
      </c>
      <c r="R94" s="125" t="str">
        <f>IFERROR(__xludf.DUMMYFUNCTION("QUERY(Hospitais_BD!D:I,""select H where D='""&amp;D94&amp;""'"")"),"Referência - ALTA COMPLEXIDADE")</f>
        <v>Referência - ALTA COMPLEXIDADE</v>
      </c>
      <c r="S94" s="179" t="s">
        <v>1020</v>
      </c>
      <c r="T94" s="126"/>
      <c r="U94" s="180"/>
      <c r="V94" s="121"/>
      <c r="W94" s="101"/>
      <c r="X94" s="101"/>
      <c r="Y94" s="178"/>
      <c r="Z94" s="178"/>
      <c r="AA94" s="101"/>
      <c r="AB94" s="121"/>
      <c r="AC94" s="121"/>
      <c r="AD94" s="121"/>
      <c r="AE94" s="121"/>
      <c r="AF94" s="130"/>
      <c r="AG94" s="163"/>
      <c r="AH94" s="129">
        <v>0.0</v>
      </c>
      <c r="AI94" s="129">
        <v>0.0</v>
      </c>
      <c r="AJ94" s="129">
        <v>0.0</v>
      </c>
      <c r="AK94" s="129">
        <v>0.0</v>
      </c>
      <c r="AL94" s="129"/>
      <c r="AM94" s="131" t="s">
        <v>1014</v>
      </c>
    </row>
    <row r="95" ht="21.0" customHeight="1">
      <c r="A95" s="181" t="s">
        <v>1021</v>
      </c>
      <c r="B95" s="182">
        <v>0.4710648148148148</v>
      </c>
      <c r="C95" s="50"/>
      <c r="D95" s="80" t="s">
        <v>585</v>
      </c>
      <c r="E95" s="134"/>
      <c r="F95" s="134"/>
      <c r="G95" s="183"/>
      <c r="H95" s="25"/>
      <c r="I95" s="25"/>
      <c r="J95" s="25"/>
      <c r="K95" s="25"/>
      <c r="L95" s="25"/>
      <c r="M95" s="136" t="str">
        <f>IFERROR(__xludf.DUMMYFUNCTION("QUERY(Hospitais_BD!D:I,""select E where D='""&amp;D95&amp;""'"",0)"),"REGIAO DOS LAGOS")</f>
        <v>REGIAO DOS LAGOS</v>
      </c>
      <c r="N95" s="94" t="str">
        <f>IFERROR(__xludf.DUMMYFUNCTION("QUERY(Hospitais_BD!D:I,""select F where D='""&amp;D95&amp;""'"")"),"Macae")</f>
        <v>Macae</v>
      </c>
      <c r="O95" s="137" t="str">
        <f>IFERROR(__xludf.DUMMYFUNCTION("QUERY(Hospitais_BD!D:I,""select G where D='""&amp;D95&amp;""'"")"),"Barra de Macae")</f>
        <v>Barra de Macae</v>
      </c>
      <c r="P95" s="134"/>
      <c r="Q95" s="137" t="str">
        <f>IFERROR(__xludf.DUMMYFUNCTION("QUERY(Hospitais_BD!D:I,""select I where D='""&amp;D95&amp;""'"")"),"Público")</f>
        <v>Público</v>
      </c>
      <c r="R95" s="137" t="str">
        <f>IFERROR(__xludf.DUMMYFUNCTION("QUERY(Hospitais_BD!D:I,""select H where D='""&amp;D95&amp;""'"")"),"Grande emergência - MÉDIA COMPLEXIDADE")</f>
        <v>Grande emergência - MÉDIA COMPLEXIDADE</v>
      </c>
      <c r="S95" s="184" t="s">
        <v>1022</v>
      </c>
      <c r="T95" s="138"/>
      <c r="U95" s="185"/>
      <c r="V95" s="134"/>
      <c r="W95" s="183"/>
      <c r="X95" s="80"/>
      <c r="Y95" s="183"/>
      <c r="Z95" s="183"/>
      <c r="AA95" s="80"/>
      <c r="AB95" s="134"/>
      <c r="AC95" s="134"/>
      <c r="AD95" s="134"/>
      <c r="AE95" s="134"/>
      <c r="AF95" s="142"/>
      <c r="AG95" s="158">
        <v>50.0</v>
      </c>
      <c r="AH95" s="144">
        <v>0.0</v>
      </c>
      <c r="AI95" s="144">
        <v>0.0</v>
      </c>
      <c r="AJ95" s="144">
        <v>0.0</v>
      </c>
      <c r="AK95" s="144">
        <v>0.0</v>
      </c>
      <c r="AL95" s="144"/>
      <c r="AM95" s="145" t="s">
        <v>1003</v>
      </c>
    </row>
    <row r="96" ht="21.0" customHeight="1">
      <c r="A96" s="175" t="s">
        <v>1021</v>
      </c>
      <c r="B96" s="176">
        <v>0.479375</v>
      </c>
      <c r="C96" s="69"/>
      <c r="D96" s="189" t="s">
        <v>588</v>
      </c>
      <c r="E96" s="121"/>
      <c r="F96" s="121"/>
      <c r="G96" s="178"/>
      <c r="H96" s="37"/>
      <c r="I96" s="37"/>
      <c r="J96" s="37"/>
      <c r="K96" s="37"/>
      <c r="L96" s="37"/>
      <c r="M96" s="123" t="str">
        <f>IFERROR(__xludf.DUMMYFUNCTION("QUERY(Hospitais_BD!D:I,""select E where D='""&amp;D96&amp;""'"",0)"),"REGIAO NORTE")</f>
        <v>REGIAO NORTE</v>
      </c>
      <c r="N96" s="124" t="str">
        <f>IFERROR(__xludf.DUMMYFUNCTION("QUERY(Hospitais_BD!D:I,""select F where D='""&amp;D96&amp;""'"")"),"Sao Joao da Barra")</f>
        <v>Sao Joao da Barra</v>
      </c>
      <c r="O96" s="125" t="str">
        <f>IFERROR(__xludf.DUMMYFUNCTION("QUERY(Hospitais_BD!D:I,""select G where D='""&amp;D96&amp;""'"")"),"Centro")</f>
        <v>Centro</v>
      </c>
      <c r="P96" s="121"/>
      <c r="Q96" s="125" t="str">
        <f>IFERROR(__xludf.DUMMYFUNCTION("QUERY(Hospitais_BD!D:I,""select I where D='""&amp;D96&amp;""'"")"),"Público")</f>
        <v>Público</v>
      </c>
      <c r="R96" s="125" t="str">
        <f>IFERROR(__xludf.DUMMYFUNCTION("QUERY(Hospitais_BD!D:I,""select H where D='""&amp;D96&amp;""'"")"),"Grande emergência - MÉDIA COMPLEXIDADE")</f>
        <v>Grande emergência - MÉDIA COMPLEXIDADE</v>
      </c>
      <c r="S96" s="179" t="s">
        <v>1023</v>
      </c>
      <c r="T96" s="126"/>
      <c r="U96" s="180"/>
      <c r="V96" s="121"/>
      <c r="W96" s="178"/>
      <c r="X96" s="101"/>
      <c r="Y96" s="101"/>
      <c r="Z96" s="101"/>
      <c r="AA96" s="101"/>
      <c r="AB96" s="121"/>
      <c r="AC96" s="121"/>
      <c r="AD96" s="121"/>
      <c r="AE96" s="121"/>
      <c r="AF96" s="130"/>
      <c r="AG96" s="163">
        <v>150.0</v>
      </c>
      <c r="AH96" s="129">
        <v>0.0</v>
      </c>
      <c r="AI96" s="129">
        <v>0.0</v>
      </c>
      <c r="AJ96" s="129">
        <v>25.0</v>
      </c>
      <c r="AK96" s="129">
        <v>0.0</v>
      </c>
      <c r="AL96" s="129"/>
      <c r="AM96" s="131" t="s">
        <v>1003</v>
      </c>
    </row>
    <row r="97" ht="21.0" customHeight="1">
      <c r="A97" s="181" t="s">
        <v>1021</v>
      </c>
      <c r="B97" s="182">
        <v>0.48042824074074075</v>
      </c>
      <c r="C97" s="50"/>
      <c r="D97" s="80" t="s">
        <v>590</v>
      </c>
      <c r="E97" s="134"/>
      <c r="F97" s="134"/>
      <c r="G97" s="183"/>
      <c r="H97" s="25"/>
      <c r="I97" s="25"/>
      <c r="J97" s="25"/>
      <c r="K97" s="25"/>
      <c r="L97" s="25"/>
      <c r="M97" s="136" t="str">
        <f>IFERROR(__xludf.DUMMYFUNCTION("QUERY(Hospitais_BD!D:I,""select E where D='""&amp;D97&amp;""'"",0)"),"REGIAO DOS LAGOS")</f>
        <v>REGIAO DOS LAGOS</v>
      </c>
      <c r="N97" s="94" t="str">
        <f>IFERROR(__xludf.DUMMYFUNCTION("QUERY(Hospitais_BD!D:I,""select F where D='""&amp;D97&amp;""'"")"),"Casimiro de Abreu")</f>
        <v>Casimiro de Abreu</v>
      </c>
      <c r="O97" s="137" t="str">
        <f>IFERROR(__xludf.DUMMYFUNCTION("QUERY(Hospitais_BD!D:I,""select G where D='""&amp;D97&amp;""'"")"),"Santa Ely")</f>
        <v>Santa Ely</v>
      </c>
      <c r="P97" s="134"/>
      <c r="Q97" s="137" t="str">
        <f>IFERROR(__xludf.DUMMYFUNCTION("QUERY(Hospitais_BD!D:I,""select I where D='""&amp;D97&amp;""'"")"),"Público")</f>
        <v>Público</v>
      </c>
      <c r="R97" s="137" t="str">
        <f>IFERROR(__xludf.DUMMYFUNCTION("QUERY(Hospitais_BD!D:I,""select H where D='""&amp;D97&amp;""'"")"),"Grande emergência - MÉDIA COMPLEXIDADE")</f>
        <v>Grande emergência - MÉDIA COMPLEXIDADE</v>
      </c>
      <c r="S97" s="184" t="s">
        <v>1024</v>
      </c>
      <c r="T97" s="138"/>
      <c r="U97" s="185"/>
      <c r="V97" s="134"/>
      <c r="W97" s="80"/>
      <c r="X97" s="80"/>
      <c r="Y97" s="183"/>
      <c r="Z97" s="183"/>
      <c r="AA97" s="80"/>
      <c r="AB97" s="134"/>
      <c r="AC97" s="134"/>
      <c r="AD97" s="134"/>
      <c r="AE97" s="134"/>
      <c r="AF97" s="142"/>
      <c r="AG97" s="158">
        <v>50.0</v>
      </c>
      <c r="AH97" s="144">
        <v>0.0</v>
      </c>
      <c r="AI97" s="144">
        <v>0.0</v>
      </c>
      <c r="AJ97" s="144">
        <v>0.0</v>
      </c>
      <c r="AK97" s="144">
        <v>0.0</v>
      </c>
      <c r="AL97" s="144"/>
      <c r="AM97" s="145" t="s">
        <v>1003</v>
      </c>
    </row>
    <row r="98" ht="21.0" customHeight="1">
      <c r="A98" s="175" t="s">
        <v>1021</v>
      </c>
      <c r="B98" s="176">
        <v>0.539675925925926</v>
      </c>
      <c r="C98" s="69"/>
      <c r="D98" s="101" t="s">
        <v>1025</v>
      </c>
      <c r="E98" s="121"/>
      <c r="F98" s="121"/>
      <c r="G98" s="178"/>
      <c r="H98" s="37"/>
      <c r="I98" s="37"/>
      <c r="J98" s="37"/>
      <c r="K98" s="37"/>
      <c r="L98" s="37"/>
      <c r="M98" s="123" t="str">
        <f>IFERROR(__xludf.DUMMYFUNCTION("QUERY(Hospitais_BD!D:I,""select E where D='""&amp;D98&amp;""'"",0)"),"#N/A")</f>
        <v>#N/A</v>
      </c>
      <c r="N98" s="124" t="str">
        <f>IFERROR(__xludf.DUMMYFUNCTION("QUERY(Hospitais_BD!D:I,""select F where D='""&amp;D98&amp;""'"")"),"#N/A")</f>
        <v>#N/A</v>
      </c>
      <c r="O98" s="125" t="str">
        <f>IFERROR(__xludf.DUMMYFUNCTION("QUERY(Hospitais_BD!D:I,""select G where D='""&amp;D98&amp;""'"")"),"#N/A")</f>
        <v>#N/A</v>
      </c>
      <c r="P98" s="121"/>
      <c r="Q98" s="125" t="str">
        <f>IFERROR(__xludf.DUMMYFUNCTION("QUERY(Hospitais_BD!D:I,""select I where D='""&amp;D98&amp;""'"")"),"#N/A")</f>
        <v>#N/A</v>
      </c>
      <c r="R98" s="125" t="str">
        <f>IFERROR(__xludf.DUMMYFUNCTION("QUERY(Hospitais_BD!D:I,""select H where D='""&amp;D98&amp;""'"")"),"#N/A")</f>
        <v>#N/A</v>
      </c>
      <c r="S98" s="179" t="s">
        <v>1026</v>
      </c>
      <c r="T98" s="126"/>
      <c r="U98" s="180"/>
      <c r="V98" s="121"/>
      <c r="W98" s="101"/>
      <c r="X98" s="101"/>
      <c r="Y98" s="178"/>
      <c r="Z98" s="178"/>
      <c r="AA98" s="101"/>
      <c r="AB98" s="121"/>
      <c r="AC98" s="121"/>
      <c r="AD98" s="121"/>
      <c r="AE98" s="121"/>
      <c r="AF98" s="130"/>
      <c r="AG98" s="163"/>
      <c r="AH98" s="129"/>
      <c r="AI98" s="129"/>
      <c r="AJ98" s="129"/>
      <c r="AK98" s="129">
        <v>0.0</v>
      </c>
      <c r="AL98" s="129"/>
      <c r="AM98" s="131" t="s">
        <v>1014</v>
      </c>
    </row>
    <row r="99" ht="21.0" customHeight="1">
      <c r="A99" s="181" t="s">
        <v>1021</v>
      </c>
      <c r="B99" s="182">
        <v>0.5645254629629629</v>
      </c>
      <c r="C99" s="50"/>
      <c r="D99" s="80" t="s">
        <v>594</v>
      </c>
      <c r="E99" s="134"/>
      <c r="F99" s="134"/>
      <c r="G99" s="183"/>
      <c r="H99" s="25"/>
      <c r="I99" s="25"/>
      <c r="J99" s="25"/>
      <c r="K99" s="25"/>
      <c r="L99" s="25"/>
      <c r="M99" s="136" t="str">
        <f>IFERROR(__xludf.DUMMYFUNCTION("QUERY(Hospitais_BD!D:I,""select E where D='""&amp;D99&amp;""'"",0)"),"ZONA OESTE")</f>
        <v>ZONA OESTE</v>
      </c>
      <c r="N99" s="94" t="str">
        <f>IFERROR(__xludf.DUMMYFUNCTION("QUERY(Hospitais_BD!D:I,""select F where D='""&amp;D99&amp;""'"")"),"Rio de Janeiro")</f>
        <v>Rio de Janeiro</v>
      </c>
      <c r="O99" s="137" t="str">
        <f>IFERROR(__xludf.DUMMYFUNCTION("QUERY(Hospitais_BD!D:I,""select G where D='""&amp;D99&amp;""'"")"),"Senador Vasconcelos")</f>
        <v>Senador Vasconcelos</v>
      </c>
      <c r="P99" s="134"/>
      <c r="Q99" s="137" t="str">
        <f>IFERROR(__xludf.DUMMYFUNCTION("QUERY(Hospitais_BD!D:I,""select I where D='""&amp;D99&amp;""'"")"),"Público")</f>
        <v>Público</v>
      </c>
      <c r="R99" s="137" t="str">
        <f>IFERROR(__xludf.DUMMYFUNCTION("QUERY(Hospitais_BD!D:I,""select H where D='""&amp;D99&amp;""'"")"),"Referência - ALTA COMPLEXIDADE")</f>
        <v>Referência - ALTA COMPLEXIDADE</v>
      </c>
      <c r="S99" s="184" t="s">
        <v>1027</v>
      </c>
      <c r="T99" s="138"/>
      <c r="U99" s="185"/>
      <c r="V99" s="134"/>
      <c r="W99" s="183"/>
      <c r="X99" s="80"/>
      <c r="Y99" s="183"/>
      <c r="Z99" s="183"/>
      <c r="AA99" s="80"/>
      <c r="AB99" s="134"/>
      <c r="AC99" s="134"/>
      <c r="AD99" s="134"/>
      <c r="AE99" s="134"/>
      <c r="AF99" s="142"/>
      <c r="AG99" s="158">
        <v>100.0</v>
      </c>
      <c r="AH99" s="144">
        <v>0.0</v>
      </c>
      <c r="AI99" s="144">
        <v>0.0</v>
      </c>
      <c r="AJ99" s="144">
        <v>0.0</v>
      </c>
      <c r="AK99" s="144">
        <v>0.0</v>
      </c>
      <c r="AL99" s="144"/>
      <c r="AM99" s="145" t="s">
        <v>1003</v>
      </c>
    </row>
    <row r="100" ht="21.0" customHeight="1">
      <c r="A100" s="175" t="s">
        <v>1021</v>
      </c>
      <c r="B100" s="176">
        <v>0.7469444444444444</v>
      </c>
      <c r="C100" s="69"/>
      <c r="D100" s="101" t="s">
        <v>596</v>
      </c>
      <c r="E100" s="121"/>
      <c r="F100" s="121"/>
      <c r="G100" s="178"/>
      <c r="H100" s="37"/>
      <c r="I100" s="37"/>
      <c r="J100" s="37"/>
      <c r="K100" s="37"/>
      <c r="L100" s="37"/>
      <c r="M100" s="123" t="str">
        <f>IFERROR(__xludf.DUMMYFUNCTION("QUERY(Hospitais_BD!D:I,""select E where D='""&amp;D100&amp;""'"",0)"),"ZONA NORTE")</f>
        <v>ZONA NORTE</v>
      </c>
      <c r="N100" s="124" t="str">
        <f>IFERROR(__xludf.DUMMYFUNCTION("QUERY(Hospitais_BD!D:I,""select F where D='""&amp;D100&amp;""'"")"),"rio de janeiro")</f>
        <v>rio de janeiro</v>
      </c>
      <c r="O100" s="125" t="str">
        <f>IFERROR(__xludf.DUMMYFUNCTION("QUERY(Hospitais_BD!D:I,""select G where D='""&amp;D100&amp;""'"")"),"Cidade Universitaria")</f>
        <v>Cidade Universitaria</v>
      </c>
      <c r="P100" s="121"/>
      <c r="Q100" s="125" t="str">
        <f>IFERROR(__xludf.DUMMYFUNCTION("QUERY(Hospitais_BD!D:I,""select I where D='""&amp;D100&amp;""'"")"),"Público")</f>
        <v>Público</v>
      </c>
      <c r="R100" s="125" t="str">
        <f>IFERROR(__xludf.DUMMYFUNCTION("QUERY(Hospitais_BD!D:I,""select H where D='""&amp;D100&amp;""'"")"),"Unidade básica - BAIXA COMPLEXIDADE")</f>
        <v>Unidade básica - BAIXA COMPLEXIDADE</v>
      </c>
      <c r="S100" s="179" t="s">
        <v>1028</v>
      </c>
      <c r="T100" s="126"/>
      <c r="U100" s="180"/>
      <c r="V100" s="121"/>
      <c r="W100" s="178"/>
      <c r="X100" s="101"/>
      <c r="Y100" s="178"/>
      <c r="Z100" s="178"/>
      <c r="AA100" s="101"/>
      <c r="AB100" s="121"/>
      <c r="AC100" s="121"/>
      <c r="AD100" s="121"/>
      <c r="AE100" s="121"/>
      <c r="AF100" s="130"/>
      <c r="AG100" s="163">
        <v>100.0</v>
      </c>
      <c r="AH100" s="129">
        <v>0.0</v>
      </c>
      <c r="AI100" s="129">
        <v>0.0</v>
      </c>
      <c r="AJ100" s="129">
        <v>0.0</v>
      </c>
      <c r="AK100" s="129">
        <v>0.0</v>
      </c>
      <c r="AL100" s="129"/>
      <c r="AM100" s="131" t="s">
        <v>1003</v>
      </c>
    </row>
    <row r="101" ht="21.0" customHeight="1">
      <c r="A101" s="181" t="s">
        <v>1021</v>
      </c>
      <c r="B101" s="182">
        <v>0.750162037037037</v>
      </c>
      <c r="C101" s="50"/>
      <c r="D101" s="80" t="s">
        <v>599</v>
      </c>
      <c r="E101" s="134"/>
      <c r="F101" s="134"/>
      <c r="G101" s="183"/>
      <c r="H101" s="25"/>
      <c r="I101" s="25"/>
      <c r="J101" s="25"/>
      <c r="K101" s="25"/>
      <c r="L101" s="25"/>
      <c r="M101" s="136" t="str">
        <f>IFERROR(__xludf.DUMMYFUNCTION("QUERY(Hospitais_BD!D:I,""select E where D='""&amp;D101&amp;""'"",0)"),"ZONA NORTE")</f>
        <v>ZONA NORTE</v>
      </c>
      <c r="N101" s="94" t="str">
        <f>IFERROR(__xludf.DUMMYFUNCTION("QUERY(Hospitais_BD!D:I,""select F where D='""&amp;D101&amp;""'"")"),"Rio de Janeiro")</f>
        <v>Rio de Janeiro</v>
      </c>
      <c r="O101" s="137" t="str">
        <f>IFERROR(__xludf.DUMMYFUNCTION("QUERY(Hospitais_BD!D:I,""select G where D='""&amp;D101&amp;""'"")"),"Manguinhos")</f>
        <v>Manguinhos</v>
      </c>
      <c r="P101" s="134"/>
      <c r="Q101" s="137" t="str">
        <f>IFERROR(__xludf.DUMMYFUNCTION("QUERY(Hospitais_BD!D:I,""select I where D='""&amp;D101&amp;""'"")"),"Público")</f>
        <v>Público</v>
      </c>
      <c r="R101" s="137" t="str">
        <f>IFERROR(__xludf.DUMMYFUNCTION("QUERY(Hospitais_BD!D:I,""select H where D='""&amp;D101&amp;""'"")"),"Intituição de pesquisa avançasda")</f>
        <v>Intituição de pesquisa avançasda</v>
      </c>
      <c r="S101" s="184" t="s">
        <v>1029</v>
      </c>
      <c r="T101" s="138"/>
      <c r="U101" s="185"/>
      <c r="V101" s="134"/>
      <c r="W101" s="183"/>
      <c r="X101" s="80"/>
      <c r="Y101" s="183"/>
      <c r="Z101" s="183"/>
      <c r="AA101" s="80"/>
      <c r="AB101" s="134"/>
      <c r="AC101" s="134"/>
      <c r="AD101" s="134"/>
      <c r="AE101" s="134"/>
      <c r="AF101" s="142"/>
      <c r="AG101" s="158">
        <v>0.0</v>
      </c>
      <c r="AH101" s="144">
        <v>0.0</v>
      </c>
      <c r="AI101" s="144">
        <v>0.0</v>
      </c>
      <c r="AJ101" s="144">
        <v>100.0</v>
      </c>
      <c r="AK101" s="144">
        <v>0.0</v>
      </c>
      <c r="AL101" s="144"/>
      <c r="AM101" s="145" t="s">
        <v>1003</v>
      </c>
    </row>
    <row r="102" ht="21.0" customHeight="1">
      <c r="A102" s="175" t="s">
        <v>1021</v>
      </c>
      <c r="B102" s="176">
        <v>0.8742013888888889</v>
      </c>
      <c r="C102" s="69"/>
      <c r="D102" s="101" t="s">
        <v>602</v>
      </c>
      <c r="E102" s="121"/>
      <c r="F102" s="121"/>
      <c r="G102" s="178"/>
      <c r="H102" s="37"/>
      <c r="I102" s="37"/>
      <c r="J102" s="37"/>
      <c r="K102" s="37"/>
      <c r="L102" s="37"/>
      <c r="M102" s="123" t="str">
        <f>IFERROR(__xludf.DUMMYFUNCTION("QUERY(Hospitais_BD!D:I,""select E where D='""&amp;D102&amp;""'"",0)"),"CENTRO")</f>
        <v>CENTRO</v>
      </c>
      <c r="N102" s="124" t="str">
        <f>IFERROR(__xludf.DUMMYFUNCTION("QUERY(Hospitais_BD!D:I,""select F where D='""&amp;D102&amp;""'"")"),"Rio de Janeiro")</f>
        <v>Rio de Janeiro</v>
      </c>
      <c r="O102" s="125" t="str">
        <f>IFERROR(__xludf.DUMMYFUNCTION("QUERY(Hospitais_BD!D:I,""select G where D='""&amp;D102&amp;""'"")"),"Cidade Nova")</f>
        <v>Cidade Nova</v>
      </c>
      <c r="P102" s="121"/>
      <c r="Q102" s="125" t="str">
        <f>IFERROR(__xludf.DUMMYFUNCTION("QUERY(Hospitais_BD!D:I,""select I where D='""&amp;D102&amp;""'"")"),"Público")</f>
        <v>Público</v>
      </c>
      <c r="R102" s="125" t="str">
        <f>IFERROR(__xludf.DUMMYFUNCTION("QUERY(Hospitais_BD!D:I,""select H where D='""&amp;D102&amp;""'"")"),"Unidade básica - BAIXA COMPLEXIDADE")</f>
        <v>Unidade básica - BAIXA COMPLEXIDADE</v>
      </c>
      <c r="S102" s="179" t="s">
        <v>1030</v>
      </c>
      <c r="T102" s="126"/>
      <c r="U102" s="180"/>
      <c r="V102" s="121"/>
      <c r="W102" s="178"/>
      <c r="X102" s="101"/>
      <c r="Y102" s="178"/>
      <c r="Z102" s="178"/>
      <c r="AA102" s="101"/>
      <c r="AB102" s="121"/>
      <c r="AC102" s="121"/>
      <c r="AD102" s="121"/>
      <c r="AE102" s="121"/>
      <c r="AF102" s="130"/>
      <c r="AG102" s="163">
        <v>50.0</v>
      </c>
      <c r="AH102" s="129"/>
      <c r="AI102" s="129"/>
      <c r="AJ102" s="129"/>
      <c r="AK102" s="129">
        <v>12.0</v>
      </c>
      <c r="AL102" s="129"/>
      <c r="AM102" s="131" t="s">
        <v>1003</v>
      </c>
    </row>
    <row r="103" ht="21.0" customHeight="1">
      <c r="A103" s="181" t="s">
        <v>1021</v>
      </c>
      <c r="B103" s="182">
        <v>0.8873611111111112</v>
      </c>
      <c r="C103" s="50"/>
      <c r="D103" s="80" t="s">
        <v>603</v>
      </c>
      <c r="E103" s="134"/>
      <c r="F103" s="134"/>
      <c r="G103" s="183"/>
      <c r="H103" s="25"/>
      <c r="I103" s="25"/>
      <c r="J103" s="25"/>
      <c r="K103" s="25"/>
      <c r="L103" s="25"/>
      <c r="M103" s="136" t="str">
        <f>IFERROR(__xludf.DUMMYFUNCTION("QUERY(Hospitais_BD!D:I,""select E where D='""&amp;D103&amp;""'"",0)"),"REGIAO METROPOLITANA")</f>
        <v>REGIAO METROPOLITANA</v>
      </c>
      <c r="N103" s="94" t="str">
        <f>IFERROR(__xludf.DUMMYFUNCTION("QUERY(Hospitais_BD!D:I,""select F where D='""&amp;D103&amp;""'"")"),"Rio de Janeiro")</f>
        <v>Rio de Janeiro</v>
      </c>
      <c r="O103" s="137" t="str">
        <f>IFERROR(__xludf.DUMMYFUNCTION("QUERY(Hospitais_BD!D:I,""select G where D='""&amp;D103&amp;""'"")"),"Laranjeiras")</f>
        <v>Laranjeiras</v>
      </c>
      <c r="P103" s="134"/>
      <c r="Q103" s="137" t="str">
        <f>IFERROR(__xludf.DUMMYFUNCTION("QUERY(Hospitais_BD!D:I,""select I where D='""&amp;D103&amp;""'"")"),"Público")</f>
        <v>Público</v>
      </c>
      <c r="R103" s="137" t="str">
        <f>IFERROR(__xludf.DUMMYFUNCTION("QUERY(Hospitais_BD!D:I,""select H where D='""&amp;D103&amp;""'"")"),"Referência - ALTA COMPLEXIDADE")</f>
        <v>Referência - ALTA COMPLEXIDADE</v>
      </c>
      <c r="S103" s="184" t="s">
        <v>1031</v>
      </c>
      <c r="T103" s="138"/>
      <c r="U103" s="185"/>
      <c r="V103" s="134"/>
      <c r="W103" s="183"/>
      <c r="X103" s="80"/>
      <c r="Y103" s="183"/>
      <c r="Z103" s="183"/>
      <c r="AA103" s="80"/>
      <c r="AB103" s="134"/>
      <c r="AC103" s="134"/>
      <c r="AD103" s="134"/>
      <c r="AE103" s="134"/>
      <c r="AF103" s="142"/>
      <c r="AG103" s="158">
        <v>50.0</v>
      </c>
      <c r="AH103" s="144"/>
      <c r="AI103" s="144"/>
      <c r="AJ103" s="144"/>
      <c r="AK103" s="144">
        <v>12.0</v>
      </c>
      <c r="AL103" s="144"/>
      <c r="AM103" s="145" t="s">
        <v>1003</v>
      </c>
    </row>
    <row r="104" ht="21.0" customHeight="1">
      <c r="A104" s="175" t="s">
        <v>1021</v>
      </c>
      <c r="B104" s="176">
        <v>0.945300925925926</v>
      </c>
      <c r="C104" s="69"/>
      <c r="D104" s="101" t="s">
        <v>604</v>
      </c>
      <c r="E104" s="121"/>
      <c r="F104" s="121"/>
      <c r="G104" s="178"/>
      <c r="H104" s="37"/>
      <c r="I104" s="37"/>
      <c r="J104" s="37"/>
      <c r="K104" s="37"/>
      <c r="L104" s="37"/>
      <c r="M104" s="123" t="str">
        <f>IFERROR(__xludf.DUMMYFUNCTION("QUERY(Hospitais_BD!D:I,""select E where D='""&amp;D104&amp;""'"",0)"),"ZONA SUL")</f>
        <v>ZONA SUL</v>
      </c>
      <c r="N104" s="124" t="str">
        <f>IFERROR(__xludf.DUMMYFUNCTION("QUERY(Hospitais_BD!D:I,""select F where D='""&amp;D104&amp;""'"")"),"Rio de Janeiro")</f>
        <v>Rio de Janeiro</v>
      </c>
      <c r="O104" s="125" t="str">
        <f>IFERROR(__xludf.DUMMYFUNCTION("QUERY(Hospitais_BD!D:I,""select G where D='""&amp;D104&amp;""'"")"),"Copacabana")</f>
        <v>Copacabana</v>
      </c>
      <c r="P104" s="121"/>
      <c r="Q104" s="125" t="str">
        <f>IFERROR(__xludf.DUMMYFUNCTION("QUERY(Hospitais_BD!D:I,""select I where D='""&amp;D104&amp;""'"")"),"Público")</f>
        <v>Público</v>
      </c>
      <c r="R104" s="125" t="str">
        <f>IFERROR(__xludf.DUMMYFUNCTION("QUERY(Hospitais_BD!D:I,""select H where D='""&amp;D104&amp;""'"")"),"Referência - ALTA COMPLEXIDADE")</f>
        <v>Referência - ALTA COMPLEXIDADE</v>
      </c>
      <c r="S104" s="179" t="s">
        <v>1032</v>
      </c>
      <c r="T104" s="126"/>
      <c r="U104" s="188"/>
      <c r="V104" s="121"/>
      <c r="W104" s="155"/>
      <c r="X104" s="101"/>
      <c r="Y104" s="178"/>
      <c r="Z104" s="178"/>
      <c r="AA104" s="101"/>
      <c r="AB104" s="121"/>
      <c r="AC104" s="121"/>
      <c r="AD104" s="121"/>
      <c r="AE104" s="121"/>
      <c r="AF104" s="130"/>
      <c r="AG104" s="163"/>
      <c r="AH104" s="129"/>
      <c r="AI104" s="129"/>
      <c r="AJ104" s="129"/>
      <c r="AK104" s="129">
        <v>0.0</v>
      </c>
      <c r="AL104" s="129"/>
      <c r="AM104" s="131" t="s">
        <v>1014</v>
      </c>
    </row>
    <row r="105" ht="21.0" customHeight="1">
      <c r="A105" s="181" t="s">
        <v>1021</v>
      </c>
      <c r="B105" s="182">
        <v>0.9948263888888889</v>
      </c>
      <c r="C105" s="50"/>
      <c r="D105" s="80" t="s">
        <v>605</v>
      </c>
      <c r="E105" s="134"/>
      <c r="F105" s="134"/>
      <c r="G105" s="183"/>
      <c r="H105" s="25"/>
      <c r="I105" s="25"/>
      <c r="J105" s="25"/>
      <c r="K105" s="25"/>
      <c r="L105" s="25"/>
      <c r="M105" s="136" t="str">
        <f>IFERROR(__xludf.DUMMYFUNCTION("QUERY(Hospitais_BD!D:I,""select E where D='""&amp;D105&amp;""'"",0)"),"ZONA OESTE")</f>
        <v>ZONA OESTE</v>
      </c>
      <c r="N105" s="94" t="str">
        <f>IFERROR(__xludf.DUMMYFUNCTION("QUERY(Hospitais_BD!D:I,""select F where D='""&amp;D105&amp;""'"")"),"Inhoaiba")</f>
        <v>Inhoaiba</v>
      </c>
      <c r="O105" s="137" t="str">
        <f>IFERROR(__xludf.DUMMYFUNCTION("QUERY(Hospitais_BD!D:I,""select G where D='""&amp;D105&amp;""'"")"),"Campo Grande")</f>
        <v>Campo Grande</v>
      </c>
      <c r="P105" s="134"/>
      <c r="Q105" s="137" t="str">
        <f>IFERROR(__xludf.DUMMYFUNCTION("QUERY(Hospitais_BD!D:I,""select I where D='""&amp;D105&amp;""'"")"),"Público")</f>
        <v>Público</v>
      </c>
      <c r="R105" s="137" t="str">
        <f>IFERROR(__xludf.DUMMYFUNCTION("QUERY(Hospitais_BD!D:I,""select H where D='""&amp;D105&amp;""'"")"),"Unidade básica - BAIXA COMPLEXIDADE")</f>
        <v>Unidade básica - BAIXA COMPLEXIDADE</v>
      </c>
      <c r="S105" s="184" t="s">
        <v>1033</v>
      </c>
      <c r="T105" s="138"/>
      <c r="U105" s="185"/>
      <c r="V105" s="134"/>
      <c r="W105" s="151"/>
      <c r="X105" s="80"/>
      <c r="Y105" s="183"/>
      <c r="Z105" s="183"/>
      <c r="AA105" s="80"/>
      <c r="AB105" s="134"/>
      <c r="AC105" s="134"/>
      <c r="AD105" s="134"/>
      <c r="AE105" s="134"/>
      <c r="AF105" s="142"/>
      <c r="AG105" s="158">
        <v>350.0</v>
      </c>
      <c r="AH105" s="144">
        <v>0.0</v>
      </c>
      <c r="AI105" s="144">
        <v>0.0</v>
      </c>
      <c r="AJ105" s="144">
        <v>0.0</v>
      </c>
      <c r="AK105" s="144">
        <v>0.0</v>
      </c>
      <c r="AL105" s="144"/>
      <c r="AM105" s="145" t="s">
        <v>1003</v>
      </c>
    </row>
    <row r="106" ht="21.0" customHeight="1">
      <c r="A106" s="175" t="s">
        <v>1034</v>
      </c>
      <c r="B106" s="176">
        <v>0.44180555555555556</v>
      </c>
      <c r="C106" s="69"/>
      <c r="D106" s="101" t="s">
        <v>607</v>
      </c>
      <c r="E106" s="121"/>
      <c r="F106" s="121"/>
      <c r="G106" s="178"/>
      <c r="H106" s="37"/>
      <c r="I106" s="37"/>
      <c r="J106" s="37"/>
      <c r="K106" s="37"/>
      <c r="L106" s="37"/>
      <c r="M106" s="123" t="str">
        <f>IFERROR(__xludf.DUMMYFUNCTION("QUERY(Hospitais_BD!D:I,""select E where D='""&amp;D106&amp;""'"",0)"),"REGIAO NORTE")</f>
        <v>REGIAO NORTE</v>
      </c>
      <c r="N106" s="124" t="str">
        <f>IFERROR(__xludf.DUMMYFUNCTION("QUERY(Hospitais_BD!D:I,""select F where D='""&amp;D106&amp;""'"")"),"Campos dos Goytacazes")</f>
        <v>Campos dos Goytacazes</v>
      </c>
      <c r="O106" s="125" t="str">
        <f>IFERROR(__xludf.DUMMYFUNCTION("QUERY(Hospitais_BD!D:I,""select G where D='""&amp;D106&amp;""'"")"),"Centro")</f>
        <v>Centro</v>
      </c>
      <c r="P106" s="121"/>
      <c r="Q106" s="125" t="str">
        <f>IFERROR(__xludf.DUMMYFUNCTION("QUERY(Hospitais_BD!D:I,""select I where D='""&amp;D106&amp;""'"")"),"Público")</f>
        <v>Público</v>
      </c>
      <c r="R106" s="125" t="str">
        <f>IFERROR(__xludf.DUMMYFUNCTION("QUERY(Hospitais_BD!D:I,""select H where D='""&amp;D106&amp;""'"")"),"Grande emergência - MÉDIA COMPLEXIDADE")</f>
        <v>Grande emergência - MÉDIA COMPLEXIDADE</v>
      </c>
      <c r="S106" s="179" t="s">
        <v>1035</v>
      </c>
      <c r="T106" s="126"/>
      <c r="U106" s="180"/>
      <c r="V106" s="121"/>
      <c r="W106" s="178"/>
      <c r="X106" s="101"/>
      <c r="Y106" s="178"/>
      <c r="Z106" s="178"/>
      <c r="AA106" s="101"/>
      <c r="AB106" s="121"/>
      <c r="AC106" s="121"/>
      <c r="AD106" s="121"/>
      <c r="AE106" s="121"/>
      <c r="AF106" s="130"/>
      <c r="AG106" s="163"/>
      <c r="AH106" s="129"/>
      <c r="AI106" s="129"/>
      <c r="AJ106" s="129"/>
      <c r="AK106" s="129">
        <v>0.0</v>
      </c>
      <c r="AL106" s="129"/>
      <c r="AM106" s="131" t="s">
        <v>1014</v>
      </c>
    </row>
    <row r="107" ht="21.0" customHeight="1">
      <c r="A107" s="190">
        <v>43946.0</v>
      </c>
      <c r="B107" s="191">
        <v>0.7074074074074074</v>
      </c>
      <c r="C107" s="50"/>
      <c r="D107" s="80" t="s">
        <v>639</v>
      </c>
      <c r="E107" s="172">
        <v>3.36636830016E13</v>
      </c>
      <c r="F107" s="172">
        <v>3.9382008E7</v>
      </c>
      <c r="G107" s="83"/>
      <c r="H107" s="83"/>
      <c r="I107" s="83"/>
      <c r="J107" s="83"/>
      <c r="K107" s="83"/>
      <c r="L107" s="83"/>
      <c r="M107" s="136" t="str">
        <f>IFERROR(__xludf.DUMMYFUNCTION("QUERY(Hospitais_BD!D:I,""select E where D='""&amp;D107&amp;""'"",0)"),"ZONA NORTE")</f>
        <v>ZONA NORTE</v>
      </c>
      <c r="N107" s="94" t="str">
        <f>IFERROR(__xludf.DUMMYFUNCTION("QUERY(Hospitais_BD!D:I,""select F where D='""&amp;D107&amp;""'"")"),"Rio de Janeiro")</f>
        <v>Rio de Janeiro</v>
      </c>
      <c r="O107" s="137" t="str">
        <f>IFERROR(__xludf.DUMMYFUNCTION("QUERY(Hospitais_BD!D:I,""select G where D='""&amp;D107&amp;""'"")"),"Ilha do Fundao - Cidade Universitaria")</f>
        <v>Ilha do Fundao - Cidade Universitaria</v>
      </c>
      <c r="P107" s="172" t="s">
        <v>1036</v>
      </c>
      <c r="Q107" s="137" t="str">
        <f>IFERROR(__xludf.DUMMYFUNCTION("QUERY(Hospitais_BD!D:I,""select I where D='""&amp;D107&amp;""'"")"),"Público")</f>
        <v>Público</v>
      </c>
      <c r="R107" s="137" t="str">
        <f>IFERROR(__xludf.DUMMYFUNCTION("QUERY(Hospitais_BD!D:I,""select H where D='""&amp;D107&amp;""'"")"),"Unidade de atendimento publico odontológico
")</f>
        <v>Unidade de atendimento publico odontológico
</v>
      </c>
      <c r="S107" s="192" t="s">
        <v>1037</v>
      </c>
      <c r="T107" s="138"/>
      <c r="U107" s="185"/>
      <c r="V107" s="172"/>
      <c r="W107" s="80"/>
      <c r="X107" s="172"/>
      <c r="Y107" s="172"/>
      <c r="Z107" s="172"/>
      <c r="AA107" s="172"/>
      <c r="AB107" s="22"/>
      <c r="AC107" s="23">
        <v>9.1579813704E10</v>
      </c>
      <c r="AD107" s="23"/>
      <c r="AE107" s="134"/>
      <c r="AF107" s="142"/>
      <c r="AG107" s="158">
        <v>50.0</v>
      </c>
      <c r="AH107" s="144"/>
      <c r="AI107" s="144"/>
      <c r="AJ107" s="144"/>
      <c r="AK107" s="144">
        <v>0.0</v>
      </c>
      <c r="AL107" s="144"/>
      <c r="AM107" s="145" t="s">
        <v>1003</v>
      </c>
    </row>
    <row r="108" ht="21.0" customHeight="1">
      <c r="A108" s="193">
        <v>43947.0</v>
      </c>
      <c r="B108" s="76">
        <v>0.8985532407407407</v>
      </c>
      <c r="C108" s="69"/>
      <c r="D108" s="101" t="s">
        <v>651</v>
      </c>
      <c r="E108" s="186">
        <v>2283522.0</v>
      </c>
      <c r="F108" s="186">
        <v>9.95844722E8</v>
      </c>
      <c r="G108" s="75"/>
      <c r="H108" s="75"/>
      <c r="I108" s="75"/>
      <c r="J108" s="75"/>
      <c r="K108" s="75"/>
      <c r="L108" s="75"/>
      <c r="M108" s="123" t="str">
        <f>IFERROR(__xludf.DUMMYFUNCTION("QUERY(Hospitais_BD!D:I,""select E where D='""&amp;D108&amp;""'"",0)"),"BAIXADA FLUMINENSE")</f>
        <v>BAIXADA FLUMINENSE</v>
      </c>
      <c r="N108" s="124" t="str">
        <f>IFERROR(__xludf.DUMMYFUNCTION("QUERY(Hospitais_BD!D:I,""select F where D='""&amp;D108&amp;""'"")"),"Duque de Caxias")</f>
        <v>Duque de Caxias</v>
      </c>
      <c r="O108" s="125" t="str">
        <f>IFERROR(__xludf.DUMMYFUNCTION("QUERY(Hospitais_BD!D:I,""select G where D='""&amp;D108&amp;""'"")"),"Santa Lucia")</f>
        <v>Santa Lucia</v>
      </c>
      <c r="P108" s="186" t="s">
        <v>1038</v>
      </c>
      <c r="Q108" s="125" t="str">
        <f>IFERROR(__xludf.DUMMYFUNCTION("QUERY(Hospitais_BD!D:I,""select I where D='""&amp;D108&amp;""'"")"),"Público")</f>
        <v>Público</v>
      </c>
      <c r="R108" s="125" t="str">
        <f>IFERROR(__xludf.DUMMYFUNCTION("QUERY(Hospitais_BD!D:I,""select H where D='""&amp;D108&amp;""'"")"),"Unidade básica de saúde - BAIXA COMPLEXIDADE
")</f>
        <v>Unidade básica de saúde - BAIXA COMPLEXIDADE
</v>
      </c>
      <c r="S108" s="194"/>
      <c r="T108" s="126"/>
      <c r="U108" s="180"/>
      <c r="V108" s="186"/>
      <c r="W108" s="101"/>
      <c r="X108" s="186"/>
      <c r="Y108" s="186"/>
      <c r="Z108" s="186"/>
      <c r="AA108" s="186"/>
      <c r="AB108" s="28"/>
      <c r="AC108" s="195" t="s">
        <v>1039</v>
      </c>
      <c r="AD108" s="29"/>
      <c r="AE108" s="121"/>
      <c r="AF108" s="130"/>
      <c r="AG108" s="163">
        <v>25.0</v>
      </c>
      <c r="AH108" s="129">
        <v>0.0</v>
      </c>
      <c r="AI108" s="129">
        <v>0.0</v>
      </c>
      <c r="AJ108" s="129">
        <v>0.0</v>
      </c>
      <c r="AK108" s="129">
        <v>0.0</v>
      </c>
      <c r="AL108" s="129"/>
      <c r="AM108" s="131" t="s">
        <v>1003</v>
      </c>
    </row>
    <row r="109" ht="21.0" customHeight="1">
      <c r="A109" s="190">
        <v>43948.0</v>
      </c>
      <c r="B109" s="191">
        <v>0.024467592592592593</v>
      </c>
      <c r="C109" s="50"/>
      <c r="D109" s="80" t="s">
        <v>653</v>
      </c>
      <c r="E109" s="172">
        <v>2.913832800015E13</v>
      </c>
      <c r="F109" s="172">
        <v>2.1964433319E10</v>
      </c>
      <c r="G109" s="83"/>
      <c r="H109" s="83"/>
      <c r="I109" s="83"/>
      <c r="J109" s="83"/>
      <c r="K109" s="83"/>
      <c r="L109" s="83"/>
      <c r="M109" s="136" t="str">
        <f>IFERROR(__xludf.DUMMYFUNCTION("QUERY(Hospitais_BD!D:I,""select E where D='""&amp;D109&amp;""'"",0)"),"BAIXADA FLUMINENSE")</f>
        <v>BAIXADA FLUMINENSE</v>
      </c>
      <c r="N109" s="94" t="str">
        <f>IFERROR(__xludf.DUMMYFUNCTION("QUERY(Hospitais_BD!D:I,""select F where D='""&amp;D109&amp;""'"")"),"Duque de Caxias")</f>
        <v>Duque de Caxias</v>
      </c>
      <c r="O109" s="137" t="str">
        <f>IFERROR(__xludf.DUMMYFUNCTION("QUERY(Hospitais_BD!D:I,""select G where D='""&amp;D109&amp;""'"")"),"Centenario")</f>
        <v>Centenario</v>
      </c>
      <c r="P109" s="172" t="s">
        <v>1040</v>
      </c>
      <c r="Q109" s="137" t="str">
        <f>IFERROR(__xludf.DUMMYFUNCTION("QUERY(Hospitais_BD!D:I,""select I where D='""&amp;D109&amp;""'"")"),"Público")</f>
        <v>Público</v>
      </c>
      <c r="R109" s="137" t="str">
        <f>IFERROR(__xludf.DUMMYFUNCTION("QUERY(Hospitais_BD!D:I,""select H where D='""&amp;D109&amp;""'"")"),"Unidade básica de saúde - BAIXA COMPLEXIDADE
")</f>
        <v>Unidade básica de saúde - BAIXA COMPLEXIDADE
</v>
      </c>
      <c r="S109" s="192" t="s">
        <v>1041</v>
      </c>
      <c r="T109" s="138"/>
      <c r="U109" s="185"/>
      <c r="V109" s="172"/>
      <c r="W109" s="80"/>
      <c r="X109" s="172"/>
      <c r="Y109" s="172"/>
      <c r="Z109" s="172"/>
      <c r="AA109" s="172"/>
      <c r="AB109" s="22"/>
      <c r="AC109" s="196" t="s">
        <v>1042</v>
      </c>
      <c r="AD109" s="23"/>
      <c r="AE109" s="134"/>
      <c r="AF109" s="142"/>
      <c r="AG109" s="158">
        <v>25.0</v>
      </c>
      <c r="AH109" s="144">
        <v>0.0</v>
      </c>
      <c r="AI109" s="144">
        <v>0.0</v>
      </c>
      <c r="AJ109" s="144">
        <v>0.0</v>
      </c>
      <c r="AK109" s="144">
        <v>0.0</v>
      </c>
      <c r="AL109" s="144"/>
      <c r="AM109" s="145" t="s">
        <v>1003</v>
      </c>
    </row>
    <row r="110" ht="21.0" customHeight="1">
      <c r="A110" s="193">
        <v>43948.0</v>
      </c>
      <c r="B110" s="76">
        <v>0.4960185185185185</v>
      </c>
      <c r="C110" s="69"/>
      <c r="D110" s="101" t="s">
        <v>655</v>
      </c>
      <c r="E110" s="186">
        <v>2277891.0</v>
      </c>
      <c r="F110" s="186">
        <v>2.6720111E7</v>
      </c>
      <c r="G110" s="75"/>
      <c r="H110" s="75"/>
      <c r="I110" s="75"/>
      <c r="J110" s="75"/>
      <c r="K110" s="75"/>
      <c r="L110" s="75"/>
      <c r="M110" s="123" t="str">
        <f>IFERROR(__xludf.DUMMYFUNCTION("QUERY(Hospitais_BD!D:I,""select E where D='""&amp;D110&amp;""'"",0)"),"BAIXADA FLUMINENSE")</f>
        <v>BAIXADA FLUMINENSE</v>
      </c>
      <c r="N110" s="124" t="str">
        <f>IFERROR(__xludf.DUMMYFUNCTION("QUERY(Hospitais_BD!D:I,""select F where D='""&amp;D110&amp;""'"")"),"Duque de Caxias")</f>
        <v>Duque de Caxias</v>
      </c>
      <c r="O110" s="125" t="str">
        <f>IFERROR(__xludf.DUMMYFUNCTION("QUERY(Hospitais_BD!D:I,""select G where D='""&amp;D110&amp;""'"")"),"Copacabana")</f>
        <v>Copacabana</v>
      </c>
      <c r="P110" s="186" t="s">
        <v>1043</v>
      </c>
      <c r="Q110" s="125" t="str">
        <f>IFERROR(__xludf.DUMMYFUNCTION("QUERY(Hospitais_BD!D:I,""select I where D='""&amp;D110&amp;""'"")"),"Público")</f>
        <v>Público</v>
      </c>
      <c r="R110" s="125" t="str">
        <f>IFERROR(__xludf.DUMMYFUNCTION("QUERY(Hospitais_BD!D:I,""select H where D='""&amp;D110&amp;""'"")"),"Unidade básica de saúde - BAIXA COMPLEXIDADE
")</f>
        <v>Unidade básica de saúde - BAIXA COMPLEXIDADE
</v>
      </c>
      <c r="S110" s="194"/>
      <c r="T110" s="126"/>
      <c r="U110" s="180"/>
      <c r="V110" s="186"/>
      <c r="W110" s="101"/>
      <c r="X110" s="186"/>
      <c r="Y110" s="186"/>
      <c r="Z110" s="186"/>
      <c r="AA110" s="186"/>
      <c r="AB110" s="28"/>
      <c r="AC110" s="29">
        <v>1.1213021731E10</v>
      </c>
      <c r="AD110" s="29"/>
      <c r="AE110" s="121"/>
      <c r="AF110" s="130"/>
      <c r="AG110" s="163"/>
      <c r="AH110" s="129">
        <v>0.0</v>
      </c>
      <c r="AI110" s="129">
        <v>0.0</v>
      </c>
      <c r="AJ110" s="129">
        <v>0.0</v>
      </c>
      <c r="AK110" s="129">
        <v>0.0</v>
      </c>
      <c r="AL110" s="129"/>
      <c r="AM110" s="131" t="s">
        <v>1019</v>
      </c>
    </row>
    <row r="111" ht="21.0" customHeight="1">
      <c r="A111" s="190">
        <v>43948.0</v>
      </c>
      <c r="B111" s="191">
        <v>0.5456828703703703</v>
      </c>
      <c r="C111" s="50"/>
      <c r="D111" s="80" t="s">
        <v>656</v>
      </c>
      <c r="E111" s="172">
        <v>2283638.0</v>
      </c>
      <c r="F111" s="172">
        <v>3.6581781E7</v>
      </c>
      <c r="G111" s="83"/>
      <c r="H111" s="83"/>
      <c r="I111" s="83"/>
      <c r="J111" s="83"/>
      <c r="K111" s="83"/>
      <c r="L111" s="83"/>
      <c r="M111" s="136" t="str">
        <f>IFERROR(__xludf.DUMMYFUNCTION("QUERY(Hospitais_BD!D:I,""select E where D='""&amp;D111&amp;""'"",0)"),"BAIXADA FLUMINENSE")</f>
        <v>BAIXADA FLUMINENSE</v>
      </c>
      <c r="N111" s="94" t="str">
        <f>IFERROR(__xludf.DUMMYFUNCTION("QUERY(Hospitais_BD!D:I,""select F where D='""&amp;D111&amp;""'"")"),"DUQUE DE CAXIAS")</f>
        <v>DUQUE DE CAXIAS</v>
      </c>
      <c r="O111" s="137" t="str">
        <f>IFERROR(__xludf.DUMMYFUNCTION("QUERY(Hospitais_BD!D:I,""select G where D='""&amp;D111&amp;""'"")"),"JARDIM GRAMACHO")</f>
        <v>JARDIM GRAMACHO</v>
      </c>
      <c r="P111" s="172" t="s">
        <v>1044</v>
      </c>
      <c r="Q111" s="137" t="str">
        <f>IFERROR(__xludf.DUMMYFUNCTION("QUERY(Hospitais_BD!D:I,""select I where D='""&amp;D111&amp;""'"")"),"Público")</f>
        <v>Público</v>
      </c>
      <c r="R111" s="137" t="str">
        <f>IFERROR(__xludf.DUMMYFUNCTION("QUERY(Hospitais_BD!D:I,""select H where D='""&amp;D111&amp;""'"")"),"Unidade básica de saúde - BAIXA COMPLEXIDADE
")</f>
        <v>Unidade básica de saúde - BAIXA COMPLEXIDADE
</v>
      </c>
      <c r="S111" s="192"/>
      <c r="T111" s="138"/>
      <c r="U111" s="185"/>
      <c r="V111" s="172"/>
      <c r="W111" s="80"/>
      <c r="X111" s="172"/>
      <c r="Y111" s="172"/>
      <c r="Z111" s="172"/>
      <c r="AA111" s="172"/>
      <c r="AB111" s="22"/>
      <c r="AC111" s="196" t="s">
        <v>1045</v>
      </c>
      <c r="AD111" s="23"/>
      <c r="AE111" s="134"/>
      <c r="AF111" s="142"/>
      <c r="AG111" s="158">
        <v>100.0</v>
      </c>
      <c r="AH111" s="144"/>
      <c r="AI111" s="144"/>
      <c r="AJ111" s="144"/>
      <c r="AK111" s="144">
        <v>0.0</v>
      </c>
      <c r="AL111" s="144"/>
      <c r="AM111" s="145" t="s">
        <v>1003</v>
      </c>
    </row>
    <row r="112" ht="21.0" customHeight="1">
      <c r="A112" s="193">
        <v>43948.0</v>
      </c>
      <c r="B112" s="76">
        <v>0.5521412037037037</v>
      </c>
      <c r="C112" s="69"/>
      <c r="D112" s="101" t="s">
        <v>659</v>
      </c>
      <c r="E112" s="186">
        <v>2283638.0</v>
      </c>
      <c r="F112" s="186">
        <v>9.74224432E8</v>
      </c>
      <c r="G112" s="75"/>
      <c r="H112" s="75"/>
      <c r="I112" s="75"/>
      <c r="J112" s="75"/>
      <c r="K112" s="75"/>
      <c r="L112" s="75"/>
      <c r="M112" s="123" t="str">
        <f>IFERROR(__xludf.DUMMYFUNCTION("QUERY(Hospitais_BD!D:I,""select E where D='""&amp;D112&amp;""'"",0)"),"BAIXADA FLUMINENSE")</f>
        <v>BAIXADA FLUMINENSE</v>
      </c>
      <c r="N112" s="124" t="str">
        <f>IFERROR(__xludf.DUMMYFUNCTION("QUERY(Hospitais_BD!D:I,""select F where D='""&amp;D112&amp;""'"")"),"Duque de Caxias")</f>
        <v>Duque de Caxias</v>
      </c>
      <c r="O112" s="125" t="str">
        <f>IFERROR(__xludf.DUMMYFUNCTION("QUERY(Hospitais_BD!D:I,""select G where D='""&amp;D112&amp;""'"")"),"Jardim Gramacho")</f>
        <v>Jardim Gramacho</v>
      </c>
      <c r="P112" s="186" t="s">
        <v>1046</v>
      </c>
      <c r="Q112" s="125" t="str">
        <f>IFERROR(__xludf.DUMMYFUNCTION("QUERY(Hospitais_BD!D:I,""select I where D='""&amp;D112&amp;""'"")"),"Público")</f>
        <v>Público</v>
      </c>
      <c r="R112" s="125" t="str">
        <f>IFERROR(__xludf.DUMMYFUNCTION("QUERY(Hospitais_BD!D:I,""select H where D='""&amp;D112&amp;""'"")"),"Unidade básica de saúde - BAIXA COMPLEXIDADE
")</f>
        <v>Unidade básica de saúde - BAIXA COMPLEXIDADE
</v>
      </c>
      <c r="S112" s="194"/>
      <c r="T112" s="126"/>
      <c r="U112" s="180"/>
      <c r="V112" s="186"/>
      <c r="W112" s="101"/>
      <c r="X112" s="186"/>
      <c r="Y112" s="186"/>
      <c r="Z112" s="186"/>
      <c r="AA112" s="186"/>
      <c r="AB112" s="28"/>
      <c r="AC112" s="195" t="s">
        <v>1047</v>
      </c>
      <c r="AD112" s="29"/>
      <c r="AE112" s="121"/>
      <c r="AF112" s="130"/>
      <c r="AG112" s="163">
        <v>25.0</v>
      </c>
      <c r="AH112" s="129">
        <v>0.0</v>
      </c>
      <c r="AI112" s="129">
        <v>0.0</v>
      </c>
      <c r="AJ112" s="129">
        <v>0.0</v>
      </c>
      <c r="AK112" s="129">
        <v>0.0</v>
      </c>
      <c r="AL112" s="129"/>
      <c r="AM112" s="131" t="s">
        <v>1003</v>
      </c>
    </row>
    <row r="113" ht="21.0" customHeight="1">
      <c r="A113" s="190">
        <v>43948.0</v>
      </c>
      <c r="B113" s="191">
        <v>0.5680092592592593</v>
      </c>
      <c r="C113" s="50"/>
      <c r="D113" s="80" t="s">
        <v>661</v>
      </c>
      <c r="E113" s="172">
        <v>2283565.0</v>
      </c>
      <c r="F113" s="172">
        <v>9.9658464E8</v>
      </c>
      <c r="G113" s="83"/>
      <c r="H113" s="83"/>
      <c r="I113" s="83"/>
      <c r="J113" s="83"/>
      <c r="K113" s="83"/>
      <c r="L113" s="83"/>
      <c r="M113" s="136" t="str">
        <f>IFERROR(__xludf.DUMMYFUNCTION("QUERY(Hospitais_BD!D:I,""select E where D='""&amp;D113&amp;""'"",0)"),"BAIXADA FLUMINENSE")</f>
        <v>BAIXADA FLUMINENSE</v>
      </c>
      <c r="N113" s="94" t="str">
        <f>IFERROR(__xludf.DUMMYFUNCTION("QUERY(Hospitais_BD!D:I,""select F where D='""&amp;D113&amp;""'"")"),"Duque de Caxias")</f>
        <v>Duque de Caxias</v>
      </c>
      <c r="O113" s="137" t="str">
        <f>IFERROR(__xludf.DUMMYFUNCTION("QUERY(Hospitais_BD!D:I,""select G where D='""&amp;D113&amp;""'"")"),"Trevo das Missoes")</f>
        <v>Trevo das Missoes</v>
      </c>
      <c r="P113" s="172" t="s">
        <v>1048</v>
      </c>
      <c r="Q113" s="137" t="str">
        <f>IFERROR(__xludf.DUMMYFUNCTION("QUERY(Hospitais_BD!D:I,""select I where D='""&amp;D113&amp;""'"")"),"Público")</f>
        <v>Público</v>
      </c>
      <c r="R113" s="137" t="str">
        <f>IFERROR(__xludf.DUMMYFUNCTION("QUERY(Hospitais_BD!D:I,""select H where D='""&amp;D113&amp;""'"")"),"Unidade básica de saúde - BAIXA COMPLEXIDADE
")</f>
        <v>Unidade básica de saúde - BAIXA COMPLEXIDADE
</v>
      </c>
      <c r="S113" s="192"/>
      <c r="T113" s="138"/>
      <c r="U113" s="185"/>
      <c r="V113" s="172"/>
      <c r="W113" s="80"/>
      <c r="X113" s="172"/>
      <c r="Y113" s="172"/>
      <c r="Z113" s="172"/>
      <c r="AA113" s="172"/>
      <c r="AB113" s="22"/>
      <c r="AC113" s="23">
        <v>9.4217440715E10</v>
      </c>
      <c r="AD113" s="23"/>
      <c r="AE113" s="134"/>
      <c r="AF113" s="142"/>
      <c r="AG113" s="197">
        <v>25.0</v>
      </c>
      <c r="AH113" s="144">
        <v>0.0</v>
      </c>
      <c r="AI113" s="144">
        <v>0.0</v>
      </c>
      <c r="AJ113" s="144">
        <v>0.0</v>
      </c>
      <c r="AK113" s="144">
        <v>0.0</v>
      </c>
      <c r="AL113" s="144"/>
      <c r="AM113" s="145" t="s">
        <v>1003</v>
      </c>
    </row>
    <row r="114" ht="21.0" customHeight="1">
      <c r="A114" s="193">
        <v>43948.0</v>
      </c>
      <c r="B114" s="76">
        <v>0.6272685185185185</v>
      </c>
      <c r="C114" s="69"/>
      <c r="D114" s="101" t="s">
        <v>663</v>
      </c>
      <c r="E114" s="186">
        <v>6371221.0</v>
      </c>
      <c r="F114" s="186">
        <v>9.96787967E8</v>
      </c>
      <c r="G114" s="75"/>
      <c r="H114" s="75"/>
      <c r="I114" s="75"/>
      <c r="J114" s="75"/>
      <c r="K114" s="75"/>
      <c r="L114" s="75"/>
      <c r="M114" s="123" t="str">
        <f>IFERROR(__xludf.DUMMYFUNCTION("QUERY(Hospitais_BD!D:I,""select E where D='""&amp;D114&amp;""'"",0)"),"BAIXADA FLUMINENSE")</f>
        <v>BAIXADA FLUMINENSE</v>
      </c>
      <c r="N114" s="124" t="str">
        <f>IFERROR(__xludf.DUMMYFUNCTION("QUERY(Hospitais_BD!D:I,""select F where D='""&amp;D114&amp;""'"")"),"Duque de Caxias")</f>
        <v>Duque de Caxias</v>
      </c>
      <c r="O114" s="125" t="str">
        <f>IFERROR(__xludf.DUMMYFUNCTION("QUERY(Hospitais_BD!D:I,""select G where D='""&amp;D114&amp;""'"")"),"Parque Beira Mar")</f>
        <v>Parque Beira Mar</v>
      </c>
      <c r="P114" s="186" t="s">
        <v>1049</v>
      </c>
      <c r="Q114" s="125" t="str">
        <f>IFERROR(__xludf.DUMMYFUNCTION("QUERY(Hospitais_BD!D:I,""select I where D='""&amp;D114&amp;""'"")"),"Público")</f>
        <v>Público</v>
      </c>
      <c r="R114" s="125" t="str">
        <f>IFERROR(__xludf.DUMMYFUNCTION("QUERY(Hospitais_BD!D:I,""select H where D='""&amp;D114&amp;""'"")"),"Unidade básica de saúde - BAIXA COMPLEXIDADE
")</f>
        <v>Unidade básica de saúde - BAIXA COMPLEXIDADE
</v>
      </c>
      <c r="S114" s="194"/>
      <c r="T114" s="126"/>
      <c r="U114" s="180"/>
      <c r="V114" s="186"/>
      <c r="W114" s="101"/>
      <c r="X114" s="186"/>
      <c r="Y114" s="186"/>
      <c r="Z114" s="186"/>
      <c r="AA114" s="186"/>
      <c r="AB114" s="28"/>
      <c r="AC114" s="29">
        <v>1.1399682709E10</v>
      </c>
      <c r="AD114" s="29"/>
      <c r="AE114" s="121"/>
      <c r="AF114" s="130"/>
      <c r="AG114" s="198">
        <v>25.0</v>
      </c>
      <c r="AH114" s="129">
        <v>0.0</v>
      </c>
      <c r="AI114" s="129">
        <v>0.0</v>
      </c>
      <c r="AJ114" s="129">
        <v>0.0</v>
      </c>
      <c r="AK114" s="129">
        <v>0.0</v>
      </c>
      <c r="AL114" s="129"/>
      <c r="AM114" s="131" t="s">
        <v>1003</v>
      </c>
    </row>
    <row r="115" ht="21.0" customHeight="1">
      <c r="A115" s="190">
        <v>43948.0</v>
      </c>
      <c r="B115" s="191">
        <v>0.6510416666666666</v>
      </c>
      <c r="C115" s="50"/>
      <c r="D115" s="80" t="s">
        <v>664</v>
      </c>
      <c r="E115" s="172">
        <v>6531474.0</v>
      </c>
      <c r="F115" s="172">
        <v>2.7726613E7</v>
      </c>
      <c r="G115" s="83"/>
      <c r="H115" s="83"/>
      <c r="I115" s="83"/>
      <c r="J115" s="83"/>
      <c r="K115" s="83"/>
      <c r="L115" s="83"/>
      <c r="M115" s="136" t="str">
        <f>IFERROR(__xludf.DUMMYFUNCTION("QUERY(Hospitais_BD!D:I,""select E where D='""&amp;D115&amp;""'"",0)"),"BAIXADA FLUMINENSE")</f>
        <v>BAIXADA FLUMINENSE</v>
      </c>
      <c r="N115" s="94" t="str">
        <f>IFERROR(__xludf.DUMMYFUNCTION("QUERY(Hospitais_BD!D:I,""select F where D='""&amp;D115&amp;""'"")"),"Duque de Caxias")</f>
        <v>Duque de Caxias</v>
      </c>
      <c r="O115" s="137" t="str">
        <f>IFERROR(__xludf.DUMMYFUNCTION("QUERY(Hospitais_BD!D:I,""select G where D='""&amp;D115&amp;""'"")"),"Parque Felicidade")</f>
        <v>Parque Felicidade</v>
      </c>
      <c r="P115" s="172" t="s">
        <v>1050</v>
      </c>
      <c r="Q115" s="137" t="str">
        <f>IFERROR(__xludf.DUMMYFUNCTION("QUERY(Hospitais_BD!D:I,""select I where D='""&amp;D115&amp;""'"")"),"Público")</f>
        <v>Público</v>
      </c>
      <c r="R115" s="137" t="str">
        <f>IFERROR(__xludf.DUMMYFUNCTION("QUERY(Hospitais_BD!D:I,""select H where D='""&amp;D115&amp;""'"")"),"Unidade básica de saúde - BAIXA COMPLEXIDADE
")</f>
        <v>Unidade básica de saúde - BAIXA COMPLEXIDADE
</v>
      </c>
      <c r="S115" s="192"/>
      <c r="T115" s="138"/>
      <c r="U115" s="185"/>
      <c r="V115" s="172"/>
      <c r="W115" s="80"/>
      <c r="X115" s="172"/>
      <c r="Y115" s="172"/>
      <c r="Z115" s="172"/>
      <c r="AA115" s="172"/>
      <c r="AB115" s="22"/>
      <c r="AC115" s="196" t="s">
        <v>1051</v>
      </c>
      <c r="AD115" s="23"/>
      <c r="AE115" s="134"/>
      <c r="AF115" s="142"/>
      <c r="AG115" s="197">
        <v>25.0</v>
      </c>
      <c r="AH115" s="144">
        <v>0.0</v>
      </c>
      <c r="AI115" s="144">
        <v>0.0</v>
      </c>
      <c r="AJ115" s="144">
        <v>0.0</v>
      </c>
      <c r="AK115" s="144">
        <v>0.0</v>
      </c>
      <c r="AL115" s="144"/>
      <c r="AM115" s="145" t="s">
        <v>1003</v>
      </c>
    </row>
    <row r="116" ht="21.0" customHeight="1">
      <c r="A116" s="193">
        <v>43948.0</v>
      </c>
      <c r="B116" s="76">
        <v>0.6600694444444445</v>
      </c>
      <c r="C116" s="69"/>
      <c r="D116" s="101" t="s">
        <v>666</v>
      </c>
      <c r="E116" s="186">
        <v>3902781.0</v>
      </c>
      <c r="F116" s="186">
        <v>3.6534575E7</v>
      </c>
      <c r="G116" s="75"/>
      <c r="H116" s="75"/>
      <c r="I116" s="75"/>
      <c r="J116" s="75"/>
      <c r="K116" s="75"/>
      <c r="L116" s="75"/>
      <c r="M116" s="123" t="str">
        <f>IFERROR(__xludf.DUMMYFUNCTION("QUERY(Hospitais_BD!D:I,""select E where D='""&amp;D116&amp;""'"",0)"),"BAIXADA FLUMINENSE")</f>
        <v>BAIXADA FLUMINENSE</v>
      </c>
      <c r="N116" s="124" t="str">
        <f>IFERROR(__xludf.DUMMYFUNCTION("QUERY(Hospitais_BD!D:I,""select F where D='""&amp;D116&amp;""'"")"),"Duque de Caxias")</f>
        <v>Duque de Caxias</v>
      </c>
      <c r="O116" s="125" t="str">
        <f>IFERROR(__xludf.DUMMYFUNCTION("QUERY(Hospitais_BD!D:I,""select G where D='""&amp;D116&amp;""'"")"),"Gramacho")</f>
        <v>Gramacho</v>
      </c>
      <c r="P116" s="186" t="s">
        <v>1052</v>
      </c>
      <c r="Q116" s="125" t="str">
        <f>IFERROR(__xludf.DUMMYFUNCTION("QUERY(Hospitais_BD!D:I,""select I where D='""&amp;D116&amp;""'"")"),"Público")</f>
        <v>Público</v>
      </c>
      <c r="R116" s="125" t="str">
        <f>IFERROR(__xludf.DUMMYFUNCTION("QUERY(Hospitais_BD!D:I,""select H where D='""&amp;D116&amp;""'"")"),"Unidade básica de saúde - BAIXA COMPLEXIDADE
")</f>
        <v>Unidade básica de saúde - BAIXA COMPLEXIDADE
</v>
      </c>
      <c r="S116" s="194"/>
      <c r="T116" s="126"/>
      <c r="U116" s="180"/>
      <c r="V116" s="186"/>
      <c r="W116" s="101"/>
      <c r="X116" s="186"/>
      <c r="Y116" s="186"/>
      <c r="Z116" s="186"/>
      <c r="AA116" s="186"/>
      <c r="AB116" s="28"/>
      <c r="AC116" s="29">
        <v>1.252843577E10</v>
      </c>
      <c r="AD116" s="29"/>
      <c r="AE116" s="121"/>
      <c r="AF116" s="130"/>
      <c r="AG116" s="198">
        <v>25.0</v>
      </c>
      <c r="AH116" s="129">
        <v>0.0</v>
      </c>
      <c r="AI116" s="129">
        <v>0.0</v>
      </c>
      <c r="AJ116" s="129">
        <v>0.0</v>
      </c>
      <c r="AK116" s="129">
        <v>0.0</v>
      </c>
      <c r="AL116" s="129"/>
      <c r="AM116" s="131" t="s">
        <v>1003</v>
      </c>
    </row>
    <row r="117" ht="21.0" customHeight="1">
      <c r="A117" s="190">
        <v>43948.0</v>
      </c>
      <c r="B117" s="191">
        <v>0.6685069444444445</v>
      </c>
      <c r="C117" s="50"/>
      <c r="D117" s="80" t="s">
        <v>670</v>
      </c>
      <c r="E117" s="172">
        <v>6444547.0</v>
      </c>
      <c r="F117" s="172">
        <v>2.7750054E7</v>
      </c>
      <c r="G117" s="83"/>
      <c r="H117" s="83"/>
      <c r="I117" s="83"/>
      <c r="J117" s="83"/>
      <c r="K117" s="83"/>
      <c r="L117" s="83"/>
      <c r="M117" s="136" t="str">
        <f>IFERROR(__xludf.DUMMYFUNCTION("QUERY(Hospitais_BD!D:I,""select E where D='""&amp;D117&amp;""'"",0)"),"REGIAO METROPOLITANA")</f>
        <v>REGIAO METROPOLITANA</v>
      </c>
      <c r="N117" s="94" t="str">
        <f>IFERROR(__xludf.DUMMYFUNCTION("QUERY(Hospitais_BD!D:I,""select F where D='""&amp;D117&amp;""'"")"),"Duque de Caxias")</f>
        <v>Duque de Caxias</v>
      </c>
      <c r="O117" s="137" t="str">
        <f>IFERROR(__xludf.DUMMYFUNCTION("QUERY(Hospitais_BD!D:I,""select G where D='""&amp;D117&amp;""'"")"),"Parque Dois Irmaos")</f>
        <v>Parque Dois Irmaos</v>
      </c>
      <c r="P117" s="172" t="s">
        <v>1053</v>
      </c>
      <c r="Q117" s="137" t="str">
        <f>IFERROR(__xludf.DUMMYFUNCTION("QUERY(Hospitais_BD!D:I,""select I where D='""&amp;D117&amp;""'"")"),"Público")</f>
        <v>Público</v>
      </c>
      <c r="R117" s="137" t="str">
        <f>IFERROR(__xludf.DUMMYFUNCTION("QUERY(Hospitais_BD!D:I,""select H where D='""&amp;D117&amp;""'"")"),"Unidade básica de saúde - BAIXA COMPLEXIDADE
")</f>
        <v>Unidade básica de saúde - BAIXA COMPLEXIDADE
</v>
      </c>
      <c r="S117" s="192"/>
      <c r="T117" s="138"/>
      <c r="U117" s="185"/>
      <c r="V117" s="172"/>
      <c r="W117" s="80"/>
      <c r="X117" s="172"/>
      <c r="Y117" s="172"/>
      <c r="Z117" s="172"/>
      <c r="AA117" s="172"/>
      <c r="AB117" s="22"/>
      <c r="AC117" s="23">
        <v>1.2128842727E10</v>
      </c>
      <c r="AD117" s="23"/>
      <c r="AE117" s="134"/>
      <c r="AF117" s="142"/>
      <c r="AG117" s="197">
        <v>25.0</v>
      </c>
      <c r="AH117" s="144">
        <v>0.0</v>
      </c>
      <c r="AI117" s="144">
        <v>0.0</v>
      </c>
      <c r="AJ117" s="144">
        <v>0.0</v>
      </c>
      <c r="AK117" s="144">
        <v>0.0</v>
      </c>
      <c r="AL117" s="144"/>
      <c r="AM117" s="145" t="s">
        <v>1003</v>
      </c>
    </row>
    <row r="118" ht="21.0" customHeight="1">
      <c r="A118" s="193">
        <v>43948.0</v>
      </c>
      <c r="B118" s="76">
        <v>0.8386226851851852</v>
      </c>
      <c r="C118" s="69"/>
      <c r="D118" s="101" t="s">
        <v>273</v>
      </c>
      <c r="E118" s="186">
        <v>3.94544021182E11</v>
      </c>
      <c r="F118" s="186">
        <v>2.2913131E7</v>
      </c>
      <c r="G118" s="75"/>
      <c r="H118" s="75"/>
      <c r="I118" s="75"/>
      <c r="J118" s="75"/>
      <c r="K118" s="75"/>
      <c r="L118" s="75"/>
      <c r="M118" s="123" t="str">
        <f>IFERROR(__xludf.DUMMYFUNCTION("QUERY(Hospitais_BD!D:I,""select E where D='""&amp;D118&amp;""'"",0)"),"#REF!")</f>
        <v>#REF!</v>
      </c>
      <c r="N118" s="124" t="str">
        <f>IFERROR(__xludf.DUMMYFUNCTION("QUERY(Hospitais_BD!D:I,""select F where D='""&amp;D118&amp;""'"")"),"#REF!")</f>
        <v>#REF!</v>
      </c>
      <c r="O118" s="125" t="str">
        <f>IFERROR(__xludf.DUMMYFUNCTION("QUERY(Hospitais_BD!D:I,""select G where D='""&amp;D118&amp;""'"")"),"#REF!")</f>
        <v>#REF!</v>
      </c>
      <c r="P118" s="186" t="s">
        <v>1054</v>
      </c>
      <c r="Q118" s="125" t="str">
        <f>IFERROR(__xludf.DUMMYFUNCTION("QUERY(Hospitais_BD!D:I,""select I where D='""&amp;D118&amp;""'"")"),"#REF!")</f>
        <v>#REF!</v>
      </c>
      <c r="R118" s="125" t="str">
        <f>IFERROR(__xludf.DUMMYFUNCTION("QUERY(Hospitais_BD!D:I,""select H where D='""&amp;D118&amp;""'"")"),"#REF!")</f>
        <v>#REF!</v>
      </c>
      <c r="S118" s="194" t="s">
        <v>1055</v>
      </c>
      <c r="T118" s="126"/>
      <c r="U118" s="180"/>
      <c r="V118" s="186"/>
      <c r="W118" s="101"/>
      <c r="X118" s="186"/>
      <c r="Y118" s="186"/>
      <c r="Z118" s="186"/>
      <c r="AA118" s="186"/>
      <c r="AB118" s="28"/>
      <c r="AC118" s="195" t="s">
        <v>1056</v>
      </c>
      <c r="AD118" s="29"/>
      <c r="AE118" s="121"/>
      <c r="AF118" s="130"/>
      <c r="AG118" s="163"/>
      <c r="AH118" s="129">
        <v>0.0</v>
      </c>
      <c r="AI118" s="129">
        <v>0.0</v>
      </c>
      <c r="AJ118" s="129">
        <v>0.0</v>
      </c>
      <c r="AK118" s="129">
        <v>0.0</v>
      </c>
      <c r="AL118" s="129"/>
      <c r="AM118" s="131" t="s">
        <v>1014</v>
      </c>
    </row>
    <row r="119" ht="21.0" customHeight="1">
      <c r="A119" s="190">
        <v>43949.0</v>
      </c>
      <c r="B119" s="191">
        <v>0.33846064814814814</v>
      </c>
      <c r="C119" s="50"/>
      <c r="D119" s="80" t="s">
        <v>451</v>
      </c>
      <c r="E119" s="172">
        <v>4.2498717000821E13</v>
      </c>
      <c r="F119" s="172">
        <v>2.3327154E7</v>
      </c>
      <c r="G119" s="83"/>
      <c r="H119" s="83"/>
      <c r="I119" s="83"/>
      <c r="J119" s="83"/>
      <c r="K119" s="83"/>
      <c r="L119" s="83"/>
      <c r="M119" s="136" t="str">
        <f>IFERROR(__xludf.DUMMYFUNCTION("QUERY(Hospitais_BD!D:I,""select E where D='""&amp;D119&amp;""'"",0)"),"CENTRO")</f>
        <v>CENTRO</v>
      </c>
      <c r="N119" s="94" t="str">
        <f>IFERROR(__xludf.DUMMYFUNCTION("QUERY(Hospitais_BD!D:I,""select F where D='""&amp;D119&amp;""'"")"),"Rio de Janeiro")</f>
        <v>Rio de Janeiro</v>
      </c>
      <c r="O119" s="137" t="str">
        <f>IFERROR(__xludf.DUMMYFUNCTION("QUERY(Hospitais_BD!D:I,""select G where D='""&amp;D119&amp;""'"")"),"Central do Brasil")</f>
        <v>Central do Brasil</v>
      </c>
      <c r="P119" s="172" t="s">
        <v>1057</v>
      </c>
      <c r="Q119" s="137" t="str">
        <f>IFERROR(__xludf.DUMMYFUNCTION("QUERY(Hospitais_BD!D:I,""select I where D='""&amp;D119&amp;""'"")"),"Público")</f>
        <v>Público</v>
      </c>
      <c r="R119" s="137" t="str">
        <f>IFERROR(__xludf.DUMMYFUNCTION("QUERY(Hospitais_BD!D:I,""select H where D='""&amp;D119&amp;""'"")"),"Unidade básica - BAIXA COMPLEXIDADE")</f>
        <v>Unidade básica - BAIXA COMPLEXIDADE</v>
      </c>
      <c r="S119" s="192" t="s">
        <v>1058</v>
      </c>
      <c r="T119" s="138"/>
      <c r="U119" s="185"/>
      <c r="V119" s="172"/>
      <c r="W119" s="80"/>
      <c r="X119" s="172"/>
      <c r="Y119" s="172"/>
      <c r="Z119" s="172"/>
      <c r="AA119" s="172"/>
      <c r="AB119" s="22"/>
      <c r="AC119" s="23">
        <v>5.0665421753E10</v>
      </c>
      <c r="AD119" s="23"/>
      <c r="AE119" s="134"/>
      <c r="AF119" s="142"/>
      <c r="AG119" s="158"/>
      <c r="AH119" s="144">
        <v>0.0</v>
      </c>
      <c r="AI119" s="144">
        <v>0.0</v>
      </c>
      <c r="AJ119" s="144">
        <v>0.0</v>
      </c>
      <c r="AK119" s="144">
        <v>0.0</v>
      </c>
      <c r="AL119" s="144"/>
      <c r="AM119" s="145" t="s">
        <v>1014</v>
      </c>
    </row>
    <row r="120" ht="21.0" customHeight="1">
      <c r="A120" s="193">
        <v>43949.0</v>
      </c>
      <c r="B120" s="76">
        <v>0.48561342592592593</v>
      </c>
      <c r="C120" s="69"/>
      <c r="D120" s="101" t="s">
        <v>674</v>
      </c>
      <c r="E120" s="186">
        <v>2.9468055007387E13</v>
      </c>
      <c r="F120" s="186">
        <v>2.133943989E9</v>
      </c>
      <c r="G120" s="75"/>
      <c r="H120" s="75"/>
      <c r="I120" s="75"/>
      <c r="J120" s="75"/>
      <c r="K120" s="75"/>
      <c r="L120" s="75"/>
      <c r="M120" s="123" t="str">
        <f>IFERROR(__xludf.DUMMYFUNCTION("QUERY(Hospitais_BD!D:I,""select E where D='""&amp;D120&amp;""'"",0)"),"ZONA OESTE")</f>
        <v>ZONA OESTE</v>
      </c>
      <c r="N120" s="124" t="str">
        <f>IFERROR(__xludf.DUMMYFUNCTION("QUERY(Hospitais_BD!D:I,""select F where D='""&amp;D120&amp;""'"")"),"RIO DE JANEIRO")</f>
        <v>RIO DE JANEIRO</v>
      </c>
      <c r="O120" s="125" t="str">
        <f>IFERROR(__xludf.DUMMYFUNCTION("QUERY(Hospitais_BD!D:I,""select G where D='""&amp;D120&amp;""'"")"),"CAMPO GRANDE")</f>
        <v>CAMPO GRANDE</v>
      </c>
      <c r="P120" s="186" t="s">
        <v>1059</v>
      </c>
      <c r="Q120" s="125" t="str">
        <f>IFERROR(__xludf.DUMMYFUNCTION("QUERY(Hospitais_BD!D:I,""select I where D='""&amp;D120&amp;""'"")"),"Público")</f>
        <v>Público</v>
      </c>
      <c r="R120" s="125" t="str">
        <f>IFERROR(__xludf.DUMMYFUNCTION("QUERY(Hospitais_BD!D:I,""select H where D='""&amp;D120&amp;""'"")"),"Unidade básica de saúde - BAIXA COMPLEXIDADE
")</f>
        <v>Unidade básica de saúde - BAIXA COMPLEXIDADE
</v>
      </c>
      <c r="S120" s="194" t="s">
        <v>1060</v>
      </c>
      <c r="T120" s="126"/>
      <c r="U120" s="180"/>
      <c r="V120" s="186"/>
      <c r="W120" s="101"/>
      <c r="X120" s="186"/>
      <c r="Y120" s="186"/>
      <c r="Z120" s="186"/>
      <c r="AA120" s="186"/>
      <c r="AB120" s="186"/>
      <c r="AC120" s="199" t="s">
        <v>1061</v>
      </c>
      <c r="AD120" s="129"/>
      <c r="AE120" s="121"/>
      <c r="AF120" s="130"/>
      <c r="AG120" s="163">
        <v>25.0</v>
      </c>
      <c r="AH120" s="129">
        <v>0.0</v>
      </c>
      <c r="AI120" s="129">
        <v>0.0</v>
      </c>
      <c r="AJ120" s="129">
        <v>25.0</v>
      </c>
      <c r="AK120" s="129">
        <v>0.0</v>
      </c>
      <c r="AL120" s="129"/>
      <c r="AM120" s="131" t="s">
        <v>1003</v>
      </c>
    </row>
    <row r="121" ht="21.0" customHeight="1">
      <c r="A121" s="190">
        <v>43949.0</v>
      </c>
      <c r="B121" s="191">
        <v>0.5561111111111111</v>
      </c>
      <c r="C121" s="50"/>
      <c r="D121" s="80" t="s">
        <v>676</v>
      </c>
      <c r="E121" s="172">
        <v>2.913832800015E13</v>
      </c>
      <c r="F121" s="172">
        <v>2.7773462E7</v>
      </c>
      <c r="G121" s="83"/>
      <c r="H121" s="83"/>
      <c r="I121" s="83"/>
      <c r="J121" s="83"/>
      <c r="K121" s="83"/>
      <c r="L121" s="83"/>
      <c r="M121" s="136" t="str">
        <f>IFERROR(__xludf.DUMMYFUNCTION("QUERY(Hospitais_BD!D:I,""select E where D='""&amp;D121&amp;""'"",0)"),"BAIXADA FLUMINENSE")</f>
        <v>BAIXADA FLUMINENSE</v>
      </c>
      <c r="N121" s="94" t="str">
        <f>IFERROR(__xludf.DUMMYFUNCTION("QUERY(Hospitais_BD!D:I,""select F where D='""&amp;D121&amp;""'"")"),"Duque de caxias")</f>
        <v>Duque de caxias</v>
      </c>
      <c r="O121" s="137" t="str">
        <f>IFERROR(__xludf.DUMMYFUNCTION("QUERY(Hospitais_BD!D:I,""select G where D='""&amp;D121&amp;""'"")"),"Imbarie")</f>
        <v>Imbarie</v>
      </c>
      <c r="P121" s="172" t="s">
        <v>1062</v>
      </c>
      <c r="Q121" s="137" t="str">
        <f>IFERROR(__xludf.DUMMYFUNCTION("QUERY(Hospitais_BD!D:I,""select I where D='""&amp;D121&amp;""'"")"),"Público")</f>
        <v>Público</v>
      </c>
      <c r="R121" s="137" t="str">
        <f>IFERROR(__xludf.DUMMYFUNCTION("QUERY(Hospitais_BD!D:I,""select H where D='""&amp;D121&amp;""'"")"),"Centro especialidade  odontológica media complexidade 
")</f>
        <v>Centro especialidade  odontológica media complexidade 
</v>
      </c>
      <c r="S121" s="192"/>
      <c r="T121" s="138"/>
      <c r="U121" s="185"/>
      <c r="V121" s="172"/>
      <c r="W121" s="80"/>
      <c r="X121" s="172"/>
      <c r="Y121" s="172"/>
      <c r="Z121" s="172"/>
      <c r="AA121" s="172"/>
      <c r="AB121" s="22"/>
      <c r="AC121" s="196" t="s">
        <v>1063</v>
      </c>
      <c r="AD121" s="23"/>
      <c r="AE121" s="134"/>
      <c r="AF121" s="142"/>
      <c r="AG121" s="158">
        <v>50.0</v>
      </c>
      <c r="AH121" s="144"/>
      <c r="AI121" s="144"/>
      <c r="AJ121" s="144"/>
      <c r="AK121" s="144">
        <v>0.0</v>
      </c>
      <c r="AL121" s="144"/>
      <c r="AM121" s="145" t="s">
        <v>1003</v>
      </c>
    </row>
    <row r="122" ht="21.0" customHeight="1">
      <c r="A122" s="193">
        <v>43949.0</v>
      </c>
      <c r="B122" s="76">
        <v>0.5683564814814814</v>
      </c>
      <c r="C122" s="69"/>
      <c r="D122" s="101" t="s">
        <v>672</v>
      </c>
      <c r="E122" s="186">
        <v>2.7536934000107E13</v>
      </c>
      <c r="F122" s="186">
        <v>2.6733747E7</v>
      </c>
      <c r="G122" s="75"/>
      <c r="H122" s="75"/>
      <c r="I122" s="75"/>
      <c r="J122" s="75"/>
      <c r="K122" s="75"/>
      <c r="L122" s="75"/>
      <c r="M122" s="123" t="str">
        <f>IFERROR(__xludf.DUMMYFUNCTION("QUERY(Hospitais_BD!D:I,""select E where D='""&amp;D122&amp;""'"",0)"),"BAIXADA FLUMINENSE")</f>
        <v>BAIXADA FLUMINENSE</v>
      </c>
      <c r="N122" s="124" t="str">
        <f>IFERROR(__xludf.DUMMYFUNCTION("QUERY(Hospitais_BD!D:I,""select F where D='""&amp;D122&amp;""'"")"),"Duque de Caxias")</f>
        <v>Duque de Caxias</v>
      </c>
      <c r="O122" s="125" t="str">
        <f>IFERROR(__xludf.DUMMYFUNCTION("QUERY(Hospitais_BD!D:I,""select G where D='""&amp;D122&amp;""'"")"),"Parque Felicidade/ Vila Operaria")</f>
        <v>Parque Felicidade/ Vila Operaria</v>
      </c>
      <c r="P122" s="186" t="s">
        <v>1064</v>
      </c>
      <c r="Q122" s="125" t="str">
        <f>IFERROR(__xludf.DUMMYFUNCTION("QUERY(Hospitais_BD!D:I,""select I where D='""&amp;D122&amp;""'"")"),"Público")</f>
        <v>Público</v>
      </c>
      <c r="R122" s="125" t="str">
        <f>IFERROR(__xludf.DUMMYFUNCTION("QUERY(Hospitais_BD!D:I,""select H where D='""&amp;D122&amp;""'"")"),"Unidade básica de saúde - BAIXA COMPLEXIDADE
")</f>
        <v>Unidade básica de saúde - BAIXA COMPLEXIDADE
</v>
      </c>
      <c r="S122" s="194" t="s">
        <v>1065</v>
      </c>
      <c r="T122" s="126"/>
      <c r="U122" s="180"/>
      <c r="V122" s="186"/>
      <c r="W122" s="101"/>
      <c r="X122" s="186"/>
      <c r="Y122" s="186"/>
      <c r="Z122" s="186"/>
      <c r="AA122" s="186"/>
      <c r="AB122" s="28"/>
      <c r="AC122" s="29">
        <v>9.8829815772E10</v>
      </c>
      <c r="AD122" s="29"/>
      <c r="AE122" s="121"/>
      <c r="AF122" s="130"/>
      <c r="AG122" s="163">
        <v>50.0</v>
      </c>
      <c r="AH122" s="129"/>
      <c r="AI122" s="129"/>
      <c r="AJ122" s="129"/>
      <c r="AK122" s="129">
        <v>0.0</v>
      </c>
      <c r="AL122" s="129"/>
      <c r="AM122" s="131" t="s">
        <v>1003</v>
      </c>
    </row>
    <row r="123" ht="21.0" customHeight="1">
      <c r="A123" s="190">
        <v>43949.0</v>
      </c>
      <c r="B123" s="191">
        <v>0.5762731481481481</v>
      </c>
      <c r="C123" s="50"/>
      <c r="D123" s="80" t="s">
        <v>676</v>
      </c>
      <c r="E123" s="172">
        <v>2.913832800015E13</v>
      </c>
      <c r="F123" s="172">
        <v>3.6670757E7</v>
      </c>
      <c r="G123" s="83"/>
      <c r="H123" s="83"/>
      <c r="I123" s="83"/>
      <c r="J123" s="83"/>
      <c r="K123" s="83"/>
      <c r="L123" s="83"/>
      <c r="M123" s="136" t="str">
        <f>IFERROR(__xludf.DUMMYFUNCTION("QUERY(Hospitais_BD!D:I,""select E where D='""&amp;D123&amp;""'"",0)"),"BAIXADA FLUMINENSE")</f>
        <v>BAIXADA FLUMINENSE</v>
      </c>
      <c r="N123" s="94" t="str">
        <f>IFERROR(__xludf.DUMMYFUNCTION("QUERY(Hospitais_BD!D:I,""select F where D='""&amp;D123&amp;""'"")"),"Duque de caxias")</f>
        <v>Duque de caxias</v>
      </c>
      <c r="O123" s="137" t="str">
        <f>IFERROR(__xludf.DUMMYFUNCTION("QUERY(Hospitais_BD!D:I,""select G where D='""&amp;D123&amp;""'"")"),"Imbarie")</f>
        <v>Imbarie</v>
      </c>
      <c r="P123" s="172" t="s">
        <v>1066</v>
      </c>
      <c r="Q123" s="137" t="str">
        <f>IFERROR(__xludf.DUMMYFUNCTION("QUERY(Hospitais_BD!D:I,""select I where D='""&amp;D123&amp;""'"")"),"Público")</f>
        <v>Público</v>
      </c>
      <c r="R123" s="137" t="str">
        <f>IFERROR(__xludf.DUMMYFUNCTION("QUERY(Hospitais_BD!D:I,""select H where D='""&amp;D123&amp;""'"")"),"Centro especialidade  odontológica media complexidade 
")</f>
        <v>Centro especialidade  odontológica media complexidade 
</v>
      </c>
      <c r="S123" s="192" t="s">
        <v>1067</v>
      </c>
      <c r="T123" s="138"/>
      <c r="U123" s="185"/>
      <c r="V123" s="172"/>
      <c r="W123" s="80"/>
      <c r="X123" s="172"/>
      <c r="Y123" s="172"/>
      <c r="Z123" s="172"/>
      <c r="AA123" s="172"/>
      <c r="AB123" s="22"/>
      <c r="AC123" s="23">
        <v>1.4011848719E10</v>
      </c>
      <c r="AD123" s="23"/>
      <c r="AE123" s="134"/>
      <c r="AF123" s="142"/>
      <c r="AG123" s="158"/>
      <c r="AH123" s="144"/>
      <c r="AI123" s="144"/>
      <c r="AJ123" s="144"/>
      <c r="AK123" s="144">
        <v>0.0</v>
      </c>
      <c r="AL123" s="144"/>
      <c r="AM123" s="145" t="s">
        <v>1068</v>
      </c>
    </row>
    <row r="124" ht="21.0" customHeight="1">
      <c r="A124" s="193">
        <v>43949.0</v>
      </c>
      <c r="B124" s="76">
        <v>0.5793287037037037</v>
      </c>
      <c r="C124" s="69"/>
      <c r="D124" s="101" t="s">
        <v>680</v>
      </c>
      <c r="E124" s="186">
        <v>3.9260120000163E13</v>
      </c>
      <c r="F124" s="186">
        <v>2.4886742E7</v>
      </c>
      <c r="G124" s="75"/>
      <c r="H124" s="75"/>
      <c r="I124" s="75"/>
      <c r="J124" s="75"/>
      <c r="K124" s="75"/>
      <c r="L124" s="75"/>
      <c r="M124" s="123" t="str">
        <f>IFERROR(__xludf.DUMMYFUNCTION("QUERY(Hospitais_BD!D:I,""select E where D='""&amp;D124&amp;""'"",0)"),"REGIAO METROPOLITANA")</f>
        <v>REGIAO METROPOLITANA</v>
      </c>
      <c r="N124" s="124" t="str">
        <f>IFERROR(__xludf.DUMMYFUNCTION("QUERY(Hospitais_BD!D:I,""select F where D='""&amp;D124&amp;""'"")"),"SaO GONÇALO")</f>
        <v>SaO GONÇALO</v>
      </c>
      <c r="O124" s="125" t="str">
        <f>IFERROR(__xludf.DUMMYFUNCTION("QUERY(Hospitais_BD!D:I,""select G where D='""&amp;D124&amp;""'"")"),"PACHECO")</f>
        <v>PACHECO</v>
      </c>
      <c r="P124" s="186" t="s">
        <v>1069</v>
      </c>
      <c r="Q124" s="125" t="str">
        <f>IFERROR(__xludf.DUMMYFUNCTION("QUERY(Hospitais_BD!D:I,""select I where D='""&amp;D124&amp;""'"")"),"Público")</f>
        <v>Público</v>
      </c>
      <c r="R124" s="125" t="str">
        <f>IFERROR(__xludf.DUMMYFUNCTION("QUERY(Hospitais_BD!D:I,""select H where D='""&amp;D124&amp;""'"")"),"UNIDADE MNICIPAL DE PRONTO ATENDIMENTO 24H
")</f>
        <v>UNIDADE MNICIPAL DE PRONTO ATENDIMENTO 24H
</v>
      </c>
      <c r="S124" s="194" t="s">
        <v>1070</v>
      </c>
      <c r="T124" s="126"/>
      <c r="U124" s="180"/>
      <c r="V124" s="186"/>
      <c r="W124" s="101"/>
      <c r="X124" s="186"/>
      <c r="Y124" s="186"/>
      <c r="Z124" s="186"/>
      <c r="AA124" s="186"/>
      <c r="AB124" s="28"/>
      <c r="AC124" s="195" t="s">
        <v>1071</v>
      </c>
      <c r="AD124" s="29"/>
      <c r="AE124" s="121"/>
      <c r="AF124" s="130"/>
      <c r="AG124" s="163">
        <v>50.0</v>
      </c>
      <c r="AH124" s="129">
        <v>0.0</v>
      </c>
      <c r="AI124" s="129">
        <v>0.0</v>
      </c>
      <c r="AJ124" s="129">
        <v>50.0</v>
      </c>
      <c r="AK124" s="129">
        <v>0.0</v>
      </c>
      <c r="AL124" s="129"/>
      <c r="AM124" s="131" t="s">
        <v>1003</v>
      </c>
    </row>
    <row r="125" ht="21.0" customHeight="1">
      <c r="A125" s="190">
        <v>43949.0</v>
      </c>
      <c r="B125" s="191">
        <v>0.5971875</v>
      </c>
      <c r="C125" s="50"/>
      <c r="D125" s="80" t="s">
        <v>685</v>
      </c>
      <c r="E125" s="172">
        <v>2.9468055000102E13</v>
      </c>
      <c r="F125" s="172">
        <v>2.1964291919E10</v>
      </c>
      <c r="G125" s="83"/>
      <c r="H125" s="83"/>
      <c r="I125" s="83"/>
      <c r="J125" s="83"/>
      <c r="K125" s="83"/>
      <c r="L125" s="83"/>
      <c r="M125" s="136" t="str">
        <f>IFERROR(__xludf.DUMMYFUNCTION("QUERY(Hospitais_BD!D:I,""select E where D='""&amp;D125&amp;""'"",0)"),"ZONA NORTE")</f>
        <v>ZONA NORTE</v>
      </c>
      <c r="N125" s="94" t="str">
        <f>IFERROR(__xludf.DUMMYFUNCTION("QUERY(Hospitais_BD!D:I,""select F where D='""&amp;D125&amp;""'"")"),"rio de janeiro")</f>
        <v>rio de janeiro</v>
      </c>
      <c r="O125" s="137" t="str">
        <f>IFERROR(__xludf.DUMMYFUNCTION("QUERY(Hospitais_BD!D:I,""select G where D='""&amp;D125&amp;""'"")"),"Penha Circular")</f>
        <v>Penha Circular</v>
      </c>
      <c r="P125" s="172" t="s">
        <v>1072</v>
      </c>
      <c r="Q125" s="137" t="str">
        <f>IFERROR(__xludf.DUMMYFUNCTION("QUERY(Hospitais_BD!D:I,""select I where D='""&amp;D125&amp;""'"")"),"Público")</f>
        <v>Público</v>
      </c>
      <c r="R125" s="137" t="str">
        <f>IFERROR(__xludf.DUMMYFUNCTION("QUERY(Hospitais_BD!D:I,""select H where D='""&amp;D125&amp;""'"")"),"Unidade básica de saúde - BAIXA COMPLEXIDADE
")</f>
        <v>Unidade básica de saúde - BAIXA COMPLEXIDADE
</v>
      </c>
      <c r="S125" s="192" t="s">
        <v>1073</v>
      </c>
      <c r="T125" s="138"/>
      <c r="U125" s="185"/>
      <c r="V125" s="172"/>
      <c r="W125" s="80"/>
      <c r="X125" s="172"/>
      <c r="Y125" s="172"/>
      <c r="Z125" s="172"/>
      <c r="AA125" s="172"/>
      <c r="AB125" s="22"/>
      <c r="AC125" s="196" t="s">
        <v>1074</v>
      </c>
      <c r="AD125" s="23"/>
      <c r="AE125" s="134"/>
      <c r="AF125" s="142"/>
      <c r="AG125" s="158">
        <v>25.0</v>
      </c>
      <c r="AH125" s="144">
        <v>0.0</v>
      </c>
      <c r="AI125" s="144">
        <v>0.0</v>
      </c>
      <c r="AJ125" s="144">
        <v>0.0</v>
      </c>
      <c r="AK125" s="144">
        <v>0.0</v>
      </c>
      <c r="AL125" s="144"/>
      <c r="AM125" s="145" t="s">
        <v>1003</v>
      </c>
    </row>
    <row r="126" ht="21.0" customHeight="1">
      <c r="A126" s="193">
        <v>43950.0</v>
      </c>
      <c r="B126" s="76">
        <v>0.433125</v>
      </c>
      <c r="C126" s="69"/>
      <c r="D126" s="101" t="s">
        <v>698</v>
      </c>
      <c r="E126" s="186">
        <v>3976319.0</v>
      </c>
      <c r="F126" s="186">
        <v>9.68792831E8</v>
      </c>
      <c r="G126" s="75"/>
      <c r="H126" s="75"/>
      <c r="I126" s="75"/>
      <c r="J126" s="75"/>
      <c r="K126" s="75"/>
      <c r="L126" s="75"/>
      <c r="M126" s="123" t="str">
        <f>IFERROR(__xludf.DUMMYFUNCTION("QUERY(Hospitais_BD!D:I,""select E where D='""&amp;D126&amp;""'"",0)"),"BAIXADA FLUMINENSE")</f>
        <v>BAIXADA FLUMINENSE</v>
      </c>
      <c r="N126" s="124" t="str">
        <f>IFERROR(__xludf.DUMMYFUNCTION("QUERY(Hospitais_BD!D:I,""select F where D='""&amp;D126&amp;""'"")"),"Duque de Caxias")</f>
        <v>Duque de Caxias</v>
      </c>
      <c r="O126" s="125" t="str">
        <f>IFERROR(__xludf.DUMMYFUNCTION("QUERY(Hospitais_BD!D:I,""select G where D='""&amp;D126&amp;""'"")"),"Sarapui")</f>
        <v>Sarapui</v>
      </c>
      <c r="P126" s="186" t="s">
        <v>1075</v>
      </c>
      <c r="Q126" s="125" t="str">
        <f>IFERROR(__xludf.DUMMYFUNCTION("QUERY(Hospitais_BD!D:I,""select I where D='""&amp;D126&amp;""'"")"),"Público")</f>
        <v>Público</v>
      </c>
      <c r="R126" s="125" t="str">
        <f>IFERROR(__xludf.DUMMYFUNCTION("QUERY(Hospitais_BD!D:I,""select H where D='""&amp;D126&amp;""'"")"),"Unidade básica de saúde - BAIXA COMPLEXIDADE
")</f>
        <v>Unidade básica de saúde - BAIXA COMPLEXIDADE
</v>
      </c>
      <c r="S126" s="194"/>
      <c r="T126" s="126"/>
      <c r="U126" s="180"/>
      <c r="V126" s="186"/>
      <c r="W126" s="101"/>
      <c r="X126" s="186"/>
      <c r="Y126" s="186"/>
      <c r="Z126" s="186"/>
      <c r="AA126" s="186"/>
      <c r="AB126" s="28"/>
      <c r="AC126" s="29">
        <v>1.5045427709E10</v>
      </c>
      <c r="AD126" s="29"/>
      <c r="AE126" s="121"/>
      <c r="AF126" s="130"/>
      <c r="AG126" s="163"/>
      <c r="AH126" s="129"/>
      <c r="AI126" s="129"/>
      <c r="AJ126" s="129"/>
      <c r="AK126" s="129">
        <v>0.0</v>
      </c>
      <c r="AL126" s="129"/>
      <c r="AM126" s="131" t="s">
        <v>1068</v>
      </c>
    </row>
    <row r="127" ht="21.0" customHeight="1">
      <c r="A127" s="190">
        <v>43950.0</v>
      </c>
      <c r="B127" s="191">
        <v>0.4424884259259259</v>
      </c>
      <c r="C127" s="50"/>
      <c r="D127" s="80" t="s">
        <v>700</v>
      </c>
      <c r="E127" s="172">
        <v>2.506597E7</v>
      </c>
      <c r="F127" s="172">
        <v>3.6595598E7</v>
      </c>
      <c r="G127" s="83"/>
      <c r="H127" s="83"/>
      <c r="I127" s="83"/>
      <c r="J127" s="83"/>
      <c r="K127" s="83"/>
      <c r="L127" s="83"/>
      <c r="M127" s="136" t="str">
        <f>IFERROR(__xludf.DUMMYFUNCTION("QUERY(Hospitais_BD!D:I,""select E where D='""&amp;D127&amp;""'"",0)"),"BAIXADA FLUMINENSE")</f>
        <v>BAIXADA FLUMINENSE</v>
      </c>
      <c r="N127" s="94" t="str">
        <f>IFERROR(__xludf.DUMMYFUNCTION("QUERY(Hospitais_BD!D:I,""select F where D='""&amp;D127&amp;""'"")"),"Duque de Caxias")</f>
        <v>Duque de Caxias</v>
      </c>
      <c r="O127" s="137" t="str">
        <f>IFERROR(__xludf.DUMMYFUNCTION("QUERY(Hospitais_BD!D:I,""select G where D='""&amp;D127&amp;""'"")"),"Vila Sao Luiz")</f>
        <v>Vila Sao Luiz</v>
      </c>
      <c r="P127" s="172" t="s">
        <v>1076</v>
      </c>
      <c r="Q127" s="137" t="str">
        <f>IFERROR(__xludf.DUMMYFUNCTION("QUERY(Hospitais_BD!D:I,""select I where D='""&amp;D127&amp;""'"")"),"Público")</f>
        <v>Público</v>
      </c>
      <c r="R127" s="137" t="str">
        <f>IFERROR(__xludf.DUMMYFUNCTION("QUERY(Hospitais_BD!D:I,""select H where D='""&amp;D127&amp;""'"")"),"Unidade básica de saúde - BAIXA COMPLEXIDADE
")</f>
        <v>Unidade básica de saúde - BAIXA COMPLEXIDADE
</v>
      </c>
      <c r="S127" s="192"/>
      <c r="T127" s="138"/>
      <c r="U127" s="185"/>
      <c r="V127" s="172"/>
      <c r="W127" s="80"/>
      <c r="X127" s="172"/>
      <c r="Y127" s="172"/>
      <c r="Z127" s="172"/>
      <c r="AA127" s="172"/>
      <c r="AB127" s="22"/>
      <c r="AC127" s="23">
        <v>8.1645848787E10</v>
      </c>
      <c r="AD127" s="23"/>
      <c r="AE127" s="134"/>
      <c r="AF127" s="142"/>
      <c r="AG127" s="158"/>
      <c r="AH127" s="144"/>
      <c r="AI127" s="144"/>
      <c r="AJ127" s="144"/>
      <c r="AK127" s="144">
        <v>0.0</v>
      </c>
      <c r="AL127" s="144"/>
      <c r="AM127" s="145" t="s">
        <v>1068</v>
      </c>
    </row>
    <row r="128" ht="21.0" customHeight="1">
      <c r="A128" s="193">
        <v>43950.0</v>
      </c>
      <c r="B128" s="76">
        <v>0.4490972222222222</v>
      </c>
      <c r="C128" s="69"/>
      <c r="D128" s="101" t="s">
        <v>702</v>
      </c>
      <c r="E128" s="186">
        <v>2283506.0</v>
      </c>
      <c r="F128" s="186">
        <v>2.776773E7</v>
      </c>
      <c r="G128" s="75"/>
      <c r="H128" s="75"/>
      <c r="I128" s="75"/>
      <c r="J128" s="75"/>
      <c r="K128" s="75"/>
      <c r="L128" s="75"/>
      <c r="M128" s="123" t="str">
        <f>IFERROR(__xludf.DUMMYFUNCTION("QUERY(Hospitais_BD!D:I,""select E where D='""&amp;D128&amp;""'"",0)"),"BAIXADA FLUMINENSE")</f>
        <v>BAIXADA FLUMINENSE</v>
      </c>
      <c r="N128" s="124" t="str">
        <f>IFERROR(__xludf.DUMMYFUNCTION("QUERY(Hospitais_BD!D:I,""select F where D='""&amp;D128&amp;""'"")"),"Duque de Caxias")</f>
        <v>Duque de Caxias</v>
      </c>
      <c r="O128" s="125" t="str">
        <f>IFERROR(__xludf.DUMMYFUNCTION("QUERY(Hospitais_BD!D:I,""select G where D='""&amp;D128&amp;""'"")"),"Pilar")</f>
        <v>Pilar</v>
      </c>
      <c r="P128" s="186" t="s">
        <v>1077</v>
      </c>
      <c r="Q128" s="125" t="str">
        <f>IFERROR(__xludf.DUMMYFUNCTION("QUERY(Hospitais_BD!D:I,""select I where D='""&amp;D128&amp;""'"")"),"Público")</f>
        <v>Público</v>
      </c>
      <c r="R128" s="125" t="str">
        <f>IFERROR(__xludf.DUMMYFUNCTION("QUERY(Hospitais_BD!D:I,""select H where D='""&amp;D128&amp;""'"")"),"Unidade básica de saúde - BAIXA COMPLEXIDADE
")</f>
        <v>Unidade básica de saúde - BAIXA COMPLEXIDADE
</v>
      </c>
      <c r="S128" s="194"/>
      <c r="T128" s="126"/>
      <c r="U128" s="180"/>
      <c r="V128" s="186"/>
      <c r="W128" s="101"/>
      <c r="X128" s="186"/>
      <c r="Y128" s="186"/>
      <c r="Z128" s="186"/>
      <c r="AA128" s="186"/>
      <c r="AB128" s="28"/>
      <c r="AC128" s="29">
        <v>1.1147761736E10</v>
      </c>
      <c r="AD128" s="29"/>
      <c r="AE128" s="121"/>
      <c r="AF128" s="130"/>
      <c r="AG128" s="163"/>
      <c r="AH128" s="129"/>
      <c r="AI128" s="129"/>
      <c r="AJ128" s="129"/>
      <c r="AK128" s="129">
        <v>0.0</v>
      </c>
      <c r="AL128" s="129"/>
      <c r="AM128" s="131" t="s">
        <v>1068</v>
      </c>
    </row>
    <row r="129" ht="21.0" customHeight="1">
      <c r="A129" s="190">
        <v>43950.0</v>
      </c>
      <c r="B129" s="191">
        <v>0.45386574074074076</v>
      </c>
      <c r="C129" s="50"/>
      <c r="D129" s="80" t="s">
        <v>703</v>
      </c>
      <c r="E129" s="172">
        <v>2283549.0</v>
      </c>
      <c r="F129" s="172">
        <v>9.76576371E8</v>
      </c>
      <c r="G129" s="83"/>
      <c r="H129" s="83"/>
      <c r="I129" s="83"/>
      <c r="J129" s="83"/>
      <c r="K129" s="83"/>
      <c r="L129" s="83"/>
      <c r="M129" s="136" t="str">
        <f>IFERROR(__xludf.DUMMYFUNCTION("QUERY(Hospitais_BD!D:I,""select E where D='""&amp;D129&amp;""'"",0)"),"BAIXADA FLUMINENSE")</f>
        <v>BAIXADA FLUMINENSE</v>
      </c>
      <c r="N129" s="94" t="str">
        <f>IFERROR(__xludf.DUMMYFUNCTION("QUERY(Hospitais_BD!D:I,""select F where D='""&amp;D129&amp;""'"")"),"Duque de Caxias")</f>
        <v>Duque de Caxias</v>
      </c>
      <c r="O129" s="137" t="str">
        <f>IFERROR(__xludf.DUMMYFUNCTION("QUERY(Hospitais_BD!D:I,""select G where D='""&amp;D129&amp;""'"")"),"Pilar")</f>
        <v>Pilar</v>
      </c>
      <c r="P129" s="172" t="s">
        <v>1078</v>
      </c>
      <c r="Q129" s="137" t="str">
        <f>IFERROR(__xludf.DUMMYFUNCTION("QUERY(Hospitais_BD!D:I,""select I where D='""&amp;D129&amp;""'"")"),"Público")</f>
        <v>Público</v>
      </c>
      <c r="R129" s="137" t="str">
        <f>IFERROR(__xludf.DUMMYFUNCTION("QUERY(Hospitais_BD!D:I,""select H where D='""&amp;D129&amp;""'"")"),"Unidade básica de saúde - BAIXA COMPLEXIDADE
")</f>
        <v>Unidade básica de saúde - BAIXA COMPLEXIDADE
</v>
      </c>
      <c r="S129" s="192"/>
      <c r="T129" s="138"/>
      <c r="U129" s="185"/>
      <c r="V129" s="172"/>
      <c r="W129" s="80"/>
      <c r="X129" s="172"/>
      <c r="Y129" s="172"/>
      <c r="Z129" s="172"/>
      <c r="AA129" s="172"/>
      <c r="AB129" s="22"/>
      <c r="AC129" s="196" t="s">
        <v>1079</v>
      </c>
      <c r="AD129" s="23"/>
      <c r="AE129" s="134"/>
      <c r="AF129" s="142"/>
      <c r="AG129" s="158"/>
      <c r="AH129" s="144"/>
      <c r="AI129" s="144"/>
      <c r="AJ129" s="144"/>
      <c r="AK129" s="144">
        <v>0.0</v>
      </c>
      <c r="AL129" s="144"/>
      <c r="AM129" s="145" t="s">
        <v>1068</v>
      </c>
    </row>
    <row r="130" ht="21.0" customHeight="1">
      <c r="A130" s="193">
        <v>43950.0</v>
      </c>
      <c r="B130" s="76">
        <v>0.48912037037037037</v>
      </c>
      <c r="C130" s="69"/>
      <c r="D130" s="101" t="s">
        <v>704</v>
      </c>
      <c r="E130" s="186">
        <v>291005.0</v>
      </c>
      <c r="F130" s="186">
        <v>9.76489555E8</v>
      </c>
      <c r="G130" s="75"/>
      <c r="H130" s="75"/>
      <c r="I130" s="75"/>
      <c r="J130" s="75"/>
      <c r="K130" s="75"/>
      <c r="L130" s="75"/>
      <c r="M130" s="123" t="str">
        <f>IFERROR(__xludf.DUMMYFUNCTION("QUERY(Hospitais_BD!D:I,""select E where D='""&amp;D130&amp;""'"",0)"),"BAIXADA FLUMINENSE")</f>
        <v>BAIXADA FLUMINENSE</v>
      </c>
      <c r="N130" s="124" t="str">
        <f>IFERROR(__xludf.DUMMYFUNCTION("QUERY(Hospitais_BD!D:I,""select F where D='""&amp;D130&amp;""'"")"),"Duque de Caxias")</f>
        <v>Duque de Caxias</v>
      </c>
      <c r="O130" s="125" t="str">
        <f>IFERROR(__xludf.DUMMYFUNCTION("QUERY(Hospitais_BD!D:I,""select G where D='""&amp;D130&amp;""'"")"),"Jardim Primavera")</f>
        <v>Jardim Primavera</v>
      </c>
      <c r="P130" s="186" t="s">
        <v>1080</v>
      </c>
      <c r="Q130" s="125" t="str">
        <f>IFERROR(__xludf.DUMMYFUNCTION("QUERY(Hospitais_BD!D:I,""select I where D='""&amp;D130&amp;""'"")"),"Público")</f>
        <v>Público</v>
      </c>
      <c r="R130" s="125" t="str">
        <f>IFERROR(__xludf.DUMMYFUNCTION("QUERY(Hospitais_BD!D:I,""select H where D='""&amp;D130&amp;""'"")"),"Unidade básica de saúde - BAIXA COMPLEXIDADE
")</f>
        <v>Unidade básica de saúde - BAIXA COMPLEXIDADE
</v>
      </c>
      <c r="S130" s="194"/>
      <c r="T130" s="126"/>
      <c r="U130" s="180"/>
      <c r="V130" s="186"/>
      <c r="W130" s="101"/>
      <c r="X130" s="186"/>
      <c r="Y130" s="186"/>
      <c r="Z130" s="186"/>
      <c r="AA130" s="186"/>
      <c r="AB130" s="28"/>
      <c r="AC130" s="195" t="s">
        <v>1081</v>
      </c>
      <c r="AD130" s="29"/>
      <c r="AE130" s="121"/>
      <c r="AF130" s="130"/>
      <c r="AG130" s="163"/>
      <c r="AH130" s="129"/>
      <c r="AI130" s="129"/>
      <c r="AJ130" s="129"/>
      <c r="AK130" s="129">
        <v>0.0</v>
      </c>
      <c r="AL130" s="129"/>
      <c r="AM130" s="131" t="s">
        <v>1068</v>
      </c>
    </row>
    <row r="131" ht="21.0" customHeight="1">
      <c r="A131" s="190">
        <v>43950.0</v>
      </c>
      <c r="B131" s="191">
        <v>0.4987152777777778</v>
      </c>
      <c r="C131" s="50"/>
      <c r="D131" s="80" t="s">
        <v>294</v>
      </c>
      <c r="E131" s="172">
        <v>3.3816794000115E13</v>
      </c>
      <c r="F131" s="172">
        <v>2.121369603E9</v>
      </c>
      <c r="G131" s="83"/>
      <c r="H131" s="83"/>
      <c r="I131" s="83"/>
      <c r="J131" s="83"/>
      <c r="K131" s="83"/>
      <c r="L131" s="83"/>
      <c r="M131" s="136" t="str">
        <f>IFERROR(__xludf.DUMMYFUNCTION("QUERY(Hospitais_BD!D:I,""select E where D='""&amp;D131&amp;""'"",0)"),"ZONA NORTE")</f>
        <v>ZONA NORTE</v>
      </c>
      <c r="N131" s="94" t="str">
        <f>IFERROR(__xludf.DUMMYFUNCTION("QUERY(Hospitais_BD!D:I,""select F where D='""&amp;D131&amp;""'"")"),"Rio de Janeiro")</f>
        <v>Rio de Janeiro</v>
      </c>
      <c r="O131" s="137" t="str">
        <f>IFERROR(__xludf.DUMMYFUNCTION("QUERY(Hospitais_BD!D:I,""select G where D='""&amp;D131&amp;""'"")"),"Penha")</f>
        <v>Penha</v>
      </c>
      <c r="P131" s="172" t="s">
        <v>1082</v>
      </c>
      <c r="Q131" s="137" t="str">
        <f>IFERROR(__xludf.DUMMYFUNCTION("QUERY(Hospitais_BD!D:I,""select I where D='""&amp;D131&amp;""'"")"),"Público")</f>
        <v>Público</v>
      </c>
      <c r="R131" s="137" t="str">
        <f>IFERROR(__xludf.DUMMYFUNCTION("QUERY(Hospitais_BD!D:I,""select H where D='""&amp;D131&amp;""'"")"),"Unidade básica - BAIXA COMPLEXIDADE")</f>
        <v>Unidade básica - BAIXA COMPLEXIDADE</v>
      </c>
      <c r="S131" s="192" t="s">
        <v>1083</v>
      </c>
      <c r="T131" s="138"/>
      <c r="U131" s="185"/>
      <c r="V131" s="172"/>
      <c r="W131" s="80"/>
      <c r="X131" s="172"/>
      <c r="Y131" s="172"/>
      <c r="Z131" s="172"/>
      <c r="AA131" s="172"/>
      <c r="AB131" s="22"/>
      <c r="AC131" s="23">
        <v>1.0309729742E10</v>
      </c>
      <c r="AD131" s="23"/>
      <c r="AE131" s="134"/>
      <c r="AF131" s="142"/>
      <c r="AG131" s="158"/>
      <c r="AH131" s="144"/>
      <c r="AI131" s="144"/>
      <c r="AJ131" s="144"/>
      <c r="AK131" s="144">
        <v>0.0</v>
      </c>
      <c r="AL131" s="144"/>
      <c r="AM131" s="145" t="s">
        <v>1068</v>
      </c>
    </row>
    <row r="132" ht="21.0" customHeight="1">
      <c r="A132" s="193">
        <v>43950.0</v>
      </c>
      <c r="B132" s="76">
        <v>0.49903935185185183</v>
      </c>
      <c r="C132" s="69"/>
      <c r="D132" s="101" t="s">
        <v>705</v>
      </c>
      <c r="E132" s="186">
        <v>2283468.0</v>
      </c>
      <c r="F132" s="186">
        <v>9.64800887E8</v>
      </c>
      <c r="G132" s="75"/>
      <c r="H132" s="75"/>
      <c r="I132" s="75"/>
      <c r="J132" s="75"/>
      <c r="K132" s="75"/>
      <c r="L132" s="75"/>
      <c r="M132" s="123" t="str">
        <f>IFERROR(__xludf.DUMMYFUNCTION("QUERY(Hospitais_BD!D:I,""select E where D='""&amp;D132&amp;""'"",0)"),"BAIXADA FLUMINENSE")</f>
        <v>BAIXADA FLUMINENSE</v>
      </c>
      <c r="N132" s="124" t="str">
        <f>IFERROR(__xludf.DUMMYFUNCTION("QUERY(Hospitais_BD!D:I,""select F where D='""&amp;D132&amp;""'"")"),"Duque de Caxias")</f>
        <v>Duque de Caxias</v>
      </c>
      <c r="O132" s="125" t="str">
        <f>IFERROR(__xludf.DUMMYFUNCTION("QUERY(Hospitais_BD!D:I,""select G where D='""&amp;D132&amp;""'"")"),"Sao Bento")</f>
        <v>Sao Bento</v>
      </c>
      <c r="P132" s="186" t="s">
        <v>1084</v>
      </c>
      <c r="Q132" s="125" t="str">
        <f>IFERROR(__xludf.DUMMYFUNCTION("QUERY(Hospitais_BD!D:I,""select I where D='""&amp;D132&amp;""'"")"),"Público")</f>
        <v>Público</v>
      </c>
      <c r="R132" s="125" t="str">
        <f>IFERROR(__xludf.DUMMYFUNCTION("QUERY(Hospitais_BD!D:I,""select H where D='""&amp;D132&amp;""'"")"),"Unidade básica de saúde - BAIXA COMPLEXIDADE
")</f>
        <v>Unidade básica de saúde - BAIXA COMPLEXIDADE
</v>
      </c>
      <c r="S132" s="194"/>
      <c r="T132" s="126"/>
      <c r="U132" s="180"/>
      <c r="V132" s="186"/>
      <c r="W132" s="101"/>
      <c r="X132" s="186"/>
      <c r="Y132" s="186"/>
      <c r="Z132" s="186"/>
      <c r="AA132" s="186"/>
      <c r="AB132" s="28"/>
      <c r="AC132" s="29">
        <v>1.011173875E10</v>
      </c>
      <c r="AD132" s="29"/>
      <c r="AE132" s="121"/>
      <c r="AF132" s="130"/>
      <c r="AG132" s="163">
        <v>0.0</v>
      </c>
      <c r="AH132" s="129">
        <v>0.0</v>
      </c>
      <c r="AI132" s="129">
        <v>0.0</v>
      </c>
      <c r="AJ132" s="129">
        <v>25.0</v>
      </c>
      <c r="AK132" s="129">
        <v>0.0</v>
      </c>
      <c r="AL132" s="129"/>
      <c r="AM132" s="131" t="s">
        <v>1003</v>
      </c>
    </row>
    <row r="133" ht="21.0" customHeight="1">
      <c r="A133" s="190">
        <v>43950.0</v>
      </c>
      <c r="B133" s="191">
        <v>0.5072569444444445</v>
      </c>
      <c r="C133" s="50"/>
      <c r="D133" s="80" t="s">
        <v>708</v>
      </c>
      <c r="E133" s="172">
        <v>1.9402975000174E13</v>
      </c>
      <c r="F133" s="172">
        <v>2.1985572523E10</v>
      </c>
      <c r="G133" s="83"/>
      <c r="H133" s="83"/>
      <c r="I133" s="83"/>
      <c r="J133" s="83"/>
      <c r="K133" s="83"/>
      <c r="L133" s="83"/>
      <c r="M133" s="136" t="str">
        <f>IFERROR(__xludf.DUMMYFUNCTION("QUERY(Hospitais_BD!D:I,""select E where D='""&amp;D133&amp;""'"",0)"),"ZONA OESTE")</f>
        <v>ZONA OESTE</v>
      </c>
      <c r="N133" s="94" t="str">
        <f>IFERROR(__xludf.DUMMYFUNCTION("QUERY(Hospitais_BD!D:I,""select F where D='""&amp;D133&amp;""'"")"),"RIO DE JANEIRO")</f>
        <v>RIO DE JANEIRO</v>
      </c>
      <c r="O133" s="137" t="str">
        <f>IFERROR(__xludf.DUMMYFUNCTION("QUERY(Hospitais_BD!D:I,""select G where D='""&amp;D133&amp;""'"")"),"CIDADE DE DEUS")</f>
        <v>CIDADE DE DEUS</v>
      </c>
      <c r="P133" s="172" t="s">
        <v>1085</v>
      </c>
      <c r="Q133" s="137" t="str">
        <f>IFERROR(__xludf.DUMMYFUNCTION("QUERY(Hospitais_BD!D:I,""select I where D='""&amp;D133&amp;""'"")"),"Público")</f>
        <v>Público</v>
      </c>
      <c r="R133" s="137" t="str">
        <f>IFERROR(__xludf.DUMMYFUNCTION("QUERY(Hospitais_BD!D:I,""select H where D='""&amp;D133&amp;""'"")"),"UPA - UNIDADE DE PRONTO ATENDIMENTO - MEDIA COMPLEXIDADE
")</f>
        <v>UPA - UNIDADE DE PRONTO ATENDIMENTO - MEDIA COMPLEXIDADE
</v>
      </c>
      <c r="S133" s="192"/>
      <c r="T133" s="138"/>
      <c r="U133" s="185"/>
      <c r="V133" s="172"/>
      <c r="W133" s="80"/>
      <c r="X133" s="172"/>
      <c r="Y133" s="172"/>
      <c r="Z133" s="172"/>
      <c r="AA133" s="172"/>
      <c r="AB133" s="22"/>
      <c r="AC133" s="196" t="s">
        <v>1086</v>
      </c>
      <c r="AD133" s="23"/>
      <c r="AE133" s="134"/>
      <c r="AF133" s="142"/>
      <c r="AG133" s="158">
        <v>50.0</v>
      </c>
      <c r="AH133" s="144">
        <v>0.0</v>
      </c>
      <c r="AI133" s="144">
        <v>0.0</v>
      </c>
      <c r="AJ133" s="144">
        <v>25.0</v>
      </c>
      <c r="AK133" s="144">
        <v>0.0</v>
      </c>
      <c r="AL133" s="144"/>
      <c r="AM133" s="145" t="s">
        <v>1003</v>
      </c>
    </row>
    <row r="134" ht="21.0" customHeight="1">
      <c r="A134" s="193">
        <v>43950.0</v>
      </c>
      <c r="B134" s="76">
        <v>0.5361921296296296</v>
      </c>
      <c r="C134" s="69"/>
      <c r="D134" s="101" t="s">
        <v>706</v>
      </c>
      <c r="E134" s="186">
        <v>3976378.0</v>
      </c>
      <c r="F134" s="186">
        <v>3.7778551E7</v>
      </c>
      <c r="G134" s="75"/>
      <c r="H134" s="75"/>
      <c r="I134" s="75"/>
      <c r="J134" s="75"/>
      <c r="K134" s="75"/>
      <c r="L134" s="75"/>
      <c r="M134" s="123" t="str">
        <f>IFERROR(__xludf.DUMMYFUNCTION("QUERY(Hospitais_BD!D:I,""select E where D='""&amp;D134&amp;""'"",0)"),"BAIXADA FLUMINENSE")</f>
        <v>BAIXADA FLUMINENSE</v>
      </c>
      <c r="N134" s="124" t="str">
        <f>IFERROR(__xludf.DUMMYFUNCTION("QUERY(Hospitais_BD!D:I,""select F where D='""&amp;D134&amp;""'"")"),"Duque de Caxias")</f>
        <v>Duque de Caxias</v>
      </c>
      <c r="O134" s="125" t="str">
        <f>IFERROR(__xludf.DUMMYFUNCTION("QUERY(Hospitais_BD!D:I,""select G where D='""&amp;D134&amp;""'"")"),"Jardim Vila Nova")</f>
        <v>Jardim Vila Nova</v>
      </c>
      <c r="P134" s="186" t="s">
        <v>1087</v>
      </c>
      <c r="Q134" s="125" t="str">
        <f>IFERROR(__xludf.DUMMYFUNCTION("QUERY(Hospitais_BD!D:I,""select I where D='""&amp;D134&amp;""'"")"),"Público")</f>
        <v>Público</v>
      </c>
      <c r="R134" s="125" t="str">
        <f>IFERROR(__xludf.DUMMYFUNCTION("QUERY(Hospitais_BD!D:I,""select H where D='""&amp;D134&amp;""'"")"),"Unidade básica de saúde - BAIXA COMPLEXIDADE
")</f>
        <v>Unidade básica de saúde - BAIXA COMPLEXIDADE
</v>
      </c>
      <c r="S134" s="194"/>
      <c r="T134" s="126"/>
      <c r="U134" s="180"/>
      <c r="V134" s="186"/>
      <c r="W134" s="101"/>
      <c r="X134" s="186"/>
      <c r="Y134" s="186"/>
      <c r="Z134" s="186"/>
      <c r="AA134" s="186"/>
      <c r="AB134" s="28"/>
      <c r="AC134" s="195" t="s">
        <v>1088</v>
      </c>
      <c r="AD134" s="29"/>
      <c r="AE134" s="121"/>
      <c r="AF134" s="130"/>
      <c r="AG134" s="163">
        <v>25.0</v>
      </c>
      <c r="AH134" s="129">
        <v>0.0</v>
      </c>
      <c r="AI134" s="129">
        <v>0.0</v>
      </c>
      <c r="AJ134" s="129">
        <v>0.0</v>
      </c>
      <c r="AK134" s="129">
        <v>0.0</v>
      </c>
      <c r="AL134" s="129"/>
      <c r="AM134" s="131" t="s">
        <v>1003</v>
      </c>
    </row>
    <row r="135" ht="21.0" customHeight="1">
      <c r="A135" s="190">
        <v>43950.0</v>
      </c>
      <c r="B135" s="191">
        <v>0.6269907407407408</v>
      </c>
      <c r="C135" s="50"/>
      <c r="D135" s="80" t="s">
        <v>711</v>
      </c>
      <c r="E135" s="172">
        <v>2283611.0</v>
      </c>
      <c r="F135" s="172">
        <v>2.6752514E7</v>
      </c>
      <c r="G135" s="83"/>
      <c r="H135" s="83"/>
      <c r="I135" s="83"/>
      <c r="J135" s="83"/>
      <c r="K135" s="83"/>
      <c r="L135" s="83"/>
      <c r="M135" s="136" t="str">
        <f>IFERROR(__xludf.DUMMYFUNCTION("QUERY(Hospitais_BD!D:I,""select E where D='""&amp;D135&amp;""'"",0)"),"BAIXADA FLUMINENSE")</f>
        <v>BAIXADA FLUMINENSE</v>
      </c>
      <c r="N135" s="94" t="str">
        <f>IFERROR(__xludf.DUMMYFUNCTION("QUERY(Hospitais_BD!D:I,""select F where D='""&amp;D135&amp;""'"")"),"Duque de Caxias")</f>
        <v>Duque de Caxias</v>
      </c>
      <c r="O135" s="137" t="str">
        <f>IFERROR(__xludf.DUMMYFUNCTION("QUERY(Hospitais_BD!D:I,""select G where D='""&amp;D135&amp;""'"")"),"Nova Campinas")</f>
        <v>Nova Campinas</v>
      </c>
      <c r="P135" s="172" t="s">
        <v>1089</v>
      </c>
      <c r="Q135" s="137" t="str">
        <f>IFERROR(__xludf.DUMMYFUNCTION("QUERY(Hospitais_BD!D:I,""select I where D='""&amp;D135&amp;""'"")"),"Público")</f>
        <v>Público</v>
      </c>
      <c r="R135" s="137" t="str">
        <f>IFERROR(__xludf.DUMMYFUNCTION("QUERY(Hospitais_BD!D:I,""select H where D='""&amp;D135&amp;""'"")"),"Unidade básica de saúde - BAIXA COMPLEXIDADE
")</f>
        <v>Unidade básica de saúde - BAIXA COMPLEXIDADE
</v>
      </c>
      <c r="S135" s="192"/>
      <c r="T135" s="138"/>
      <c r="U135" s="185"/>
      <c r="V135" s="172"/>
      <c r="W135" s="80"/>
      <c r="X135" s="172"/>
      <c r="Y135" s="172"/>
      <c r="Z135" s="172"/>
      <c r="AA135" s="172"/>
      <c r="AB135" s="172"/>
      <c r="AC135" s="172">
        <v>5.395118705E9</v>
      </c>
      <c r="AD135" s="172"/>
      <c r="AE135" s="134"/>
      <c r="AF135" s="142"/>
      <c r="AG135" s="197">
        <v>25.0</v>
      </c>
      <c r="AH135" s="144">
        <v>0.0</v>
      </c>
      <c r="AI135" s="144">
        <v>0.0</v>
      </c>
      <c r="AJ135" s="144">
        <v>0.0</v>
      </c>
      <c r="AK135" s="144">
        <v>0.0</v>
      </c>
      <c r="AL135" s="144"/>
      <c r="AM135" s="145" t="s">
        <v>1003</v>
      </c>
    </row>
    <row r="136" ht="21.0" customHeight="1">
      <c r="A136" s="193">
        <v>43950.0</v>
      </c>
      <c r="B136" s="76">
        <v>0.6444907407407408</v>
      </c>
      <c r="C136" s="69"/>
      <c r="D136" s="101" t="s">
        <v>713</v>
      </c>
      <c r="E136" s="186">
        <v>2778599.0</v>
      </c>
      <c r="F136" s="186">
        <v>2.7773026E7</v>
      </c>
      <c r="G136" s="75"/>
      <c r="H136" s="75"/>
      <c r="I136" s="75"/>
      <c r="J136" s="75"/>
      <c r="K136" s="75"/>
      <c r="L136" s="75"/>
      <c r="M136" s="123" t="str">
        <f>IFERROR(__xludf.DUMMYFUNCTION("QUERY(Hospitais_BD!D:I,""select E where D='""&amp;D136&amp;""'"",0)"),"BAIXADA FLUMINENSE")</f>
        <v>BAIXADA FLUMINENSE</v>
      </c>
      <c r="N136" s="124" t="str">
        <f>IFERROR(__xludf.DUMMYFUNCTION("QUERY(Hospitais_BD!D:I,""select F where D='""&amp;D136&amp;""'"")"),"Duque de Caxias")</f>
        <v>Duque de Caxias</v>
      </c>
      <c r="O136" s="125" t="str">
        <f>IFERROR(__xludf.DUMMYFUNCTION("QUERY(Hospitais_BD!D:I,""select G where D='""&amp;D136&amp;""'"")"),"Parada Angelica")</f>
        <v>Parada Angelica</v>
      </c>
      <c r="P136" s="186" t="s">
        <v>1090</v>
      </c>
      <c r="Q136" s="125" t="str">
        <f>IFERROR(__xludf.DUMMYFUNCTION("QUERY(Hospitais_BD!D:I,""select I where D='""&amp;D136&amp;""'"")"),"Público")</f>
        <v>Público</v>
      </c>
      <c r="R136" s="125" t="str">
        <f>IFERROR(__xludf.DUMMYFUNCTION("QUERY(Hospitais_BD!D:I,""select H where D='""&amp;D136&amp;""'"")"),"Unidade básica de saúde - BAIXA COMPLEXIDADE
")</f>
        <v>Unidade básica de saúde - BAIXA COMPLEXIDADE
</v>
      </c>
      <c r="S136" s="194"/>
      <c r="T136" s="126"/>
      <c r="U136" s="180"/>
      <c r="V136" s="186"/>
      <c r="W136" s="101"/>
      <c r="X136" s="186"/>
      <c r="Y136" s="186"/>
      <c r="Z136" s="186"/>
      <c r="AA136" s="186"/>
      <c r="AB136" s="186"/>
      <c r="AC136" s="186">
        <v>2.220519732E9</v>
      </c>
      <c r="AD136" s="186"/>
      <c r="AE136" s="121"/>
      <c r="AF136" s="130"/>
      <c r="AG136" s="198">
        <v>25.0</v>
      </c>
      <c r="AH136" s="129">
        <v>0.0</v>
      </c>
      <c r="AI136" s="129">
        <v>0.0</v>
      </c>
      <c r="AJ136" s="129">
        <v>0.0</v>
      </c>
      <c r="AK136" s="129">
        <v>0.0</v>
      </c>
      <c r="AL136" s="129"/>
      <c r="AM136" s="131" t="s">
        <v>1003</v>
      </c>
    </row>
    <row r="137" ht="21.0" customHeight="1">
      <c r="A137" s="190">
        <v>43950.0</v>
      </c>
      <c r="B137" s="191">
        <v>0.6522800925925926</v>
      </c>
      <c r="C137" s="50"/>
      <c r="D137" s="80" t="s">
        <v>718</v>
      </c>
      <c r="E137" s="172">
        <v>2283581.0</v>
      </c>
      <c r="F137" s="172">
        <v>2.6505233E7</v>
      </c>
      <c r="G137" s="83"/>
      <c r="H137" s="83"/>
      <c r="I137" s="83"/>
      <c r="J137" s="83"/>
      <c r="K137" s="83"/>
      <c r="L137" s="83"/>
      <c r="M137" s="136" t="str">
        <f>IFERROR(__xludf.DUMMYFUNCTION("QUERY(Hospitais_BD!D:I,""select E where D='""&amp;D137&amp;""'"",0)"),"BAIXADA FLUMINENSE")</f>
        <v>BAIXADA FLUMINENSE</v>
      </c>
      <c r="N137" s="94" t="str">
        <f>IFERROR(__xludf.DUMMYFUNCTION("QUERY(Hospitais_BD!D:I,""select F where D='""&amp;D137&amp;""'"")"),"Duque de Caxias")</f>
        <v>Duque de Caxias</v>
      </c>
      <c r="O137" s="137" t="str">
        <f>IFERROR(__xludf.DUMMYFUNCTION("QUERY(Hospitais_BD!D:I,""select G where D='""&amp;D137&amp;""'"")"),"Parque Eldorado")</f>
        <v>Parque Eldorado</v>
      </c>
      <c r="P137" s="172" t="s">
        <v>1091</v>
      </c>
      <c r="Q137" s="137" t="str">
        <f>IFERROR(__xludf.DUMMYFUNCTION("QUERY(Hospitais_BD!D:I,""select I where D='""&amp;D137&amp;""'"")"),"Público")</f>
        <v>Público</v>
      </c>
      <c r="R137" s="137" t="str">
        <f>IFERROR(__xludf.DUMMYFUNCTION("QUERY(Hospitais_BD!D:I,""select H where D='""&amp;D137&amp;""'"")"),"Unidade básica de saúde - BAIXA COMPLEXIDADE
")</f>
        <v>Unidade básica de saúde - BAIXA COMPLEXIDADE
</v>
      </c>
      <c r="S137" s="192"/>
      <c r="T137" s="138"/>
      <c r="U137" s="185"/>
      <c r="V137" s="172"/>
      <c r="W137" s="80"/>
      <c r="X137" s="172"/>
      <c r="Y137" s="172"/>
      <c r="Z137" s="172"/>
      <c r="AA137" s="172"/>
      <c r="AB137" s="172"/>
      <c r="AC137" s="172">
        <v>8.976197739E9</v>
      </c>
      <c r="AD137" s="172"/>
      <c r="AE137" s="134"/>
      <c r="AF137" s="142"/>
      <c r="AG137" s="197">
        <v>25.0</v>
      </c>
      <c r="AH137" s="144">
        <v>0.0</v>
      </c>
      <c r="AI137" s="144">
        <v>0.0</v>
      </c>
      <c r="AJ137" s="144">
        <v>0.0</v>
      </c>
      <c r="AK137" s="144">
        <v>0.0</v>
      </c>
      <c r="AL137" s="144"/>
      <c r="AM137" s="145" t="s">
        <v>1003</v>
      </c>
    </row>
    <row r="138" ht="21.0" customHeight="1">
      <c r="A138" s="193">
        <v>43950.0</v>
      </c>
      <c r="B138" s="76">
        <v>0.6607523148148148</v>
      </c>
      <c r="C138" s="69"/>
      <c r="D138" s="101" t="s">
        <v>720</v>
      </c>
      <c r="E138" s="186">
        <v>3488772.0</v>
      </c>
      <c r="F138" s="186">
        <v>3.7741855E7</v>
      </c>
      <c r="G138" s="75"/>
      <c r="H138" s="75"/>
      <c r="I138" s="75"/>
      <c r="J138" s="75"/>
      <c r="K138" s="75"/>
      <c r="L138" s="75"/>
      <c r="M138" s="123" t="str">
        <f>IFERROR(__xludf.DUMMYFUNCTION("QUERY(Hospitais_BD!D:I,""select E where D='""&amp;D138&amp;""'"",0)"),"BAIXADA FLUMINENSE")</f>
        <v>BAIXADA FLUMINENSE</v>
      </c>
      <c r="N138" s="124" t="str">
        <f>IFERROR(__xludf.DUMMYFUNCTION("QUERY(Hospitais_BD!D:I,""select F where D='""&amp;D138&amp;""'"")"),"Duque de Caxias")</f>
        <v>Duque de Caxias</v>
      </c>
      <c r="O138" s="125" t="str">
        <f>IFERROR(__xludf.DUMMYFUNCTION("QUERY(Hospitais_BD!D:I,""select G where D='""&amp;D138&amp;""'"")"),"Centenario")</f>
        <v>Centenario</v>
      </c>
      <c r="P138" s="186" t="s">
        <v>1092</v>
      </c>
      <c r="Q138" s="125" t="str">
        <f>IFERROR(__xludf.DUMMYFUNCTION("QUERY(Hospitais_BD!D:I,""select I where D='""&amp;D138&amp;""'"")"),"Público")</f>
        <v>Público</v>
      </c>
      <c r="R138" s="125" t="str">
        <f>IFERROR(__xludf.DUMMYFUNCTION("QUERY(Hospitais_BD!D:I,""select H where D='""&amp;D138&amp;""'"")"),"Unidade básica de saúde - BAIXA COMPLEXIDADE
")</f>
        <v>Unidade básica de saúde - BAIXA COMPLEXIDADE
</v>
      </c>
      <c r="S138" s="194"/>
      <c r="T138" s="126"/>
      <c r="U138" s="180"/>
      <c r="V138" s="186"/>
      <c r="W138" s="101"/>
      <c r="X138" s="186"/>
      <c r="Y138" s="186"/>
      <c r="Z138" s="186"/>
      <c r="AA138" s="186"/>
      <c r="AB138" s="186"/>
      <c r="AC138" s="186">
        <v>1.1729677762E10</v>
      </c>
      <c r="AD138" s="186"/>
      <c r="AE138" s="121"/>
      <c r="AF138" s="130"/>
      <c r="AG138" s="198">
        <v>25.0</v>
      </c>
      <c r="AH138" s="129">
        <v>0.0</v>
      </c>
      <c r="AI138" s="129">
        <v>0.0</v>
      </c>
      <c r="AJ138" s="129">
        <v>0.0</v>
      </c>
      <c r="AK138" s="129">
        <v>0.0</v>
      </c>
      <c r="AL138" s="129"/>
      <c r="AM138" s="131" t="s">
        <v>1003</v>
      </c>
    </row>
    <row r="139" ht="21.0" customHeight="1">
      <c r="A139" s="190">
        <v>43950.0</v>
      </c>
      <c r="B139" s="191">
        <v>0.6837152777777777</v>
      </c>
      <c r="C139" s="50"/>
      <c r="D139" s="80" t="s">
        <v>721</v>
      </c>
      <c r="E139" s="172">
        <v>7010915.0</v>
      </c>
      <c r="F139" s="172">
        <v>9.90917728E8</v>
      </c>
      <c r="G139" s="83"/>
      <c r="H139" s="83"/>
      <c r="I139" s="83"/>
      <c r="J139" s="83"/>
      <c r="K139" s="83"/>
      <c r="L139" s="83"/>
      <c r="M139" s="136" t="str">
        <f>IFERROR(__xludf.DUMMYFUNCTION("QUERY(Hospitais_BD!D:I,""select E where D='""&amp;D139&amp;""'"",0)"),"BAIXADA FLUMINENSE")</f>
        <v>BAIXADA FLUMINENSE</v>
      </c>
      <c r="N139" s="94" t="str">
        <f>IFERROR(__xludf.DUMMYFUNCTION("QUERY(Hospitais_BD!D:I,""select F where D='""&amp;D139&amp;""'"")"),"Duque de Caxias")</f>
        <v>Duque de Caxias</v>
      </c>
      <c r="O139" s="137" t="str">
        <f>IFERROR(__xludf.DUMMYFUNCTION("QUERY(Hospitais_BD!D:I,""select G where D='""&amp;D139&amp;""'"")"),"Parada Morabi")</f>
        <v>Parada Morabi</v>
      </c>
      <c r="P139" s="172" t="s">
        <v>1093</v>
      </c>
      <c r="Q139" s="137" t="str">
        <f>IFERROR(__xludf.DUMMYFUNCTION("QUERY(Hospitais_BD!D:I,""select I where D='""&amp;D139&amp;""'"")"),"Público")</f>
        <v>Público</v>
      </c>
      <c r="R139" s="137" t="str">
        <f>IFERROR(__xludf.DUMMYFUNCTION("QUERY(Hospitais_BD!D:I,""select H where D='""&amp;D139&amp;""'"")"),"Unidade básica de saúde - BAIXA COMPLEXIDADE
")</f>
        <v>Unidade básica de saúde - BAIXA COMPLEXIDADE
</v>
      </c>
      <c r="S139" s="192"/>
      <c r="T139" s="138"/>
      <c r="U139" s="185"/>
      <c r="V139" s="172"/>
      <c r="W139" s="80"/>
      <c r="X139" s="172"/>
      <c r="Y139" s="172"/>
      <c r="Z139" s="172"/>
      <c r="AA139" s="172"/>
      <c r="AB139" s="172"/>
      <c r="AC139" s="172">
        <v>6.00296679E9</v>
      </c>
      <c r="AD139" s="172"/>
      <c r="AE139" s="134"/>
      <c r="AF139" s="142"/>
      <c r="AG139" s="197">
        <v>25.0</v>
      </c>
      <c r="AH139" s="144">
        <v>0.0</v>
      </c>
      <c r="AI139" s="144">
        <v>0.0</v>
      </c>
      <c r="AJ139" s="144">
        <v>0.0</v>
      </c>
      <c r="AK139" s="144">
        <v>0.0</v>
      </c>
      <c r="AL139" s="144"/>
      <c r="AM139" s="145" t="s">
        <v>1003</v>
      </c>
    </row>
    <row r="140" ht="21.0" customHeight="1">
      <c r="A140" s="193">
        <v>43950.0</v>
      </c>
      <c r="B140" s="76">
        <v>0.7670949074074074</v>
      </c>
      <c r="C140" s="69"/>
      <c r="D140" s="25" t="s">
        <v>258</v>
      </c>
      <c r="E140" s="186">
        <v>4.2498717000317E13</v>
      </c>
      <c r="F140" s="186">
        <v>2.1988074971E10</v>
      </c>
      <c r="G140" s="75"/>
      <c r="H140" s="75"/>
      <c r="I140" s="75"/>
      <c r="J140" s="75"/>
      <c r="K140" s="75"/>
      <c r="L140" s="75"/>
      <c r="M140" s="123" t="str">
        <f>IFERROR(__xludf.DUMMYFUNCTION("QUERY(Hospitais_BD!D:I,""select E where D='""&amp;D140&amp;""'"",0)"),"#REF!")</f>
        <v>#REF!</v>
      </c>
      <c r="N140" s="124" t="str">
        <f>IFERROR(__xludf.DUMMYFUNCTION("QUERY(Hospitais_BD!D:I,""select F where D='""&amp;D140&amp;""'"")"),"#REF!")</f>
        <v>#REF!</v>
      </c>
      <c r="O140" s="125" t="str">
        <f>IFERROR(__xludf.DUMMYFUNCTION("QUERY(Hospitais_BD!D:I,""select G where D='""&amp;D140&amp;""'"")"),"#REF!")</f>
        <v>#REF!</v>
      </c>
      <c r="P140" s="186" t="s">
        <v>1094</v>
      </c>
      <c r="Q140" s="125" t="str">
        <f>IFERROR(__xludf.DUMMYFUNCTION("QUERY(Hospitais_BD!D:I,""select I where D='""&amp;D140&amp;""'"")"),"#REF!")</f>
        <v>#REF!</v>
      </c>
      <c r="R140" s="125" t="str">
        <f>IFERROR(__xludf.DUMMYFUNCTION("QUERY(Hospitais_BD!D:I,""select H where D='""&amp;D140&amp;""'"")"),"#REF!")</f>
        <v>#REF!</v>
      </c>
      <c r="S140" s="194"/>
      <c r="T140" s="126"/>
      <c r="U140" s="180"/>
      <c r="V140" s="186"/>
      <c r="W140" s="101"/>
      <c r="X140" s="186"/>
      <c r="Y140" s="186"/>
      <c r="Z140" s="186"/>
      <c r="AA140" s="186"/>
      <c r="AB140" s="186"/>
      <c r="AC140" s="186">
        <v>1.3088648764E10</v>
      </c>
      <c r="AD140" s="186"/>
      <c r="AE140" s="121"/>
      <c r="AF140" s="130"/>
      <c r="AG140" s="198"/>
      <c r="AH140" s="129">
        <v>0.0</v>
      </c>
      <c r="AI140" s="129">
        <v>0.0</v>
      </c>
      <c r="AJ140" s="129">
        <v>0.0</v>
      </c>
      <c r="AK140" s="129">
        <v>0.0</v>
      </c>
      <c r="AL140" s="129"/>
      <c r="AM140" s="131"/>
    </row>
    <row r="141" ht="21.0" customHeight="1">
      <c r="A141" s="190">
        <v>43950.0</v>
      </c>
      <c r="B141" s="191">
        <v>0.9003587962962963</v>
      </c>
      <c r="C141" s="50"/>
      <c r="D141" s="80" t="s">
        <v>732</v>
      </c>
      <c r="E141" s="172">
        <v>2.8606630000123E13</v>
      </c>
      <c r="F141" s="172">
        <v>2.225423515E9</v>
      </c>
      <c r="G141" s="83"/>
      <c r="H141" s="83"/>
      <c r="I141" s="83"/>
      <c r="J141" s="83"/>
      <c r="K141" s="83"/>
      <c r="L141" s="83"/>
      <c r="M141" s="136" t="str">
        <f>IFERROR(__xludf.DUMMYFUNCTION("QUERY(Hospitais_BD!D:I,""select E where D='""&amp;D141&amp;""'"",0)"),"REGIAO SERRANA")</f>
        <v>REGIAO SERRANA</v>
      </c>
      <c r="N141" s="94" t="str">
        <f>IFERROR(__xludf.DUMMYFUNCTION("QUERY(Hospitais_BD!D:I,""select F where D='""&amp;D141&amp;""'"")"),"Nova Friburgo")</f>
        <v>Nova Friburgo</v>
      </c>
      <c r="O141" s="137" t="str">
        <f>IFERROR(__xludf.DUMMYFUNCTION("QUERY(Hospitais_BD!D:I,""select G where D='""&amp;D141&amp;""'"")"),"Sao Pedro da Serra")</f>
        <v>Sao Pedro da Serra</v>
      </c>
      <c r="P141" s="172" t="s">
        <v>1095</v>
      </c>
      <c r="Q141" s="137" t="str">
        <f>IFERROR(__xludf.DUMMYFUNCTION("QUERY(Hospitais_BD!D:I,""select I where D='""&amp;D141&amp;""'"")"),"Público")</f>
        <v>Público</v>
      </c>
      <c r="R141" s="137" t="str">
        <f>IFERROR(__xludf.DUMMYFUNCTION("QUERY(Hospitais_BD!D:I,""select H where D='""&amp;D141&amp;""'"")"),"Unidade básica de saúde - BAIXA COMPLEXIDADE
")</f>
        <v>Unidade básica de saúde - BAIXA COMPLEXIDADE
</v>
      </c>
      <c r="S141" s="192" t="s">
        <v>1096</v>
      </c>
      <c r="T141" s="138"/>
      <c r="U141" s="185"/>
      <c r="V141" s="172"/>
      <c r="W141" s="80"/>
      <c r="X141" s="172"/>
      <c r="Y141" s="172"/>
      <c r="Z141" s="172"/>
      <c r="AA141" s="172"/>
      <c r="AB141" s="172"/>
      <c r="AC141" s="172">
        <v>7.19090873E9</v>
      </c>
      <c r="AD141" s="172"/>
      <c r="AE141" s="134"/>
      <c r="AF141" s="142"/>
      <c r="AG141" s="158"/>
      <c r="AH141" s="144"/>
      <c r="AI141" s="144"/>
      <c r="AJ141" s="144"/>
      <c r="AK141" s="144">
        <v>0.0</v>
      </c>
      <c r="AL141" s="144"/>
      <c r="AM141" s="145" t="s">
        <v>1019</v>
      </c>
    </row>
    <row r="142" ht="21.0" customHeight="1">
      <c r="A142" s="193">
        <v>43951.0</v>
      </c>
      <c r="B142" s="76">
        <v>0.43199074074074073</v>
      </c>
      <c r="C142" s="69"/>
      <c r="D142" s="101" t="s">
        <v>740</v>
      </c>
      <c r="E142" s="186">
        <v>2.9468055007972E13</v>
      </c>
      <c r="F142" s="186">
        <v>2.1988455967E10</v>
      </c>
      <c r="G142" s="75"/>
      <c r="H142" s="75"/>
      <c r="I142" s="75"/>
      <c r="J142" s="75"/>
      <c r="K142" s="75"/>
      <c r="L142" s="75"/>
      <c r="M142" s="123" t="str">
        <f>IFERROR(__xludf.DUMMYFUNCTION("QUERY(Hospitais_BD!D:I,""select E where D='""&amp;D142&amp;""'"",0)"),"ZONA OESTE")</f>
        <v>ZONA OESTE</v>
      </c>
      <c r="N142" s="124" t="str">
        <f>IFERROR(__xludf.DUMMYFUNCTION("QUERY(Hospitais_BD!D:I,""select F where D='""&amp;D142&amp;""'"")"),"RIO DE JANEIRO")</f>
        <v>RIO DE JANEIRO</v>
      </c>
      <c r="O142" s="125" t="str">
        <f>IFERROR(__xludf.DUMMYFUNCTION("QUERY(Hospitais_BD!D:I,""select G where D='""&amp;D142&amp;""'"")"),"SANTA CRUZ (ANTARES)")</f>
        <v>SANTA CRUZ (ANTARES)</v>
      </c>
      <c r="P142" s="186" t="s">
        <v>1097</v>
      </c>
      <c r="Q142" s="125" t="str">
        <f>IFERROR(__xludf.DUMMYFUNCTION("QUERY(Hospitais_BD!D:I,""select I where D='""&amp;D142&amp;""'"")"),"Público")</f>
        <v>Público</v>
      </c>
      <c r="R142" s="125" t="str">
        <f>IFERROR(__xludf.DUMMYFUNCTION("QUERY(Hospitais_BD!D:I,""select H where D='""&amp;D142&amp;""'"")"),"Unidade básica de saúde - BAIXA COMPLEXIDADE
")</f>
        <v>Unidade básica de saúde - BAIXA COMPLEXIDADE
</v>
      </c>
      <c r="S142" s="194"/>
      <c r="T142" s="126"/>
      <c r="U142" s="180"/>
      <c r="V142" s="186"/>
      <c r="W142" s="101"/>
      <c r="X142" s="186"/>
      <c r="Y142" s="186"/>
      <c r="Z142" s="186"/>
      <c r="AA142" s="186"/>
      <c r="AB142" s="186"/>
      <c r="AC142" s="186">
        <v>1.1166156737E10</v>
      </c>
      <c r="AD142" s="186"/>
      <c r="AE142" s="121"/>
      <c r="AF142" s="130"/>
      <c r="AG142" s="163">
        <v>50.0</v>
      </c>
      <c r="AH142" s="129">
        <v>0.0</v>
      </c>
      <c r="AI142" s="129">
        <v>0.0</v>
      </c>
      <c r="AJ142" s="129">
        <v>25.0</v>
      </c>
      <c r="AK142" s="129">
        <v>0.0</v>
      </c>
      <c r="AL142" s="129"/>
      <c r="AM142" s="131" t="s">
        <v>1003</v>
      </c>
    </row>
    <row r="143" ht="21.0" customHeight="1">
      <c r="A143" s="190">
        <v>43951.0</v>
      </c>
      <c r="B143" s="191">
        <v>0.4368518518518518</v>
      </c>
      <c r="C143" s="50"/>
      <c r="D143" s="80" t="s">
        <v>451</v>
      </c>
      <c r="E143" s="172">
        <v>4.2498717000821E13</v>
      </c>
      <c r="F143" s="172">
        <v>2.4327154E7</v>
      </c>
      <c r="G143" s="83"/>
      <c r="H143" s="83"/>
      <c r="I143" s="83"/>
      <c r="J143" s="83"/>
      <c r="K143" s="83"/>
      <c r="L143" s="83"/>
      <c r="M143" s="70" t="str">
        <f>IFERROR(__xludf.DUMMYFUNCTION("QUERY(Hospitais_BD!D:I,""select E where D='""&amp;D143&amp;""'"",0)"),"CENTRO")</f>
        <v>CENTRO</v>
      </c>
      <c r="N143" s="44" t="str">
        <f>IFERROR(__xludf.DUMMYFUNCTION("QUERY(Hospitais_BD!D:I,""select F where D='""&amp;D143&amp;""'"")"),"Rio de Janeiro")</f>
        <v>Rio de Janeiro</v>
      </c>
      <c r="O143" s="70" t="str">
        <f>IFERROR(__xludf.DUMMYFUNCTION("QUERY(Hospitais_BD!D:I,""select G where D='""&amp;D143&amp;""'"")"),"Central do Brasil")</f>
        <v>Central do Brasil</v>
      </c>
      <c r="P143" s="172" t="s">
        <v>1098</v>
      </c>
      <c r="Q143" s="137" t="str">
        <f>IFERROR(__xludf.DUMMYFUNCTION("QUERY(Hospitais_BD!D:I,""select I where D='""&amp;D143&amp;""'"")"),"Público")</f>
        <v>Público</v>
      </c>
      <c r="R143" s="137" t="str">
        <f>IFERROR(__xludf.DUMMYFUNCTION("QUERY(Hospitais_BD!D:I,""select H where D='""&amp;D143&amp;""'"")"),"Unidade básica - BAIXA COMPLEXIDADE")</f>
        <v>Unidade básica - BAIXA COMPLEXIDADE</v>
      </c>
      <c r="S143" s="192" t="s">
        <v>1099</v>
      </c>
      <c r="T143" s="138"/>
      <c r="U143" s="185"/>
      <c r="V143" s="172"/>
      <c r="W143" s="80"/>
      <c r="X143" s="172"/>
      <c r="Y143" s="172"/>
      <c r="Z143" s="172"/>
      <c r="AA143" s="172"/>
      <c r="AB143" s="172"/>
      <c r="AC143" s="172">
        <v>7.18401507E10</v>
      </c>
      <c r="AD143" s="172"/>
      <c r="AE143" s="134"/>
      <c r="AF143" s="142"/>
      <c r="AG143" s="158"/>
      <c r="AH143" s="144"/>
      <c r="AI143" s="144"/>
      <c r="AJ143" s="144"/>
      <c r="AK143" s="144">
        <v>0.0</v>
      </c>
      <c r="AL143" s="144"/>
      <c r="AM143" s="145" t="s">
        <v>1068</v>
      </c>
    </row>
    <row r="144" ht="21.0" customHeight="1">
      <c r="A144" s="193">
        <v>43951.0</v>
      </c>
      <c r="B144" s="76">
        <v>0.6860416666666667</v>
      </c>
      <c r="C144" s="69"/>
      <c r="D144" s="101" t="s">
        <v>742</v>
      </c>
      <c r="E144" s="186">
        <v>3.9485412000102E13</v>
      </c>
      <c r="F144" s="186">
        <v>2.136985056E9</v>
      </c>
      <c r="G144" s="75"/>
      <c r="H144" s="75"/>
      <c r="I144" s="75"/>
      <c r="J144" s="75"/>
      <c r="K144" s="75"/>
      <c r="L144" s="75"/>
      <c r="M144" s="53" t="str">
        <f>IFERROR(__xludf.DUMMYFUNCTION("QUERY(Hospitais_BD!D:I,""select E where D='""&amp;D144&amp;""'"",0)"),"BAIXADA FLUMINENSE")</f>
        <v>BAIXADA FLUMINENSE</v>
      </c>
      <c r="N144" s="45" t="str">
        <f>IFERROR(__xludf.DUMMYFUNCTION("QUERY(Hospitais_BD!D:I,""select F where D='""&amp;D144&amp;""'"")"),"Queimados")</f>
        <v>Queimados</v>
      </c>
      <c r="O144" s="53" t="str">
        <f>IFERROR(__xludf.DUMMYFUNCTION("QUERY(Hospitais_BD!D:I,""select G where D='""&amp;D144&amp;""'"")"),"Valdariosa")</f>
        <v>Valdariosa</v>
      </c>
      <c r="P144" s="186" t="s">
        <v>1100</v>
      </c>
      <c r="Q144" s="125" t="str">
        <f>IFERROR(__xludf.DUMMYFUNCTION("QUERY(Hospitais_BD!D:I,""select I where D='""&amp;D144&amp;""'"")"),"Público")</f>
        <v>Público</v>
      </c>
      <c r="R144" s="125" t="str">
        <f>IFERROR(__xludf.DUMMYFUNCTION("QUERY(Hospitais_BD!D:I,""select H where D='""&amp;D144&amp;""'"")"),"Unidade básica de saúde - BAIXA COMPLEXIDADE
")</f>
        <v>Unidade básica de saúde - BAIXA COMPLEXIDADE
</v>
      </c>
      <c r="S144" s="194" t="s">
        <v>1101</v>
      </c>
      <c r="T144" s="126"/>
      <c r="U144" s="180"/>
      <c r="V144" s="186"/>
      <c r="W144" s="101"/>
      <c r="X144" s="186"/>
      <c r="Y144" s="186"/>
      <c r="Z144" s="186"/>
      <c r="AA144" s="186"/>
      <c r="AB144" s="186"/>
      <c r="AC144" s="186">
        <v>1.1753361737E10</v>
      </c>
      <c r="AD144" s="186"/>
      <c r="AE144" s="121"/>
      <c r="AF144" s="130"/>
      <c r="AG144" s="163">
        <v>25.0</v>
      </c>
      <c r="AH144" s="129"/>
      <c r="AI144" s="129"/>
      <c r="AJ144" s="129"/>
      <c r="AK144" s="129">
        <v>6.0</v>
      </c>
      <c r="AL144" s="129"/>
      <c r="AM144" s="131" t="s">
        <v>1003</v>
      </c>
    </row>
    <row r="145" ht="21.0" customHeight="1">
      <c r="A145" s="190">
        <v>43952.0</v>
      </c>
      <c r="B145" s="191">
        <v>0.45319444444444446</v>
      </c>
      <c r="C145" s="50"/>
      <c r="D145" s="80" t="s">
        <v>653</v>
      </c>
      <c r="E145" s="172">
        <v>2.913832800015E13</v>
      </c>
      <c r="F145" s="172">
        <v>0.0</v>
      </c>
      <c r="G145" s="83"/>
      <c r="H145" s="83"/>
      <c r="I145" s="83"/>
      <c r="J145" s="83"/>
      <c r="K145" s="83"/>
      <c r="L145" s="83"/>
      <c r="M145" s="70" t="str">
        <f>IFERROR(__xludf.DUMMYFUNCTION("QUERY(Hospitais_BD!D:I,""select E where D='""&amp;D145&amp;""'"",0)"),"BAIXADA FLUMINENSE")</f>
        <v>BAIXADA FLUMINENSE</v>
      </c>
      <c r="N145" s="44" t="str">
        <f>IFERROR(__xludf.DUMMYFUNCTION("QUERY(Hospitais_BD!D:I,""select F where D='""&amp;D145&amp;""'"")"),"Duque de Caxias")</f>
        <v>Duque de Caxias</v>
      </c>
      <c r="O145" s="70" t="str">
        <f>IFERROR(__xludf.DUMMYFUNCTION("QUERY(Hospitais_BD!D:I,""select G where D='""&amp;D145&amp;""'"")"),"Centenario")</f>
        <v>Centenario</v>
      </c>
      <c r="P145" s="172" t="s">
        <v>1102</v>
      </c>
      <c r="Q145" s="137" t="str">
        <f>IFERROR(__xludf.DUMMYFUNCTION("QUERY(Hospitais_BD!D:I,""select I where D='""&amp;D145&amp;""'"")"),"Público")</f>
        <v>Público</v>
      </c>
      <c r="R145" s="137" t="str">
        <f>IFERROR(__xludf.DUMMYFUNCTION("QUERY(Hospitais_BD!D:I,""select H where D='""&amp;D145&amp;""'"")"),"Unidade básica de saúde - BAIXA COMPLEXIDADE
")</f>
        <v>Unidade básica de saúde - BAIXA COMPLEXIDADE
</v>
      </c>
      <c r="S145" s="192" t="s">
        <v>1103</v>
      </c>
      <c r="T145" s="138"/>
      <c r="U145" s="185"/>
      <c r="V145" s="172"/>
      <c r="W145" s="80"/>
      <c r="X145" s="172"/>
      <c r="Y145" s="172"/>
      <c r="Z145" s="172"/>
      <c r="AA145" s="172"/>
      <c r="AB145" s="172"/>
      <c r="AC145" s="172">
        <v>8.5609846749E10</v>
      </c>
      <c r="AD145" s="172"/>
      <c r="AE145" s="134"/>
      <c r="AF145" s="142"/>
      <c r="AG145" s="158"/>
      <c r="AH145" s="144"/>
      <c r="AI145" s="144"/>
      <c r="AJ145" s="144"/>
      <c r="AK145" s="144">
        <v>0.0</v>
      </c>
      <c r="AL145" s="144"/>
      <c r="AM145" s="145" t="s">
        <v>1068</v>
      </c>
    </row>
    <row r="146" ht="21.0" customHeight="1">
      <c r="A146" s="193">
        <v>43952.0</v>
      </c>
      <c r="B146" s="76">
        <v>0.6297800925925926</v>
      </c>
      <c r="C146" s="69"/>
      <c r="D146" s="101" t="s">
        <v>419</v>
      </c>
      <c r="E146" s="186">
        <v>3.3663683005347E13</v>
      </c>
      <c r="F146" s="186">
        <v>3.9382412E7</v>
      </c>
      <c r="G146" s="75"/>
      <c r="H146" s="75"/>
      <c r="I146" s="75"/>
      <c r="J146" s="75"/>
      <c r="K146" s="75"/>
      <c r="L146" s="75"/>
      <c r="M146" s="53" t="str">
        <f>IFERROR(__xludf.DUMMYFUNCTION("QUERY(Hospitais_BD!D:I,""select E where D='""&amp;D146&amp;""'"",0)"),"ZONA NORTE")</f>
        <v>ZONA NORTE</v>
      </c>
      <c r="N146" s="45" t="str">
        <f>IFERROR(__xludf.DUMMYFUNCTION("QUERY(Hospitais_BD!D:I,""select F where D='""&amp;D146&amp;""'"")"),"Rio de Janeiro")</f>
        <v>Rio de Janeiro</v>
      </c>
      <c r="O146" s="53" t="str">
        <f>IFERROR(__xludf.DUMMYFUNCTION("QUERY(Hospitais_BD!D:I,""select G where D='""&amp;D146&amp;""'"")"),"Ilha do Fundão")</f>
        <v>Ilha do Fundão</v>
      </c>
      <c r="P146" s="186" t="s">
        <v>1104</v>
      </c>
      <c r="Q146" s="125" t="str">
        <f>IFERROR(__xludf.DUMMYFUNCTION("QUERY(Hospitais_BD!D:I,""select I where D='""&amp;D146&amp;""'"")"),"Público")</f>
        <v>Público</v>
      </c>
      <c r="R146" s="125" t="str">
        <f>IFERROR(__xludf.DUMMYFUNCTION("QUERY(Hospitais_BD!D:I,""select H where D='""&amp;D146&amp;""'"")"),"Referência - ALTA COMPLEXIDADE")</f>
        <v>Referência - ALTA COMPLEXIDADE</v>
      </c>
      <c r="S146" s="194"/>
      <c r="T146" s="126"/>
      <c r="U146" s="180"/>
      <c r="V146" s="186"/>
      <c r="W146" s="101"/>
      <c r="X146" s="186"/>
      <c r="Y146" s="186"/>
      <c r="Z146" s="186"/>
      <c r="AA146" s="186"/>
      <c r="AB146" s="186"/>
      <c r="AC146" s="186">
        <v>1.0910653739E10</v>
      </c>
      <c r="AD146" s="186"/>
      <c r="AE146" s="121"/>
      <c r="AF146" s="130"/>
      <c r="AG146" s="163"/>
      <c r="AH146" s="129"/>
      <c r="AI146" s="129"/>
      <c r="AJ146" s="129"/>
      <c r="AK146" s="129">
        <v>0.0</v>
      </c>
      <c r="AL146" s="129"/>
      <c r="AM146" s="131" t="s">
        <v>1068</v>
      </c>
    </row>
    <row r="147" ht="21.0" customHeight="1">
      <c r="A147" s="190">
        <v>43952.0</v>
      </c>
      <c r="B147" s="191">
        <v>0.7027199074074074</v>
      </c>
      <c r="C147" s="50"/>
      <c r="D147" s="80" t="s">
        <v>740</v>
      </c>
      <c r="E147" s="172">
        <v>2.1988455967E10</v>
      </c>
      <c r="F147" s="172">
        <v>2.1988455967E10</v>
      </c>
      <c r="G147" s="83"/>
      <c r="H147" s="83"/>
      <c r="I147" s="83"/>
      <c r="J147" s="83"/>
      <c r="K147" s="83"/>
      <c r="L147" s="83"/>
      <c r="M147" s="70" t="str">
        <f>IFERROR(__xludf.DUMMYFUNCTION("QUERY(Hospitais_BD!D:I,""select E where D='""&amp;D147&amp;""'"",0)"),"ZONA OESTE")</f>
        <v>ZONA OESTE</v>
      </c>
      <c r="N147" s="44" t="str">
        <f>IFERROR(__xludf.DUMMYFUNCTION("QUERY(Hospitais_BD!D:I,""select F where D='""&amp;D147&amp;""'"")"),"RIO DE JANEIRO")</f>
        <v>RIO DE JANEIRO</v>
      </c>
      <c r="O147" s="70" t="str">
        <f>IFERROR(__xludf.DUMMYFUNCTION("QUERY(Hospitais_BD!D:I,""select G where D='""&amp;D147&amp;""'"")"),"SANTA CRUZ (ANTARES)")</f>
        <v>SANTA CRUZ (ANTARES)</v>
      </c>
      <c r="P147" s="172" t="s">
        <v>1105</v>
      </c>
      <c r="Q147" s="137" t="str">
        <f>IFERROR(__xludf.DUMMYFUNCTION("QUERY(Hospitais_BD!D:I,""select I where D='""&amp;D147&amp;""'"")"),"Público")</f>
        <v>Público</v>
      </c>
      <c r="R147" s="137" t="str">
        <f>IFERROR(__xludf.DUMMYFUNCTION("QUERY(Hospitais_BD!D:I,""select H where D='""&amp;D147&amp;""'"")"),"Unidade básica de saúde - BAIXA COMPLEXIDADE
")</f>
        <v>Unidade básica de saúde - BAIXA COMPLEXIDADE
</v>
      </c>
      <c r="S147" s="192" t="s">
        <v>1106</v>
      </c>
      <c r="T147" s="138"/>
      <c r="U147" s="185"/>
      <c r="V147" s="172"/>
      <c r="W147" s="80"/>
      <c r="X147" s="172"/>
      <c r="Y147" s="172"/>
      <c r="Z147" s="172"/>
      <c r="AA147" s="172"/>
      <c r="AB147" s="172"/>
      <c r="AC147" s="172">
        <v>1.1166156737E10</v>
      </c>
      <c r="AD147" s="172"/>
      <c r="AE147" s="134"/>
      <c r="AF147" s="142"/>
      <c r="AG147" s="158"/>
      <c r="AH147" s="144">
        <v>0.0</v>
      </c>
      <c r="AI147" s="144">
        <v>0.0</v>
      </c>
      <c r="AJ147" s="144"/>
      <c r="AK147" s="144">
        <v>0.0</v>
      </c>
      <c r="AL147" s="144"/>
      <c r="AM147" s="145" t="s">
        <v>1014</v>
      </c>
    </row>
    <row r="148" ht="21.0" customHeight="1">
      <c r="A148" s="193">
        <v>43952.0</v>
      </c>
      <c r="B148" s="76">
        <v>0.8514467592592593</v>
      </c>
      <c r="C148" s="69"/>
      <c r="D148" s="101" t="s">
        <v>87</v>
      </c>
      <c r="E148" s="186">
        <v>0.0</v>
      </c>
      <c r="F148" s="186">
        <v>2.1964232805E10</v>
      </c>
      <c r="G148" s="75"/>
      <c r="H148" s="75"/>
      <c r="I148" s="75"/>
      <c r="J148" s="75"/>
      <c r="K148" s="75"/>
      <c r="L148" s="75"/>
      <c r="M148" s="53" t="str">
        <f>IFERROR(__xludf.DUMMYFUNCTION("QUERY(Hospitais_BD!D:I,""select E where D='""&amp;D148&amp;""'"",0)"),"ZONA NORTE")</f>
        <v>ZONA NORTE</v>
      </c>
      <c r="N148" s="45" t="str">
        <f>IFERROR(__xludf.DUMMYFUNCTION("QUERY(Hospitais_BD!D:I,""select F where D='""&amp;D148&amp;""'"")"),"Rio de Janeiro")</f>
        <v>Rio de Janeiro</v>
      </c>
      <c r="O148" s="53" t="str">
        <f>IFERROR(__xludf.DUMMYFUNCTION("QUERY(Hospitais_BD!D:I,""select G where D='""&amp;D148&amp;""'"")"),"Penha")</f>
        <v>Penha</v>
      </c>
      <c r="P148" s="186" t="s">
        <v>1107</v>
      </c>
      <c r="Q148" s="125" t="str">
        <f>IFERROR(__xludf.DUMMYFUNCTION("QUERY(Hospitais_BD!D:I,""select I where D='""&amp;D148&amp;""'"")"),"Público")</f>
        <v>Público</v>
      </c>
      <c r="R148" s="125" t="str">
        <f>IFERROR(__xludf.DUMMYFUNCTION("QUERY(Hospitais_BD!D:I,""select H where D='""&amp;D148&amp;""'"")"),"Unidade básica - BAIXA COMPLEXIDADE")</f>
        <v>Unidade básica - BAIXA COMPLEXIDADE</v>
      </c>
      <c r="S148" s="194"/>
      <c r="T148" s="126"/>
      <c r="U148" s="180"/>
      <c r="V148" s="186"/>
      <c r="W148" s="101"/>
      <c r="X148" s="186"/>
      <c r="Y148" s="186"/>
      <c r="Z148" s="186"/>
      <c r="AA148" s="186"/>
      <c r="AB148" s="186"/>
      <c r="AC148" s="186">
        <v>1.0967981743E10</v>
      </c>
      <c r="AD148" s="186"/>
      <c r="AE148" s="121"/>
      <c r="AF148" s="130"/>
      <c r="AG148" s="163">
        <v>50.0</v>
      </c>
      <c r="AH148" s="129"/>
      <c r="AI148" s="129"/>
      <c r="AJ148" s="129"/>
      <c r="AK148" s="200"/>
      <c r="AL148" s="129">
        <v>30.0</v>
      </c>
      <c r="AM148" s="131" t="s">
        <v>1003</v>
      </c>
    </row>
    <row r="149" ht="21.0" customHeight="1">
      <c r="A149" s="190">
        <v>43952.0</v>
      </c>
      <c r="B149" s="191">
        <v>0.9466319444444444</v>
      </c>
      <c r="C149" s="50"/>
      <c r="D149" s="80" t="s">
        <v>638</v>
      </c>
      <c r="E149" s="172">
        <v>3.207929000184E12</v>
      </c>
      <c r="F149" s="172">
        <v>3.1116715E7</v>
      </c>
      <c r="G149" s="83"/>
      <c r="H149" s="83"/>
      <c r="I149" s="83"/>
      <c r="J149" s="83"/>
      <c r="K149" s="83"/>
      <c r="L149" s="83"/>
      <c r="M149" s="70" t="str">
        <f>IFERROR(__xludf.DUMMYFUNCTION("QUERY(Hospitais_BD!D:I,""select E where D='""&amp;D149&amp;""'"",0)"),"ZONA NORTE")</f>
        <v>ZONA NORTE</v>
      </c>
      <c r="N149" s="44" t="str">
        <f>IFERROR(__xludf.DUMMYFUNCTION("QUERY(Hospitais_BD!D:I,""select F where D='""&amp;D149&amp;""'"")"),"rio de janeiro")</f>
        <v>rio de janeiro</v>
      </c>
      <c r="O149" s="70" t="str">
        <f>IFERROR(__xludf.DUMMYFUNCTION("QUERY(Hospitais_BD!D:I,""select G where D='""&amp;D149&amp;""'"")"),"Meier")</f>
        <v>Meier</v>
      </c>
      <c r="P149" s="172" t="s">
        <v>1108</v>
      </c>
      <c r="Q149" s="137" t="str">
        <f>IFERROR(__xludf.DUMMYFUNCTION("QUERY(Hospitais_BD!D:I,""select I where D='""&amp;D149&amp;""'"")"),"Público")</f>
        <v>Público</v>
      </c>
      <c r="R149" s="137" t="str">
        <f>IFERROR(__xludf.DUMMYFUNCTION("QUERY(Hospitais_BD!D:I,""select H where D='""&amp;D149&amp;""'"")"),"Unidade básica de saúde - BAIXA COMPLEXIDADE
")</f>
        <v>Unidade básica de saúde - BAIXA COMPLEXIDADE
</v>
      </c>
      <c r="S149" s="192"/>
      <c r="T149" s="138"/>
      <c r="U149" s="185"/>
      <c r="V149" s="172"/>
      <c r="W149" s="80"/>
      <c r="X149" s="172"/>
      <c r="Y149" s="172"/>
      <c r="Z149" s="172"/>
      <c r="AA149" s="172"/>
      <c r="AB149" s="172"/>
      <c r="AC149" s="172">
        <v>9.26732277E9</v>
      </c>
      <c r="AD149" s="172"/>
      <c r="AE149" s="134"/>
      <c r="AF149" s="142"/>
      <c r="AG149" s="158">
        <v>50.0</v>
      </c>
      <c r="AH149" s="158">
        <v>0.0</v>
      </c>
      <c r="AI149" s="158">
        <v>0.0</v>
      </c>
      <c r="AJ149" s="158">
        <v>25.0</v>
      </c>
      <c r="AK149" s="144">
        <v>0.0</v>
      </c>
      <c r="AL149" s="144"/>
      <c r="AM149" s="145" t="s">
        <v>1003</v>
      </c>
    </row>
    <row r="150" ht="21.0" customHeight="1">
      <c r="A150" s="193">
        <v>43955.0</v>
      </c>
      <c r="B150" s="76">
        <v>0.7638773148148148</v>
      </c>
      <c r="C150" s="69"/>
      <c r="D150" s="101" t="s">
        <v>747</v>
      </c>
      <c r="E150" s="186">
        <v>2.9468055002156E13</v>
      </c>
      <c r="F150" s="186">
        <v>2.1964131585E10</v>
      </c>
      <c r="G150" s="75"/>
      <c r="H150" s="75"/>
      <c r="I150" s="75"/>
      <c r="J150" s="75"/>
      <c r="K150" s="75"/>
      <c r="L150" s="75"/>
      <c r="M150" s="53" t="str">
        <f>IFERROR(__xludf.DUMMYFUNCTION("QUERY(Hospitais_BD!D:I,""select E where D='""&amp;D150&amp;""'"",0)"),"ZONA OESTE")</f>
        <v>ZONA OESTE</v>
      </c>
      <c r="N150" s="45" t="str">
        <f>IFERROR(__xludf.DUMMYFUNCTION("QUERY(Hospitais_BD!D:I,""select F where D='""&amp;D150&amp;""'"")"),"Rio de Janeiro")</f>
        <v>Rio de Janeiro</v>
      </c>
      <c r="O150" s="53" t="str">
        <f>IFERROR(__xludf.DUMMYFUNCTION("QUERY(Hospitais_BD!D:I,""select G where D='""&amp;D150&amp;""'"")"),"Realengo")</f>
        <v>Realengo</v>
      </c>
      <c r="P150" s="186" t="s">
        <v>1109</v>
      </c>
      <c r="Q150" s="125" t="str">
        <f>IFERROR(__xludf.DUMMYFUNCTION("QUERY(Hospitais_BD!D:I,""select I where D='""&amp;D150&amp;""'"")"),"Público")</f>
        <v>Público</v>
      </c>
      <c r="R150" s="125" t="str">
        <f>IFERROR(__xludf.DUMMYFUNCTION("QUERY(Hospitais_BD!D:I,""select H where D='""&amp;D150&amp;""'"")"),"Unidade básica de saúde - BAIXA COMPLEXIDADE
")</f>
        <v>Unidade básica de saúde - BAIXA COMPLEXIDADE
</v>
      </c>
      <c r="S150" s="194" t="s">
        <v>1110</v>
      </c>
      <c r="T150" s="126"/>
      <c r="U150" s="180"/>
      <c r="V150" s="186"/>
      <c r="W150" s="101"/>
      <c r="X150" s="186"/>
      <c r="Y150" s="186"/>
      <c r="Z150" s="186"/>
      <c r="AA150" s="186"/>
      <c r="AB150" s="186"/>
      <c r="AC150" s="186">
        <v>5.747827707E9</v>
      </c>
      <c r="AD150" s="186"/>
      <c r="AE150" s="121"/>
      <c r="AF150" s="130"/>
      <c r="AG150" s="163">
        <v>25.0</v>
      </c>
      <c r="AH150" s="163">
        <v>0.0</v>
      </c>
      <c r="AI150" s="163">
        <v>0.0</v>
      </c>
      <c r="AJ150" s="163">
        <v>25.0</v>
      </c>
      <c r="AK150" s="129">
        <v>0.0</v>
      </c>
      <c r="AL150" s="129"/>
      <c r="AM150" s="131" t="s">
        <v>1003</v>
      </c>
    </row>
    <row r="151" ht="21.0" customHeight="1">
      <c r="A151" s="190">
        <v>43956.0</v>
      </c>
      <c r="B151" s="191">
        <v>0.5875462962962963</v>
      </c>
      <c r="C151" s="50"/>
      <c r="D151" s="80" t="s">
        <v>620</v>
      </c>
      <c r="E151" s="172">
        <v>3.43941000128E11</v>
      </c>
      <c r="F151" s="172">
        <v>2.3336536E7</v>
      </c>
      <c r="G151" s="83"/>
      <c r="H151" s="83"/>
      <c r="I151" s="83"/>
      <c r="J151" s="83"/>
      <c r="K151" s="83"/>
      <c r="L151" s="83"/>
      <c r="M151" s="70" t="str">
        <f>IFERROR(__xludf.DUMMYFUNCTION("QUERY(Hospitais_BD!D:I,""select E where D='""&amp;D151&amp;""'"",0)"),"ZONA OESTE")</f>
        <v>ZONA OESTE</v>
      </c>
      <c r="N151" s="44" t="str">
        <f>IFERROR(__xludf.DUMMYFUNCTION("QUERY(Hospitais_BD!D:I,""select F where D='""&amp;D151&amp;""'"")"),"Rio de Janeiro")</f>
        <v>Rio de Janeiro</v>
      </c>
      <c r="O151" s="70" t="str">
        <f>IFERROR(__xludf.DUMMYFUNCTION("QUERY(Hospitais_BD!D:I,""select G where D='""&amp;D151&amp;""'"")"),"Taquara -Jacarepagua")</f>
        <v>Taquara -Jacarepagua</v>
      </c>
      <c r="P151" s="172" t="s">
        <v>1111</v>
      </c>
      <c r="Q151" s="137" t="str">
        <f>IFERROR(__xludf.DUMMYFUNCTION("QUERY(Hospitais_BD!D:I,""select I where D='""&amp;D151&amp;""'"")"),"Público")</f>
        <v>Público</v>
      </c>
      <c r="R151" s="137" t="str">
        <f>IFERROR(__xludf.DUMMYFUNCTION("QUERY(Hospitais_BD!D:I,""select H where D='""&amp;D151&amp;""'"")"),"Grande emergência - MÉDIA COMPLEXIDADE
")</f>
        <v>Grande emergência - MÉDIA COMPLEXIDADE
</v>
      </c>
      <c r="S151" s="192" t="s">
        <v>1112</v>
      </c>
      <c r="T151" s="138"/>
      <c r="U151" s="185"/>
      <c r="V151" s="172"/>
      <c r="W151" s="80"/>
      <c r="X151" s="172"/>
      <c r="Y151" s="172"/>
      <c r="Z151" s="172"/>
      <c r="AA151" s="172"/>
      <c r="AB151" s="172"/>
      <c r="AC151" s="172">
        <v>2.56557276E9</v>
      </c>
      <c r="AD151" s="172"/>
      <c r="AE151" s="134"/>
      <c r="AF151" s="142"/>
      <c r="AG151" s="158">
        <v>50.0</v>
      </c>
      <c r="AH151" s="158"/>
      <c r="AI151" s="158"/>
      <c r="AJ151" s="158">
        <v>50.0</v>
      </c>
      <c r="AK151" s="158">
        <v>6.0</v>
      </c>
      <c r="AL151" s="158"/>
      <c r="AM151" s="145" t="s">
        <v>1003</v>
      </c>
    </row>
    <row r="152" ht="21.0" customHeight="1">
      <c r="A152" s="193">
        <v>43956.0</v>
      </c>
      <c r="B152" s="76">
        <v>0.6203240740740741</v>
      </c>
      <c r="C152" s="69"/>
      <c r="D152" s="101" t="s">
        <v>270</v>
      </c>
      <c r="E152" s="186">
        <v>3.94544021E11</v>
      </c>
      <c r="F152" s="186">
        <v>3.1112311E7</v>
      </c>
      <c r="G152" s="75"/>
      <c r="H152" s="75"/>
      <c r="I152" s="75"/>
      <c r="J152" s="75"/>
      <c r="K152" s="75"/>
      <c r="L152" s="75"/>
      <c r="M152" s="53" t="str">
        <f>IFERROR(__xludf.DUMMYFUNCTION("QUERY(Hospitais_BD!D:I,""select E where D='""&amp;D152&amp;""'"",0)"),"ZONA SUL")</f>
        <v>ZONA SUL</v>
      </c>
      <c r="N152" s="45" t="str">
        <f>IFERROR(__xludf.DUMMYFUNCTION("QUERY(Hospitais_BD!D:I,""select F where D='""&amp;D152&amp;""'"")"),"Rio de Janeiro")</f>
        <v>Rio de Janeiro</v>
      </c>
      <c r="O152" s="53" t="str">
        <f>IFERROR(__xludf.DUMMYFUNCTION("QUERY(Hospitais_BD!D:I,""select G where D='""&amp;D152&amp;""'"")"),"Ipanema")</f>
        <v>Ipanema</v>
      </c>
      <c r="P152" s="186" t="s">
        <v>1113</v>
      </c>
      <c r="Q152" s="125" t="str">
        <f>IFERROR(__xludf.DUMMYFUNCTION("QUERY(Hospitais_BD!D:I,""select I where D='""&amp;D152&amp;""'"")"),"Público")</f>
        <v>Público</v>
      </c>
      <c r="R152" s="125" t="str">
        <f>IFERROR(__xludf.DUMMYFUNCTION("QUERY(Hospitais_BD!D:I,""select H where D='""&amp;D152&amp;""'"")"),"Grande emergência - MÉDIA COMPLEXIDADE")</f>
        <v>Grande emergência - MÉDIA COMPLEXIDADE</v>
      </c>
      <c r="S152" s="194" t="s">
        <v>1114</v>
      </c>
      <c r="T152" s="126"/>
      <c r="U152" s="180"/>
      <c r="V152" s="186"/>
      <c r="W152" s="101"/>
      <c r="X152" s="186"/>
      <c r="Y152" s="186"/>
      <c r="Z152" s="186"/>
      <c r="AA152" s="186"/>
      <c r="AB152" s="186"/>
      <c r="AC152" s="186">
        <v>1.220066745E9</v>
      </c>
      <c r="AD152" s="186"/>
      <c r="AE152" s="121"/>
      <c r="AF152" s="130"/>
      <c r="AG152" s="163">
        <v>50.0</v>
      </c>
      <c r="AH152" s="163"/>
      <c r="AI152" s="163"/>
      <c r="AJ152" s="163"/>
      <c r="AK152" s="129">
        <v>0.0</v>
      </c>
      <c r="AL152" s="129"/>
      <c r="AM152" s="131" t="s">
        <v>1003</v>
      </c>
    </row>
    <row r="153" ht="21.0" customHeight="1">
      <c r="A153" s="190">
        <v>43957.0</v>
      </c>
      <c r="B153" s="191">
        <v>0.5697569444444445</v>
      </c>
      <c r="C153" s="50"/>
      <c r="D153" s="80" t="s">
        <v>765</v>
      </c>
      <c r="E153" s="172">
        <v>2.9468055000102E13</v>
      </c>
      <c r="F153" s="172">
        <v>2.1979905552E10</v>
      </c>
      <c r="G153" s="83"/>
      <c r="H153" s="83"/>
      <c r="I153" s="83"/>
      <c r="J153" s="83"/>
      <c r="K153" s="83"/>
      <c r="L153" s="83"/>
      <c r="M153" s="70" t="str">
        <f>IFERROR(__xludf.DUMMYFUNCTION("QUERY(Hospitais_BD!D:I,""select E where D='""&amp;D153&amp;""'"",0)"),"REGIAO METROPOLITANA")</f>
        <v>REGIAO METROPOLITANA</v>
      </c>
      <c r="N153" s="44" t="str">
        <f>IFERROR(__xludf.DUMMYFUNCTION("QUERY(Hospitais_BD!D:I,""select F where D='""&amp;D153&amp;""'"")"),"Rio de Janeiro")</f>
        <v>Rio de Janeiro</v>
      </c>
      <c r="O153" s="70" t="str">
        <f>IFERROR(__xludf.DUMMYFUNCTION("QUERY(Hospitais_BD!D:I,""select G where D='""&amp;D153&amp;""'"")"),"Cidade Nova")</f>
        <v>Cidade Nova</v>
      </c>
      <c r="P153" s="172" t="s">
        <v>1115</v>
      </c>
      <c r="Q153" s="137" t="str">
        <f>IFERROR(__xludf.DUMMYFUNCTION("QUERY(Hospitais_BD!D:I,""select I where D='""&amp;D153&amp;""'"")"),"Público")</f>
        <v>Público</v>
      </c>
      <c r="R153" s="137" t="str">
        <f>IFERROR(__xludf.DUMMYFUNCTION("QUERY(Hospitais_BD!D:I,""select H where D='""&amp;D153&amp;""'"")"),"Unidade básica de saúde - BAIXA COMPLEXIDADE
")</f>
        <v>Unidade básica de saúde - BAIXA COMPLEXIDADE
</v>
      </c>
      <c r="S153" s="192" t="s">
        <v>1116</v>
      </c>
      <c r="T153" s="138"/>
      <c r="U153" s="185"/>
      <c r="V153" s="172"/>
      <c r="W153" s="80"/>
      <c r="X153" s="172"/>
      <c r="Y153" s="172"/>
      <c r="Z153" s="172"/>
      <c r="AA153" s="172"/>
      <c r="AB153" s="172"/>
      <c r="AC153" s="172">
        <v>3.232230792E9</v>
      </c>
      <c r="AD153" s="172"/>
      <c r="AE153" s="134"/>
      <c r="AF153" s="142"/>
      <c r="AG153" s="158">
        <v>50.0</v>
      </c>
      <c r="AH153" s="158"/>
      <c r="AI153" s="158"/>
      <c r="AJ153" s="158"/>
      <c r="AK153" s="144">
        <v>0.0</v>
      </c>
      <c r="AL153" s="144"/>
      <c r="AM153" s="145" t="s">
        <v>1003</v>
      </c>
    </row>
    <row r="154" ht="21.0" customHeight="1">
      <c r="A154" s="193">
        <v>43957.0</v>
      </c>
      <c r="B154" s="76">
        <v>0.6172222222222222</v>
      </c>
      <c r="C154" s="69"/>
      <c r="D154" s="101" t="s">
        <v>768</v>
      </c>
      <c r="E154" s="186">
        <v>1.1889330000104E13</v>
      </c>
      <c r="F154" s="186">
        <v>2.136933462E9</v>
      </c>
      <c r="G154" s="75"/>
      <c r="H154" s="75"/>
      <c r="I154" s="75"/>
      <c r="J154" s="75"/>
      <c r="K154" s="75"/>
      <c r="L154" s="75"/>
      <c r="M154" s="53" t="str">
        <f>IFERROR(__xludf.DUMMYFUNCTION("QUERY(Hospitais_BD!D:I,""select E where D='""&amp;D154&amp;""'"",0)"),"BAIXADA FLUMINENSE")</f>
        <v>BAIXADA FLUMINENSE</v>
      </c>
      <c r="N154" s="45" t="str">
        <f>IFERROR(__xludf.DUMMYFUNCTION("QUERY(Hospitais_BD!D:I,""select F where D='""&amp;D154&amp;""'"")"),"Paracambi")</f>
        <v>Paracambi</v>
      </c>
      <c r="O154" s="53" t="str">
        <f>IFERROR(__xludf.DUMMYFUNCTION("QUERY(Hospitais_BD!D:I,""select G where D='""&amp;D154&amp;""'"")"),"Lages")</f>
        <v>Lages</v>
      </c>
      <c r="P154" s="186" t="s">
        <v>1117</v>
      </c>
      <c r="Q154" s="125" t="str">
        <f>IFERROR(__xludf.DUMMYFUNCTION("QUERY(Hospitais_BD!D:I,""select I where D='""&amp;D154&amp;""'"")"),"Público")</f>
        <v>Público</v>
      </c>
      <c r="R154" s="125" t="str">
        <f>IFERROR(__xludf.DUMMYFUNCTION("QUERY(Hospitais_BD!D:I,""select H where D='""&amp;D154&amp;""'"")"),"Unidade básica de saúde - BAIXA COMPLEXIDADE
")</f>
        <v>Unidade básica de saúde - BAIXA COMPLEXIDADE
</v>
      </c>
      <c r="S154" s="194" t="s">
        <v>1118</v>
      </c>
      <c r="T154" s="126"/>
      <c r="U154" s="180"/>
      <c r="V154" s="186"/>
      <c r="W154" s="101"/>
      <c r="X154" s="186"/>
      <c r="Y154" s="186"/>
      <c r="Z154" s="186"/>
      <c r="AA154" s="186"/>
      <c r="AB154" s="186"/>
      <c r="AC154" s="186">
        <v>1.1962624706E10</v>
      </c>
      <c r="AD154" s="186"/>
      <c r="AE154" s="121"/>
      <c r="AF154" s="130"/>
      <c r="AG154" s="163">
        <v>50.0</v>
      </c>
      <c r="AH154" s="163"/>
      <c r="AI154" s="163"/>
      <c r="AJ154" s="163">
        <v>25.0</v>
      </c>
      <c r="AK154" s="129">
        <v>0.0</v>
      </c>
      <c r="AL154" s="129"/>
      <c r="AM154" s="131" t="s">
        <v>1003</v>
      </c>
    </row>
    <row r="155" ht="21.0" customHeight="1">
      <c r="A155" s="190"/>
      <c r="B155" s="191"/>
      <c r="C155" s="50"/>
      <c r="D155" s="201" t="s">
        <v>769</v>
      </c>
      <c r="E155" s="172"/>
      <c r="F155" s="172"/>
      <c r="G155" s="202"/>
      <c r="H155" s="83"/>
      <c r="I155" s="83"/>
      <c r="J155" s="83"/>
      <c r="K155" s="83"/>
      <c r="L155" s="83"/>
      <c r="M155" s="70" t="str">
        <f>IFERROR(__xludf.DUMMYFUNCTION("QUERY(Hospitais_BD!D:I,""select E where D='""&amp;D155&amp;""'"",0)"),"ZONA NORTE")</f>
        <v>ZONA NORTE</v>
      </c>
      <c r="N155" s="44" t="str">
        <f>IFERROR(__xludf.DUMMYFUNCTION("QUERY(Hospitais_BD!D:I,""select F where D='""&amp;D155&amp;""'"")"),"Rio de Janeiro")</f>
        <v>Rio de Janeiro</v>
      </c>
      <c r="O155" s="70" t="str">
        <f>IFERROR(__xludf.DUMMYFUNCTION("QUERY(Hospitais_BD!D:I,""select G where D='""&amp;D155&amp;""'"")"),"Bonsucesso")</f>
        <v>Bonsucesso</v>
      </c>
      <c r="P155" s="172"/>
      <c r="Q155" s="137" t="str">
        <f>IFERROR(__xludf.DUMMYFUNCTION("QUERY(Hospitais_BD!D:I,""select I where D='""&amp;D155&amp;""'"")"),"Público")</f>
        <v>Público</v>
      </c>
      <c r="R155" s="137" t="str">
        <f>IFERROR(__xludf.DUMMYFUNCTION("QUERY(Hospitais_BD!D:I,""select H where D='""&amp;D155&amp;""'"")"),"Outra Instituição")</f>
        <v>Outra Instituição</v>
      </c>
      <c r="S155" s="192"/>
      <c r="T155" s="138"/>
      <c r="U155" s="185"/>
      <c r="V155" s="172"/>
      <c r="W155" s="80"/>
      <c r="X155" s="172"/>
      <c r="Y155" s="172"/>
      <c r="Z155" s="172"/>
      <c r="AA155" s="172"/>
      <c r="AB155" s="172"/>
      <c r="AC155" s="172"/>
      <c r="AD155" s="172"/>
      <c r="AE155" s="134"/>
      <c r="AF155" s="142"/>
      <c r="AG155" s="83">
        <v>17.0</v>
      </c>
      <c r="AH155" s="158">
        <v>0.0</v>
      </c>
      <c r="AI155" s="158">
        <v>0.0</v>
      </c>
      <c r="AJ155" s="158">
        <v>0.0</v>
      </c>
      <c r="AK155" s="144">
        <v>0.0</v>
      </c>
      <c r="AL155" s="144"/>
      <c r="AM155" s="145" t="s">
        <v>1003</v>
      </c>
    </row>
    <row r="156" ht="21.0" customHeight="1">
      <c r="A156" s="193"/>
      <c r="B156" s="76"/>
      <c r="C156" s="69"/>
      <c r="D156" s="177" t="s">
        <v>771</v>
      </c>
      <c r="E156" s="186"/>
      <c r="F156" s="186"/>
      <c r="G156" s="203"/>
      <c r="H156" s="75"/>
      <c r="I156" s="75"/>
      <c r="J156" s="75"/>
      <c r="K156" s="75"/>
      <c r="L156" s="75"/>
      <c r="M156" s="53" t="str">
        <f>IFERROR(__xludf.DUMMYFUNCTION("QUERY(Hospitais_BD!D:I,""select E where D='""&amp;D156&amp;""'"",0)"),"ZONA NORTE")</f>
        <v>ZONA NORTE</v>
      </c>
      <c r="N156" s="45" t="str">
        <f>IFERROR(__xludf.DUMMYFUNCTION("QUERY(Hospitais_BD!D:I,""select F where D='""&amp;D156&amp;""'"")"),"Rio de Janeiro")</f>
        <v>Rio de Janeiro</v>
      </c>
      <c r="O156" s="53" t="str">
        <f>IFERROR(__xludf.DUMMYFUNCTION("QUERY(Hospitais_BD!D:I,""select G where D='""&amp;D156&amp;""'"")"),"Grajau")</f>
        <v>Grajau</v>
      </c>
      <c r="P156" s="186"/>
      <c r="Q156" s="125" t="str">
        <f>IFERROR(__xludf.DUMMYFUNCTION("QUERY(Hospitais_BD!D:I,""select I where D='""&amp;D156&amp;""'"")"),"Público")</f>
        <v>Público</v>
      </c>
      <c r="R156" s="125" t="str">
        <f>IFERROR(__xludf.DUMMYFUNCTION("QUERY(Hospitais_BD!D:I,""select H where D='""&amp;D156&amp;""'"")"),"Outra Instituição")</f>
        <v>Outra Instituição</v>
      </c>
      <c r="S156" s="194"/>
      <c r="T156" s="126"/>
      <c r="U156" s="180"/>
      <c r="V156" s="186"/>
      <c r="W156" s="101"/>
      <c r="X156" s="186"/>
      <c r="Y156" s="186"/>
      <c r="Z156" s="186"/>
      <c r="AA156" s="186"/>
      <c r="AB156" s="186"/>
      <c r="AC156" s="186"/>
      <c r="AD156" s="186"/>
      <c r="AE156" s="121"/>
      <c r="AF156" s="130"/>
      <c r="AG156" s="75">
        <v>10.0</v>
      </c>
      <c r="AH156" s="163">
        <v>0.0</v>
      </c>
      <c r="AI156" s="163">
        <v>0.0</v>
      </c>
      <c r="AJ156" s="163">
        <v>0.0</v>
      </c>
      <c r="AK156" s="129">
        <v>0.0</v>
      </c>
      <c r="AL156" s="129"/>
      <c r="AM156" s="131" t="s">
        <v>1003</v>
      </c>
    </row>
    <row r="157" ht="21.0" customHeight="1">
      <c r="A157" s="190"/>
      <c r="B157" s="191"/>
      <c r="C157" s="50"/>
      <c r="D157" s="201" t="s">
        <v>623</v>
      </c>
      <c r="E157" s="172"/>
      <c r="F157" s="172"/>
      <c r="G157" s="204"/>
      <c r="H157" s="83"/>
      <c r="I157" s="83"/>
      <c r="J157" s="83"/>
      <c r="K157" s="83"/>
      <c r="L157" s="83"/>
      <c r="M157" s="70" t="str">
        <f>IFERROR(__xludf.DUMMYFUNCTION("QUERY(Hospitais_BD!D:I,""select E where D='""&amp;D157&amp;""'"",0)"),"REGIAO MEDIO PARAIBA")</f>
        <v>REGIAO MEDIO PARAIBA</v>
      </c>
      <c r="N157" s="44" t="str">
        <f>IFERROR(__xludf.DUMMYFUNCTION("QUERY(Hospitais_BD!D:I,""select F where D='""&amp;D157&amp;""'"")"),"Volta Redonda")</f>
        <v>Volta Redonda</v>
      </c>
      <c r="O157" s="70" t="str">
        <f>IFERROR(__xludf.DUMMYFUNCTION("QUERY(Hospitais_BD!D:I,""select G where D='""&amp;D157&amp;""'"")"),"Retiro")</f>
        <v>Retiro</v>
      </c>
      <c r="P157" s="172"/>
      <c r="Q157" s="137" t="str">
        <f>IFERROR(__xludf.DUMMYFUNCTION("QUERY(Hospitais_BD!D:I,""select I where D='""&amp;D157&amp;""'"")"),"Público")</f>
        <v>Público</v>
      </c>
      <c r="R157" s="137" t="str">
        <f>IFERROR(__xludf.DUMMYFUNCTION("QUERY(Hospitais_BD!D:I,""select H where D='""&amp;D157&amp;""'"")"),"Hospital de Apoio - MÉDIA COMPLEXIDADE
")</f>
        <v>Hospital de Apoio - MÉDIA COMPLEXIDADE
</v>
      </c>
      <c r="S157" s="192"/>
      <c r="T157" s="138"/>
      <c r="U157" s="185"/>
      <c r="V157" s="172"/>
      <c r="W157" s="80"/>
      <c r="X157" s="172"/>
      <c r="Y157" s="172"/>
      <c r="Z157" s="172"/>
      <c r="AA157" s="172"/>
      <c r="AB157" s="172"/>
      <c r="AC157" s="172"/>
      <c r="AD157" s="172"/>
      <c r="AE157" s="134"/>
      <c r="AF157" s="142"/>
      <c r="AG157" s="83">
        <v>100.0</v>
      </c>
      <c r="AH157" s="158">
        <v>0.0</v>
      </c>
      <c r="AI157" s="158">
        <v>0.0</v>
      </c>
      <c r="AJ157" s="158">
        <v>100.0</v>
      </c>
      <c r="AK157" s="144">
        <v>0.0</v>
      </c>
      <c r="AL157" s="144"/>
      <c r="AM157" s="145" t="s">
        <v>1003</v>
      </c>
    </row>
    <row r="158" ht="21.0" customHeight="1">
      <c r="A158" s="193"/>
      <c r="B158" s="76"/>
      <c r="C158" s="69"/>
      <c r="D158" s="177" t="s">
        <v>773</v>
      </c>
      <c r="E158" s="186"/>
      <c r="F158" s="186"/>
      <c r="G158" s="203"/>
      <c r="H158" s="75"/>
      <c r="I158" s="75"/>
      <c r="J158" s="75"/>
      <c r="K158" s="75"/>
      <c r="L158" s="75"/>
      <c r="M158" s="53" t="str">
        <f>IFERROR(__xludf.DUMMYFUNCTION("QUERY(Hospitais_BD!D:I,""select E where D='""&amp;D158&amp;""'"",0)"),"ZONA SUL")</f>
        <v>ZONA SUL</v>
      </c>
      <c r="N158" s="45" t="str">
        <f>IFERROR(__xludf.DUMMYFUNCTION("QUERY(Hospitais_BD!D:I,""select F where D='""&amp;D158&amp;""'"")"),"Rio de Janeiro")</f>
        <v>Rio de Janeiro</v>
      </c>
      <c r="O158" s="53" t="str">
        <f>IFERROR(__xludf.DUMMYFUNCTION("QUERY(Hospitais_BD!D:I,""select G where D='""&amp;D158&amp;""'"")"),"Botafogo")</f>
        <v>Botafogo</v>
      </c>
      <c r="P158" s="186"/>
      <c r="Q158" s="125" t="str">
        <f>IFERROR(__xludf.DUMMYFUNCTION("QUERY(Hospitais_BD!D:I,""select I where D='""&amp;D158&amp;""'"")"),"Público")</f>
        <v>Público</v>
      </c>
      <c r="R158" s="125" t="str">
        <f>IFERROR(__xludf.DUMMYFUNCTION("QUERY(Hospitais_BD!D:I,""select H where D='""&amp;D158&amp;""'"")"),"Referência - ALTA COMPLEXIDADE")</f>
        <v>Referência - ALTA COMPLEXIDADE</v>
      </c>
      <c r="S158" s="194"/>
      <c r="T158" s="126"/>
      <c r="U158" s="180"/>
      <c r="V158" s="186"/>
      <c r="W158" s="101"/>
      <c r="X158" s="186"/>
      <c r="Y158" s="186"/>
      <c r="Z158" s="186"/>
      <c r="AA158" s="186"/>
      <c r="AB158" s="186"/>
      <c r="AC158" s="186"/>
      <c r="AD158" s="186"/>
      <c r="AE158" s="121"/>
      <c r="AF158" s="130"/>
      <c r="AG158" s="75">
        <v>75.0</v>
      </c>
      <c r="AH158" s="163">
        <v>0.0</v>
      </c>
      <c r="AI158" s="163">
        <v>0.0</v>
      </c>
      <c r="AJ158" s="163">
        <v>0.0</v>
      </c>
      <c r="AK158" s="129">
        <v>0.0</v>
      </c>
      <c r="AL158" s="129"/>
      <c r="AM158" s="131" t="s">
        <v>1003</v>
      </c>
    </row>
    <row r="159" ht="21.0" customHeight="1">
      <c r="A159" s="190"/>
      <c r="B159" s="191"/>
      <c r="C159" s="50"/>
      <c r="D159" s="201" t="s">
        <v>774</v>
      </c>
      <c r="E159" s="172"/>
      <c r="F159" s="172"/>
      <c r="G159" s="204"/>
      <c r="H159" s="83"/>
      <c r="I159" s="83"/>
      <c r="J159" s="83"/>
      <c r="K159" s="83"/>
      <c r="L159" s="83"/>
      <c r="M159" s="70" t="str">
        <f>IFERROR(__xludf.DUMMYFUNCTION("QUERY(Hospitais_BD!D:I,""select E where D='""&amp;D159&amp;""'"",0)"),"ZONA SUL")</f>
        <v>ZONA SUL</v>
      </c>
      <c r="N159" s="44" t="str">
        <f>IFERROR(__xludf.DUMMYFUNCTION("QUERY(Hospitais_BD!D:I,""select F where D='""&amp;D159&amp;""'"")"),"Rio de Janeiro")</f>
        <v>Rio de Janeiro</v>
      </c>
      <c r="O159" s="70" t="str">
        <f>IFERROR(__xludf.DUMMYFUNCTION("QUERY(Hospitais_BD!D:I,""select G where D='""&amp;D159&amp;""'"")"),"Botafogo")</f>
        <v>Botafogo</v>
      </c>
      <c r="P159" s="172"/>
      <c r="Q159" s="137" t="str">
        <f>IFERROR(__xludf.DUMMYFUNCTION("QUERY(Hospitais_BD!D:I,""select I where D='""&amp;D159&amp;""'"")"),"Público")</f>
        <v>Público</v>
      </c>
      <c r="R159" s="137" t="str">
        <f>IFERROR(__xludf.DUMMYFUNCTION("QUERY(Hospitais_BD!D:I,""select H where D='""&amp;D159&amp;""'"")"),"REferência - ALTA COMPLEXIDADE")</f>
        <v>REferência - ALTA COMPLEXIDADE</v>
      </c>
      <c r="S159" s="192"/>
      <c r="T159" s="138"/>
      <c r="U159" s="185"/>
      <c r="V159" s="172"/>
      <c r="W159" s="80"/>
      <c r="X159" s="172"/>
      <c r="Y159" s="172"/>
      <c r="Z159" s="172"/>
      <c r="AA159" s="172"/>
      <c r="AB159" s="172"/>
      <c r="AC159" s="172"/>
      <c r="AD159" s="172"/>
      <c r="AE159" s="134"/>
      <c r="AF159" s="142"/>
      <c r="AG159" s="83">
        <v>75.0</v>
      </c>
      <c r="AH159" s="158">
        <v>0.0</v>
      </c>
      <c r="AI159" s="158">
        <v>0.0</v>
      </c>
      <c r="AJ159" s="158">
        <v>0.0</v>
      </c>
      <c r="AK159" s="144">
        <v>0.0</v>
      </c>
      <c r="AL159" s="144"/>
      <c r="AM159" s="145" t="s">
        <v>1003</v>
      </c>
    </row>
    <row r="160" ht="21.0" customHeight="1">
      <c r="A160" s="193"/>
      <c r="B160" s="76"/>
      <c r="C160" s="69"/>
      <c r="D160" s="166" t="s">
        <v>776</v>
      </c>
      <c r="E160" s="186"/>
      <c r="F160" s="186"/>
      <c r="G160" s="203"/>
      <c r="H160" s="75"/>
      <c r="I160" s="75"/>
      <c r="J160" s="75"/>
      <c r="K160" s="75"/>
      <c r="L160" s="75"/>
      <c r="M160" s="53" t="str">
        <f>IFERROR(__xludf.DUMMYFUNCTION("QUERY(Hospitais_BD!D:I,""select E where D='""&amp;D160&amp;""'"",0)"),"ZONA NORTE")</f>
        <v>ZONA NORTE</v>
      </c>
      <c r="N160" s="45" t="str">
        <f>IFERROR(__xludf.DUMMYFUNCTION("QUERY(Hospitais_BD!D:I,""select F where D='""&amp;D160&amp;""'"")"),"Rio de Janeiro")</f>
        <v>Rio de Janeiro</v>
      </c>
      <c r="O160" s="53" t="str">
        <f>IFERROR(__xludf.DUMMYFUNCTION("QUERY(Hospitais_BD!D:I,""select G where D='""&amp;D160&amp;""'"")"),"Cidade Universitaria")</f>
        <v>Cidade Universitaria</v>
      </c>
      <c r="P160" s="186"/>
      <c r="Q160" s="125" t="str">
        <f>IFERROR(__xludf.DUMMYFUNCTION("QUERY(Hospitais_BD!D:I,""select I where D='""&amp;D160&amp;""'"")"),"Público")</f>
        <v>Público</v>
      </c>
      <c r="R160" s="125" t="str">
        <f>IFERROR(__xludf.DUMMYFUNCTION("QUERY(Hospitais_BD!D:I,""select H where D='""&amp;D160&amp;""'"")"),"Referência - ALTA COMPLEXIDADE")</f>
        <v>Referência - ALTA COMPLEXIDADE</v>
      </c>
      <c r="S160" s="194"/>
      <c r="T160" s="126"/>
      <c r="U160" s="180"/>
      <c r="V160" s="186"/>
      <c r="W160" s="101"/>
      <c r="X160" s="186"/>
      <c r="Y160" s="186"/>
      <c r="Z160" s="186"/>
      <c r="AA160" s="186"/>
      <c r="AB160" s="186"/>
      <c r="AC160" s="186"/>
      <c r="AD160" s="186"/>
      <c r="AE160" s="121"/>
      <c r="AF160" s="130"/>
      <c r="AG160" s="75">
        <v>14.0</v>
      </c>
      <c r="AH160" s="163">
        <v>0.0</v>
      </c>
      <c r="AI160" s="163">
        <v>0.0</v>
      </c>
      <c r="AJ160" s="163">
        <v>0.0</v>
      </c>
      <c r="AK160" s="129">
        <v>0.0</v>
      </c>
      <c r="AL160" s="129"/>
      <c r="AM160" s="131" t="s">
        <v>1003</v>
      </c>
    </row>
    <row r="161" ht="21.0" customHeight="1">
      <c r="A161" s="190"/>
      <c r="B161" s="191"/>
      <c r="C161" s="50"/>
      <c r="D161" s="201" t="s">
        <v>777</v>
      </c>
      <c r="E161" s="172"/>
      <c r="F161" s="172"/>
      <c r="G161" s="204"/>
      <c r="H161" s="83"/>
      <c r="I161" s="83"/>
      <c r="J161" s="83"/>
      <c r="K161" s="83"/>
      <c r="L161" s="83"/>
      <c r="M161" s="70" t="str">
        <f>IFERROR(__xludf.DUMMYFUNCTION("QUERY(Hospitais_BD!D:I,""select E where D='""&amp;D161&amp;""'"",0)"),"ZONA NORTE")</f>
        <v>ZONA NORTE</v>
      </c>
      <c r="N161" s="44" t="str">
        <f>IFERROR(__xludf.DUMMYFUNCTION("QUERY(Hospitais_BD!D:I,""select F where D='""&amp;D161&amp;""'"")"),"Rio de Janeiro")</f>
        <v>Rio de Janeiro</v>
      </c>
      <c r="O161" s="70" t="str">
        <f>IFERROR(__xludf.DUMMYFUNCTION("QUERY(Hospitais_BD!D:I,""select G where D='""&amp;D161&amp;""'"")"),"Jacarezinho")</f>
        <v>Jacarezinho</v>
      </c>
      <c r="P161" s="172"/>
      <c r="Q161" s="137" t="str">
        <f>IFERROR(__xludf.DUMMYFUNCTION("QUERY(Hospitais_BD!D:I,""select I where D='""&amp;D161&amp;""'"")"),"Público")</f>
        <v>Público</v>
      </c>
      <c r="R161" s="137" t="str">
        <f>IFERROR(__xludf.DUMMYFUNCTION("QUERY(Hospitais_BD!D:I,""select H where D='""&amp;D161&amp;""'"")"),"Outra Instituição")</f>
        <v>Outra Instituição</v>
      </c>
      <c r="S161" s="192"/>
      <c r="T161" s="138"/>
      <c r="U161" s="185"/>
      <c r="V161" s="172"/>
      <c r="W161" s="80"/>
      <c r="X161" s="172"/>
      <c r="Y161" s="172"/>
      <c r="Z161" s="172"/>
      <c r="AA161" s="172"/>
      <c r="AB161" s="172"/>
      <c r="AC161" s="172"/>
      <c r="AD161" s="172"/>
      <c r="AE161" s="134"/>
      <c r="AF161" s="142"/>
      <c r="AG161" s="83">
        <v>15.0</v>
      </c>
      <c r="AH161" s="158">
        <v>0.0</v>
      </c>
      <c r="AI161" s="158">
        <v>0.0</v>
      </c>
      <c r="AJ161" s="158">
        <v>0.0</v>
      </c>
      <c r="AK161" s="144">
        <v>0.0</v>
      </c>
      <c r="AL161" s="144"/>
      <c r="AM161" s="145" t="s">
        <v>1003</v>
      </c>
    </row>
    <row r="162" ht="21.0" customHeight="1">
      <c r="A162" s="193"/>
      <c r="B162" s="76"/>
      <c r="C162" s="69"/>
      <c r="D162" s="177" t="s">
        <v>779</v>
      </c>
      <c r="E162" s="186"/>
      <c r="F162" s="186"/>
      <c r="G162" s="203"/>
      <c r="H162" s="75"/>
      <c r="I162" s="75"/>
      <c r="J162" s="75"/>
      <c r="K162" s="205" t="str">
        <f>IFERROR(__xludf.DUMMYFUNCTION("QUERY(Hospitais_BD!D:I,""select E where D='""&amp;D162&amp;""'"",0)"),"ZONA NORTE")</f>
        <v>ZONA NORTE</v>
      </c>
      <c r="L162" s="205" t="str">
        <f>IFERROR(__xludf.DUMMYFUNCTION("QUERY(Hospitais_BD!D:I,""select F where D='""&amp;D162&amp;""'"")"),"Rio de Janeiro")</f>
        <v>Rio de Janeiro</v>
      </c>
      <c r="M162" s="53" t="str">
        <f>IFERROR(__xludf.DUMMYFUNCTION("QUERY(Hospitais_BD!D:I,""select E where D='""&amp;D162&amp;""'"",0)"),"ZONA NORTE")</f>
        <v>ZONA NORTE</v>
      </c>
      <c r="N162" s="45" t="str">
        <f>IFERROR(__xludf.DUMMYFUNCTION("QUERY(Hospitais_BD!D:I,""select F where D='""&amp;D162&amp;""'"")"),"Rio de Janeiro")</f>
        <v>Rio de Janeiro</v>
      </c>
      <c r="O162" s="53" t="str">
        <f>IFERROR(__xludf.DUMMYFUNCTION("QUERY(Hospitais_BD!D:I,""select G where D='""&amp;D162&amp;""'"")"),"TIJUCA")</f>
        <v>TIJUCA</v>
      </c>
      <c r="P162" s="100" t="str">
        <f>IFERROR(__xludf.DUMMYFUNCTION("QUERY(Hospitais_BD!D:I,""select H where D='""&amp;D162&amp;""'"")"),"Outra Instituição")</f>
        <v>Outra Instituição</v>
      </c>
      <c r="Q162" s="125" t="str">
        <f>IFERROR(__xludf.DUMMYFUNCTION("QUERY(Hospitais_BD!D:I,""select I where D='""&amp;D162&amp;""'"")"),"Público")</f>
        <v>Público</v>
      </c>
      <c r="R162" s="125" t="str">
        <f>IFERROR(__xludf.DUMMYFUNCTION("QUERY(Hospitais_BD!D:I,""select H where D='""&amp;D162&amp;""'"")"),"Outra Instituição")</f>
        <v>Outra Instituição</v>
      </c>
      <c r="S162" s="194"/>
      <c r="T162" s="126"/>
      <c r="U162" s="180"/>
      <c r="V162" s="186"/>
      <c r="W162" s="101"/>
      <c r="X162" s="186"/>
      <c r="Y162" s="186"/>
      <c r="Z162" s="186"/>
      <c r="AA162" s="186"/>
      <c r="AB162" s="186"/>
      <c r="AC162" s="186"/>
      <c r="AD162" s="186"/>
      <c r="AE162" s="121"/>
      <c r="AF162" s="130"/>
      <c r="AG162" s="75">
        <v>50.0</v>
      </c>
      <c r="AH162" s="163">
        <v>0.0</v>
      </c>
      <c r="AI162" s="163">
        <v>0.0</v>
      </c>
      <c r="AJ162" s="163">
        <v>0.0</v>
      </c>
      <c r="AK162" s="129">
        <v>0.0</v>
      </c>
      <c r="AL162" s="129"/>
      <c r="AM162" s="131" t="s">
        <v>1003</v>
      </c>
    </row>
    <row r="163" ht="21.0" customHeight="1">
      <c r="A163" s="190"/>
      <c r="B163" s="191"/>
      <c r="C163" s="50"/>
      <c r="D163" s="201" t="s">
        <v>780</v>
      </c>
      <c r="E163" s="172"/>
      <c r="F163" s="172"/>
      <c r="G163" s="204"/>
      <c r="H163" s="83"/>
      <c r="I163" s="83"/>
      <c r="J163" s="83"/>
      <c r="K163" s="83"/>
      <c r="L163" s="83"/>
      <c r="M163" s="70" t="str">
        <f>IFERROR(__xludf.DUMMYFUNCTION("QUERY(Hospitais_BD!D:I,""select E where D='""&amp;D163&amp;""'"",0)"),"ZONA OESTE")</f>
        <v>ZONA OESTE</v>
      </c>
      <c r="N163" s="44" t="str">
        <f>IFERROR(__xludf.DUMMYFUNCTION("QUERY(Hospitais_BD!D:I,""select F where D='""&amp;D163&amp;""'"")"),"Rio de Janeiro")</f>
        <v>Rio de Janeiro</v>
      </c>
      <c r="O163" s="70" t="str">
        <f>IFERROR(__xludf.DUMMYFUNCTION("QUERY(Hospitais_BD!D:I,""select G where D='""&amp;D163&amp;""'"")"),"Barra da Tijuca")</f>
        <v>Barra da Tijuca</v>
      </c>
      <c r="P163" s="172"/>
      <c r="Q163" s="137" t="str">
        <f>IFERROR(__xludf.DUMMYFUNCTION("QUERY(Hospitais_BD!D:I,""select I where D='""&amp;D163&amp;""'"")"),"Público")</f>
        <v>Público</v>
      </c>
      <c r="R163" s="137" t="str">
        <f>IFERROR(__xludf.DUMMYFUNCTION("QUERY(Hospitais_BD!D:I,""select H where D='""&amp;D163&amp;""'"")"),"Grande emergência - MÉDIA COMPLEXIDADE
")</f>
        <v>Grande emergência - MÉDIA COMPLEXIDADE
</v>
      </c>
      <c r="S163" s="192"/>
      <c r="T163" s="138"/>
      <c r="U163" s="185"/>
      <c r="V163" s="172"/>
      <c r="W163" s="80"/>
      <c r="X163" s="172"/>
      <c r="Y163" s="172"/>
      <c r="Z163" s="172"/>
      <c r="AA163" s="172"/>
      <c r="AB163" s="172"/>
      <c r="AC163" s="172"/>
      <c r="AD163" s="172"/>
      <c r="AE163" s="134"/>
      <c r="AF163" s="142"/>
      <c r="AG163" s="83">
        <v>50.0</v>
      </c>
      <c r="AH163" s="158">
        <v>0.0</v>
      </c>
      <c r="AI163" s="158">
        <v>0.0</v>
      </c>
      <c r="AJ163" s="158">
        <v>0.0</v>
      </c>
      <c r="AK163" s="144">
        <v>0.0</v>
      </c>
      <c r="AL163" s="144"/>
      <c r="AM163" s="145" t="s">
        <v>1003</v>
      </c>
    </row>
    <row r="164" ht="21.0" customHeight="1">
      <c r="A164" s="193"/>
      <c r="B164" s="76"/>
      <c r="C164" s="69"/>
      <c r="D164" s="177" t="s">
        <v>781</v>
      </c>
      <c r="E164" s="186"/>
      <c r="F164" s="186"/>
      <c r="G164" s="203"/>
      <c r="H164" s="75"/>
      <c r="I164" s="75"/>
      <c r="J164" s="75"/>
      <c r="K164" s="75"/>
      <c r="L164" s="75"/>
      <c r="M164" s="53" t="str">
        <f>IFERROR(__xludf.DUMMYFUNCTION("QUERY(Hospitais_BD!D:I,""select E where D='""&amp;D164&amp;""'"",0)"),"CENTRO")</f>
        <v>CENTRO</v>
      </c>
      <c r="N164" s="45" t="str">
        <f>IFERROR(__xludf.DUMMYFUNCTION("QUERY(Hospitais_BD!D:I,""select F where D='""&amp;D164&amp;""'"")"),"Rio de Janeiro")</f>
        <v>Rio de Janeiro</v>
      </c>
      <c r="O164" s="53" t="str">
        <f>IFERROR(__xludf.DUMMYFUNCTION("QUERY(Hospitais_BD!D:I,""select G where D='""&amp;D164&amp;""'"")"),"")</f>
        <v/>
      </c>
      <c r="P164" s="186"/>
      <c r="Q164" s="125" t="str">
        <f>IFERROR(__xludf.DUMMYFUNCTION("QUERY(Hospitais_BD!D:I,""select I where D='""&amp;D164&amp;""'"")"),"Público")</f>
        <v>Público</v>
      </c>
      <c r="R164" s="125" t="str">
        <f>IFERROR(__xludf.DUMMYFUNCTION("QUERY(Hospitais_BD!D:I,""select H where D='""&amp;D164&amp;""'"")"),"Outra Instituição")</f>
        <v>Outra Instituição</v>
      </c>
      <c r="S164" s="194"/>
      <c r="T164" s="126"/>
      <c r="U164" s="180"/>
      <c r="V164" s="186"/>
      <c r="W164" s="101"/>
      <c r="X164" s="186"/>
      <c r="Y164" s="186"/>
      <c r="Z164" s="186"/>
      <c r="AA164" s="186"/>
      <c r="AB164" s="186"/>
      <c r="AC164" s="186"/>
      <c r="AD164" s="186"/>
      <c r="AE164" s="121"/>
      <c r="AF164" s="130"/>
      <c r="AG164" s="75">
        <v>10.0</v>
      </c>
      <c r="AH164" s="163">
        <v>0.0</v>
      </c>
      <c r="AI164" s="163">
        <v>0.0</v>
      </c>
      <c r="AJ164" s="163">
        <v>0.0</v>
      </c>
      <c r="AK164" s="129">
        <v>0.0</v>
      </c>
      <c r="AL164" s="129"/>
      <c r="AM164" s="131" t="s">
        <v>1003</v>
      </c>
    </row>
    <row r="165" ht="21.0" customHeight="1">
      <c r="A165" s="190"/>
      <c r="B165" s="191"/>
      <c r="C165" s="50"/>
      <c r="D165" s="201" t="s">
        <v>503</v>
      </c>
      <c r="E165" s="172"/>
      <c r="F165" s="172"/>
      <c r="G165" s="204"/>
      <c r="H165" s="83"/>
      <c r="I165" s="83"/>
      <c r="J165" s="83"/>
      <c r="K165" s="83"/>
      <c r="L165" s="83"/>
      <c r="M165" s="70" t="str">
        <f>IFERROR(__xludf.DUMMYFUNCTION("QUERY(Hospitais_BD!D:I,""select E where D='""&amp;D165&amp;""'"",0)"),"REGIAO METROPOLITANA")</f>
        <v>REGIAO METROPOLITANA</v>
      </c>
      <c r="N165" s="44" t="str">
        <f>IFERROR(__xludf.DUMMYFUNCTION("QUERY(Hospitais_BD!D:I,""select F where D='""&amp;D165&amp;""'"")"),"São Gonçalo")</f>
        <v>São Gonçalo</v>
      </c>
      <c r="O165" s="70" t="str">
        <f>IFERROR(__xludf.DUMMYFUNCTION("QUERY(Hospitais_BD!D:I,""select G where D='""&amp;D165&amp;""'"")"),"Tribobó")</f>
        <v>Tribobó</v>
      </c>
      <c r="P165" s="172"/>
      <c r="Q165" s="137" t="str">
        <f>IFERROR(__xludf.DUMMYFUNCTION("QUERY(Hospitais_BD!D:I,""select I where D='""&amp;D165&amp;""'"")"),"Público")</f>
        <v>Público</v>
      </c>
      <c r="R165" s="137" t="str">
        <f>IFERROR(__xludf.DUMMYFUNCTION("QUERY(Hospitais_BD!D:I,""select H where D='""&amp;D165&amp;""'"")"),"Unidade básica - BAIXA COMPLEXIDADE")</f>
        <v>Unidade básica - BAIXA COMPLEXIDADE</v>
      </c>
      <c r="S165" s="192"/>
      <c r="T165" s="138"/>
      <c r="U165" s="185"/>
      <c r="V165" s="172"/>
      <c r="W165" s="80"/>
      <c r="X165" s="172"/>
      <c r="Y165" s="172"/>
      <c r="Z165" s="172"/>
      <c r="AA165" s="172"/>
      <c r="AB165" s="172"/>
      <c r="AC165" s="172"/>
      <c r="AD165" s="172"/>
      <c r="AE165" s="134"/>
      <c r="AF165" s="142"/>
      <c r="AG165" s="83">
        <v>100.0</v>
      </c>
      <c r="AH165" s="158">
        <v>0.0</v>
      </c>
      <c r="AI165" s="158">
        <v>0.0</v>
      </c>
      <c r="AJ165" s="158">
        <v>50.0</v>
      </c>
      <c r="AK165" s="144">
        <v>0.0</v>
      </c>
      <c r="AL165" s="144"/>
      <c r="AM165" s="145" t="s">
        <v>1003</v>
      </c>
    </row>
    <row r="166" ht="21.0" customHeight="1">
      <c r="A166" s="193"/>
      <c r="B166" s="76"/>
      <c r="C166" s="69"/>
      <c r="D166" s="177" t="s">
        <v>782</v>
      </c>
      <c r="E166" s="186"/>
      <c r="F166" s="186"/>
      <c r="G166" s="203"/>
      <c r="H166" s="75"/>
      <c r="I166" s="75"/>
      <c r="J166" s="75"/>
      <c r="K166" s="75"/>
      <c r="L166" s="75"/>
      <c r="M166" s="53" t="str">
        <f>IFERROR(__xludf.DUMMYFUNCTION("QUERY(Hospitais_BD!D:I,""select E where D='""&amp;D166&amp;""'"",0)"),"REGIAO METROPOLITANA")</f>
        <v>REGIAO METROPOLITANA</v>
      </c>
      <c r="N166" s="45" t="str">
        <f>IFERROR(__xludf.DUMMYFUNCTION("QUERY(Hospitais_BD!D:I,""select F where D='""&amp;D166&amp;""'"")"),"Niterói")</f>
        <v>Niterói</v>
      </c>
      <c r="O166" s="53" t="str">
        <f>IFERROR(__xludf.DUMMYFUNCTION("QUERY(Hospitais_BD!D:I,""select G where D='""&amp;D166&amp;""'"")"),"Pita")</f>
        <v>Pita</v>
      </c>
      <c r="P166" s="186"/>
      <c r="Q166" s="125" t="str">
        <f>IFERROR(__xludf.DUMMYFUNCTION("QUERY(Hospitais_BD!D:I,""select I where D='""&amp;D166&amp;""'"")"),"Público")</f>
        <v>Público</v>
      </c>
      <c r="R166" s="125" t="str">
        <f>IFERROR(__xludf.DUMMYFUNCTION("QUERY(Hospitais_BD!D:I,""select H where D='""&amp;D166&amp;""'"")"),"Outra Instituição")</f>
        <v>Outra Instituição</v>
      </c>
      <c r="S166" s="194"/>
      <c r="T166" s="126"/>
      <c r="U166" s="180"/>
      <c r="V166" s="186"/>
      <c r="W166" s="101"/>
      <c r="X166" s="186"/>
      <c r="Y166" s="186"/>
      <c r="Z166" s="186"/>
      <c r="AA166" s="186"/>
      <c r="AB166" s="186"/>
      <c r="AC166" s="186"/>
      <c r="AD166" s="186"/>
      <c r="AE166" s="121"/>
      <c r="AF166" s="130"/>
      <c r="AG166" s="75">
        <v>15.0</v>
      </c>
      <c r="AH166" s="163">
        <v>0.0</v>
      </c>
      <c r="AI166" s="163">
        <v>0.0</v>
      </c>
      <c r="AJ166" s="163">
        <v>0.0</v>
      </c>
      <c r="AK166" s="129">
        <v>0.0</v>
      </c>
      <c r="AL166" s="129"/>
      <c r="AM166" s="131" t="s">
        <v>1003</v>
      </c>
    </row>
    <row r="167" ht="21.0" customHeight="1">
      <c r="A167" s="190"/>
      <c r="B167" s="191"/>
      <c r="C167" s="50"/>
      <c r="D167" s="201" t="s">
        <v>532</v>
      </c>
      <c r="E167" s="172"/>
      <c r="F167" s="172"/>
      <c r="G167" s="204"/>
      <c r="H167" s="83"/>
      <c r="I167" s="83"/>
      <c r="J167" s="83"/>
      <c r="K167" s="83"/>
      <c r="L167" s="83"/>
      <c r="M167" s="70" t="str">
        <f>IFERROR(__xludf.DUMMYFUNCTION("QUERY(Hospitais_BD!D:I,""select E where D='""&amp;D167&amp;""'"",0)"),"BAIXADA FLUMINENSE")</f>
        <v>BAIXADA FLUMINENSE</v>
      </c>
      <c r="N167" s="44" t="str">
        <f>IFERROR(__xludf.DUMMYFUNCTION("QUERY(Hospitais_BD!D:I,""select F where D='""&amp;D167&amp;""'"")"),"Duque de Caxias")</f>
        <v>Duque de Caxias</v>
      </c>
      <c r="O167" s="70" t="str">
        <f>IFERROR(__xludf.DUMMYFUNCTION("QUERY(Hospitais_BD!D:I,""select G where D='""&amp;D167&amp;""'"")"),"Olavo Bilac")</f>
        <v>Olavo Bilac</v>
      </c>
      <c r="P167" s="172"/>
      <c r="Q167" s="137" t="str">
        <f>IFERROR(__xludf.DUMMYFUNCTION("QUERY(Hospitais_BD!D:I,""select I where D='""&amp;D167&amp;""'"")"),"Público")</f>
        <v>Público</v>
      </c>
      <c r="R167" s="137" t="str">
        <f>IFERROR(__xludf.DUMMYFUNCTION("QUERY(Hospitais_BD!D:I,""select H where D='""&amp;D167&amp;""'"")"),"Unidade básica - BAIXA COMPLEXIDADE")</f>
        <v>Unidade básica - BAIXA COMPLEXIDADE</v>
      </c>
      <c r="S167" s="192"/>
      <c r="T167" s="138"/>
      <c r="U167" s="185"/>
      <c r="V167" s="172"/>
      <c r="W167" s="80"/>
      <c r="X167" s="172"/>
      <c r="Y167" s="172"/>
      <c r="Z167" s="172"/>
      <c r="AA167" s="172"/>
      <c r="AB167" s="172"/>
      <c r="AC167" s="172"/>
      <c r="AD167" s="172"/>
      <c r="AE167" s="134"/>
      <c r="AF167" s="142"/>
      <c r="AG167" s="83">
        <v>25.0</v>
      </c>
      <c r="AH167" s="158">
        <v>0.0</v>
      </c>
      <c r="AI167" s="158">
        <v>0.0</v>
      </c>
      <c r="AJ167" s="158">
        <v>0.0</v>
      </c>
      <c r="AK167" s="144">
        <v>0.0</v>
      </c>
      <c r="AL167" s="144"/>
      <c r="AM167" s="145" t="s">
        <v>1003</v>
      </c>
    </row>
    <row r="168" ht="21.0" customHeight="1">
      <c r="A168" s="193"/>
      <c r="B168" s="76"/>
      <c r="C168" s="69"/>
      <c r="D168" s="166" t="s">
        <v>785</v>
      </c>
      <c r="E168" s="186"/>
      <c r="F168" s="186"/>
      <c r="G168" s="203"/>
      <c r="H168" s="75"/>
      <c r="I168" s="75"/>
      <c r="J168" s="75"/>
      <c r="K168" s="75"/>
      <c r="L168" s="75"/>
      <c r="M168" s="53" t="str">
        <f>IFERROR(__xludf.DUMMYFUNCTION("QUERY(Hospitais_BD!D:I,""select E where D='""&amp;D168&amp;""'"",0)"),"ZONA OESTE")</f>
        <v>ZONA OESTE</v>
      </c>
      <c r="N168" s="45" t="str">
        <f>IFERROR(__xludf.DUMMYFUNCTION("QUERY(Hospitais_BD!D:I,""select F where D='""&amp;D168&amp;""'"")"),"Rio de Janeiro")</f>
        <v>Rio de Janeiro</v>
      </c>
      <c r="O168" s="53" t="str">
        <f>IFERROR(__xludf.DUMMYFUNCTION("QUERY(Hospitais_BD!D:I,""select G where D='""&amp;D168&amp;""'"")"),"Bangu")</f>
        <v>Bangu</v>
      </c>
      <c r="P168" s="186"/>
      <c r="Q168" s="125" t="str">
        <f>IFERROR(__xludf.DUMMYFUNCTION("QUERY(Hospitais_BD!D:I,""select I where D='""&amp;D168&amp;""'"")"),"Público")</f>
        <v>Público</v>
      </c>
      <c r="R168" s="125" t="str">
        <f>IFERROR(__xludf.DUMMYFUNCTION("QUERY(Hospitais_BD!D:I,""select H where D='""&amp;D168&amp;""'"")"),"Grande emergência - MÉDIA COMPLEXIDADE
")</f>
        <v>Grande emergência - MÉDIA COMPLEXIDADE
</v>
      </c>
      <c r="S168" s="194"/>
      <c r="T168" s="126"/>
      <c r="U168" s="180"/>
      <c r="V168" s="186"/>
      <c r="W168" s="101"/>
      <c r="X168" s="186"/>
      <c r="Y168" s="186"/>
      <c r="Z168" s="186"/>
      <c r="AA168" s="186"/>
      <c r="AB168" s="186"/>
      <c r="AC168" s="186"/>
      <c r="AD168" s="186"/>
      <c r="AE168" s="121"/>
      <c r="AF168" s="130"/>
      <c r="AG168" s="75">
        <v>50.0</v>
      </c>
      <c r="AH168" s="163">
        <v>0.0</v>
      </c>
      <c r="AI168" s="163">
        <v>0.0</v>
      </c>
      <c r="AJ168" s="163">
        <v>0.0</v>
      </c>
      <c r="AK168" s="163"/>
      <c r="AL168" s="163">
        <v>50.0</v>
      </c>
      <c r="AM168" s="131" t="s">
        <v>1003</v>
      </c>
    </row>
    <row r="169" ht="21.0" customHeight="1">
      <c r="A169" s="190"/>
      <c r="B169" s="191"/>
      <c r="C169" s="50"/>
      <c r="D169" s="201" t="s">
        <v>786</v>
      </c>
      <c r="E169" s="172"/>
      <c r="F169" s="172"/>
      <c r="G169" s="204"/>
      <c r="H169" s="83"/>
      <c r="I169" s="83"/>
      <c r="J169" s="83"/>
      <c r="K169" s="83"/>
      <c r="L169" s="83"/>
      <c r="M169" s="70" t="str">
        <f>IFERROR(__xludf.DUMMYFUNCTION("QUERY(Hospitais_BD!D:I,""select E where D='""&amp;D169&amp;""'"",0)"),"#REF!")</f>
        <v>#REF!</v>
      </c>
      <c r="N169" s="44" t="str">
        <f>IFERROR(__xludf.DUMMYFUNCTION("QUERY(Hospitais_BD!D:I,""select F where D='""&amp;D169&amp;""'"")"),"#REF!")</f>
        <v>#REF!</v>
      </c>
      <c r="O169" s="70" t="str">
        <f>IFERROR(__xludf.DUMMYFUNCTION("QUERY(Hospitais_BD!D:I,""select G where D='""&amp;D169&amp;""'"")"),"#REF!")</f>
        <v>#REF!</v>
      </c>
      <c r="P169" s="172"/>
      <c r="Q169" s="137" t="str">
        <f>IFERROR(__xludf.DUMMYFUNCTION("QUERY(Hospitais_BD!D:I,""select I where D='""&amp;D169&amp;""'"")"),"#REF!")</f>
        <v>#REF!</v>
      </c>
      <c r="R169" s="137" t="str">
        <f>IFERROR(__xludf.DUMMYFUNCTION("QUERY(Hospitais_BD!D:I,""select H where D='""&amp;D169&amp;""'"")"),"#REF!")</f>
        <v>#REF!</v>
      </c>
      <c r="S169" s="192"/>
      <c r="T169" s="138"/>
      <c r="U169" s="185"/>
      <c r="V169" s="172"/>
      <c r="W169" s="80"/>
      <c r="X169" s="172"/>
      <c r="Y169" s="172"/>
      <c r="Z169" s="172"/>
      <c r="AA169" s="172"/>
      <c r="AB169" s="172"/>
      <c r="AC169" s="172"/>
      <c r="AD169" s="172"/>
      <c r="AE169" s="134"/>
      <c r="AF169" s="142"/>
      <c r="AG169" s="83">
        <v>100.0</v>
      </c>
      <c r="AH169" s="158">
        <v>0.0</v>
      </c>
      <c r="AI169" s="158">
        <v>0.0</v>
      </c>
      <c r="AJ169" s="158">
        <v>0.0</v>
      </c>
      <c r="AK169" s="158"/>
      <c r="AL169" s="158">
        <v>10.0</v>
      </c>
      <c r="AM169" s="145" t="s">
        <v>1003</v>
      </c>
    </row>
    <row r="170" ht="21.0" customHeight="1">
      <c r="A170" s="193"/>
      <c r="B170" s="76"/>
      <c r="C170" s="69"/>
      <c r="D170" s="177" t="s">
        <v>786</v>
      </c>
      <c r="E170" s="186"/>
      <c r="F170" s="186"/>
      <c r="G170" s="203"/>
      <c r="H170" s="75"/>
      <c r="I170" s="75"/>
      <c r="J170" s="75"/>
      <c r="K170" s="75"/>
      <c r="L170" s="75"/>
      <c r="M170" s="53" t="str">
        <f>IFERROR(__xludf.DUMMYFUNCTION("QUERY(Hospitais_BD!D:I,""select E where D='""&amp;D170&amp;""'"",0)"),"#REF!")</f>
        <v>#REF!</v>
      </c>
      <c r="N170" s="45" t="str">
        <f>IFERROR(__xludf.DUMMYFUNCTION("QUERY(Hospitais_BD!D:I,""select F where D='""&amp;D170&amp;""'"")"),"#REF!")</f>
        <v>#REF!</v>
      </c>
      <c r="O170" s="53" t="str">
        <f>IFERROR(__xludf.DUMMYFUNCTION("QUERY(Hospitais_BD!D:I,""select G where D='""&amp;D170&amp;""'"")"),"#REF!")</f>
        <v>#REF!</v>
      </c>
      <c r="P170" s="186"/>
      <c r="Q170" s="125" t="str">
        <f>IFERROR(__xludf.DUMMYFUNCTION("QUERY(Hospitais_BD!D:I,""select I where D='""&amp;D170&amp;""'"")"),"#REF!")</f>
        <v>#REF!</v>
      </c>
      <c r="R170" s="125" t="str">
        <f>IFERROR(__xludf.DUMMYFUNCTION("QUERY(Hospitais_BD!D:I,""select H where D='""&amp;D170&amp;""'"")"),"#REF!")</f>
        <v>#REF!</v>
      </c>
      <c r="S170" s="194"/>
      <c r="T170" s="126"/>
      <c r="U170" s="180"/>
      <c r="V170" s="186"/>
      <c r="W170" s="101"/>
      <c r="X170" s="186"/>
      <c r="Y170" s="186"/>
      <c r="Z170" s="186"/>
      <c r="AA170" s="186"/>
      <c r="AB170" s="186"/>
      <c r="AC170" s="186"/>
      <c r="AD170" s="186"/>
      <c r="AE170" s="121"/>
      <c r="AF170" s="130"/>
      <c r="AG170" s="75">
        <v>30.0</v>
      </c>
      <c r="AH170" s="163">
        <v>0.0</v>
      </c>
      <c r="AI170" s="163">
        <v>0.0</v>
      </c>
      <c r="AJ170" s="163">
        <v>0.0</v>
      </c>
      <c r="AK170" s="129">
        <v>0.0</v>
      </c>
      <c r="AL170" s="129"/>
      <c r="AM170" s="131" t="s">
        <v>1003</v>
      </c>
    </row>
    <row r="171" ht="21.0" customHeight="1">
      <c r="A171" s="190"/>
      <c r="B171" s="191"/>
      <c r="C171" s="50"/>
      <c r="D171" s="156" t="s">
        <v>787</v>
      </c>
      <c r="E171" s="172"/>
      <c r="F171" s="172"/>
      <c r="G171" s="204"/>
      <c r="H171" s="83"/>
      <c r="I171" s="83"/>
      <c r="J171" s="83"/>
      <c r="K171" s="83"/>
      <c r="L171" s="83"/>
      <c r="M171" s="70" t="str">
        <f>IFERROR(__xludf.DUMMYFUNCTION("QUERY(Hospitais_BD!D:I,""select E where D='""&amp;D171&amp;""'"",0)"),"ZONA SUL")</f>
        <v>ZONA SUL</v>
      </c>
      <c r="N171" s="44" t="str">
        <f>IFERROR(__xludf.DUMMYFUNCTION("QUERY(Hospitais_BD!D:I,""select F where D='""&amp;D171&amp;""'"")"),"Rio de Janeiro")</f>
        <v>Rio de Janeiro</v>
      </c>
      <c r="O171" s="70" t="str">
        <f>IFERROR(__xludf.DUMMYFUNCTION("QUERY(Hospitais_BD!D:I,""select G where D='""&amp;D171&amp;""'"")"),"Rocinha")</f>
        <v>Rocinha</v>
      </c>
      <c r="P171" s="172"/>
      <c r="Q171" s="137" t="str">
        <f>IFERROR(__xludf.DUMMYFUNCTION("QUERY(Hospitais_BD!D:I,""select I where D='""&amp;D171&amp;""'"")"),"Público")</f>
        <v>Público</v>
      </c>
      <c r="R171" s="137" t="str">
        <f>IFERROR(__xludf.DUMMYFUNCTION("QUERY(Hospitais_BD!D:I,""select H where D='""&amp;D171&amp;""'"")"),"Grande emergência - MÉDIA COMPLEXIDADE
")</f>
        <v>Grande emergência - MÉDIA COMPLEXIDADE
</v>
      </c>
      <c r="S171" s="192"/>
      <c r="T171" s="138"/>
      <c r="U171" s="185"/>
      <c r="V171" s="172"/>
      <c r="W171" s="80"/>
      <c r="X171" s="172"/>
      <c r="Y171" s="172"/>
      <c r="Z171" s="172"/>
      <c r="AA171" s="172"/>
      <c r="AB171" s="172"/>
      <c r="AC171" s="172"/>
      <c r="AD171" s="172"/>
      <c r="AE171" s="134"/>
      <c r="AF171" s="142"/>
      <c r="AG171" s="83">
        <v>50.0</v>
      </c>
      <c r="AH171" s="158">
        <v>0.0</v>
      </c>
      <c r="AI171" s="158">
        <v>0.0</v>
      </c>
      <c r="AJ171" s="158">
        <v>0.0</v>
      </c>
      <c r="AK171" s="158">
        <v>6.0</v>
      </c>
      <c r="AL171" s="158"/>
      <c r="AM171" s="145" t="s">
        <v>1003</v>
      </c>
    </row>
    <row r="172" ht="21.0" customHeight="1">
      <c r="A172" s="193"/>
      <c r="B172" s="76"/>
      <c r="C172" s="69"/>
      <c r="D172" s="37" t="s">
        <v>788</v>
      </c>
      <c r="E172" s="186"/>
      <c r="F172" s="186"/>
      <c r="G172" s="203"/>
      <c r="H172" s="75"/>
      <c r="I172" s="75"/>
      <c r="J172" s="75"/>
      <c r="K172" s="75"/>
      <c r="L172" s="75"/>
      <c r="M172" s="53" t="str">
        <f>IFERROR(__xludf.DUMMYFUNCTION("QUERY(Hospitais_BD!D:I,""select E where D='""&amp;D172&amp;""'"",0)"),"ZONA NORTE")</f>
        <v>ZONA NORTE</v>
      </c>
      <c r="N172" s="45" t="str">
        <f>IFERROR(__xludf.DUMMYFUNCTION("QUERY(Hospitais_BD!D:I,""select F where D='""&amp;D172&amp;""'"")"),"Rio de Janeiro")</f>
        <v>Rio de Janeiro</v>
      </c>
      <c r="O172" s="53" t="str">
        <f>IFERROR(__xludf.DUMMYFUNCTION("QUERY(Hospitais_BD!D:I,""select G where D='""&amp;D172&amp;""'"")"),"Complexo do Alemao")</f>
        <v>Complexo do Alemao</v>
      </c>
      <c r="P172" s="186"/>
      <c r="Q172" s="125" t="str">
        <f>IFERROR(__xludf.DUMMYFUNCTION("QUERY(Hospitais_BD!D:I,""select I where D='""&amp;D172&amp;""'"")"),"Público")</f>
        <v>Público</v>
      </c>
      <c r="R172" s="125" t="str">
        <f>IFERROR(__xludf.DUMMYFUNCTION("QUERY(Hospitais_BD!D:I,""select H where D='""&amp;D172&amp;""'"")"),"Outra Instituição")</f>
        <v>Outra Instituição</v>
      </c>
      <c r="S172" s="194"/>
      <c r="T172" s="126"/>
      <c r="U172" s="180"/>
      <c r="V172" s="186"/>
      <c r="W172" s="101"/>
      <c r="X172" s="186"/>
      <c r="Y172" s="186"/>
      <c r="Z172" s="186"/>
      <c r="AA172" s="186"/>
      <c r="AB172" s="186"/>
      <c r="AC172" s="186"/>
      <c r="AD172" s="186"/>
      <c r="AE172" s="121"/>
      <c r="AF172" s="130"/>
      <c r="AG172" s="75">
        <v>12.0</v>
      </c>
      <c r="AH172" s="163">
        <v>0.0</v>
      </c>
      <c r="AI172" s="163">
        <v>0.0</v>
      </c>
      <c r="AJ172" s="163">
        <v>0.0</v>
      </c>
      <c r="AK172" s="129">
        <v>0.0</v>
      </c>
      <c r="AL172" s="129"/>
      <c r="AM172" s="131" t="s">
        <v>1003</v>
      </c>
    </row>
    <row r="173" ht="21.0" customHeight="1">
      <c r="A173" s="190"/>
      <c r="B173" s="191"/>
      <c r="C173" s="50"/>
      <c r="D173" s="22" t="s">
        <v>789</v>
      </c>
      <c r="E173" s="172"/>
      <c r="F173" s="172"/>
      <c r="G173" s="204"/>
      <c r="H173" s="204"/>
      <c r="I173" s="204"/>
      <c r="J173" s="204"/>
      <c r="K173" s="204"/>
      <c r="L173" s="204"/>
      <c r="M173" s="70" t="str">
        <f>IFERROR(__xludf.DUMMYFUNCTION("QUERY(Hospitais_BD!D:I,""select E where D='""&amp;D173&amp;""'"",0)"),"ZONA NORTE")</f>
        <v>ZONA NORTE</v>
      </c>
      <c r="N173" s="44" t="str">
        <f>IFERROR(__xludf.DUMMYFUNCTION("QUERY(Hospitais_BD!D:I,""select F where D='""&amp;D173&amp;""'"")"),"Rio de Janeiro")</f>
        <v>Rio de Janeiro</v>
      </c>
      <c r="O173" s="70" t="str">
        <f>IFERROR(__xludf.DUMMYFUNCTION("QUERY(Hospitais_BD!D:I,""select G where D='""&amp;D173&amp;""'"")"),"Jacarezinho")</f>
        <v>Jacarezinho</v>
      </c>
      <c r="P173" s="172"/>
      <c r="Q173" s="137" t="str">
        <f>IFERROR(__xludf.DUMMYFUNCTION("QUERY(Hospitais_BD!D:I,""select I where D='""&amp;D173&amp;""'"")"),"Público")</f>
        <v>Público</v>
      </c>
      <c r="R173" s="137" t="str">
        <f>IFERROR(__xludf.DUMMYFUNCTION("QUERY(Hospitais_BD!D:I,""select H where D='""&amp;D173&amp;""'"")"),"Unidade básica de saúde - BAIXA COMPLEXIDADE
")</f>
        <v>Unidade básica de saúde - BAIXA COMPLEXIDADE
</v>
      </c>
      <c r="S173" s="192"/>
      <c r="T173" s="192"/>
      <c r="U173" s="185"/>
      <c r="V173" s="172"/>
      <c r="W173" s="80"/>
      <c r="X173" s="172"/>
      <c r="Y173" s="172"/>
      <c r="Z173" s="172"/>
      <c r="AA173" s="172"/>
      <c r="AB173" s="172"/>
      <c r="AC173" s="172"/>
      <c r="AD173" s="172"/>
      <c r="AE173" s="134"/>
      <c r="AF173" s="142"/>
      <c r="AG173" s="202">
        <v>10.0</v>
      </c>
      <c r="AH173" s="83">
        <v>0.0</v>
      </c>
      <c r="AI173" s="83">
        <v>0.0</v>
      </c>
      <c r="AJ173" s="83">
        <v>0.0</v>
      </c>
      <c r="AK173" s="144">
        <v>0.0</v>
      </c>
      <c r="AL173" s="144"/>
      <c r="AM173" s="145" t="s">
        <v>1003</v>
      </c>
    </row>
    <row r="174" ht="21.0" customHeight="1">
      <c r="A174" s="193"/>
      <c r="B174" s="76"/>
      <c r="C174" s="69"/>
      <c r="D174" s="28" t="s">
        <v>790</v>
      </c>
      <c r="E174" s="186"/>
      <c r="F174" s="186"/>
      <c r="G174" s="203"/>
      <c r="H174" s="203"/>
      <c r="I174" s="203"/>
      <c r="J174" s="203"/>
      <c r="K174" s="203"/>
      <c r="L174" s="203"/>
      <c r="M174" s="53" t="str">
        <f>IFERROR(__xludf.DUMMYFUNCTION("QUERY(Hospitais_BD!D:I,""select E where D='""&amp;D174&amp;""'"",0)"),"OUTROS ESTADOS")</f>
        <v>OUTROS ESTADOS</v>
      </c>
      <c r="N174" s="45" t="str">
        <f>IFERROR(__xludf.DUMMYFUNCTION("QUERY(Hospitais_BD!D:I,""select F where D='""&amp;D174&amp;""'"")"),"Minas Gerais")</f>
        <v>Minas Gerais</v>
      </c>
      <c r="O174" s="53" t="str">
        <f>IFERROR(__xludf.DUMMYFUNCTION("QUERY(Hospitais_BD!D:I,""select G where D='""&amp;D174&amp;""'"")"),"")</f>
        <v/>
      </c>
      <c r="P174" s="186"/>
      <c r="Q174" s="125" t="str">
        <f>IFERROR(__xludf.DUMMYFUNCTION("QUERY(Hospitais_BD!D:I,""select I where D='""&amp;D174&amp;""'"")"),"Público")</f>
        <v>Público</v>
      </c>
      <c r="R174" s="125" t="str">
        <f>IFERROR(__xludf.DUMMYFUNCTION("QUERY(Hospitais_BD!D:I,""select H where D='""&amp;D174&amp;""'"")"),"Outra Instituição")</f>
        <v>Outra Instituição</v>
      </c>
      <c r="S174" s="194"/>
      <c r="T174" s="194"/>
      <c r="U174" s="180"/>
      <c r="V174" s="186"/>
      <c r="W174" s="101"/>
      <c r="X174" s="186"/>
      <c r="Y174" s="186"/>
      <c r="Z174" s="186"/>
      <c r="AA174" s="186"/>
      <c r="AB174" s="186"/>
      <c r="AC174" s="186"/>
      <c r="AD174" s="186"/>
      <c r="AE174" s="121"/>
      <c r="AF174" s="130"/>
      <c r="AG174" s="206">
        <v>5.0</v>
      </c>
      <c r="AH174" s="75">
        <v>0.0</v>
      </c>
      <c r="AI174" s="75">
        <v>0.0</v>
      </c>
      <c r="AJ174" s="75">
        <v>0.0</v>
      </c>
      <c r="AK174" s="129">
        <v>0.0</v>
      </c>
      <c r="AL174" s="129"/>
      <c r="AM174" s="131" t="s">
        <v>1003</v>
      </c>
    </row>
    <row r="175" ht="21.0" customHeight="1">
      <c r="A175" s="207" t="s">
        <v>1119</v>
      </c>
      <c r="B175" s="191">
        <v>0.8604050925925926</v>
      </c>
      <c r="C175" s="50"/>
      <c r="D175" s="25" t="s">
        <v>858</v>
      </c>
      <c r="E175" s="172">
        <v>0.0</v>
      </c>
      <c r="F175" s="172">
        <v>2.1968074017E10</v>
      </c>
      <c r="G175" s="202"/>
      <c r="H175" s="202"/>
      <c r="I175" s="202"/>
      <c r="J175" s="202"/>
      <c r="K175" s="202">
        <v>100.0</v>
      </c>
      <c r="L175" s="202">
        <v>100.0</v>
      </c>
      <c r="M175" s="70" t="str">
        <f>IFERROR(__xludf.DUMMYFUNCTION("QUERY(Hospitais_BD!D:I,""select E where D='""&amp;D175&amp;""'"",0)"),"REGIAO SERRANA")</f>
        <v>REGIAO SERRANA</v>
      </c>
      <c r="N175" s="44" t="str">
        <f>IFERROR(__xludf.DUMMYFUNCTION("QUERY(Hospitais_BD!D:I,""select F where D='""&amp;D175&amp;""'"")"),"Teresopolis")</f>
        <v>Teresopolis</v>
      </c>
      <c r="O175" s="70" t="str">
        <f>IFERROR(__xludf.DUMMYFUNCTION("QUERY(Hospitais_BD!D:I,""select G where D='""&amp;D175&amp;""'"")"),"Meudom")</f>
        <v>Meudom</v>
      </c>
      <c r="P175" s="172" t="s">
        <v>859</v>
      </c>
      <c r="Q175" s="137" t="str">
        <f>IFERROR(__xludf.DUMMYFUNCTION("QUERY(Hospitais_BD!D:I,""select I where D='""&amp;D175&amp;""'"")"),"Público")</f>
        <v>Público</v>
      </c>
      <c r="R175" s="137" t="str">
        <f>IFERROR(__xludf.DUMMYFUNCTION("QUERY(Hospitais_BD!D:I,""select H where D='""&amp;D175&amp;""'"")"),"Unidade básica de saúde - BAIXA COMPLEXIDADE")</f>
        <v>Unidade básica de saúde - BAIXA COMPLEXIDADE</v>
      </c>
      <c r="S175" s="192">
        <v>0.0</v>
      </c>
      <c r="T175" s="192"/>
      <c r="U175" s="185"/>
      <c r="V175" s="172"/>
      <c r="W175" s="80"/>
      <c r="X175" s="172"/>
      <c r="Y175" s="172"/>
      <c r="Z175" s="172"/>
      <c r="AA175" s="172"/>
      <c r="AB175" s="172"/>
      <c r="AC175" s="172" t="s">
        <v>1120</v>
      </c>
      <c r="AD175" s="172">
        <v>0.0</v>
      </c>
      <c r="AE175" s="134"/>
      <c r="AF175" s="142"/>
      <c r="AG175" s="202">
        <v>20.0</v>
      </c>
      <c r="AH175" s="83"/>
      <c r="AI175" s="83"/>
      <c r="AJ175" s="83"/>
      <c r="AK175" s="144"/>
      <c r="AL175" s="144"/>
      <c r="AM175" s="145" t="s">
        <v>1003</v>
      </c>
    </row>
    <row r="176" ht="21.0" customHeight="1">
      <c r="A176" s="208" t="s">
        <v>1119</v>
      </c>
      <c r="B176" s="76">
        <v>0.8604050925925926</v>
      </c>
      <c r="C176" s="69"/>
      <c r="D176" s="37" t="s">
        <v>858</v>
      </c>
      <c r="E176" s="186">
        <v>0.0</v>
      </c>
      <c r="F176" s="186">
        <v>2.1968074017E10</v>
      </c>
      <c r="G176" s="206"/>
      <c r="H176" s="206"/>
      <c r="I176" s="206"/>
      <c r="J176" s="206"/>
      <c r="K176" s="206">
        <v>100.0</v>
      </c>
      <c r="L176" s="206">
        <v>100.0</v>
      </c>
      <c r="M176" s="53" t="str">
        <f>IFERROR(__xludf.DUMMYFUNCTION("QUERY(Hospitais_BD!D:I,""select E where D='""&amp;D176&amp;""'"",0)"),"REGIAO SERRANA")</f>
        <v>REGIAO SERRANA</v>
      </c>
      <c r="N176" s="45" t="str">
        <f>IFERROR(__xludf.DUMMYFUNCTION("QUERY(Hospitais_BD!D:I,""select F where D='""&amp;D176&amp;""'"")"),"Teresopolis")</f>
        <v>Teresopolis</v>
      </c>
      <c r="O176" s="53" t="str">
        <f>IFERROR(__xludf.DUMMYFUNCTION("QUERY(Hospitais_BD!D:I,""select G where D='""&amp;D176&amp;""'"")"),"Meudom")</f>
        <v>Meudom</v>
      </c>
      <c r="P176" s="186" t="s">
        <v>859</v>
      </c>
      <c r="Q176" s="125" t="str">
        <f>IFERROR(__xludf.DUMMYFUNCTION("QUERY(Hospitais_BD!D:I,""select I where D='""&amp;D176&amp;""'"")"),"Público")</f>
        <v>Público</v>
      </c>
      <c r="R176" s="125" t="str">
        <f>IFERROR(__xludf.DUMMYFUNCTION("QUERY(Hospitais_BD!D:I,""select H where D='""&amp;D176&amp;""'"")"),"Unidade básica de saúde - BAIXA COMPLEXIDADE")</f>
        <v>Unidade básica de saúde - BAIXA COMPLEXIDADE</v>
      </c>
      <c r="S176" s="194">
        <v>0.0</v>
      </c>
      <c r="T176" s="194"/>
      <c r="U176" s="180"/>
      <c r="V176" s="186"/>
      <c r="W176" s="101"/>
      <c r="X176" s="186"/>
      <c r="Y176" s="186"/>
      <c r="Z176" s="186"/>
      <c r="AA176" s="186"/>
      <c r="AB176" s="186"/>
      <c r="AC176" s="186" t="s">
        <v>1120</v>
      </c>
      <c r="AD176" s="186">
        <v>0.0</v>
      </c>
      <c r="AE176" s="121"/>
      <c r="AF176" s="130"/>
      <c r="AG176" s="206"/>
      <c r="AH176" s="75"/>
      <c r="AI176" s="75"/>
      <c r="AJ176" s="75"/>
      <c r="AK176" s="129"/>
      <c r="AL176" s="129"/>
      <c r="AM176" s="131"/>
    </row>
    <row r="177" ht="21.0" customHeight="1">
      <c r="A177" s="207" t="s">
        <v>1119</v>
      </c>
      <c r="B177" s="191">
        <v>0.8604050925925926</v>
      </c>
      <c r="C177" s="50"/>
      <c r="D177" s="25" t="s">
        <v>858</v>
      </c>
      <c r="E177" s="172">
        <v>0.0</v>
      </c>
      <c r="F177" s="172">
        <v>2.1968074017E10</v>
      </c>
      <c r="G177" s="202"/>
      <c r="H177" s="202"/>
      <c r="I177" s="202"/>
      <c r="J177" s="202"/>
      <c r="K177" s="202">
        <v>100.0</v>
      </c>
      <c r="L177" s="202">
        <v>100.0</v>
      </c>
      <c r="M177" s="70" t="str">
        <f>IFERROR(__xludf.DUMMYFUNCTION("QUERY(Hospitais_BD!D:I,""select E where D='""&amp;D177&amp;""'"",0)"),"REGIAO SERRANA")</f>
        <v>REGIAO SERRANA</v>
      </c>
      <c r="N177" s="44" t="str">
        <f>IFERROR(__xludf.DUMMYFUNCTION("QUERY(Hospitais_BD!D:I,""select F where D='""&amp;D177&amp;""'"")"),"Teresopolis")</f>
        <v>Teresopolis</v>
      </c>
      <c r="O177" s="70" t="str">
        <f>IFERROR(__xludf.DUMMYFUNCTION("QUERY(Hospitais_BD!D:I,""select G where D='""&amp;D177&amp;""'"")"),"Meudom")</f>
        <v>Meudom</v>
      </c>
      <c r="P177" s="172" t="s">
        <v>859</v>
      </c>
      <c r="Q177" s="137" t="str">
        <f>IFERROR(__xludf.DUMMYFUNCTION("QUERY(Hospitais_BD!D:I,""select I where D='""&amp;D177&amp;""'"")"),"Público")</f>
        <v>Público</v>
      </c>
      <c r="R177" s="137" t="str">
        <f>IFERROR(__xludf.DUMMYFUNCTION("QUERY(Hospitais_BD!D:I,""select H where D='""&amp;D177&amp;""'"")"),"Unidade básica de saúde - BAIXA COMPLEXIDADE")</f>
        <v>Unidade básica de saúde - BAIXA COMPLEXIDADE</v>
      </c>
      <c r="S177" s="192">
        <v>0.0</v>
      </c>
      <c r="T177" s="192"/>
      <c r="U177" s="185"/>
      <c r="V177" s="172"/>
      <c r="W177" s="80"/>
      <c r="X177" s="172"/>
      <c r="Y177" s="172"/>
      <c r="Z177" s="172"/>
      <c r="AA177" s="172"/>
      <c r="AB177" s="172"/>
      <c r="AC177" s="172" t="s">
        <v>1120</v>
      </c>
      <c r="AD177" s="172">
        <v>0.0</v>
      </c>
      <c r="AE177" s="134"/>
      <c r="AF177" s="142"/>
      <c r="AG177" s="202"/>
      <c r="AH177" s="83"/>
      <c r="AI177" s="83"/>
      <c r="AJ177" s="83"/>
      <c r="AK177" s="144"/>
      <c r="AL177" s="144"/>
      <c r="AM177" s="145"/>
    </row>
    <row r="178" ht="21.0" customHeight="1">
      <c r="A178" s="208" t="s">
        <v>1119</v>
      </c>
      <c r="B178" s="76">
        <v>0.8604050925925926</v>
      </c>
      <c r="C178" s="69"/>
      <c r="D178" s="37" t="s">
        <v>858</v>
      </c>
      <c r="E178" s="186">
        <v>0.0</v>
      </c>
      <c r="F178" s="186">
        <v>2.1968074017E10</v>
      </c>
      <c r="G178" s="206"/>
      <c r="H178" s="206"/>
      <c r="I178" s="206"/>
      <c r="J178" s="206"/>
      <c r="K178" s="206">
        <v>100.0</v>
      </c>
      <c r="L178" s="206">
        <v>100.0</v>
      </c>
      <c r="M178" s="53" t="str">
        <f>IFERROR(__xludf.DUMMYFUNCTION("QUERY(Hospitais_BD!D:I,""select E where D='""&amp;D178&amp;""'"",0)"),"REGIAO SERRANA")</f>
        <v>REGIAO SERRANA</v>
      </c>
      <c r="N178" s="45" t="str">
        <f>IFERROR(__xludf.DUMMYFUNCTION("QUERY(Hospitais_BD!D:I,""select F where D='""&amp;D178&amp;""'"")"),"Teresopolis")</f>
        <v>Teresopolis</v>
      </c>
      <c r="O178" s="53" t="str">
        <f>IFERROR(__xludf.DUMMYFUNCTION("QUERY(Hospitais_BD!D:I,""select G where D='""&amp;D178&amp;""'"")"),"Meudom")</f>
        <v>Meudom</v>
      </c>
      <c r="P178" s="186" t="s">
        <v>859</v>
      </c>
      <c r="Q178" s="125" t="str">
        <f>IFERROR(__xludf.DUMMYFUNCTION("QUERY(Hospitais_BD!D:I,""select I where D='""&amp;D178&amp;""'"")"),"Público")</f>
        <v>Público</v>
      </c>
      <c r="R178" s="125" t="str">
        <f>IFERROR(__xludf.DUMMYFUNCTION("QUERY(Hospitais_BD!D:I,""select H where D='""&amp;D178&amp;""'"")"),"Unidade básica de saúde - BAIXA COMPLEXIDADE")</f>
        <v>Unidade básica de saúde - BAIXA COMPLEXIDADE</v>
      </c>
      <c r="S178" s="194">
        <v>0.0</v>
      </c>
      <c r="T178" s="194"/>
      <c r="U178" s="180"/>
      <c r="V178" s="186"/>
      <c r="W178" s="101"/>
      <c r="X178" s="186"/>
      <c r="Y178" s="186"/>
      <c r="Z178" s="186"/>
      <c r="AA178" s="186"/>
      <c r="AB178" s="186"/>
      <c r="AC178" s="186" t="s">
        <v>1120</v>
      </c>
      <c r="AD178" s="186">
        <v>0.0</v>
      </c>
      <c r="AE178" s="121"/>
      <c r="AF178" s="130"/>
      <c r="AG178" s="206"/>
      <c r="AH178" s="75"/>
      <c r="AI178" s="75"/>
      <c r="AJ178" s="75"/>
      <c r="AK178" s="129"/>
      <c r="AL178" s="129"/>
      <c r="AM178" s="131"/>
    </row>
    <row r="179" ht="21.0" customHeight="1">
      <c r="A179" s="207" t="s">
        <v>1119</v>
      </c>
      <c r="B179" s="191">
        <v>0.8604050925925926</v>
      </c>
      <c r="C179" s="50"/>
      <c r="D179" s="25" t="s">
        <v>858</v>
      </c>
      <c r="E179" s="172">
        <v>0.0</v>
      </c>
      <c r="F179" s="172">
        <v>2.1968074017E10</v>
      </c>
      <c r="G179" s="202"/>
      <c r="H179" s="202"/>
      <c r="I179" s="202"/>
      <c r="J179" s="202"/>
      <c r="K179" s="202">
        <v>100.0</v>
      </c>
      <c r="L179" s="202">
        <v>100.0</v>
      </c>
      <c r="M179" s="70" t="str">
        <f>IFERROR(__xludf.DUMMYFUNCTION("QUERY(Hospitais_BD!D:I,""select E where D='""&amp;D179&amp;""'"",0)"),"REGIAO SERRANA")</f>
        <v>REGIAO SERRANA</v>
      </c>
      <c r="N179" s="44" t="str">
        <f>IFERROR(__xludf.DUMMYFUNCTION("QUERY(Hospitais_BD!D:I,""select F where D='""&amp;D179&amp;""'"")"),"Teresopolis")</f>
        <v>Teresopolis</v>
      </c>
      <c r="O179" s="70" t="str">
        <f>IFERROR(__xludf.DUMMYFUNCTION("QUERY(Hospitais_BD!D:I,""select G where D='""&amp;D179&amp;""'"")"),"Meudom")</f>
        <v>Meudom</v>
      </c>
      <c r="P179" s="172" t="s">
        <v>859</v>
      </c>
      <c r="Q179" s="137" t="str">
        <f>IFERROR(__xludf.DUMMYFUNCTION("QUERY(Hospitais_BD!D:I,""select I where D='""&amp;D179&amp;""'"")"),"Público")</f>
        <v>Público</v>
      </c>
      <c r="R179" s="137" t="str">
        <f>IFERROR(__xludf.DUMMYFUNCTION("QUERY(Hospitais_BD!D:I,""select H where D='""&amp;D179&amp;""'"")"),"Unidade básica de saúde - BAIXA COMPLEXIDADE")</f>
        <v>Unidade básica de saúde - BAIXA COMPLEXIDADE</v>
      </c>
      <c r="S179" s="192">
        <v>0.0</v>
      </c>
      <c r="T179" s="192"/>
      <c r="U179" s="185"/>
      <c r="V179" s="172"/>
      <c r="W179" s="80"/>
      <c r="X179" s="172"/>
      <c r="Y179" s="172"/>
      <c r="Z179" s="172"/>
      <c r="AA179" s="172"/>
      <c r="AB179" s="172"/>
      <c r="AC179" s="172" t="s">
        <v>1120</v>
      </c>
      <c r="AD179" s="172">
        <v>0.0</v>
      </c>
      <c r="AE179" s="134"/>
      <c r="AF179" s="142"/>
      <c r="AG179" s="202"/>
      <c r="AH179" s="83"/>
      <c r="AI179" s="83"/>
      <c r="AJ179" s="83"/>
      <c r="AK179" s="144"/>
      <c r="AL179" s="144"/>
      <c r="AM179" s="145"/>
    </row>
    <row r="180" ht="21.0" customHeight="1">
      <c r="A180" s="193"/>
      <c r="B180" s="76"/>
      <c r="C180" s="69"/>
      <c r="D180" s="28" t="s">
        <v>801</v>
      </c>
      <c r="E180" s="186"/>
      <c r="F180" s="186"/>
      <c r="G180" s="203"/>
      <c r="H180" s="203"/>
      <c r="I180" s="203"/>
      <c r="J180" s="203"/>
      <c r="K180" s="203"/>
      <c r="L180" s="203"/>
      <c r="M180" s="53" t="str">
        <f>IFERROR(__xludf.DUMMYFUNCTION("QUERY(Hospitais_BD!D:I,""select E where D='""&amp;D180&amp;""'"",0)"),"ZONA NORTE")</f>
        <v>ZONA NORTE</v>
      </c>
      <c r="N180" s="45" t="str">
        <f>IFERROR(__xludf.DUMMYFUNCTION("QUERY(Hospitais_BD!D:I,""select F where D='""&amp;D180&amp;""'"")"),"Rio de Janeiro")</f>
        <v>Rio de Janeiro</v>
      </c>
      <c r="O180" s="53" t="str">
        <f>IFERROR(__xludf.DUMMYFUNCTION("QUERY(Hospitais_BD!D:I,""select G where D='""&amp;D180&amp;""'"")"),"Andaraí")</f>
        <v>Andaraí</v>
      </c>
      <c r="P180" s="186"/>
      <c r="Q180" s="125" t="str">
        <f>IFERROR(__xludf.DUMMYFUNCTION("QUERY(Hospitais_BD!D:I,""select I where D='""&amp;D180&amp;""'"")"),"Público")</f>
        <v>Público</v>
      </c>
      <c r="R180" s="125" t="str">
        <f>IFERROR(__xludf.DUMMYFUNCTION("QUERY(Hospitais_BD!D:I,""select H where D='""&amp;D180&amp;""'"")"),"Hospital de Referência - ALTA COMPLEXIDADE
")</f>
        <v>Hospital de Referência - ALTA COMPLEXIDADE
</v>
      </c>
      <c r="S180" s="194"/>
      <c r="T180" s="194"/>
      <c r="U180" s="180"/>
      <c r="V180" s="186"/>
      <c r="W180" s="101"/>
      <c r="X180" s="186"/>
      <c r="Y180" s="186"/>
      <c r="Z180" s="186"/>
      <c r="AA180" s="186"/>
      <c r="AB180" s="186"/>
      <c r="AC180" s="186"/>
      <c r="AD180" s="186"/>
      <c r="AE180" s="121"/>
      <c r="AF180" s="130"/>
      <c r="AG180" s="206">
        <v>98.0</v>
      </c>
      <c r="AH180" s="75">
        <v>0.0</v>
      </c>
      <c r="AI180" s="75">
        <v>0.0</v>
      </c>
      <c r="AJ180" s="75">
        <v>0.0</v>
      </c>
      <c r="AK180" s="129">
        <v>0.0</v>
      </c>
      <c r="AL180" s="129"/>
      <c r="AM180" s="131" t="s">
        <v>1003</v>
      </c>
    </row>
    <row r="181" ht="21.0" customHeight="1">
      <c r="A181" s="190"/>
      <c r="B181" s="191"/>
      <c r="C181" s="50"/>
      <c r="D181" s="22" t="s">
        <v>792</v>
      </c>
      <c r="E181" s="172"/>
      <c r="F181" s="172"/>
      <c r="G181" s="204"/>
      <c r="H181" s="204"/>
      <c r="I181" s="204"/>
      <c r="J181" s="204"/>
      <c r="K181" s="204"/>
      <c r="L181" s="204"/>
      <c r="M181" s="70" t="str">
        <f>IFERROR(__xludf.DUMMYFUNCTION("QUERY(Hospitais_BD!D:I,""select E where D='""&amp;D181&amp;""'"",0)"),"CENTRO")</f>
        <v>CENTRO</v>
      </c>
      <c r="N181" s="44" t="str">
        <f>IFERROR(__xludf.DUMMYFUNCTION("QUERY(Hospitais_BD!D:I,""select F where D='""&amp;D181&amp;""'"")"),"Rio de Janeiro")</f>
        <v>Rio de Janeiro</v>
      </c>
      <c r="O181" s="70" t="str">
        <f>IFERROR(__xludf.DUMMYFUNCTION("QUERY(Hospitais_BD!D:I,""select G where D='""&amp;D181&amp;""'"")"),"Estacio")</f>
        <v>Estacio</v>
      </c>
      <c r="P181" s="172"/>
      <c r="Q181" s="137" t="str">
        <f>IFERROR(__xludf.DUMMYFUNCTION("QUERY(Hospitais_BD!D:I,""select I where D='""&amp;D181&amp;""'"")"),"Público")</f>
        <v>Público</v>
      </c>
      <c r="R181" s="137" t="str">
        <f>IFERROR(__xludf.DUMMYFUNCTION("QUERY(Hospitais_BD!D:I,""select H where D='""&amp;D181&amp;""'"")"),"Referência - ALTA COMPLEXIDADE")</f>
        <v>Referência - ALTA COMPLEXIDADE</v>
      </c>
      <c r="S181" s="192"/>
      <c r="T181" s="192"/>
      <c r="U181" s="185"/>
      <c r="V181" s="172"/>
      <c r="W181" s="80"/>
      <c r="X181" s="172"/>
      <c r="Y181" s="172"/>
      <c r="Z181" s="172"/>
      <c r="AA181" s="172"/>
      <c r="AB181" s="172"/>
      <c r="AC181" s="172"/>
      <c r="AD181" s="172"/>
      <c r="AE181" s="134"/>
      <c r="AF181" s="142"/>
      <c r="AG181" s="202">
        <v>100.0</v>
      </c>
      <c r="AH181" s="83">
        <v>0.0</v>
      </c>
      <c r="AI181" s="83">
        <v>0.0</v>
      </c>
      <c r="AJ181" s="83">
        <v>0.0</v>
      </c>
      <c r="AK181" s="144">
        <v>0.0</v>
      </c>
      <c r="AL181" s="144"/>
      <c r="AM181" s="145" t="s">
        <v>1003</v>
      </c>
    </row>
    <row r="182" ht="21.0" customHeight="1">
      <c r="A182" s="193"/>
      <c r="B182" s="76"/>
      <c r="C182" s="69"/>
      <c r="D182" s="28" t="s">
        <v>793</v>
      </c>
      <c r="E182" s="186"/>
      <c r="F182" s="186"/>
      <c r="G182" s="203"/>
      <c r="H182" s="203"/>
      <c r="I182" s="203"/>
      <c r="J182" s="203"/>
      <c r="K182" s="203"/>
      <c r="L182" s="203"/>
      <c r="M182" s="53" t="str">
        <f>IFERROR(__xludf.DUMMYFUNCTION("QUERY(Hospitais_BD!D:I,""select E where D='""&amp;D182&amp;""'"",0)"),"ZONA NORTE")</f>
        <v>ZONA NORTE</v>
      </c>
      <c r="N182" s="45" t="str">
        <f>IFERROR(__xludf.DUMMYFUNCTION("QUERY(Hospitais_BD!D:I,""select F where D='""&amp;D182&amp;""'"")"),"Rio de Janeiro")</f>
        <v>Rio de Janeiro</v>
      </c>
      <c r="O182" s="53" t="str">
        <f>IFERROR(__xludf.DUMMYFUNCTION("QUERY(Hospitais_BD!D:I,""select G where D='""&amp;D182&amp;""'"")"),"Cidade Universitaria")</f>
        <v>Cidade Universitaria</v>
      </c>
      <c r="P182" s="186"/>
      <c r="Q182" s="125" t="str">
        <f>IFERROR(__xludf.DUMMYFUNCTION("QUERY(Hospitais_BD!D:I,""select I where D='""&amp;D182&amp;""'"")"),"Público")</f>
        <v>Público</v>
      </c>
      <c r="R182" s="125" t="str">
        <f>IFERROR(__xludf.DUMMYFUNCTION("QUERY(Hospitais_BD!D:I,""select H where D='""&amp;D182&amp;""'"")"),"Unidade básica de saúde - BAIXA COMPLEXIDADE
")</f>
        <v>Unidade básica de saúde - BAIXA COMPLEXIDADE
</v>
      </c>
      <c r="S182" s="194"/>
      <c r="T182" s="194"/>
      <c r="U182" s="180"/>
      <c r="V182" s="186"/>
      <c r="W182" s="101"/>
      <c r="X182" s="186"/>
      <c r="Y182" s="186"/>
      <c r="Z182" s="186"/>
      <c r="AA182" s="186"/>
      <c r="AB182" s="186"/>
      <c r="AC182" s="186"/>
      <c r="AD182" s="186"/>
      <c r="AE182" s="121"/>
      <c r="AF182" s="130"/>
      <c r="AG182" s="206">
        <v>0.0</v>
      </c>
      <c r="AH182" s="75">
        <v>0.0</v>
      </c>
      <c r="AI182" s="75">
        <v>0.0</v>
      </c>
      <c r="AJ182" s="75">
        <v>25.0</v>
      </c>
      <c r="AK182" s="129">
        <v>0.0</v>
      </c>
      <c r="AL182" s="129"/>
      <c r="AM182" s="131" t="s">
        <v>1003</v>
      </c>
    </row>
    <row r="183" ht="21.0" customHeight="1">
      <c r="A183" s="190"/>
      <c r="B183" s="191"/>
      <c r="C183" s="50"/>
      <c r="D183" s="25" t="s">
        <v>173</v>
      </c>
      <c r="E183" s="172"/>
      <c r="F183" s="172"/>
      <c r="G183" s="202"/>
      <c r="H183" s="83"/>
      <c r="I183" s="83"/>
      <c r="J183" s="83"/>
      <c r="K183" s="83"/>
      <c r="L183" s="83"/>
      <c r="M183" s="70" t="str">
        <f>IFERROR(__xludf.DUMMYFUNCTION("QUERY(Hospitais_BD!D:I,""select E where D='""&amp;D183&amp;""'"",0)"),"ZONA NORTE")</f>
        <v>ZONA NORTE</v>
      </c>
      <c r="N183" s="44" t="str">
        <f>IFERROR(__xludf.DUMMYFUNCTION("QUERY(Hospitais_BD!D:I,""select F where D='""&amp;D183&amp;""'"")"),"Rio de Janeiro")</f>
        <v>Rio de Janeiro</v>
      </c>
      <c r="O183" s="70" t="str">
        <f>IFERROR(__xludf.DUMMYFUNCTION("QUERY(Hospitais_BD!D:I,""select G where D='""&amp;D183&amp;""'"")"),"Bonsucesso")</f>
        <v>Bonsucesso</v>
      </c>
      <c r="P183" s="172"/>
      <c r="Q183" s="137" t="str">
        <f>IFERROR(__xludf.DUMMYFUNCTION("QUERY(Hospitais_BD!D:I,""select I where D='""&amp;D183&amp;""'"")"),"Público")</f>
        <v>Público</v>
      </c>
      <c r="R183" s="137" t="str">
        <f>IFERROR(__xludf.DUMMYFUNCTION("QUERY(Hospitais_BD!D:I,""select H where D='""&amp;D183&amp;""'"")"),"Referência - ALTA COMPLEXIDADE")</f>
        <v>Referência - ALTA COMPLEXIDADE</v>
      </c>
      <c r="S183" s="192"/>
      <c r="T183" s="192"/>
      <c r="U183" s="185"/>
      <c r="V183" s="172"/>
      <c r="W183" s="80"/>
      <c r="X183" s="172"/>
      <c r="Y183" s="172"/>
      <c r="Z183" s="172"/>
      <c r="AA183" s="172"/>
      <c r="AB183" s="172"/>
      <c r="AC183" s="172"/>
      <c r="AD183" s="172"/>
      <c r="AE183" s="134"/>
      <c r="AF183" s="142"/>
      <c r="AG183" s="83">
        <v>125.0</v>
      </c>
      <c r="AH183" s="83">
        <v>0.0</v>
      </c>
      <c r="AI183" s="83">
        <v>0.0</v>
      </c>
      <c r="AJ183" s="83">
        <v>100.0</v>
      </c>
      <c r="AK183" s="144">
        <v>0.0</v>
      </c>
      <c r="AL183" s="144"/>
      <c r="AM183" s="145" t="s">
        <v>1003</v>
      </c>
    </row>
    <row r="184" ht="21.0" customHeight="1">
      <c r="A184" s="193"/>
      <c r="B184" s="76"/>
      <c r="C184" s="69"/>
      <c r="D184" s="9" t="s">
        <v>895</v>
      </c>
      <c r="E184" s="186"/>
      <c r="F184" s="186"/>
      <c r="G184" s="206"/>
      <c r="H184" s="75"/>
      <c r="I184" s="75"/>
      <c r="J184" s="75"/>
      <c r="K184" s="75"/>
      <c r="L184" s="75"/>
      <c r="M184" s="53" t="str">
        <f>IFERROR(__xludf.DUMMYFUNCTION("QUERY(Hospitais_BD!D:I,""select E where D='""&amp;D184&amp;""'"",0)"),"ZONA NORTE")</f>
        <v>ZONA NORTE</v>
      </c>
      <c r="N184" s="45" t="str">
        <f>IFERROR(__xludf.DUMMYFUNCTION("QUERY(Hospitais_BD!D:I,""select F where D='""&amp;D184&amp;""'"")"),"Rio de Janeiro")</f>
        <v>Rio de Janeiro</v>
      </c>
      <c r="O184" s="53" t="str">
        <f>IFERROR(__xludf.DUMMYFUNCTION("QUERY(Hospitais_BD!D:I,""select G where D='""&amp;D184&amp;""'"")"),"Benfica")</f>
        <v>Benfica</v>
      </c>
      <c r="P184" s="186"/>
      <c r="Q184" s="125" t="str">
        <f>IFERROR(__xludf.DUMMYFUNCTION("QUERY(Hospitais_BD!D:I,""select I where D='""&amp;D184&amp;""'"")"),"Público")</f>
        <v>Público</v>
      </c>
      <c r="R184" s="125" t="str">
        <f>IFERROR(__xludf.DUMMYFUNCTION("QUERY(Hospitais_BD!D:I,""select H where D='""&amp;D184&amp;""'"")"),"Unidade básica de saúde - BAIXA COMPLEXIDADE")</f>
        <v>Unidade básica de saúde - BAIXA COMPLEXIDADE</v>
      </c>
      <c r="S184" s="194"/>
      <c r="T184" s="126"/>
      <c r="U184" s="180"/>
      <c r="V184" s="186"/>
      <c r="W184" s="101"/>
      <c r="X184" s="186"/>
      <c r="Y184" s="186"/>
      <c r="Z184" s="186"/>
      <c r="AA184" s="186"/>
      <c r="AB184" s="186"/>
      <c r="AC184" s="186"/>
      <c r="AD184" s="186"/>
      <c r="AE184" s="121"/>
      <c r="AF184" s="130"/>
      <c r="AG184" s="75"/>
      <c r="AH184" s="75">
        <v>0.0</v>
      </c>
      <c r="AI184" s="75">
        <v>0.0</v>
      </c>
      <c r="AJ184" s="75"/>
      <c r="AK184" s="129">
        <v>0.0</v>
      </c>
      <c r="AL184" s="129"/>
      <c r="AM184" s="131" t="s">
        <v>1014</v>
      </c>
    </row>
    <row r="185" ht="21.0" customHeight="1">
      <c r="A185" s="190">
        <v>43958.0</v>
      </c>
      <c r="B185" s="191">
        <v>0.668599537037037</v>
      </c>
      <c r="C185" s="50"/>
      <c r="D185" s="25" t="s">
        <v>795</v>
      </c>
      <c r="E185" s="172">
        <v>2.385669000174E12</v>
      </c>
      <c r="F185" s="172">
        <v>2.58192E7</v>
      </c>
      <c r="G185" s="202"/>
      <c r="H185" s="83"/>
      <c r="I185" s="83"/>
      <c r="J185" s="83"/>
      <c r="K185" s="83"/>
      <c r="L185" s="83"/>
      <c r="M185" s="70" t="str">
        <f>IFERROR(__xludf.DUMMYFUNCTION("QUERY(Hospitais_BD!D:I,""select E where D='""&amp;D185&amp;""'"",0)"),"ZONA NORTE")</f>
        <v>ZONA NORTE</v>
      </c>
      <c r="N185" s="44" t="str">
        <f>IFERROR(__xludf.DUMMYFUNCTION("QUERY(Hospitais_BD!D:I,""select F where D='""&amp;D185&amp;""'"")"),"Rio de Janeiro")</f>
        <v>Rio de Janeiro</v>
      </c>
      <c r="O185" s="70" t="str">
        <f>IFERROR(__xludf.DUMMYFUNCTION("QUERY(Hospitais_BD!D:I,""select G where D='""&amp;D185&amp;""'"")"),"Manguinhos")</f>
        <v>Manguinhos</v>
      </c>
      <c r="P185" s="172" t="s">
        <v>1121</v>
      </c>
      <c r="Q185" s="137" t="str">
        <f>IFERROR(__xludf.DUMMYFUNCTION("QUERY(Hospitais_BD!D:I,""select I where D='""&amp;D185&amp;""'"")"),"Público")</f>
        <v>Público</v>
      </c>
      <c r="R185" s="137" t="str">
        <f>IFERROR(__xludf.DUMMYFUNCTION("QUERY(Hospitais_BD!D:I,""select H where D='""&amp;D185&amp;""'"")"),"Unidade básica de saúde - BAIXA COMPLEXIDADE
")</f>
        <v>Unidade básica de saúde - BAIXA COMPLEXIDADE
</v>
      </c>
      <c r="S185" s="192" t="s">
        <v>1122</v>
      </c>
      <c r="T185" s="138"/>
      <c r="U185" s="185"/>
      <c r="V185" s="172"/>
      <c r="W185" s="80"/>
      <c r="X185" s="172"/>
      <c r="Y185" s="172"/>
      <c r="Z185" s="172"/>
      <c r="AA185" s="172"/>
      <c r="AB185" s="172"/>
      <c r="AC185" s="172">
        <v>8.201191722E9</v>
      </c>
      <c r="AD185" s="172"/>
      <c r="AE185" s="134"/>
      <c r="AF185" s="142"/>
      <c r="AG185" s="83">
        <v>25.0</v>
      </c>
      <c r="AH185" s="83"/>
      <c r="AI185" s="83"/>
      <c r="AJ185" s="83">
        <v>25.0</v>
      </c>
      <c r="AK185" s="83"/>
      <c r="AL185" s="83">
        <v>50.0</v>
      </c>
      <c r="AM185" s="145" t="s">
        <v>1003</v>
      </c>
    </row>
    <row r="186" ht="21.0" customHeight="1">
      <c r="A186" s="193"/>
      <c r="B186" s="76"/>
      <c r="C186" s="69"/>
      <c r="D186" s="9" t="s">
        <v>194</v>
      </c>
      <c r="E186" s="186"/>
      <c r="F186" s="186"/>
      <c r="G186" s="206"/>
      <c r="H186" s="75"/>
      <c r="I186" s="75"/>
      <c r="J186" s="75"/>
      <c r="K186" s="75"/>
      <c r="L186" s="75"/>
      <c r="M186" s="53" t="str">
        <f>IFERROR(__xludf.DUMMYFUNCTION("QUERY(Hospitais_BD!D:I,""select E where D='""&amp;D186&amp;""'"",0)"),"CENTRO")</f>
        <v>CENTRO</v>
      </c>
      <c r="N186" s="45" t="str">
        <f>IFERROR(__xludf.DUMMYFUNCTION("QUERY(Hospitais_BD!D:I,""select F where D='""&amp;D186&amp;""'"")"),"Rio de Janeiro")</f>
        <v>Rio de Janeiro</v>
      </c>
      <c r="O186" s="53" t="str">
        <f>IFERROR(__xludf.DUMMYFUNCTION("QUERY(Hospitais_BD!D:I,""select G where D='""&amp;D186&amp;""'"")"),"Gamboa")</f>
        <v>Gamboa</v>
      </c>
      <c r="P186" s="186"/>
      <c r="Q186" s="125" t="str">
        <f>IFERROR(__xludf.DUMMYFUNCTION("QUERY(Hospitais_BD!D:I,""select I where D='""&amp;D186&amp;""'"")"),"Privado")</f>
        <v>Privado</v>
      </c>
      <c r="R186" s="125" t="str">
        <f>IFERROR(__xludf.DUMMYFUNCTION("QUERY(Hospitais_BD!D:I,""select H where D='""&amp;D186&amp;""'"")"),"Unidade básica - BAIXA COMPLEXIDADE")</f>
        <v>Unidade básica - BAIXA COMPLEXIDADE</v>
      </c>
      <c r="S186" s="194"/>
      <c r="T186" s="126"/>
      <c r="U186" s="180"/>
      <c r="V186" s="186"/>
      <c r="W186" s="101"/>
      <c r="X186" s="186"/>
      <c r="Y186" s="186"/>
      <c r="Z186" s="186"/>
      <c r="AA186" s="186"/>
      <c r="AB186" s="186"/>
      <c r="AC186" s="186"/>
      <c r="AD186" s="186"/>
      <c r="AE186" s="121"/>
      <c r="AF186" s="130"/>
      <c r="AG186" s="75">
        <v>100.0</v>
      </c>
      <c r="AH186" s="75">
        <v>0.0</v>
      </c>
      <c r="AI186" s="75">
        <v>0.0</v>
      </c>
      <c r="AJ186" s="75">
        <v>50.0</v>
      </c>
      <c r="AK186" s="129">
        <v>0.0</v>
      </c>
      <c r="AL186" s="129"/>
      <c r="AM186" s="131" t="s">
        <v>1003</v>
      </c>
    </row>
    <row r="187" ht="21.0" customHeight="1">
      <c r="A187" s="190"/>
      <c r="B187" s="191"/>
      <c r="C187" s="50"/>
      <c r="D187" s="25" t="s">
        <v>796</v>
      </c>
      <c r="E187" s="172"/>
      <c r="F187" s="172"/>
      <c r="G187" s="202"/>
      <c r="H187" s="83"/>
      <c r="I187" s="83"/>
      <c r="J187" s="83"/>
      <c r="K187" s="83"/>
      <c r="L187" s="83"/>
      <c r="M187" s="70" t="str">
        <f>IFERROR(__xludf.DUMMYFUNCTION("QUERY(Hospitais_BD!D:I,""select E where D='""&amp;D187&amp;""'"",0)"),"REGIAO METROPOLITANA")</f>
        <v>REGIAO METROPOLITANA</v>
      </c>
      <c r="N187" s="44" t="str">
        <f>IFERROR(__xludf.DUMMYFUNCTION("QUERY(Hospitais_BD!D:I,""select F where D='""&amp;D187&amp;""'"")"),"Sao Gonçalo")</f>
        <v>Sao Gonçalo</v>
      </c>
      <c r="O187" s="70" t="str">
        <f>IFERROR(__xludf.DUMMYFUNCTION("QUERY(Hospitais_BD!D:I,""select G where D='""&amp;D187&amp;""'"")"),"Alcantara")</f>
        <v>Alcantara</v>
      </c>
      <c r="P187" s="172"/>
      <c r="Q187" s="137" t="str">
        <f>IFERROR(__xludf.DUMMYFUNCTION("QUERY(Hospitais_BD!D:I,""select I where D='""&amp;D187&amp;""'"")"),"Público")</f>
        <v>Público</v>
      </c>
      <c r="R187" s="137" t="str">
        <f>IFERROR(__xludf.DUMMYFUNCTION("QUERY(Hospitais_BD!D:I,""select H where D='""&amp;D187&amp;""'"")"),"Referência - ALTA COMPLEXIDADE")</f>
        <v>Referência - ALTA COMPLEXIDADE</v>
      </c>
      <c r="S187" s="192"/>
      <c r="T187" s="138"/>
      <c r="U187" s="185"/>
      <c r="V187" s="172"/>
      <c r="W187" s="80"/>
      <c r="X187" s="172"/>
      <c r="Y187" s="172"/>
      <c r="Z187" s="172"/>
      <c r="AA187" s="172"/>
      <c r="AB187" s="172"/>
      <c r="AC187" s="172"/>
      <c r="AD187" s="172"/>
      <c r="AE187" s="134"/>
      <c r="AF187" s="142"/>
      <c r="AG187" s="83">
        <v>100.0</v>
      </c>
      <c r="AH187" s="83">
        <v>0.0</v>
      </c>
      <c r="AI187" s="83">
        <v>0.0</v>
      </c>
      <c r="AJ187" s="83">
        <v>50.0</v>
      </c>
      <c r="AK187" s="144">
        <v>0.0</v>
      </c>
      <c r="AL187" s="144"/>
      <c r="AM187" s="145" t="s">
        <v>1003</v>
      </c>
    </row>
    <row r="188" ht="21.0" customHeight="1">
      <c r="A188" s="193"/>
      <c r="B188" s="76"/>
      <c r="C188" s="69"/>
      <c r="D188" s="37" t="s">
        <v>797</v>
      </c>
      <c r="E188" s="186"/>
      <c r="F188" s="186"/>
      <c r="G188" s="206"/>
      <c r="H188" s="75"/>
      <c r="I188" s="75"/>
      <c r="J188" s="75"/>
      <c r="K188" s="75"/>
      <c r="L188" s="75"/>
      <c r="M188" s="53" t="str">
        <f>IFERROR(__xludf.DUMMYFUNCTION("QUERY(Hospitais_BD!D:I,""select E where D='""&amp;D188&amp;""'"",0)"),"REGIAO METROPOLITANA")</f>
        <v>REGIAO METROPOLITANA</v>
      </c>
      <c r="N188" s="45" t="str">
        <f>IFERROR(__xludf.DUMMYFUNCTION("QUERY(Hospitais_BD!D:I,""select F where D='""&amp;D188&amp;""'"")"),"Niteroi")</f>
        <v>Niteroi</v>
      </c>
      <c r="O188" s="53" t="str">
        <f>IFERROR(__xludf.DUMMYFUNCTION("QUERY(Hospitais_BD!D:I,""select G where D='""&amp;D188&amp;""'"")"),"Centro")</f>
        <v>Centro</v>
      </c>
      <c r="P188" s="186"/>
      <c r="Q188" s="125" t="str">
        <f>IFERROR(__xludf.DUMMYFUNCTION("QUERY(Hospitais_BD!D:I,""select I where D='""&amp;D188&amp;""'"")"),"Público")</f>
        <v>Público</v>
      </c>
      <c r="R188" s="125" t="str">
        <f>IFERROR(__xludf.DUMMYFUNCTION("QUERY(Hospitais_BD!D:I,""select H where D='""&amp;D188&amp;""'"")"),"Unidade básica de saúde - BAIXA COMPLEXIDADE
")</f>
        <v>Unidade básica de saúde - BAIXA COMPLEXIDADE
</v>
      </c>
      <c r="S188" s="194"/>
      <c r="T188" s="126"/>
      <c r="U188" s="180"/>
      <c r="V188" s="186"/>
      <c r="W188" s="101"/>
      <c r="X188" s="186"/>
      <c r="Y188" s="186"/>
      <c r="Z188" s="186"/>
      <c r="AA188" s="186"/>
      <c r="AB188" s="186"/>
      <c r="AC188" s="186"/>
      <c r="AD188" s="186"/>
      <c r="AE188" s="121"/>
      <c r="AF188" s="130"/>
      <c r="AG188" s="75"/>
      <c r="AH188" s="75">
        <v>0.0</v>
      </c>
      <c r="AI188" s="75">
        <v>0.0</v>
      </c>
      <c r="AJ188" s="75">
        <v>0.0</v>
      </c>
      <c r="AK188" s="129">
        <v>0.0</v>
      </c>
      <c r="AL188" s="129"/>
      <c r="AM188" s="131" t="s">
        <v>1019</v>
      </c>
    </row>
    <row r="189" ht="21.0" customHeight="1">
      <c r="A189" s="190"/>
      <c r="B189" s="191"/>
      <c r="C189" s="50"/>
      <c r="D189" s="46" t="s">
        <v>355</v>
      </c>
      <c r="E189" s="172"/>
      <c r="F189" s="172"/>
      <c r="G189" s="202"/>
      <c r="H189" s="83"/>
      <c r="I189" s="83"/>
      <c r="J189" s="83"/>
      <c r="K189" s="83"/>
      <c r="L189" s="83"/>
      <c r="M189" s="70" t="str">
        <f>IFERROR(__xludf.DUMMYFUNCTION("QUERY(Hospitais_BD!D:I,""select E where D='""&amp;D189&amp;""'"",0)"),"ZONA OESTE")</f>
        <v>ZONA OESTE</v>
      </c>
      <c r="N189" s="44" t="str">
        <f>IFERROR(__xludf.DUMMYFUNCTION("QUERY(Hospitais_BD!D:I,""select F where D='""&amp;D189&amp;""'"")"),"Rio de Janeiro")</f>
        <v>Rio de Janeiro</v>
      </c>
      <c r="O189" s="70" t="str">
        <f>IFERROR(__xludf.DUMMYFUNCTION("QUERY(Hospitais_BD!D:I,""select G where D='""&amp;D189&amp;""'"")"),"Santa Cruz")</f>
        <v>Santa Cruz</v>
      </c>
      <c r="P189" s="172"/>
      <c r="Q189" s="137" t="str">
        <f>IFERROR(__xludf.DUMMYFUNCTION("QUERY(Hospitais_BD!D:I,""select I where D='""&amp;D189&amp;""'"")"),"Público")</f>
        <v>Público</v>
      </c>
      <c r="R189" s="137" t="str">
        <f>IFERROR(__xludf.DUMMYFUNCTION("QUERY(Hospitais_BD!D:I,""select H where D='""&amp;D189&amp;""'"")"),"Grande emergência - MÉDIA COMPLEXIDADE")</f>
        <v>Grande emergência - MÉDIA COMPLEXIDADE</v>
      </c>
      <c r="S189" s="192"/>
      <c r="T189" s="138"/>
      <c r="U189" s="185"/>
      <c r="V189" s="172"/>
      <c r="W189" s="80"/>
      <c r="X189" s="172"/>
      <c r="Y189" s="172"/>
      <c r="Z189" s="172"/>
      <c r="AA189" s="172"/>
      <c r="AB189" s="172"/>
      <c r="AC189" s="172"/>
      <c r="AD189" s="172"/>
      <c r="AE189" s="134"/>
      <c r="AF189" s="142"/>
      <c r="AG189" s="83">
        <v>200.0</v>
      </c>
      <c r="AH189" s="83">
        <v>0.0</v>
      </c>
      <c r="AI189" s="83">
        <v>0.0</v>
      </c>
      <c r="AJ189" s="83">
        <v>0.0</v>
      </c>
      <c r="AK189" s="144">
        <v>0.0</v>
      </c>
      <c r="AL189" s="144"/>
      <c r="AM189" s="145" t="s">
        <v>1003</v>
      </c>
    </row>
    <row r="190" ht="21.0" customHeight="1">
      <c r="A190" s="193"/>
      <c r="B190" s="76"/>
      <c r="C190" s="69"/>
      <c r="D190" s="53" t="s">
        <v>798</v>
      </c>
      <c r="E190" s="186"/>
      <c r="F190" s="186"/>
      <c r="G190" s="206"/>
      <c r="H190" s="75"/>
      <c r="I190" s="75"/>
      <c r="J190" s="75"/>
      <c r="K190" s="75"/>
      <c r="L190" s="75"/>
      <c r="M190" s="53" t="str">
        <f>IFERROR(__xludf.DUMMYFUNCTION("QUERY(Hospitais_BD!D:I,""select E where D='""&amp;D190&amp;""'"",0)"),"ZONA NORTE")</f>
        <v>ZONA NORTE</v>
      </c>
      <c r="N190" s="45" t="str">
        <f>IFERROR(__xludf.DUMMYFUNCTION("QUERY(Hospitais_BD!D:I,""select F where D='""&amp;D190&amp;""'"")"),"Rio de Janeiro")</f>
        <v>Rio de Janeiro</v>
      </c>
      <c r="O190" s="53" t="str">
        <f>IFERROR(__xludf.DUMMYFUNCTION("QUERY(Hospitais_BD!D:I,""select G where D='""&amp;D190&amp;""'"")"),"Caju")</f>
        <v>Caju</v>
      </c>
      <c r="P190" s="186"/>
      <c r="Q190" s="125" t="str">
        <f>IFERROR(__xludf.DUMMYFUNCTION("QUERY(Hospitais_BD!D:I,""select I where D='""&amp;D190&amp;""'"")"),"Público")</f>
        <v>Público</v>
      </c>
      <c r="R190" s="125" t="str">
        <f>IFERROR(__xludf.DUMMYFUNCTION("QUERY(Hospitais_BD!D:I,""select H where D='""&amp;D190&amp;""'"")"),"Unidade básica de saúde - BAIXA COMPLEXIDADE
")</f>
        <v>Unidade básica de saúde - BAIXA COMPLEXIDADE
</v>
      </c>
      <c r="S190" s="194"/>
      <c r="T190" s="126"/>
      <c r="U190" s="180"/>
      <c r="V190" s="186"/>
      <c r="W190" s="101"/>
      <c r="X190" s="186"/>
      <c r="Y190" s="186"/>
      <c r="Z190" s="186"/>
      <c r="AA190" s="186"/>
      <c r="AB190" s="186"/>
      <c r="AC190" s="186"/>
      <c r="AD190" s="186"/>
      <c r="AE190" s="121"/>
      <c r="AF190" s="130"/>
      <c r="AG190" s="75">
        <v>0.0</v>
      </c>
      <c r="AH190" s="75">
        <v>0.0</v>
      </c>
      <c r="AI190" s="75">
        <v>0.0</v>
      </c>
      <c r="AJ190" s="75">
        <v>0.0</v>
      </c>
      <c r="AK190" s="129">
        <v>0.0</v>
      </c>
      <c r="AL190" s="129"/>
      <c r="AM190" s="131" t="s">
        <v>1019</v>
      </c>
    </row>
    <row r="191" ht="21.0" customHeight="1">
      <c r="A191" s="190"/>
      <c r="B191" s="191"/>
      <c r="C191" s="50"/>
      <c r="D191" s="25" t="s">
        <v>799</v>
      </c>
      <c r="E191" s="172"/>
      <c r="F191" s="172"/>
      <c r="G191" s="202"/>
      <c r="H191" s="83"/>
      <c r="I191" s="83"/>
      <c r="J191" s="83"/>
      <c r="K191" s="83"/>
      <c r="L191" s="83"/>
      <c r="M191" s="70" t="str">
        <f>IFERROR(__xludf.DUMMYFUNCTION("QUERY(Hospitais_BD!D:I,""select E where D='""&amp;D191&amp;""'"",0)"),"REGIAO NORTE")</f>
        <v>REGIAO NORTE</v>
      </c>
      <c r="N191" s="44" t="str">
        <f>IFERROR(__xludf.DUMMYFUNCTION("QUERY(Hospitais_BD!D:I,""select F where D='""&amp;D191&amp;""'"")"),"Macae")</f>
        <v>Macae</v>
      </c>
      <c r="O191" s="70" t="str">
        <f>IFERROR(__xludf.DUMMYFUNCTION("QUERY(Hospitais_BD!D:I,""select G where D='""&amp;D191&amp;""'"")"),"Arrial do Sana")</f>
        <v>Arrial do Sana</v>
      </c>
      <c r="P191" s="172"/>
      <c r="Q191" s="137" t="str">
        <f>IFERROR(__xludf.DUMMYFUNCTION("QUERY(Hospitais_BD!D:I,""select I where D='""&amp;D191&amp;""'"")"),"Público")</f>
        <v>Público</v>
      </c>
      <c r="R191" s="137" t="str">
        <f>IFERROR(__xludf.DUMMYFUNCTION("QUERY(Hospitais_BD!D:I,""select H where D='""&amp;D191&amp;""'"")"),"Grande emergência - MÉDIA COMPLEXIDADE
")</f>
        <v>Grande emergência - MÉDIA COMPLEXIDADE
</v>
      </c>
      <c r="S191" s="192"/>
      <c r="T191" s="138"/>
      <c r="U191" s="185"/>
      <c r="V191" s="172"/>
      <c r="W191" s="80"/>
      <c r="X191" s="172"/>
      <c r="Y191" s="172"/>
      <c r="Z191" s="172"/>
      <c r="AA191" s="172"/>
      <c r="AB191" s="172"/>
      <c r="AC191" s="172"/>
      <c r="AD191" s="172"/>
      <c r="AE191" s="134"/>
      <c r="AF191" s="142"/>
      <c r="AG191" s="83">
        <v>0.0</v>
      </c>
      <c r="AH191" s="83">
        <v>0.0</v>
      </c>
      <c r="AI191" s="83">
        <v>0.0</v>
      </c>
      <c r="AJ191" s="83">
        <v>0.0</v>
      </c>
      <c r="AK191" s="144">
        <v>0.0</v>
      </c>
      <c r="AL191" s="144"/>
      <c r="AM191" s="145" t="s">
        <v>1019</v>
      </c>
    </row>
    <row r="192" ht="21.0" customHeight="1">
      <c r="A192" s="193"/>
      <c r="B192" s="76"/>
      <c r="C192" s="69"/>
      <c r="D192" s="37" t="s">
        <v>557</v>
      </c>
      <c r="E192" s="186"/>
      <c r="F192" s="186"/>
      <c r="G192" s="206"/>
      <c r="H192" s="75"/>
      <c r="I192" s="75"/>
      <c r="J192" s="75"/>
      <c r="K192" s="75"/>
      <c r="L192" s="75"/>
      <c r="M192" s="53" t="str">
        <f>IFERROR(__xludf.DUMMYFUNCTION("QUERY(Hospitais_BD!D:I,""select E where D='""&amp;D192&amp;""'"",0)"),"ZONA NORTE")</f>
        <v>ZONA NORTE</v>
      </c>
      <c r="N192" s="45" t="str">
        <f>IFERROR(__xludf.DUMMYFUNCTION("QUERY(Hospitais_BD!D:I,""select F where D='""&amp;D192&amp;""'"")"),"Rio de Janeiro")</f>
        <v>Rio de Janeiro</v>
      </c>
      <c r="O192" s="53" t="str">
        <f>IFERROR(__xludf.DUMMYFUNCTION("QUERY(Hospitais_BD!D:I,""select G where D='""&amp;D192&amp;""'"")"),"Tijuca")</f>
        <v>Tijuca</v>
      </c>
      <c r="P192" s="186"/>
      <c r="Q192" s="125" t="str">
        <f>IFERROR(__xludf.DUMMYFUNCTION("QUERY(Hospitais_BD!D:I,""select I where D='""&amp;D192&amp;""'"")"),"Público")</f>
        <v>Público</v>
      </c>
      <c r="R192" s="125" t="str">
        <f>IFERROR(__xludf.DUMMYFUNCTION("QUERY(Hospitais_BD!D:I,""select H where D='""&amp;D192&amp;""'"")"),"Grande emergência - MÉDIA COMPLEXIDADE")</f>
        <v>Grande emergência - MÉDIA COMPLEXIDADE</v>
      </c>
      <c r="S192" s="194"/>
      <c r="T192" s="126"/>
      <c r="U192" s="180"/>
      <c r="V192" s="186"/>
      <c r="W192" s="101"/>
      <c r="X192" s="186"/>
      <c r="Y192" s="186"/>
      <c r="Z192" s="186"/>
      <c r="AA192" s="186"/>
      <c r="AB192" s="186"/>
      <c r="AC192" s="186"/>
      <c r="AD192" s="186"/>
      <c r="AE192" s="121"/>
      <c r="AF192" s="130"/>
      <c r="AG192" s="75">
        <v>0.0</v>
      </c>
      <c r="AH192" s="75">
        <v>0.0</v>
      </c>
      <c r="AI192" s="75">
        <v>0.0</v>
      </c>
      <c r="AJ192" s="75">
        <v>0.0</v>
      </c>
      <c r="AK192" s="129">
        <v>0.0</v>
      </c>
      <c r="AL192" s="129"/>
      <c r="AM192" s="131" t="s">
        <v>1019</v>
      </c>
    </row>
    <row r="193" ht="21.0" customHeight="1">
      <c r="A193" s="190">
        <v>43958.0</v>
      </c>
      <c r="B193" s="191">
        <v>0.4638425925925926</v>
      </c>
      <c r="C193" s="50"/>
      <c r="D193" s="25" t="s">
        <v>803</v>
      </c>
      <c r="E193" s="172">
        <v>5922461.0</v>
      </c>
      <c r="F193" s="172">
        <v>9.70214146E8</v>
      </c>
      <c r="G193" s="202"/>
      <c r="H193" s="83"/>
      <c r="I193" s="83"/>
      <c r="J193" s="83"/>
      <c r="K193" s="83"/>
      <c r="L193" s="83"/>
      <c r="M193" s="70" t="str">
        <f>IFERROR(__xludf.DUMMYFUNCTION("QUERY(Hospitais_BD!D:I,""select E where D='""&amp;D193&amp;""'"",0)"),"BAIXADA FLUMINENSE")</f>
        <v>BAIXADA FLUMINENSE</v>
      </c>
      <c r="N193" s="44" t="str">
        <f>IFERROR(__xludf.DUMMYFUNCTION("QUERY(Hospitais_BD!D:I,""select F where D='""&amp;D193&amp;""'"")"),"Duque de Caxias")</f>
        <v>Duque de Caxias</v>
      </c>
      <c r="O193" s="70" t="str">
        <f>IFERROR(__xludf.DUMMYFUNCTION("QUERY(Hospitais_BD!D:I,""select G where D='""&amp;D193&amp;""'"")"),"Centenario")</f>
        <v>Centenario</v>
      </c>
      <c r="P193" s="172" t="s">
        <v>1123</v>
      </c>
      <c r="Q193" s="137" t="str">
        <f>IFERROR(__xludf.DUMMYFUNCTION("QUERY(Hospitais_BD!D:I,""select I where D='""&amp;D193&amp;""'"")"),"Público")</f>
        <v>Público</v>
      </c>
      <c r="R193" s="137" t="str">
        <f>IFERROR(__xludf.DUMMYFUNCTION("QUERY(Hospitais_BD!D:I,""select H where D='""&amp;D193&amp;""'"")"),"Unidade básica de saúde - BAIXA COMPLEXIDADE
")</f>
        <v>Unidade básica de saúde - BAIXA COMPLEXIDADE
</v>
      </c>
      <c r="S193" s="192"/>
      <c r="T193" s="138"/>
      <c r="U193" s="185"/>
      <c r="V193" s="172"/>
      <c r="W193" s="80"/>
      <c r="X193" s="172"/>
      <c r="Y193" s="172"/>
      <c r="Z193" s="172"/>
      <c r="AA193" s="172"/>
      <c r="AB193" s="172"/>
      <c r="AC193" s="172">
        <v>1.3398406777E10</v>
      </c>
      <c r="AD193" s="172"/>
      <c r="AE193" s="134"/>
      <c r="AF193" s="142"/>
      <c r="AG193" s="83"/>
      <c r="AH193" s="83"/>
      <c r="AI193" s="83"/>
      <c r="AJ193" s="83"/>
      <c r="AK193" s="144"/>
      <c r="AL193" s="144"/>
      <c r="AM193" s="145" t="s">
        <v>1068</v>
      </c>
    </row>
    <row r="194" ht="21.0" customHeight="1">
      <c r="A194" s="193">
        <v>43958.0</v>
      </c>
      <c r="B194" s="76">
        <v>0.4660185185185185</v>
      </c>
      <c r="C194" s="69"/>
      <c r="D194" s="37" t="s">
        <v>804</v>
      </c>
      <c r="E194" s="186">
        <v>5205492.0</v>
      </c>
      <c r="F194" s="186">
        <v>3.6660366E7</v>
      </c>
      <c r="G194" s="206"/>
      <c r="H194" s="75"/>
      <c r="I194" s="75"/>
      <c r="J194" s="75"/>
      <c r="K194" s="75"/>
      <c r="L194" s="75"/>
      <c r="M194" s="53" t="str">
        <f>IFERROR(__xludf.DUMMYFUNCTION("QUERY(Hospitais_BD!D:I,""select E where D='""&amp;D194&amp;""'"",0)"),"BAIXADA FLUMINENSE")</f>
        <v>BAIXADA FLUMINENSE</v>
      </c>
      <c r="N194" s="45" t="str">
        <f>IFERROR(__xludf.DUMMYFUNCTION("QUERY(Hospitais_BD!D:I,""select F where D='""&amp;D194&amp;""'"")"),"Duque de Caxias")</f>
        <v>Duque de Caxias</v>
      </c>
      <c r="O194" s="53" t="str">
        <f>IFERROR(__xludf.DUMMYFUNCTION("QUERY(Hospitais_BD!D:I,""select G where D='""&amp;D194&amp;""'"")"),"Barro Branco")</f>
        <v>Barro Branco</v>
      </c>
      <c r="P194" s="186" t="s">
        <v>1124</v>
      </c>
      <c r="Q194" s="125" t="str">
        <f>IFERROR(__xludf.DUMMYFUNCTION("QUERY(Hospitais_BD!D:I,""select I where D='""&amp;D194&amp;""'"")"),"Público")</f>
        <v>Público</v>
      </c>
      <c r="R194" s="125" t="str">
        <f>IFERROR(__xludf.DUMMYFUNCTION("QUERY(Hospitais_BD!D:I,""select H where D='""&amp;D194&amp;""'"")"),"Unidade básica de saúde - BAIXA COMPLEXIDADE
")</f>
        <v>Unidade básica de saúde - BAIXA COMPLEXIDADE
</v>
      </c>
      <c r="S194" s="194"/>
      <c r="T194" s="126"/>
      <c r="U194" s="180"/>
      <c r="V194" s="186"/>
      <c r="W194" s="101"/>
      <c r="X194" s="186"/>
      <c r="Y194" s="186"/>
      <c r="Z194" s="186"/>
      <c r="AA194" s="186"/>
      <c r="AB194" s="186"/>
      <c r="AC194" s="186">
        <v>2.395897779E9</v>
      </c>
      <c r="AD194" s="186"/>
      <c r="AE194" s="121"/>
      <c r="AF194" s="130"/>
      <c r="AG194" s="75"/>
      <c r="AH194" s="75"/>
      <c r="AI194" s="75"/>
      <c r="AJ194" s="75"/>
      <c r="AK194" s="129"/>
      <c r="AL194" s="129"/>
      <c r="AM194" s="131" t="s">
        <v>1014</v>
      </c>
    </row>
    <row r="195" ht="21.0" customHeight="1">
      <c r="A195" s="190">
        <v>43958.0</v>
      </c>
      <c r="B195" s="191">
        <v>0.46796296296296297</v>
      </c>
      <c r="C195" s="50"/>
      <c r="D195" s="25" t="s">
        <v>806</v>
      </c>
      <c r="E195" s="172">
        <v>2778645.0</v>
      </c>
      <c r="F195" s="172">
        <v>9.80086227E8</v>
      </c>
      <c r="G195" s="202"/>
      <c r="H195" s="83"/>
      <c r="I195" s="83"/>
      <c r="J195" s="83"/>
      <c r="K195" s="83"/>
      <c r="L195" s="83"/>
      <c r="M195" s="70" t="str">
        <f>IFERROR(__xludf.DUMMYFUNCTION("QUERY(Hospitais_BD!D:I,""select E where D='""&amp;D195&amp;""'"",0)"),"BAIXADA FLUMINENSE")</f>
        <v>BAIXADA FLUMINENSE</v>
      </c>
      <c r="N195" s="44" t="str">
        <f>IFERROR(__xludf.DUMMYFUNCTION("QUERY(Hospitais_BD!D:I,""select F where D='""&amp;D195&amp;""'"")"),"Duque de Caxias")</f>
        <v>Duque de Caxias</v>
      </c>
      <c r="O195" s="70" t="str">
        <f>IFERROR(__xludf.DUMMYFUNCTION("QUERY(Hospitais_BD!D:I,""select G where D='""&amp;D195&amp;""'"")"),"Imbarie")</f>
        <v>Imbarie</v>
      </c>
      <c r="P195" s="172" t="s">
        <v>1125</v>
      </c>
      <c r="Q195" s="137" t="str">
        <f>IFERROR(__xludf.DUMMYFUNCTION("QUERY(Hospitais_BD!D:I,""select I where D='""&amp;D195&amp;""'"")"),"Público")</f>
        <v>Público</v>
      </c>
      <c r="R195" s="137" t="str">
        <f>IFERROR(__xludf.DUMMYFUNCTION("QUERY(Hospitais_BD!D:I,""select H where D='""&amp;D195&amp;""'"")"),"Unidade básica de saúde - BAIXA COMPLEXIDADE
")</f>
        <v>Unidade básica de saúde - BAIXA COMPLEXIDADE
</v>
      </c>
      <c r="S195" s="192"/>
      <c r="T195" s="138"/>
      <c r="U195" s="185"/>
      <c r="V195" s="172"/>
      <c r="W195" s="80"/>
      <c r="X195" s="172"/>
      <c r="Y195" s="172"/>
      <c r="Z195" s="172"/>
      <c r="AA195" s="172"/>
      <c r="AB195" s="172"/>
      <c r="AC195" s="172">
        <v>4.1569776E8</v>
      </c>
      <c r="AD195" s="172"/>
      <c r="AE195" s="134"/>
      <c r="AF195" s="142"/>
      <c r="AG195" s="83"/>
      <c r="AH195" s="83"/>
      <c r="AI195" s="83"/>
      <c r="AJ195" s="83"/>
      <c r="AK195" s="144"/>
      <c r="AL195" s="144"/>
      <c r="AM195" s="145" t="s">
        <v>1014</v>
      </c>
    </row>
    <row r="196" ht="21.0" customHeight="1">
      <c r="A196" s="193">
        <v>43958.0</v>
      </c>
      <c r="B196" s="76">
        <v>0.46967592592592594</v>
      </c>
      <c r="C196" s="69"/>
      <c r="D196" s="37" t="s">
        <v>807</v>
      </c>
      <c r="E196" s="186">
        <v>2778602.0</v>
      </c>
      <c r="F196" s="186">
        <v>3.6617935E7</v>
      </c>
      <c r="G196" s="206"/>
      <c r="H196" s="75"/>
      <c r="I196" s="75"/>
      <c r="J196" s="75"/>
      <c r="K196" s="75"/>
      <c r="L196" s="75"/>
      <c r="M196" s="53" t="str">
        <f>IFERROR(__xludf.DUMMYFUNCTION("QUERY(Hospitais_BD!D:I,""select E where D='""&amp;D196&amp;""'"",0)"),"REGIAO METROPOLITANA")</f>
        <v>REGIAO METROPOLITANA</v>
      </c>
      <c r="N196" s="45" t="str">
        <f>IFERROR(__xludf.DUMMYFUNCTION("QUERY(Hospitais_BD!D:I,""select F where D='""&amp;D196&amp;""'"")"),"Duque de Caxias")</f>
        <v>Duque de Caxias</v>
      </c>
      <c r="O196" s="53" t="str">
        <f>IFERROR(__xludf.DUMMYFUNCTION("QUERY(Hospitais_BD!D:I,""select G where D='""&amp;D196&amp;""'"")"),"Jardim Anhanga")</f>
        <v>Jardim Anhanga</v>
      </c>
      <c r="P196" s="186" t="s">
        <v>1126</v>
      </c>
      <c r="Q196" s="125" t="str">
        <f>IFERROR(__xludf.DUMMYFUNCTION("QUERY(Hospitais_BD!D:I,""select I where D='""&amp;D196&amp;""'"")"),"Público")</f>
        <v>Público</v>
      </c>
      <c r="R196" s="125" t="str">
        <f>IFERROR(__xludf.DUMMYFUNCTION("QUERY(Hospitais_BD!D:I,""select H where D='""&amp;D196&amp;""'"")"),"Unidade básica de saúde - BAIXA COMPLEXIDADE
")</f>
        <v>Unidade básica de saúde - BAIXA COMPLEXIDADE
</v>
      </c>
      <c r="S196" s="194"/>
      <c r="T196" s="126"/>
      <c r="U196" s="180"/>
      <c r="V196" s="186"/>
      <c r="W196" s="101"/>
      <c r="X196" s="186"/>
      <c r="Y196" s="186"/>
      <c r="Z196" s="186"/>
      <c r="AA196" s="186"/>
      <c r="AB196" s="186"/>
      <c r="AC196" s="186">
        <v>7.495582707E9</v>
      </c>
      <c r="AD196" s="186"/>
      <c r="AE196" s="121"/>
      <c r="AF196" s="130"/>
      <c r="AG196" s="75"/>
      <c r="AH196" s="75"/>
      <c r="AI196" s="75"/>
      <c r="AJ196" s="75"/>
      <c r="AK196" s="129"/>
      <c r="AL196" s="129"/>
      <c r="AM196" s="131" t="s">
        <v>1014</v>
      </c>
    </row>
    <row r="197" ht="21.0" customHeight="1">
      <c r="A197" s="190">
        <v>43958.0</v>
      </c>
      <c r="B197" s="191">
        <v>0.4714236111111111</v>
      </c>
      <c r="C197" s="50"/>
      <c r="D197" s="25" t="s">
        <v>809</v>
      </c>
      <c r="E197" s="172">
        <v>2277840.0</v>
      </c>
      <c r="F197" s="172">
        <v>2.7873693E7</v>
      </c>
      <c r="G197" s="202"/>
      <c r="H197" s="83"/>
      <c r="I197" s="83"/>
      <c r="J197" s="83"/>
      <c r="K197" s="83"/>
      <c r="L197" s="83"/>
      <c r="M197" s="70" t="str">
        <f>IFERROR(__xludf.DUMMYFUNCTION("QUERY(Hospitais_BD!D:I,""select E where D='""&amp;D197&amp;""'"",0)"),"BAIXADA FLUMINENSE")</f>
        <v>BAIXADA FLUMINENSE</v>
      </c>
      <c r="N197" s="44" t="str">
        <f>IFERROR(__xludf.DUMMYFUNCTION("QUERY(Hospitais_BD!D:I,""select F where D='""&amp;D197&amp;""'"")"),"Duque de Caxias")</f>
        <v>Duque de Caxias</v>
      </c>
      <c r="O197" s="70" t="str">
        <f>IFERROR(__xludf.DUMMYFUNCTION("QUERY(Hospitais_BD!D:I,""select G where D='""&amp;D197&amp;""'"")"),"Taquara")</f>
        <v>Taquara</v>
      </c>
      <c r="P197" s="172" t="s">
        <v>1127</v>
      </c>
      <c r="Q197" s="137" t="str">
        <f>IFERROR(__xludf.DUMMYFUNCTION("QUERY(Hospitais_BD!D:I,""select I where D='""&amp;D197&amp;""'"")"),"Público")</f>
        <v>Público</v>
      </c>
      <c r="R197" s="137" t="str">
        <f>IFERROR(__xludf.DUMMYFUNCTION("QUERY(Hospitais_BD!D:I,""select H where D='""&amp;D197&amp;""'"")"),"Unidade básica de saúde - BAIXA COMPLEXIDADE
")</f>
        <v>Unidade básica de saúde - BAIXA COMPLEXIDADE
</v>
      </c>
      <c r="S197" s="192"/>
      <c r="T197" s="138"/>
      <c r="U197" s="185"/>
      <c r="V197" s="172"/>
      <c r="W197" s="80"/>
      <c r="X197" s="172"/>
      <c r="Y197" s="172"/>
      <c r="Z197" s="172"/>
      <c r="AA197" s="172"/>
      <c r="AB197" s="172"/>
      <c r="AC197" s="172">
        <v>1.4022084723E10</v>
      </c>
      <c r="AD197" s="172"/>
      <c r="AE197" s="134"/>
      <c r="AF197" s="142"/>
      <c r="AG197" s="83"/>
      <c r="AH197" s="83"/>
      <c r="AI197" s="83"/>
      <c r="AJ197" s="83"/>
      <c r="AK197" s="144"/>
      <c r="AL197" s="144"/>
      <c r="AM197" s="145" t="s">
        <v>1014</v>
      </c>
    </row>
    <row r="198" ht="21.0" customHeight="1">
      <c r="A198" s="193">
        <v>43958.0</v>
      </c>
      <c r="B198" s="76">
        <v>0.47435185185185186</v>
      </c>
      <c r="C198" s="69"/>
      <c r="D198" s="37" t="s">
        <v>810</v>
      </c>
      <c r="E198" s="186">
        <v>2283514.0</v>
      </c>
      <c r="F198" s="186">
        <v>3.7771974E7</v>
      </c>
      <c r="G198" s="206"/>
      <c r="H198" s="75"/>
      <c r="I198" s="75"/>
      <c r="J198" s="75"/>
      <c r="K198" s="75"/>
      <c r="L198" s="75"/>
      <c r="M198" s="53" t="str">
        <f>IFERROR(__xludf.DUMMYFUNCTION("QUERY(Hospitais_BD!D:I,""select E where D='""&amp;D198&amp;""'"",0)"),"BAIXADA FLUMINENSE")</f>
        <v>BAIXADA FLUMINENSE</v>
      </c>
      <c r="N198" s="45" t="str">
        <f>IFERROR(__xludf.DUMMYFUNCTION("QUERY(Hospitais_BD!D:I,""select F where D='""&amp;D198&amp;""'"")"),"Duque de Caxias")</f>
        <v>Duque de Caxias</v>
      </c>
      <c r="O198" s="53" t="str">
        <f>IFERROR(__xludf.DUMMYFUNCTION("QUERY(Hospitais_BD!D:I,""select G where D='""&amp;D198&amp;""'"")"),"Jardim Olimpo")</f>
        <v>Jardim Olimpo</v>
      </c>
      <c r="P198" s="186" t="s">
        <v>1128</v>
      </c>
      <c r="Q198" s="125" t="str">
        <f>IFERROR(__xludf.DUMMYFUNCTION("QUERY(Hospitais_BD!D:I,""select I where D='""&amp;D198&amp;""'"")"),"Público")</f>
        <v>Público</v>
      </c>
      <c r="R198" s="125" t="str">
        <f>IFERROR(__xludf.DUMMYFUNCTION("QUERY(Hospitais_BD!D:I,""select H where D='""&amp;D198&amp;""'"")"),"Unidade básica de saúde - BAIXA COMPLEXIDADE
")</f>
        <v>Unidade básica de saúde - BAIXA COMPLEXIDADE
</v>
      </c>
      <c r="S198" s="194"/>
      <c r="T198" s="126"/>
      <c r="U198" s="180"/>
      <c r="V198" s="186"/>
      <c r="W198" s="101"/>
      <c r="X198" s="186"/>
      <c r="Y198" s="186"/>
      <c r="Z198" s="186"/>
      <c r="AA198" s="186"/>
      <c r="AB198" s="186"/>
      <c r="AC198" s="186">
        <v>5.733742798E9</v>
      </c>
      <c r="AD198" s="186"/>
      <c r="AE198" s="121"/>
      <c r="AF198" s="130"/>
      <c r="AG198" s="75"/>
      <c r="AH198" s="75"/>
      <c r="AI198" s="75"/>
      <c r="AJ198" s="75"/>
      <c r="AK198" s="129"/>
      <c r="AL198" s="129"/>
      <c r="AM198" s="131" t="s">
        <v>1014</v>
      </c>
    </row>
    <row r="199" ht="21.0" customHeight="1">
      <c r="A199" s="190">
        <v>43958.0</v>
      </c>
      <c r="B199" s="191">
        <v>0.4760185185185185</v>
      </c>
      <c r="C199" s="50"/>
      <c r="D199" s="25" t="s">
        <v>812</v>
      </c>
      <c r="E199" s="172">
        <v>2295814.0</v>
      </c>
      <c r="F199" s="172">
        <v>2.654767E7</v>
      </c>
      <c r="G199" s="202"/>
      <c r="H199" s="83"/>
      <c r="I199" s="83"/>
      <c r="J199" s="83"/>
      <c r="K199" s="83"/>
      <c r="L199" s="83"/>
      <c r="M199" s="70" t="str">
        <f>IFERROR(__xludf.DUMMYFUNCTION("QUERY(Hospitais_BD!D:I,""select E where D='""&amp;D199&amp;""'"",0)"),"BAIXADA FLUMINENSE")</f>
        <v>BAIXADA FLUMINENSE</v>
      </c>
      <c r="N199" s="44" t="str">
        <f>IFERROR(__xludf.DUMMYFUNCTION("QUERY(Hospitais_BD!D:I,""select F where D='""&amp;D199&amp;""'"")"),"Duque de Caxias")</f>
        <v>Duque de Caxias</v>
      </c>
      <c r="O199" s="70" t="str">
        <f>IFERROR(__xludf.DUMMYFUNCTION("QUERY(Hospitais_BD!D:I,""select G where D='""&amp;D199&amp;""'"")"),"Santo Antonio da Serra")</f>
        <v>Santo Antonio da Serra</v>
      </c>
      <c r="P199" s="172" t="s">
        <v>1129</v>
      </c>
      <c r="Q199" s="137" t="str">
        <f>IFERROR(__xludf.DUMMYFUNCTION("QUERY(Hospitais_BD!D:I,""select I where D='""&amp;D199&amp;""'"")"),"Público")</f>
        <v>Público</v>
      </c>
      <c r="R199" s="137" t="str">
        <f>IFERROR(__xludf.DUMMYFUNCTION("QUERY(Hospitais_BD!D:I,""select H where D='""&amp;D199&amp;""'"")"),"Unidade básica de saúde - BAIXA COMPLEXIDADE
")</f>
        <v>Unidade básica de saúde - BAIXA COMPLEXIDADE
</v>
      </c>
      <c r="S199" s="192"/>
      <c r="T199" s="138"/>
      <c r="U199" s="185"/>
      <c r="V199" s="172"/>
      <c r="W199" s="80"/>
      <c r="X199" s="172"/>
      <c r="Y199" s="172"/>
      <c r="Z199" s="172"/>
      <c r="AA199" s="172"/>
      <c r="AB199" s="172"/>
      <c r="AC199" s="172">
        <v>8.9178963753E10</v>
      </c>
      <c r="AD199" s="172"/>
      <c r="AE199" s="134"/>
      <c r="AF199" s="142"/>
      <c r="AG199" s="83"/>
      <c r="AH199" s="83"/>
      <c r="AI199" s="83"/>
      <c r="AJ199" s="83"/>
      <c r="AK199" s="144"/>
      <c r="AL199" s="144"/>
      <c r="AM199" s="145" t="s">
        <v>1014</v>
      </c>
    </row>
    <row r="200" ht="21.0" customHeight="1">
      <c r="A200" s="193">
        <v>43958.0</v>
      </c>
      <c r="B200" s="76">
        <v>0.4777199074074074</v>
      </c>
      <c r="C200" s="69"/>
      <c r="D200" s="37" t="s">
        <v>814</v>
      </c>
      <c r="E200" s="186">
        <v>5287545.0</v>
      </c>
      <c r="F200" s="186">
        <v>9.95174558E8</v>
      </c>
      <c r="G200" s="206"/>
      <c r="H200" s="75"/>
      <c r="I200" s="75"/>
      <c r="J200" s="75"/>
      <c r="K200" s="75"/>
      <c r="L200" s="75"/>
      <c r="M200" s="53" t="str">
        <f>IFERROR(__xludf.DUMMYFUNCTION("QUERY(Hospitais_BD!D:I,""select E where D='""&amp;D200&amp;""'"",0)"),"BAIXADA FLUMINENSE")</f>
        <v>BAIXADA FLUMINENSE</v>
      </c>
      <c r="N200" s="45" t="str">
        <f>IFERROR(__xludf.DUMMYFUNCTION("QUERY(Hospitais_BD!D:I,""select F where D='""&amp;D200&amp;""'"")"),"Duque de Caxias")</f>
        <v>Duque de Caxias</v>
      </c>
      <c r="O200" s="53" t="str">
        <f>IFERROR(__xludf.DUMMYFUNCTION("QUERY(Hospitais_BD!D:I,""select G where D='""&amp;D200&amp;""'"")"),"Santa Rosa")</f>
        <v>Santa Rosa</v>
      </c>
      <c r="P200" s="186" t="s">
        <v>1130</v>
      </c>
      <c r="Q200" s="125" t="str">
        <f>IFERROR(__xludf.DUMMYFUNCTION("QUERY(Hospitais_BD!D:I,""select I where D='""&amp;D200&amp;""'"")"),"Público")</f>
        <v>Público</v>
      </c>
      <c r="R200" s="125" t="str">
        <f>IFERROR(__xludf.DUMMYFUNCTION("QUERY(Hospitais_BD!D:I,""select H where D='""&amp;D200&amp;""'"")"),"Unidade básica de saúde - BAIXA COMPLEXIDADE
")</f>
        <v>Unidade básica de saúde - BAIXA COMPLEXIDADE
</v>
      </c>
      <c r="S200" s="194"/>
      <c r="T200" s="126"/>
      <c r="U200" s="180"/>
      <c r="V200" s="186"/>
      <c r="W200" s="101"/>
      <c r="X200" s="186"/>
      <c r="Y200" s="186"/>
      <c r="Z200" s="186"/>
      <c r="AA200" s="186"/>
      <c r="AB200" s="186"/>
      <c r="AC200" s="186">
        <v>1.3577881771E10</v>
      </c>
      <c r="AD200" s="186"/>
      <c r="AE200" s="121"/>
      <c r="AF200" s="130"/>
      <c r="AG200" s="75"/>
      <c r="AH200" s="75"/>
      <c r="AI200" s="75"/>
      <c r="AJ200" s="75"/>
      <c r="AK200" s="129"/>
      <c r="AL200" s="129"/>
      <c r="AM200" s="131" t="s">
        <v>1014</v>
      </c>
    </row>
    <row r="201" ht="21.0" customHeight="1">
      <c r="A201" s="190">
        <v>43958.0</v>
      </c>
      <c r="B201" s="191">
        <v>0.5481134259259259</v>
      </c>
      <c r="C201" s="50"/>
      <c r="D201" s="25" t="s">
        <v>815</v>
      </c>
      <c r="E201" s="172">
        <v>2.913832800015E13</v>
      </c>
      <c r="F201" s="172">
        <v>2.19871908E10</v>
      </c>
      <c r="G201" s="202"/>
      <c r="H201" s="83"/>
      <c r="I201" s="83"/>
      <c r="J201" s="83"/>
      <c r="K201" s="83"/>
      <c r="L201" s="83"/>
      <c r="M201" s="70" t="str">
        <f>IFERROR(__xludf.DUMMYFUNCTION("QUERY(Hospitais_BD!D:I,""select E where D='""&amp;D201&amp;""'"",0)"),"REGIAO METROPOLITANA")</f>
        <v>REGIAO METROPOLITANA</v>
      </c>
      <c r="N201" s="44" t="str">
        <f>IFERROR(__xludf.DUMMYFUNCTION("QUERY(Hospitais_BD!D:I,""select F where D='""&amp;D201&amp;""'"")"),"Duque de Caxias")</f>
        <v>Duque de Caxias</v>
      </c>
      <c r="O201" s="70" t="str">
        <f>IFERROR(__xludf.DUMMYFUNCTION("QUERY(Hospitais_BD!D:I,""select G where D='""&amp;D201&amp;""'"")"),"Vila Operaria")</f>
        <v>Vila Operaria</v>
      </c>
      <c r="P201" s="172" t="s">
        <v>1131</v>
      </c>
      <c r="Q201" s="137" t="str">
        <f>IFERROR(__xludf.DUMMYFUNCTION("QUERY(Hospitais_BD!D:I,""select I where D='""&amp;D201&amp;""'"")"),"Público")</f>
        <v>Público</v>
      </c>
      <c r="R201" s="137" t="str">
        <f>IFERROR(__xludf.DUMMYFUNCTION("QUERY(Hospitais_BD!D:I,""select H where D='""&amp;D201&amp;""'"")"),"Unidade básica de saúde - BAIXA COMPLEXIDADE
")</f>
        <v>Unidade básica de saúde - BAIXA COMPLEXIDADE
</v>
      </c>
      <c r="S201" s="192" t="s">
        <v>1101</v>
      </c>
      <c r="T201" s="138"/>
      <c r="U201" s="185"/>
      <c r="V201" s="172"/>
      <c r="W201" s="80"/>
      <c r="X201" s="172"/>
      <c r="Y201" s="172"/>
      <c r="Z201" s="172"/>
      <c r="AA201" s="172"/>
      <c r="AB201" s="172"/>
      <c r="AC201" s="172">
        <v>9.695496792E9</v>
      </c>
      <c r="AD201" s="172"/>
      <c r="AE201" s="134"/>
      <c r="AF201" s="142"/>
      <c r="AG201" s="83"/>
      <c r="AH201" s="83"/>
      <c r="AI201" s="83"/>
      <c r="AJ201" s="83"/>
      <c r="AK201" s="144"/>
      <c r="AL201" s="144"/>
      <c r="AM201" s="145" t="s">
        <v>1014</v>
      </c>
    </row>
    <row r="202" ht="21.0" customHeight="1">
      <c r="A202" s="193">
        <v>43958.0</v>
      </c>
      <c r="B202" s="76">
        <v>0.6149074074074075</v>
      </c>
      <c r="C202" s="69"/>
      <c r="D202" s="37" t="s">
        <v>817</v>
      </c>
      <c r="E202" s="186">
        <v>2.91383280015E12</v>
      </c>
      <c r="F202" s="186">
        <v>2.7726613E7</v>
      </c>
      <c r="G202" s="206"/>
      <c r="H202" s="75"/>
      <c r="I202" s="75"/>
      <c r="J202" s="75"/>
      <c r="K202" s="75"/>
      <c r="L202" s="75"/>
      <c r="M202" s="53" t="str">
        <f>IFERROR(__xludf.DUMMYFUNCTION("QUERY(Hospitais_BD!D:I,""select E where D='""&amp;D202&amp;""'"",0)"),"BAIXADA FLUMINENSE")</f>
        <v>BAIXADA FLUMINENSE</v>
      </c>
      <c r="N202" s="45" t="str">
        <f>IFERROR(__xludf.DUMMYFUNCTION("QUERY(Hospitais_BD!D:I,""select F where D='""&amp;D202&amp;""'"")"),"Duque de Caxias")</f>
        <v>Duque de Caxias</v>
      </c>
      <c r="O202" s="53" t="str">
        <f>IFERROR(__xludf.DUMMYFUNCTION("QUERY(Hospitais_BD!D:I,""select G where D='""&amp;D202&amp;""'"")"),"Parque Felicidade")</f>
        <v>Parque Felicidade</v>
      </c>
      <c r="P202" s="186" t="s">
        <v>1132</v>
      </c>
      <c r="Q202" s="125" t="str">
        <f>IFERROR(__xludf.DUMMYFUNCTION("QUERY(Hospitais_BD!D:I,""select I where D='""&amp;D202&amp;""'"")"),"Público")</f>
        <v>Público</v>
      </c>
      <c r="R202" s="125" t="str">
        <f>IFERROR(__xludf.DUMMYFUNCTION("QUERY(Hospitais_BD!D:I,""select H where D='""&amp;D202&amp;""'"")"),"Unidade básica de saúde - BAIXA COMPLEXIDADE
")</f>
        <v>Unidade básica de saúde - BAIXA COMPLEXIDADE
</v>
      </c>
      <c r="S202" s="194" t="s">
        <v>1133</v>
      </c>
      <c r="T202" s="126"/>
      <c r="U202" s="180"/>
      <c r="V202" s="186"/>
      <c r="W202" s="101"/>
      <c r="X202" s="186"/>
      <c r="Y202" s="186"/>
      <c r="Z202" s="186"/>
      <c r="AA202" s="186"/>
      <c r="AB202" s="186"/>
      <c r="AC202" s="186">
        <v>1.5098967759E10</v>
      </c>
      <c r="AD202" s="186"/>
      <c r="AE202" s="121"/>
      <c r="AF202" s="130"/>
      <c r="AG202" s="75"/>
      <c r="AH202" s="75"/>
      <c r="AI202" s="75"/>
      <c r="AJ202" s="75"/>
      <c r="AK202" s="129"/>
      <c r="AL202" s="129"/>
      <c r="AM202" s="131" t="s">
        <v>1014</v>
      </c>
    </row>
    <row r="203" ht="21.0" customHeight="1">
      <c r="A203" s="190">
        <v>43958.0</v>
      </c>
      <c r="B203" s="191">
        <v>0.6747106481481482</v>
      </c>
      <c r="C203" s="50"/>
      <c r="D203" s="25" t="s">
        <v>78</v>
      </c>
      <c r="E203" s="172">
        <v>3.207923000107E12</v>
      </c>
      <c r="F203" s="172">
        <v>3.8670569E7</v>
      </c>
      <c r="G203" s="202"/>
      <c r="H203" s="83"/>
      <c r="I203" s="83"/>
      <c r="J203" s="83"/>
      <c r="K203" s="83"/>
      <c r="L203" s="83"/>
      <c r="M203" s="70" t="str">
        <f>IFERROR(__xludf.DUMMYFUNCTION("QUERY(Hospitais_BD!D:I,""select E where D='""&amp;D203&amp;""'"",0)"),"CENTRO")</f>
        <v>CENTRO</v>
      </c>
      <c r="N203" s="44" t="str">
        <f>IFERROR(__xludf.DUMMYFUNCTION("QUERY(Hospitais_BD!D:I,""select F where D='""&amp;D203&amp;""'"")"),"Rio de Janeiro")</f>
        <v>Rio de Janeiro</v>
      </c>
      <c r="O203" s="70" t="str">
        <f>IFERROR(__xludf.DUMMYFUNCTION("QUERY(Hospitais_BD!D:I,""select G where D='""&amp;D203&amp;""'"")"),"Caju")</f>
        <v>Caju</v>
      </c>
      <c r="P203" s="172" t="s">
        <v>1134</v>
      </c>
      <c r="Q203" s="137" t="str">
        <f>IFERROR(__xludf.DUMMYFUNCTION("QUERY(Hospitais_BD!D:I,""select I where D='""&amp;D203&amp;""'"")"),"Público")</f>
        <v>Público</v>
      </c>
      <c r="R203" s="137" t="str">
        <f>IFERROR(__xludf.DUMMYFUNCTION("QUERY(Hospitais_BD!D:I,""select H where D='""&amp;D203&amp;""'"")"),"Unidade básica - BAIXA COMPLEXIDADE")</f>
        <v>Unidade básica - BAIXA COMPLEXIDADE</v>
      </c>
      <c r="S203" s="192" t="s">
        <v>1135</v>
      </c>
      <c r="T203" s="192"/>
      <c r="U203" s="185"/>
      <c r="V203" s="172"/>
      <c r="W203" s="80"/>
      <c r="X203" s="172"/>
      <c r="Y203" s="172"/>
      <c r="Z203" s="172"/>
      <c r="AA203" s="172"/>
      <c r="AB203" s="172"/>
      <c r="AC203" s="172">
        <v>1.2386355713E10</v>
      </c>
      <c r="AD203" s="172"/>
      <c r="AE203" s="134"/>
      <c r="AF203" s="142"/>
      <c r="AG203" s="83"/>
      <c r="AH203" s="83"/>
      <c r="AI203" s="83"/>
      <c r="AJ203" s="83"/>
      <c r="AK203" s="144"/>
      <c r="AL203" s="144"/>
      <c r="AM203" s="145" t="s">
        <v>1014</v>
      </c>
    </row>
    <row r="204" ht="21.0" customHeight="1">
      <c r="A204" s="193">
        <v>43959.0</v>
      </c>
      <c r="B204" s="76">
        <v>0.9630902777777778</v>
      </c>
      <c r="C204" s="69"/>
      <c r="D204" s="37" t="s">
        <v>273</v>
      </c>
      <c r="E204" s="186">
        <v>3.945440127874E12</v>
      </c>
      <c r="F204" s="186">
        <v>2.2913131E7</v>
      </c>
      <c r="G204" s="206"/>
      <c r="H204" s="75"/>
      <c r="I204" s="75"/>
      <c r="J204" s="75"/>
      <c r="K204" s="75"/>
      <c r="L204" s="75"/>
      <c r="M204" s="53" t="str">
        <f>IFERROR(__xludf.DUMMYFUNCTION("QUERY(Hospitais_BD!D:I,""select E where D='""&amp;D204&amp;""'"",0)"),"#REF!")</f>
        <v>#REF!</v>
      </c>
      <c r="N204" s="45" t="str">
        <f>IFERROR(__xludf.DUMMYFUNCTION("QUERY(Hospitais_BD!D:I,""select F where D='""&amp;D204&amp;""'"")"),"#REF!")</f>
        <v>#REF!</v>
      </c>
      <c r="O204" s="53" t="str">
        <f>IFERROR(__xludf.DUMMYFUNCTION("QUERY(Hospitais_BD!D:I,""select G where D='""&amp;D204&amp;""'"")"),"#REF!")</f>
        <v>#REF!</v>
      </c>
      <c r="P204" s="186" t="s">
        <v>1136</v>
      </c>
      <c r="Q204" s="125" t="str">
        <f>IFERROR(__xludf.DUMMYFUNCTION("QUERY(Hospitais_BD!D:I,""select I where D='""&amp;D204&amp;""'"")"),"#REF!")</f>
        <v>#REF!</v>
      </c>
      <c r="R204" s="125" t="str">
        <f>IFERROR(__xludf.DUMMYFUNCTION("QUERY(Hospitais_BD!D:I,""select H where D='""&amp;D204&amp;""'"")"),"#REF!")</f>
        <v>#REF!</v>
      </c>
      <c r="S204" s="194"/>
      <c r="T204" s="194"/>
      <c r="U204" s="180"/>
      <c r="V204" s="186"/>
      <c r="W204" s="101"/>
      <c r="X204" s="186"/>
      <c r="Y204" s="186"/>
      <c r="Z204" s="186"/>
      <c r="AA204" s="186"/>
      <c r="AB204" s="186"/>
      <c r="AC204" s="186">
        <v>3.768065758E9</v>
      </c>
      <c r="AD204" s="186"/>
      <c r="AE204" s="121"/>
      <c r="AF204" s="130"/>
      <c r="AG204" s="75">
        <v>100.0</v>
      </c>
      <c r="AH204" s="75"/>
      <c r="AI204" s="75"/>
      <c r="AJ204" s="75"/>
      <c r="AK204" s="129"/>
      <c r="AL204" s="129"/>
      <c r="AM204" s="131" t="s">
        <v>1003</v>
      </c>
    </row>
    <row r="205" ht="21.0" customHeight="1">
      <c r="A205" s="190">
        <v>43961.0</v>
      </c>
      <c r="B205" s="191">
        <v>0.7910879629629629</v>
      </c>
      <c r="C205" s="50"/>
      <c r="D205" s="25" t="s">
        <v>730</v>
      </c>
      <c r="E205" s="172">
        <v>4.2498733000148E13</v>
      </c>
      <c r="F205" s="172">
        <v>3.01961981E8</v>
      </c>
      <c r="G205" s="202"/>
      <c r="H205" s="83"/>
      <c r="I205" s="83"/>
      <c r="J205" s="83"/>
      <c r="K205" s="83"/>
      <c r="L205" s="83"/>
      <c r="M205" s="70" t="str">
        <f>IFERROR(__xludf.DUMMYFUNCTION("QUERY(Hospitais_BD!D:I,""select E where D='""&amp;D205&amp;""'"",0)"),"REGIAO METROPOLITANA")</f>
        <v>REGIAO METROPOLITANA</v>
      </c>
      <c r="N205" s="44" t="str">
        <f>IFERROR(__xludf.DUMMYFUNCTION("QUERY(Hospitais_BD!D:I,""select F where D='""&amp;D205&amp;""'"")"),"Rio de Janeiro")</f>
        <v>Rio de Janeiro</v>
      </c>
      <c r="O205" s="70" t="str">
        <f>IFERROR(__xludf.DUMMYFUNCTION("QUERY(Hospitais_BD!D:I,""select G where D='""&amp;D205&amp;""'"")"),"Anchieta")</f>
        <v>Anchieta</v>
      </c>
      <c r="P205" s="172" t="s">
        <v>1137</v>
      </c>
      <c r="Q205" s="137" t="str">
        <f>IFERROR(__xludf.DUMMYFUNCTION("QUERY(Hospitais_BD!D:I,""select I where D='""&amp;D205&amp;""'"")"),"Público")</f>
        <v>Público</v>
      </c>
      <c r="R205" s="137" t="str">
        <f>IFERROR(__xludf.DUMMYFUNCTION("QUERY(Hospitais_BD!D:I,""select H where D='""&amp;D205&amp;""'"")"),"Unidade básica de saúde - BAIXA COMPLEXIDADE
")</f>
        <v>Unidade básica de saúde - BAIXA COMPLEXIDADE
</v>
      </c>
      <c r="S205" s="192" t="s">
        <v>1138</v>
      </c>
      <c r="T205" s="192"/>
      <c r="U205" s="185"/>
      <c r="V205" s="172"/>
      <c r="W205" s="80"/>
      <c r="X205" s="172"/>
      <c r="Y205" s="172"/>
      <c r="Z205" s="172"/>
      <c r="AA205" s="172"/>
      <c r="AB205" s="172"/>
      <c r="AC205" s="172">
        <v>9.119533705E9</v>
      </c>
      <c r="AD205" s="172"/>
      <c r="AE205" s="134"/>
      <c r="AF205" s="142"/>
      <c r="AG205" s="83">
        <v>25.0</v>
      </c>
      <c r="AH205" s="83"/>
      <c r="AI205" s="83"/>
      <c r="AJ205" s="83"/>
      <c r="AK205" s="144">
        <v>6.0</v>
      </c>
      <c r="AL205" s="144"/>
      <c r="AM205" s="145" t="s">
        <v>1003</v>
      </c>
    </row>
    <row r="206" ht="21.0" customHeight="1">
      <c r="A206" s="193">
        <v>43962.0</v>
      </c>
      <c r="B206" s="76">
        <v>0.7073495370370371</v>
      </c>
      <c r="C206" s="69"/>
      <c r="D206" s="37" t="s">
        <v>639</v>
      </c>
      <c r="E206" s="186">
        <v>3.36636830016E13</v>
      </c>
      <c r="F206" s="186">
        <v>9.71172817E8</v>
      </c>
      <c r="G206" s="206"/>
      <c r="H206" s="75"/>
      <c r="I206" s="75"/>
      <c r="J206" s="75"/>
      <c r="K206" s="75"/>
      <c r="L206" s="75"/>
      <c r="M206" s="53" t="str">
        <f>IFERROR(__xludf.DUMMYFUNCTION("QUERY(Hospitais_BD!D:I,""select E where D='""&amp;D206&amp;""'"",0)"),"ZONA NORTE")</f>
        <v>ZONA NORTE</v>
      </c>
      <c r="N206" s="45" t="str">
        <f>IFERROR(__xludf.DUMMYFUNCTION("QUERY(Hospitais_BD!D:I,""select F where D='""&amp;D206&amp;""'"")"),"Rio de Janeiro")</f>
        <v>Rio de Janeiro</v>
      </c>
      <c r="O206" s="53" t="str">
        <f>IFERROR(__xludf.DUMMYFUNCTION("QUERY(Hospitais_BD!D:I,""select G where D='""&amp;D206&amp;""'"")"),"Ilha do Fundao - Cidade Universitaria")</f>
        <v>Ilha do Fundao - Cidade Universitaria</v>
      </c>
      <c r="P206" s="186" t="s">
        <v>1139</v>
      </c>
      <c r="Q206" s="125" t="str">
        <f>IFERROR(__xludf.DUMMYFUNCTION("QUERY(Hospitais_BD!D:I,""select I where D='""&amp;D206&amp;""'"")"),"Público")</f>
        <v>Público</v>
      </c>
      <c r="R206" s="125" t="str">
        <f>IFERROR(__xludf.DUMMYFUNCTION("QUERY(Hospitais_BD!D:I,""select H where D='""&amp;D206&amp;""'"")"),"Unidade de atendimento publico odontológico
")</f>
        <v>Unidade de atendimento publico odontológico
</v>
      </c>
      <c r="S206" s="194" t="s">
        <v>1140</v>
      </c>
      <c r="T206" s="194"/>
      <c r="U206" s="180"/>
      <c r="V206" s="186"/>
      <c r="W206" s="101"/>
      <c r="X206" s="186"/>
      <c r="Y206" s="186"/>
      <c r="Z206" s="186"/>
      <c r="AA206" s="186"/>
      <c r="AB206" s="186"/>
      <c r="AC206" s="186">
        <v>9.1579813704E10</v>
      </c>
      <c r="AD206" s="186"/>
      <c r="AE206" s="121"/>
      <c r="AF206" s="130"/>
      <c r="AG206" s="75"/>
      <c r="AH206" s="75"/>
      <c r="AI206" s="75"/>
      <c r="AJ206" s="75"/>
      <c r="AK206" s="129"/>
      <c r="AL206" s="129"/>
      <c r="AM206" s="131" t="s">
        <v>1014</v>
      </c>
    </row>
    <row r="207" ht="21.0" customHeight="1">
      <c r="A207" s="190">
        <v>43962.0</v>
      </c>
      <c r="B207" s="191">
        <v>0.7280671296296296</v>
      </c>
      <c r="C207" s="50"/>
      <c r="D207" s="157" t="s">
        <v>635</v>
      </c>
      <c r="E207" s="172">
        <v>3.6475879002038E13</v>
      </c>
      <c r="F207" s="172">
        <v>2.6452626E7</v>
      </c>
      <c r="G207" s="202"/>
      <c r="H207" s="83"/>
      <c r="I207" s="83"/>
      <c r="J207" s="83"/>
      <c r="K207" s="83"/>
      <c r="L207" s="83"/>
      <c r="M207" s="70" t="str">
        <f>IFERROR(__xludf.DUMMYFUNCTION("QUERY(Hospitais_BD!D:I,""select E where D='""&amp;D207&amp;""'"",0)"),"REGIAO DOS LAGOS")</f>
        <v>REGIAO DOS LAGOS</v>
      </c>
      <c r="N207" s="44" t="str">
        <f>IFERROR(__xludf.DUMMYFUNCTION("QUERY(Hospitais_BD!D:I,""select F where D='""&amp;D207&amp;""'"")"),"Cabo frio")</f>
        <v>Cabo frio</v>
      </c>
      <c r="O207" s="70" t="str">
        <f>IFERROR(__xludf.DUMMYFUNCTION("QUERY(Hospitais_BD!D:I,""select G where D='""&amp;D207&amp;""'"")"),"Sao Cristovao")</f>
        <v>Sao Cristovao</v>
      </c>
      <c r="P207" s="172" t="s">
        <v>1141</v>
      </c>
      <c r="Q207" s="137" t="str">
        <f>IFERROR(__xludf.DUMMYFUNCTION("QUERY(Hospitais_BD!D:I,""select I where D='""&amp;D207&amp;""'"")"),"Público")</f>
        <v>Público</v>
      </c>
      <c r="R207" s="137" t="str">
        <f>IFERROR(__xludf.DUMMYFUNCTION("QUERY(Hospitais_BD!D:I,""select H where D='""&amp;D207&amp;""'"")"),"Grande emergência - MÉDIA COMPLEXIDADE
")</f>
        <v>Grande emergência - MÉDIA COMPLEXIDADE
</v>
      </c>
      <c r="S207" s="192" t="s">
        <v>1142</v>
      </c>
      <c r="T207" s="192"/>
      <c r="U207" s="185"/>
      <c r="V207" s="172"/>
      <c r="W207" s="80"/>
      <c r="X207" s="172"/>
      <c r="Y207" s="209"/>
      <c r="Z207" s="172"/>
      <c r="AA207" s="172"/>
      <c r="AB207" s="172"/>
      <c r="AC207" s="172">
        <v>8.248926745E9</v>
      </c>
      <c r="AD207" s="172"/>
      <c r="AE207" s="134"/>
      <c r="AF207" s="142"/>
      <c r="AG207" s="83">
        <v>150.0</v>
      </c>
      <c r="AH207" s="83"/>
      <c r="AI207" s="83"/>
      <c r="AJ207" s="83"/>
      <c r="AK207" s="144"/>
      <c r="AL207" s="144"/>
      <c r="AM207" s="145" t="s">
        <v>1003</v>
      </c>
    </row>
    <row r="208" ht="21.0" customHeight="1">
      <c r="A208" s="193">
        <v>43962.0</v>
      </c>
      <c r="B208" s="76">
        <v>0.9565162037037037</v>
      </c>
      <c r="C208" s="69"/>
      <c r="D208" s="37" t="s">
        <v>629</v>
      </c>
      <c r="E208" s="186">
        <v>2.946805501184E12</v>
      </c>
      <c r="F208" s="186">
        <v>2.2952121E7</v>
      </c>
      <c r="G208" s="206"/>
      <c r="H208" s="75"/>
      <c r="I208" s="75"/>
      <c r="J208" s="75"/>
      <c r="K208" s="75"/>
      <c r="L208" s="75"/>
      <c r="M208" s="53" t="str">
        <f>IFERROR(__xludf.DUMMYFUNCTION("QUERY(Hospitais_BD!D:I,""select E where D='""&amp;D208&amp;""'"",0)"),"ZONA SUL")</f>
        <v>ZONA SUL</v>
      </c>
      <c r="N208" s="45" t="str">
        <f>IFERROR(__xludf.DUMMYFUNCTION("QUERY(Hospitais_BD!D:I,""select F where D='""&amp;D208&amp;""'"")"),"Rio de Janeiro")</f>
        <v>Rio de Janeiro</v>
      </c>
      <c r="O208" s="53" t="str">
        <f>IFERROR(__xludf.DUMMYFUNCTION("QUERY(Hospitais_BD!D:I,""select G where D='""&amp;D208&amp;""'"")"),"Botafogo")</f>
        <v>Botafogo</v>
      </c>
      <c r="P208" s="186" t="s">
        <v>1143</v>
      </c>
      <c r="Q208" s="125" t="str">
        <f>IFERROR(__xludf.DUMMYFUNCTION("QUERY(Hospitais_BD!D:I,""select I where D='""&amp;D208&amp;""'"")"),"Público")</f>
        <v>Público</v>
      </c>
      <c r="R208" s="125" t="str">
        <f>IFERROR(__xludf.DUMMYFUNCTION("QUERY(Hospitais_BD!D:I,""select H where D='""&amp;D208&amp;""'"")"),"Hospital de Apoio - MÉDIA COMPLEXIDADE
")</f>
        <v>Hospital de Apoio - MÉDIA COMPLEXIDADE
</v>
      </c>
      <c r="S208" s="194" t="s">
        <v>1144</v>
      </c>
      <c r="T208" s="194"/>
      <c r="U208" s="180"/>
      <c r="V208" s="186"/>
      <c r="W208" s="101"/>
      <c r="X208" s="186"/>
      <c r="Y208" s="186"/>
      <c r="Z208" s="186"/>
      <c r="AA208" s="186"/>
      <c r="AB208" s="186"/>
      <c r="AC208" s="186" t="s">
        <v>1145</v>
      </c>
      <c r="AD208" s="186">
        <v>103342.0</v>
      </c>
      <c r="AE208" s="121"/>
      <c r="AF208" s="130"/>
      <c r="AG208" s="75">
        <v>100.0</v>
      </c>
      <c r="AH208" s="75"/>
      <c r="AI208" s="75"/>
      <c r="AJ208" s="75"/>
      <c r="AK208" s="129"/>
      <c r="AL208" s="129"/>
      <c r="AM208" s="131" t="s">
        <v>1003</v>
      </c>
    </row>
    <row r="209" ht="21.0" customHeight="1">
      <c r="A209" s="190">
        <v>43963.0</v>
      </c>
      <c r="B209" s="191">
        <v>0.449525462962963</v>
      </c>
      <c r="C209" s="50"/>
      <c r="D209" s="25" t="s">
        <v>1146</v>
      </c>
      <c r="E209" s="172">
        <v>3.3781055001107E13</v>
      </c>
      <c r="F209" s="172">
        <v>2.5982346E7</v>
      </c>
      <c r="G209" s="202"/>
      <c r="H209" s="83"/>
      <c r="I209" s="83"/>
      <c r="J209" s="83"/>
      <c r="K209" s="83"/>
      <c r="L209" s="83"/>
      <c r="M209" s="70" t="str">
        <f>IFERROR(__xludf.DUMMYFUNCTION("QUERY(Hospitais_BD!D:I,""select E where D='""&amp;D209&amp;""'"",0)"),"#N/A")</f>
        <v>#N/A</v>
      </c>
      <c r="N209" s="44" t="str">
        <f>IFERROR(__xludf.DUMMYFUNCTION("QUERY(Hospitais_BD!D:I,""select F where D='""&amp;D209&amp;""'"")"),"#N/A")</f>
        <v>#N/A</v>
      </c>
      <c r="O209" s="70" t="str">
        <f>IFERROR(__xludf.DUMMYFUNCTION("QUERY(Hospitais_BD!D:I,""select G where D='""&amp;D209&amp;""'"")"),"#N/A")</f>
        <v>#N/A</v>
      </c>
      <c r="P209" s="172" t="s">
        <v>1147</v>
      </c>
      <c r="Q209" s="137" t="str">
        <f>IFERROR(__xludf.DUMMYFUNCTION("QUERY(Hospitais_BD!D:I,""select I where D='""&amp;D209&amp;""'"")"),"#N/A")</f>
        <v>#N/A</v>
      </c>
      <c r="R209" s="137" t="str">
        <f>IFERROR(__xludf.DUMMYFUNCTION("QUERY(Hospitais_BD!D:I,""select H where D='""&amp;D209&amp;""'"")"),"#N/A")</f>
        <v>#N/A</v>
      </c>
      <c r="S209" s="192" t="s">
        <v>1148</v>
      </c>
      <c r="T209" s="192"/>
      <c r="U209" s="185"/>
      <c r="V209" s="172"/>
      <c r="W209" s="80"/>
      <c r="X209" s="172"/>
      <c r="Y209" s="172"/>
      <c r="Z209" s="172"/>
      <c r="AA209" s="172"/>
      <c r="AB209" s="172"/>
      <c r="AC209" s="172" t="s">
        <v>1149</v>
      </c>
      <c r="AD209" s="172">
        <v>76198.0</v>
      </c>
      <c r="AE209" s="134"/>
      <c r="AF209" s="142"/>
      <c r="AG209" s="83"/>
      <c r="AH209" s="83"/>
      <c r="AI209" s="83"/>
      <c r="AJ209" s="83"/>
      <c r="AK209" s="144"/>
      <c r="AL209" s="144"/>
      <c r="AM209" s="145" t="s">
        <v>1014</v>
      </c>
    </row>
    <row r="210" ht="21.0" customHeight="1">
      <c r="A210" s="210">
        <v>43965.0</v>
      </c>
      <c r="B210" s="27">
        <v>0.4408564814814815</v>
      </c>
      <c r="C210" s="69"/>
      <c r="D210" s="28" t="s">
        <v>211</v>
      </c>
      <c r="E210" s="29">
        <v>394.54401715</v>
      </c>
      <c r="F210" s="29">
        <v>3.2071397E7</v>
      </c>
      <c r="G210" s="29"/>
      <c r="H210" s="29"/>
      <c r="I210" s="29"/>
      <c r="J210" s="29"/>
      <c r="K210" s="29"/>
      <c r="L210" s="29"/>
      <c r="M210" s="53" t="str">
        <f>IFERROR(__xludf.DUMMYFUNCTION("QUERY(Hospitais_BD!D:I,""select E where D='""&amp;D210&amp;""'"",0)"),"CENTRO")</f>
        <v>CENTRO</v>
      </c>
      <c r="N210" s="45" t="str">
        <f>IFERROR(__xludf.DUMMYFUNCTION("QUERY(Hospitais_BD!D:I,""select F where D='""&amp;D210&amp;""'"")"),"Rio de Janeiro")</f>
        <v>Rio de Janeiro</v>
      </c>
      <c r="O210" s="53" t="str">
        <f>IFERROR(__xludf.DUMMYFUNCTION("QUERY(Hospitais_BD!D:I,""select G where D='""&amp;D210&amp;""'"")"),"centro")</f>
        <v>centro</v>
      </c>
      <c r="P210" s="28" t="s">
        <v>1150</v>
      </c>
      <c r="Q210" s="125" t="str">
        <f>IFERROR(__xludf.DUMMYFUNCTION("QUERY(Hospitais_BD!D:I,""select I where D='""&amp;D210&amp;""'"")"),"Público")</f>
        <v>Público</v>
      </c>
      <c r="R210" s="125" t="str">
        <f>IFERROR(__xludf.DUMMYFUNCTION("QUERY(Hospitais_BD!D:I,""select H where D='""&amp;D210&amp;""'"")"),"Unidade básica - BAIXA COMPLEXIDADE")</f>
        <v>Unidade básica - BAIXA COMPLEXIDADE</v>
      </c>
      <c r="S210" s="194"/>
      <c r="T210" s="211"/>
      <c r="U210" s="212"/>
      <c r="V210" s="174"/>
      <c r="W210" s="29"/>
      <c r="X210" s="28"/>
      <c r="Y210" s="29"/>
      <c r="Z210" s="29"/>
      <c r="AA210" s="28"/>
      <c r="AB210" s="60"/>
      <c r="AC210" s="28" t="s">
        <v>1151</v>
      </c>
      <c r="AD210" s="29">
        <v>9.0063447E7</v>
      </c>
      <c r="AE210" s="121"/>
      <c r="AF210" s="130"/>
      <c r="AG210" s="75"/>
      <c r="AH210" s="75"/>
      <c r="AI210" s="75"/>
      <c r="AJ210" s="75"/>
      <c r="AK210" s="129"/>
      <c r="AL210" s="129"/>
      <c r="AM210" s="131" t="s">
        <v>1014</v>
      </c>
    </row>
    <row r="211" ht="21.0" customHeight="1">
      <c r="A211" s="213">
        <v>43965.0</v>
      </c>
      <c r="B211" s="18">
        <v>0.6320370370370371</v>
      </c>
      <c r="C211" s="50"/>
      <c r="D211" s="25" t="s">
        <v>837</v>
      </c>
      <c r="E211" s="23">
        <v>2.9172467000109E13</v>
      </c>
      <c r="F211" s="23">
        <v>2.433696133E9</v>
      </c>
      <c r="G211" s="23"/>
      <c r="H211" s="23"/>
      <c r="I211" s="23"/>
      <c r="J211" s="23"/>
      <c r="K211" s="23"/>
      <c r="L211" s="23"/>
      <c r="M211" s="70" t="str">
        <f>IFERROR(__xludf.DUMMYFUNCTION("QUERY(Hospitais_BD!D:I,""select E where D='""&amp;D211&amp;""'"",0)"),"REGIAO CENTRO SUL")</f>
        <v>REGIAO CENTRO SUL</v>
      </c>
      <c r="N211" s="44" t="str">
        <f>IFERROR(__xludf.DUMMYFUNCTION("QUERY(Hospitais_BD!D:I,""select F where D='""&amp;D211&amp;""'"")"),"Angra Dos Reis")</f>
        <v>Angra Dos Reis</v>
      </c>
      <c r="O211" s="70" t="str">
        <f>IFERROR(__xludf.DUMMYFUNCTION("QUERY(Hospitais_BD!D:I,""select G where D='""&amp;D211&amp;""'"")"),"Japuiba")</f>
        <v>Japuiba</v>
      </c>
      <c r="P211" s="22" t="s">
        <v>1152</v>
      </c>
      <c r="Q211" s="137" t="str">
        <f>IFERROR(__xludf.DUMMYFUNCTION("QUERY(Hospitais_BD!D:I,""select I where D='""&amp;D211&amp;""'"")"),"Público")</f>
        <v>Público</v>
      </c>
      <c r="R211" s="137" t="str">
        <f>IFERROR(__xludf.DUMMYFUNCTION("QUERY(Hospitais_BD!D:I,""select H where D='""&amp;D211&amp;""'"")"),"Serviço de hemoterapia")</f>
        <v>Serviço de hemoterapia</v>
      </c>
      <c r="S211" s="192"/>
      <c r="T211" s="214"/>
      <c r="U211" s="215"/>
      <c r="V211" s="216"/>
      <c r="W211" s="23"/>
      <c r="X211" s="22"/>
      <c r="Y211" s="23"/>
      <c r="Z211" s="23"/>
      <c r="AA211" s="22"/>
      <c r="AB211" s="22"/>
      <c r="AC211" s="22" t="s">
        <v>1153</v>
      </c>
      <c r="AD211" s="23">
        <v>5.2721042E7</v>
      </c>
      <c r="AE211" s="134"/>
      <c r="AF211" s="142"/>
      <c r="AG211" s="83">
        <v>50.0</v>
      </c>
      <c r="AH211" s="83"/>
      <c r="AI211" s="83"/>
      <c r="AJ211" s="83"/>
      <c r="AK211" s="144"/>
      <c r="AL211" s="144"/>
      <c r="AM211" s="145" t="s">
        <v>1003</v>
      </c>
    </row>
    <row r="212" ht="21.0" customHeight="1">
      <c r="A212" s="193">
        <v>43965.0</v>
      </c>
      <c r="B212" s="76">
        <v>0.8098032407407407</v>
      </c>
      <c r="C212" s="69"/>
      <c r="D212" s="37" t="s">
        <v>825</v>
      </c>
      <c r="E212" s="75">
        <v>4.245830700018E13</v>
      </c>
      <c r="F212" s="75">
        <v>2.122892596E9</v>
      </c>
      <c r="G212" s="75"/>
      <c r="H212" s="75"/>
      <c r="I212" s="75"/>
      <c r="J212" s="75"/>
      <c r="K212" s="75"/>
      <c r="L212" s="75"/>
      <c r="M212" s="53" t="str">
        <f>IFERROR(__xludf.DUMMYFUNCTION("QUERY(Hospitais_BD!D:I,""select E where D='""&amp;D212&amp;""'"",0)"),"ZONA NORTE")</f>
        <v>ZONA NORTE</v>
      </c>
      <c r="N212" s="45" t="str">
        <f>IFERROR(__xludf.DUMMYFUNCTION("QUERY(Hospitais_BD!D:I,""select F where D='""&amp;D212&amp;""'"")"),"Rio de Janeiro")</f>
        <v>Rio de Janeiro</v>
      </c>
      <c r="O212" s="53" t="str">
        <f>IFERROR(__xludf.DUMMYFUNCTION("QUERY(Hospitais_BD!D:I,""select G where D='""&amp;D212&amp;""'"")"),"Engenho de Dentro")</f>
        <v>Engenho de Dentro</v>
      </c>
      <c r="P212" s="37" t="s">
        <v>1154</v>
      </c>
      <c r="Q212" s="125" t="str">
        <f>IFERROR(__xludf.DUMMYFUNCTION("QUERY(Hospitais_BD!D:I,""select I where D='""&amp;D212&amp;""'"")"),"Privado")</f>
        <v>Privado</v>
      </c>
      <c r="R212" s="125" t="str">
        <f>IFERROR(__xludf.DUMMYFUNCTION("QUERY(Hospitais_BD!D:I,""select H where D='""&amp;D212&amp;""'"")"),"Clínica Veterinária
")</f>
        <v>Clínica Veterinária
</v>
      </c>
      <c r="S212" s="194">
        <v>0.0</v>
      </c>
      <c r="T212" s="211"/>
      <c r="U212" s="208"/>
      <c r="V212" s="75"/>
      <c r="W212" s="75"/>
      <c r="X212" s="37"/>
      <c r="Y212" s="75"/>
      <c r="Z212" s="75"/>
      <c r="AA212" s="37"/>
      <c r="AB212" s="37"/>
      <c r="AC212" s="37" t="s">
        <v>1155</v>
      </c>
      <c r="AD212" s="75">
        <v>3382.0</v>
      </c>
      <c r="AE212" s="121"/>
      <c r="AF212" s="130"/>
      <c r="AG212" s="75"/>
      <c r="AH212" s="75"/>
      <c r="AI212" s="75"/>
      <c r="AJ212" s="75"/>
      <c r="AK212" s="129"/>
      <c r="AL212" s="129"/>
      <c r="AM212" s="131" t="s">
        <v>1014</v>
      </c>
    </row>
    <row r="213" ht="21.0" customHeight="1">
      <c r="A213" s="190">
        <v>43965.0</v>
      </c>
      <c r="B213" s="191">
        <v>0.8312268518518519</v>
      </c>
      <c r="C213" s="50"/>
      <c r="D213" s="25" t="s">
        <v>834</v>
      </c>
      <c r="E213" s="83">
        <v>2.9468055000102E13</v>
      </c>
      <c r="F213" s="83">
        <v>2.133536179E9</v>
      </c>
      <c r="G213" s="83"/>
      <c r="H213" s="83"/>
      <c r="I213" s="83"/>
      <c r="J213" s="83"/>
      <c r="K213" s="83"/>
      <c r="L213" s="83"/>
      <c r="M213" s="70" t="str">
        <f>IFERROR(__xludf.DUMMYFUNCTION("QUERY(Hospitais_BD!D:I,""select E where D='""&amp;D213&amp;""'"",0)"),"ZONA NORTE")</f>
        <v>ZONA NORTE</v>
      </c>
      <c r="N213" s="44" t="str">
        <f>IFERROR(__xludf.DUMMYFUNCTION("QUERY(Hospitais_BD!D:I,""select F where D='""&amp;D213&amp;""'"")"),"Rio de Janeiro")</f>
        <v>Rio de Janeiro</v>
      </c>
      <c r="O213" s="70" t="str">
        <f>IFERROR(__xludf.DUMMYFUNCTION("QUERY(Hospitais_BD!D:I,""select G where D='""&amp;D213&amp;""'"")"),"Portuguesa")</f>
        <v>Portuguesa</v>
      </c>
      <c r="P213" s="25" t="s">
        <v>1156</v>
      </c>
      <c r="Q213" s="137" t="str">
        <f>IFERROR(__xludf.DUMMYFUNCTION("QUERY(Hospitais_BD!D:I,""select I where D='""&amp;D213&amp;""'"")"),"Público")</f>
        <v>Público</v>
      </c>
      <c r="R213" s="137" t="str">
        <f>IFERROR(__xludf.DUMMYFUNCTION("QUERY(Hospitais_BD!D:I,""select H where D='""&amp;D213&amp;""'"")"),"Hospital de Referência - ALTA COMPLEXIDADE
")</f>
        <v>Hospital de Referência - ALTA COMPLEXIDADE
</v>
      </c>
      <c r="S213" s="192" t="s">
        <v>1157</v>
      </c>
      <c r="T213" s="217"/>
      <c r="U213" s="207"/>
      <c r="V213" s="83"/>
      <c r="W213" s="83"/>
      <c r="X213" s="25"/>
      <c r="Y213" s="83"/>
      <c r="Z213" s="83"/>
      <c r="AA213" s="25"/>
      <c r="AB213" s="25"/>
      <c r="AC213" s="25" t="s">
        <v>1158</v>
      </c>
      <c r="AD213" s="83">
        <v>647380.0</v>
      </c>
      <c r="AE213" s="134"/>
      <c r="AF213" s="142"/>
      <c r="AG213" s="83"/>
      <c r="AH213" s="83"/>
      <c r="AI213" s="83"/>
      <c r="AJ213" s="83"/>
      <c r="AK213" s="144"/>
      <c r="AL213" s="144"/>
      <c r="AM213" s="145" t="s">
        <v>1014</v>
      </c>
    </row>
    <row r="214" ht="21.0" customHeight="1">
      <c r="A214" s="193">
        <v>43965.0</v>
      </c>
      <c r="B214" s="76">
        <v>0.8344560185185185</v>
      </c>
      <c r="C214" s="69"/>
      <c r="D214" s="37" t="s">
        <v>270</v>
      </c>
      <c r="E214" s="75">
        <v>3.94544021E11</v>
      </c>
      <c r="F214" s="75">
        <v>2.131112311E9</v>
      </c>
      <c r="G214" s="75"/>
      <c r="H214" s="75"/>
      <c r="I214" s="75"/>
      <c r="J214" s="75"/>
      <c r="K214" s="75"/>
      <c r="L214" s="75"/>
      <c r="M214" s="53" t="str">
        <f>IFERROR(__xludf.DUMMYFUNCTION("QUERY(Hospitais_BD!D:I,""select E where D='""&amp;D214&amp;""'"",0)"),"ZONA SUL")</f>
        <v>ZONA SUL</v>
      </c>
      <c r="N214" s="45" t="str">
        <f>IFERROR(__xludf.DUMMYFUNCTION("QUERY(Hospitais_BD!D:I,""select F where D='""&amp;D214&amp;""'"")"),"Rio de Janeiro")</f>
        <v>Rio de Janeiro</v>
      </c>
      <c r="O214" s="53" t="str">
        <f>IFERROR(__xludf.DUMMYFUNCTION("QUERY(Hospitais_BD!D:I,""select G where D='""&amp;D214&amp;""'"")"),"Ipanema")</f>
        <v>Ipanema</v>
      </c>
      <c r="P214" s="37" t="s">
        <v>1159</v>
      </c>
      <c r="Q214" s="125" t="str">
        <f>IFERROR(__xludf.DUMMYFUNCTION("QUERY(Hospitais_BD!D:I,""select I where D='""&amp;D214&amp;""'"")"),"Público")</f>
        <v>Público</v>
      </c>
      <c r="R214" s="125" t="str">
        <f>IFERROR(__xludf.DUMMYFUNCTION("QUERY(Hospitais_BD!D:I,""select H where D='""&amp;D214&amp;""'"")"),"Grande emergência - MÉDIA COMPLEXIDADE")</f>
        <v>Grande emergência - MÉDIA COMPLEXIDADE</v>
      </c>
      <c r="S214" s="194" t="s">
        <v>1160</v>
      </c>
      <c r="T214" s="218"/>
      <c r="U214" s="208"/>
      <c r="V214" s="75"/>
      <c r="W214" s="75"/>
      <c r="X214" s="37"/>
      <c r="Y214" s="75"/>
      <c r="Z214" s="75"/>
      <c r="AA214" s="37"/>
      <c r="AB214" s="37"/>
      <c r="AC214" s="37" t="s">
        <v>1161</v>
      </c>
      <c r="AD214" s="75">
        <v>64350.0</v>
      </c>
      <c r="AE214" s="121"/>
      <c r="AF214" s="130"/>
      <c r="AG214" s="75"/>
      <c r="AH214" s="75"/>
      <c r="AI214" s="75"/>
      <c r="AJ214" s="75"/>
      <c r="AK214" s="129"/>
      <c r="AL214" s="129"/>
      <c r="AM214" s="131" t="s">
        <v>1014</v>
      </c>
    </row>
    <row r="215" ht="21.0" customHeight="1">
      <c r="A215" s="190">
        <v>43965.0</v>
      </c>
      <c r="B215" s="191">
        <v>0.8353703703703703</v>
      </c>
      <c r="C215" s="50"/>
      <c r="D215" s="25" t="s">
        <v>831</v>
      </c>
      <c r="E215" s="83">
        <v>2.9138278000705E13</v>
      </c>
      <c r="F215" s="83">
        <v>2.1964176605E10</v>
      </c>
      <c r="G215" s="83"/>
      <c r="H215" s="83"/>
      <c r="I215" s="83"/>
      <c r="J215" s="83"/>
      <c r="K215" s="83"/>
      <c r="L215" s="83"/>
      <c r="M215" s="70" t="str">
        <f>IFERROR(__xludf.DUMMYFUNCTION("QUERY(Hospitais_BD!D:I,""select E where D='""&amp;D215&amp;""'"",0)"),"BAIXADA FLUMINENSE")</f>
        <v>BAIXADA FLUMINENSE</v>
      </c>
      <c r="N215" s="44" t="str">
        <f>IFERROR(__xludf.DUMMYFUNCTION("QUERY(Hospitais_BD!D:I,""select F where D='""&amp;D215&amp;""'"")"),"Nova Iguaçu")</f>
        <v>Nova Iguaçu</v>
      </c>
      <c r="O215" s="70" t="str">
        <f>IFERROR(__xludf.DUMMYFUNCTION("QUERY(Hospitais_BD!D:I,""select G where D='""&amp;D215&amp;""'"")"),"Austin")</f>
        <v>Austin</v>
      </c>
      <c r="P215" s="25" t="s">
        <v>1162</v>
      </c>
      <c r="Q215" s="137" t="str">
        <f>IFERROR(__xludf.DUMMYFUNCTION("QUERY(Hospitais_BD!D:I,""select I where D='""&amp;D215&amp;""'"")"),"Público")</f>
        <v>Público</v>
      </c>
      <c r="R215" s="137" t="str">
        <f>IFERROR(__xludf.DUMMYFUNCTION("QUERY(Hospitais_BD!D:I,""select H where D='""&amp;D215&amp;""'"")"),"Grande emergência - MÉDIA COMPLEXIDADE
")</f>
        <v>Grande emergência - MÉDIA COMPLEXIDADE
</v>
      </c>
      <c r="S215" s="192" t="s">
        <v>1163</v>
      </c>
      <c r="T215" s="217"/>
      <c r="U215" s="207"/>
      <c r="V215" s="83"/>
      <c r="W215" s="83"/>
      <c r="X215" s="25"/>
      <c r="Y215" s="83"/>
      <c r="Z215" s="83"/>
      <c r="AA215" s="25"/>
      <c r="AB215" s="25"/>
      <c r="AC215" s="25" t="s">
        <v>1164</v>
      </c>
      <c r="AD215" s="83">
        <v>253247.0</v>
      </c>
      <c r="AE215" s="134"/>
      <c r="AF215" s="142"/>
      <c r="AG215" s="83">
        <v>50.0</v>
      </c>
      <c r="AH215" s="83"/>
      <c r="AI215" s="83"/>
      <c r="AJ215" s="83"/>
      <c r="AK215" s="144"/>
      <c r="AL215" s="144"/>
      <c r="AM215" s="145" t="s">
        <v>1003</v>
      </c>
    </row>
    <row r="216" ht="21.0" customHeight="1">
      <c r="A216" s="193">
        <v>43965.0</v>
      </c>
      <c r="B216" s="76">
        <v>0.8480208333333333</v>
      </c>
      <c r="C216" s="69"/>
      <c r="D216" s="37" t="s">
        <v>608</v>
      </c>
      <c r="E216" s="75">
        <v>4.2498725000525E13</v>
      </c>
      <c r="F216" s="75">
        <v>2.226658804E9</v>
      </c>
      <c r="G216" s="75"/>
      <c r="H216" s="75"/>
      <c r="I216" s="75"/>
      <c r="J216" s="75"/>
      <c r="K216" s="75"/>
      <c r="L216" s="75"/>
      <c r="M216" s="53" t="str">
        <f>IFERROR(__xludf.DUMMYFUNCTION("QUERY(Hospitais_BD!D:I,""select E where D='""&amp;D216&amp;""'"",0)"),"CENTRO")</f>
        <v>CENTRO</v>
      </c>
      <c r="N216" s="45" t="str">
        <f>IFERROR(__xludf.DUMMYFUNCTION("QUERY(Hospitais_BD!D:I,""select F where D='""&amp;D216&amp;""'"")"),"SaO GONÇALO")</f>
        <v>SaO GONÇALO</v>
      </c>
      <c r="O216" s="53" t="str">
        <f>IFERROR(__xludf.DUMMYFUNCTION("QUERY(Hospitais_BD!D:I,""select G where D='""&amp;D216&amp;""'"")"),"TRIBBOBo")</f>
        <v>TRIBBOBo</v>
      </c>
      <c r="P216" s="37" t="s">
        <v>1165</v>
      </c>
      <c r="Q216" s="125" t="str">
        <f>IFERROR(__xludf.DUMMYFUNCTION("QUERY(Hospitais_BD!D:I,""select I where D='""&amp;D216&amp;""'"")"),"Público")</f>
        <v>Público</v>
      </c>
      <c r="R216" s="125" t="str">
        <f>IFERROR(__xludf.DUMMYFUNCTION("QUERY(Hospitais_BD!D:I,""select H where D='""&amp;D216&amp;""'"")"),"MEDICINA LEGAL E PERÍCIA CRIMINAL")</f>
        <v>MEDICINA LEGAL E PERÍCIA CRIMINAL</v>
      </c>
      <c r="S216" s="194" t="s">
        <v>1166</v>
      </c>
      <c r="T216" s="218"/>
      <c r="U216" s="208"/>
      <c r="V216" s="75"/>
      <c r="W216" s="75"/>
      <c r="X216" s="37"/>
      <c r="Y216" s="75"/>
      <c r="Z216" s="75"/>
      <c r="AA216" s="37"/>
      <c r="AB216" s="37"/>
      <c r="AC216" s="37" t="s">
        <v>1167</v>
      </c>
      <c r="AD216" s="75">
        <v>5.2423813E7</v>
      </c>
      <c r="AE216" s="121"/>
      <c r="AF216" s="130"/>
      <c r="AG216" s="75"/>
      <c r="AH216" s="75"/>
      <c r="AI216" s="75"/>
      <c r="AJ216" s="75"/>
      <c r="AK216" s="129"/>
      <c r="AL216" s="129"/>
      <c r="AM216" s="131" t="s">
        <v>1014</v>
      </c>
    </row>
    <row r="217" ht="21.0" customHeight="1">
      <c r="A217" s="190">
        <v>43965.0</v>
      </c>
      <c r="B217" s="191">
        <v>0.8480555555555556</v>
      </c>
      <c r="C217" s="50"/>
      <c r="D217" s="25" t="s">
        <v>819</v>
      </c>
      <c r="E217" s="83">
        <v>2.9138278003208E13</v>
      </c>
      <c r="F217" s="83">
        <v>2.1377999E9</v>
      </c>
      <c r="G217" s="83"/>
      <c r="H217" s="83"/>
      <c r="I217" s="83"/>
      <c r="J217" s="83"/>
      <c r="K217" s="83"/>
      <c r="L217" s="83"/>
      <c r="M217" s="70" t="str">
        <f>IFERROR(__xludf.DUMMYFUNCTION("QUERY(Hospitais_BD!D:I,""select E where D='""&amp;D217&amp;""'"",0)"),"BAIXADA FLUMINENSE")</f>
        <v>BAIXADA FLUMINENSE</v>
      </c>
      <c r="N217" s="44" t="str">
        <f>IFERROR(__xludf.DUMMYFUNCTION("QUERY(Hospitais_BD!D:I,""select F where D='""&amp;D217&amp;""'"")"),"Nova Iguaçu")</f>
        <v>Nova Iguaçu</v>
      </c>
      <c r="O217" s="70" t="str">
        <f>IFERROR(__xludf.DUMMYFUNCTION("QUERY(Hospitais_BD!D:I,""select G where D='""&amp;D217&amp;""'"")"),"Posse")</f>
        <v>Posse</v>
      </c>
      <c r="P217" s="25" t="s">
        <v>1168</v>
      </c>
      <c r="Q217" s="137" t="str">
        <f>IFERROR(__xludf.DUMMYFUNCTION("QUERY(Hospitais_BD!D:I,""select I where D='""&amp;D217&amp;""'"")"),"Público")</f>
        <v>Público</v>
      </c>
      <c r="R217" s="137" t="str">
        <f>IFERROR(__xludf.DUMMYFUNCTION("QUERY(Hospitais_BD!D:I,""select H where D='""&amp;D217&amp;""'"")"),"Hospital de Referência - ALTA COMPLEXIDADE
")</f>
        <v>Hospital de Referência - ALTA COMPLEXIDADE
</v>
      </c>
      <c r="S217" s="192" t="s">
        <v>1169</v>
      </c>
      <c r="T217" s="217"/>
      <c r="U217" s="207"/>
      <c r="V217" s="83"/>
      <c r="W217" s="83"/>
      <c r="X217" s="25"/>
      <c r="Y217" s="83"/>
      <c r="Z217" s="83"/>
      <c r="AA217" s="25"/>
      <c r="AB217" s="25"/>
      <c r="AC217" s="25" t="s">
        <v>1170</v>
      </c>
      <c r="AD217" s="83">
        <v>1305.0</v>
      </c>
      <c r="AE217" s="134"/>
      <c r="AF217" s="142"/>
      <c r="AG217" s="83"/>
      <c r="AH217" s="83"/>
      <c r="AI217" s="83"/>
      <c r="AJ217" s="83"/>
      <c r="AK217" s="144"/>
      <c r="AL217" s="144"/>
      <c r="AM217" s="145" t="s">
        <v>1014</v>
      </c>
    </row>
    <row r="218" ht="21.0" customHeight="1">
      <c r="A218" s="193">
        <v>43965.0</v>
      </c>
      <c r="B218" s="76">
        <v>0.8901041666666667</v>
      </c>
      <c r="C218" s="69"/>
      <c r="D218" s="37" t="s">
        <v>748</v>
      </c>
      <c r="E218" s="75">
        <v>2.9131075000193E13</v>
      </c>
      <c r="F218" s="75">
        <v>2.199120737E10</v>
      </c>
      <c r="G218" s="75"/>
      <c r="H218" s="75"/>
      <c r="I218" s="75"/>
      <c r="J218" s="75"/>
      <c r="K218" s="75"/>
      <c r="L218" s="75"/>
      <c r="M218" s="53" t="str">
        <f>IFERROR(__xludf.DUMMYFUNCTION("QUERY(Hospitais_BD!D:I,""select E where D='""&amp;D218&amp;""'"",0)"),"REGIAO METROPOLITANA")</f>
        <v>REGIAO METROPOLITANA</v>
      </c>
      <c r="N218" s="45" t="str">
        <f>IFERROR(__xludf.DUMMYFUNCTION("QUERY(Hospitais_BD!D:I,""select F where D='""&amp;D218&amp;""'"")"),"Maricá")</f>
        <v>Maricá</v>
      </c>
      <c r="O218" s="53" t="str">
        <f>IFERROR(__xludf.DUMMYFUNCTION("QUERY(Hospitais_BD!D:I,""select G where D='""&amp;D218&amp;""'"")"),"Centro")</f>
        <v>Centro</v>
      </c>
      <c r="P218" s="37" t="s">
        <v>1171</v>
      </c>
      <c r="Q218" s="125" t="str">
        <f>IFERROR(__xludf.DUMMYFUNCTION("QUERY(Hospitais_BD!D:I,""select I where D='""&amp;D218&amp;""'"")"),"Público")</f>
        <v>Público</v>
      </c>
      <c r="R218" s="125" t="str">
        <f>IFERROR(__xludf.DUMMYFUNCTION("QUERY(Hospitais_BD!D:I,""select H where D='""&amp;D218&amp;""'"")"),"Estamos em atendimento na rua e hospital 
")</f>
        <v>Estamos em atendimento na rua e hospital 
</v>
      </c>
      <c r="S218" s="194" t="s">
        <v>1172</v>
      </c>
      <c r="T218" s="218"/>
      <c r="U218" s="208"/>
      <c r="V218" s="75"/>
      <c r="W218" s="75"/>
      <c r="X218" s="37"/>
      <c r="Y218" s="75"/>
      <c r="Z218" s="75"/>
      <c r="AA218" s="37"/>
      <c r="AB218" s="37"/>
      <c r="AC218" s="37" t="s">
        <v>1173</v>
      </c>
      <c r="AD218" s="75">
        <v>121472.0</v>
      </c>
      <c r="AE218" s="121"/>
      <c r="AF218" s="130"/>
      <c r="AG218" s="75">
        <v>50.0</v>
      </c>
      <c r="AH218" s="75"/>
      <c r="AI218" s="75"/>
      <c r="AJ218" s="75"/>
      <c r="AK218" s="129"/>
      <c r="AL218" s="129"/>
      <c r="AM218" s="131" t="s">
        <v>1003</v>
      </c>
    </row>
    <row r="219" ht="21.0" customHeight="1">
      <c r="A219" s="190">
        <v>43966.0</v>
      </c>
      <c r="B219" s="191">
        <v>0.016400462962962964</v>
      </c>
      <c r="C219" s="50"/>
      <c r="D219" s="25" t="s">
        <v>273</v>
      </c>
      <c r="E219" s="83">
        <v>3.94544021182E11</v>
      </c>
      <c r="F219" s="83">
        <v>2.122913131E9</v>
      </c>
      <c r="G219" s="83"/>
      <c r="H219" s="83"/>
      <c r="I219" s="83"/>
      <c r="J219" s="83"/>
      <c r="K219" s="83"/>
      <c r="L219" s="83"/>
      <c r="M219" s="70" t="str">
        <f>IFERROR(__xludf.DUMMYFUNCTION("QUERY(Hospitais_BD!D:I,""select E where D='""&amp;D219&amp;""'"",0)"),"#REF!")</f>
        <v>#REF!</v>
      </c>
      <c r="N219" s="44" t="str">
        <f>IFERROR(__xludf.DUMMYFUNCTION("QUERY(Hospitais_BD!D:I,""select F where D='""&amp;D219&amp;""'"")"),"#REF!")</f>
        <v>#REF!</v>
      </c>
      <c r="O219" s="70" t="str">
        <f>IFERROR(__xludf.DUMMYFUNCTION("QUERY(Hospitais_BD!D:I,""select G where D='""&amp;D219&amp;""'"")"),"#REF!")</f>
        <v>#REF!</v>
      </c>
      <c r="P219" s="25" t="s">
        <v>1174</v>
      </c>
      <c r="Q219" s="137" t="str">
        <f>IFERROR(__xludf.DUMMYFUNCTION("QUERY(Hospitais_BD!D:I,""select I where D='""&amp;D219&amp;""'"")"),"#REF!")</f>
        <v>#REF!</v>
      </c>
      <c r="R219" s="137" t="str">
        <f>IFERROR(__xludf.DUMMYFUNCTION("QUERY(Hospitais_BD!D:I,""select H where D='""&amp;D219&amp;""'"")"),"#REF!")</f>
        <v>#REF!</v>
      </c>
      <c r="S219" s="192"/>
      <c r="T219" s="217"/>
      <c r="U219" s="207"/>
      <c r="V219" s="83"/>
      <c r="W219" s="83"/>
      <c r="X219" s="25"/>
      <c r="Y219" s="83"/>
      <c r="Z219" s="83"/>
      <c r="AA219" s="25"/>
      <c r="AB219" s="25"/>
      <c r="AC219" s="25" t="s">
        <v>1175</v>
      </c>
      <c r="AD219" s="83">
        <v>262797.0</v>
      </c>
      <c r="AE219" s="134"/>
      <c r="AF219" s="142"/>
      <c r="AG219" s="83"/>
      <c r="AH219" s="83"/>
      <c r="AI219" s="83"/>
      <c r="AJ219" s="83"/>
      <c r="AK219" s="144"/>
      <c r="AL219" s="144"/>
      <c r="AM219" s="145" t="s">
        <v>1014</v>
      </c>
    </row>
    <row r="220" ht="21.0" customHeight="1">
      <c r="A220" s="219">
        <v>43966.0</v>
      </c>
      <c r="B220" s="220">
        <v>0.4283796296296296</v>
      </c>
      <c r="C220" s="69"/>
      <c r="D220" s="109" t="s">
        <v>842</v>
      </c>
      <c r="E220" s="221">
        <v>3.6698532000191E13</v>
      </c>
      <c r="F220" s="221">
        <v>2.12796995E9</v>
      </c>
      <c r="G220" s="221"/>
      <c r="H220" s="221"/>
      <c r="I220" s="221"/>
      <c r="J220" s="221"/>
      <c r="K220" s="221"/>
      <c r="L220" s="221"/>
      <c r="M220" s="53" t="str">
        <f>IFERROR(__xludf.DUMMYFUNCTION("QUERY(Hospitais_BD!D:I,""select E where D='""&amp;D220&amp;""'"",0)"),"ZONA NORTE")</f>
        <v>ZONA NORTE</v>
      </c>
      <c r="N220" s="109" t="str">
        <f>IFERROR(__xludf.DUMMYFUNCTION("QUERY(Hospitais_BD!D:I,""select F where D='""&amp;D220&amp;""'"")"),"Mesquita")</f>
        <v>Mesquita</v>
      </c>
      <c r="O220" s="53" t="str">
        <f>IFERROR(__xludf.DUMMYFUNCTION("QUERY(Hospitais_BD!D:I,""select G where D='""&amp;D220&amp;""'"")"),"Edson Passos")</f>
        <v>Edson Passos</v>
      </c>
      <c r="P220" s="109" t="s">
        <v>1176</v>
      </c>
      <c r="Q220" s="125" t="str">
        <f>IFERROR(__xludf.DUMMYFUNCTION("QUERY(Hospitais_BD!D:I,""select I where D='""&amp;D220&amp;""'"")"),"Público")</f>
        <v>Público</v>
      </c>
      <c r="R220" s="125" t="str">
        <f>IFERROR(__xludf.DUMMYFUNCTION("QUERY(Hospitais_BD!D:I,""select H where D='""&amp;D220&amp;""'"")"),"Grande emergência - MÉDIA COMPLEXIDADE
")</f>
        <v>Grande emergência - MÉDIA COMPLEXIDADE
</v>
      </c>
      <c r="S220" s="53"/>
      <c r="T220" s="222"/>
      <c r="U220" s="223"/>
      <c r="V220" s="221"/>
      <c r="W220" s="221"/>
      <c r="X220" s="109"/>
      <c r="Y220" s="221"/>
      <c r="Z220" s="221"/>
      <c r="AA220" s="109"/>
      <c r="AB220" s="109"/>
      <c r="AC220" s="109" t="s">
        <v>1177</v>
      </c>
      <c r="AD220" s="221">
        <v>5.201123874E9</v>
      </c>
      <c r="AE220" s="40"/>
      <c r="AF220" s="130"/>
      <c r="AG220" s="221">
        <v>50.0</v>
      </c>
      <c r="AH220" s="221"/>
      <c r="AI220" s="221"/>
      <c r="AJ220" s="221"/>
      <c r="AK220" s="170"/>
      <c r="AL220" s="170"/>
      <c r="AM220" s="171" t="s">
        <v>1003</v>
      </c>
    </row>
    <row r="221" ht="21.0" customHeight="1">
      <c r="A221" s="190">
        <v>43966.0</v>
      </c>
      <c r="B221" s="191">
        <v>0.4661111111111111</v>
      </c>
      <c r="C221" s="50"/>
      <c r="D221" s="25" t="s">
        <v>551</v>
      </c>
      <c r="E221" s="83">
        <v>7.3458510007E12</v>
      </c>
      <c r="F221" s="83">
        <v>9.66551489E8</v>
      </c>
      <c r="G221" s="83"/>
      <c r="H221" s="83"/>
      <c r="I221" s="83"/>
      <c r="J221" s="83"/>
      <c r="K221" s="83"/>
      <c r="L221" s="83"/>
      <c r="M221" s="70" t="str">
        <f>IFERROR(__xludf.DUMMYFUNCTION("QUERY(Hospitais_BD!D:I,""select E where D='""&amp;D221&amp;""'"",0)"),"ZONA NORTE")</f>
        <v>ZONA NORTE</v>
      </c>
      <c r="N221" s="44" t="str">
        <f>IFERROR(__xludf.DUMMYFUNCTION("QUERY(Hospitais_BD!D:I,""select F where D='""&amp;D221&amp;""'"")"),"Rio de Janeiro")</f>
        <v>Rio de Janeiro</v>
      </c>
      <c r="O221" s="70" t="str">
        <f>IFERROR(__xludf.DUMMYFUNCTION("QUERY(Hospitais_BD!D:I,""select G where D='""&amp;D221&amp;""'"")"),"Engenho de dentro")</f>
        <v>Engenho de dentro</v>
      </c>
      <c r="P221" s="25" t="s">
        <v>1178</v>
      </c>
      <c r="Q221" s="137" t="str">
        <f>IFERROR(__xludf.DUMMYFUNCTION("QUERY(Hospitais_BD!D:I,""select I where D='""&amp;D221&amp;""'"")"),"Público")</f>
        <v>Público</v>
      </c>
      <c r="R221" s="137" t="str">
        <f>IFERROR(__xludf.DUMMYFUNCTION("QUERY(Hospitais_BD!D:I,""select H where D='""&amp;D221&amp;""'"")"),"Grande emergência - MÉDIA COMPLEXIDADE")</f>
        <v>Grande emergência - MÉDIA COMPLEXIDADE</v>
      </c>
      <c r="S221" s="192" t="s">
        <v>1179</v>
      </c>
      <c r="T221" s="217"/>
      <c r="U221" s="207"/>
      <c r="V221" s="83"/>
      <c r="W221" s="83"/>
      <c r="X221" s="25"/>
      <c r="Y221" s="83"/>
      <c r="Z221" s="83"/>
      <c r="AA221" s="25"/>
      <c r="AB221" s="25"/>
      <c r="AC221" s="25" t="s">
        <v>1180</v>
      </c>
      <c r="AD221" s="83">
        <v>2.00600948E8</v>
      </c>
      <c r="AE221" s="134"/>
      <c r="AF221" s="142"/>
      <c r="AG221" s="83"/>
      <c r="AH221" s="83"/>
      <c r="AI221" s="83"/>
      <c r="AJ221" s="83"/>
      <c r="AK221" s="83">
        <v>5.0</v>
      </c>
      <c r="AL221" s="83">
        <v>25.0</v>
      </c>
      <c r="AM221" s="145" t="s">
        <v>1014</v>
      </c>
    </row>
    <row r="222" ht="21.0" customHeight="1">
      <c r="A222" s="193">
        <v>43966.0</v>
      </c>
      <c r="B222" s="76">
        <v>0.46708333333333335</v>
      </c>
      <c r="C222" s="69"/>
      <c r="D222" s="37" t="s">
        <v>668</v>
      </c>
      <c r="E222" s="75">
        <v>1.548284100015E13</v>
      </c>
      <c r="F222" s="75">
        <v>2.126058249E9</v>
      </c>
      <c r="G222" s="75"/>
      <c r="H222" s="75"/>
      <c r="I222" s="75"/>
      <c r="J222" s="75"/>
      <c r="K222" s="75"/>
      <c r="L222" s="75"/>
      <c r="M222" s="53" t="str">
        <f>IFERROR(__xludf.DUMMYFUNCTION("QUERY(Hospitais_BD!D:I,""select E where D='""&amp;D222&amp;""'"",0)"),"REGIAO METROPOLITANA")</f>
        <v>REGIAO METROPOLITANA</v>
      </c>
      <c r="N222" s="45" t="str">
        <f>IFERROR(__xludf.DUMMYFUNCTION("QUERY(Hospitais_BD!D:I,""select F where D='""&amp;D222&amp;""'"")"),"São Gonçalo")</f>
        <v>São Gonçalo</v>
      </c>
      <c r="O222" s="53" t="str">
        <f>IFERROR(__xludf.DUMMYFUNCTION("QUERY(Hospitais_BD!D:I,""select G where D='""&amp;D222&amp;""'"")"),"CENTRO")</f>
        <v>CENTRO</v>
      </c>
      <c r="P222" s="37" t="s">
        <v>1181</v>
      </c>
      <c r="Q222" s="125" t="str">
        <f>IFERROR(__xludf.DUMMYFUNCTION("QUERY(Hospitais_BD!D:I,""select I where D='""&amp;D222&amp;""'"")"),"Público")</f>
        <v>Público</v>
      </c>
      <c r="R222" s="125" t="str">
        <f>IFERROR(__xludf.DUMMYFUNCTION("QUERY(Hospitais_BD!D:I,""select H where D='""&amp;D222&amp;""'"")"),"SERVIÇO DE ATENÇÃO DOMICILIAR - ATENÇÃO ESPECIALIZADA
")</f>
        <v>SERVIÇO DE ATENÇÃO DOMICILIAR - ATENÇÃO ESPECIALIZADA
</v>
      </c>
      <c r="S222" s="194" t="s">
        <v>1182</v>
      </c>
      <c r="T222" s="218"/>
      <c r="U222" s="208"/>
      <c r="V222" s="75"/>
      <c r="W222" s="75"/>
      <c r="X222" s="37"/>
      <c r="Y222" s="75"/>
      <c r="Z222" s="75"/>
      <c r="AA222" s="37"/>
      <c r="AB222" s="37"/>
      <c r="AC222" s="37" t="s">
        <v>1183</v>
      </c>
      <c r="AD222" s="75">
        <v>440149.0</v>
      </c>
      <c r="AE222" s="121"/>
      <c r="AF222" s="130"/>
      <c r="AG222" s="75">
        <v>50.0</v>
      </c>
      <c r="AH222" s="75"/>
      <c r="AI222" s="75"/>
      <c r="AJ222" s="75"/>
      <c r="AK222" s="129"/>
      <c r="AL222" s="129"/>
      <c r="AM222" s="131" t="s">
        <v>1003</v>
      </c>
    </row>
    <row r="223" ht="21.0" customHeight="1">
      <c r="A223" s="190">
        <v>43966.0</v>
      </c>
      <c r="B223" s="191">
        <v>0.4766666666666667</v>
      </c>
      <c r="C223" s="50"/>
      <c r="D223" s="25" t="s">
        <v>836</v>
      </c>
      <c r="E223" s="83">
        <v>3.43941000128E11</v>
      </c>
      <c r="F223" s="83">
        <v>2.1998644393E10</v>
      </c>
      <c r="G223" s="83"/>
      <c r="H223" s="83"/>
      <c r="I223" s="83"/>
      <c r="J223" s="83"/>
      <c r="K223" s="83"/>
      <c r="L223" s="83"/>
      <c r="M223" s="70" t="str">
        <f>IFERROR(__xludf.DUMMYFUNCTION("QUERY(Hospitais_BD!D:I,""select E where D='""&amp;D223&amp;""'"",0)"),"ZONA SUL")</f>
        <v>ZONA SUL</v>
      </c>
      <c r="N223" s="44" t="str">
        <f>IFERROR(__xludf.DUMMYFUNCTION("QUERY(Hospitais_BD!D:I,""select F where D='""&amp;D223&amp;""'"")"),"Rio de Janeiro")</f>
        <v>Rio de Janeiro</v>
      </c>
      <c r="O223" s="70" t="str">
        <f>IFERROR(__xludf.DUMMYFUNCTION("QUERY(Hospitais_BD!D:I,""select G where D='""&amp;D223&amp;""'"")"),"Botafogo")</f>
        <v>Botafogo</v>
      </c>
      <c r="P223" s="25" t="s">
        <v>1184</v>
      </c>
      <c r="Q223" s="137" t="str">
        <f>IFERROR(__xludf.DUMMYFUNCTION("QUERY(Hospitais_BD!D:I,""select I where D='""&amp;D223&amp;""'"")"),"Público")</f>
        <v>Público</v>
      </c>
      <c r="R223" s="137" t="str">
        <f>IFERROR(__xludf.DUMMYFUNCTION("QUERY(Hospitais_BD!D:I,""select H where D='""&amp;D223&amp;""'"")"),"Grande emergência - MÉDIA COMPLEXIDADE")</f>
        <v>Grande emergência - MÉDIA COMPLEXIDADE</v>
      </c>
      <c r="S223" s="192" t="s">
        <v>1185</v>
      </c>
      <c r="T223" s="217"/>
      <c r="U223" s="207"/>
      <c r="V223" s="83"/>
      <c r="W223" s="83"/>
      <c r="X223" s="25"/>
      <c r="Y223" s="83"/>
      <c r="Z223" s="83"/>
      <c r="AA223" s="25"/>
      <c r="AB223" s="25"/>
      <c r="AC223" s="25" t="s">
        <v>1186</v>
      </c>
      <c r="AD223" s="83">
        <v>5.2933112E7</v>
      </c>
      <c r="AE223" s="134"/>
      <c r="AF223" s="142"/>
      <c r="AG223" s="83">
        <v>50.0</v>
      </c>
      <c r="AH223" s="83"/>
      <c r="AI223" s="83"/>
      <c r="AJ223" s="83"/>
      <c r="AK223" s="144"/>
      <c r="AL223" s="144"/>
      <c r="AM223" s="145" t="s">
        <v>1003</v>
      </c>
    </row>
    <row r="224" ht="21.0" customHeight="1">
      <c r="A224" s="193">
        <v>43966.0</v>
      </c>
      <c r="B224" s="76">
        <v>0.5143287037037036</v>
      </c>
      <c r="C224" s="69"/>
      <c r="D224" s="37" t="s">
        <v>605</v>
      </c>
      <c r="E224" s="75">
        <v>2.9468055000102E13</v>
      </c>
      <c r="F224" s="75">
        <v>2.0880514E7</v>
      </c>
      <c r="G224" s="75"/>
      <c r="H224" s="75"/>
      <c r="I224" s="75"/>
      <c r="J224" s="75"/>
      <c r="K224" s="75"/>
      <c r="L224" s="75"/>
      <c r="M224" s="53" t="str">
        <f>IFERROR(__xludf.DUMMYFUNCTION("QUERY(Hospitais_BD!D:I,""select E where D='""&amp;D224&amp;""'"",0)"),"ZONA OESTE")</f>
        <v>ZONA OESTE</v>
      </c>
      <c r="N224" s="45" t="str">
        <f>IFERROR(__xludf.DUMMYFUNCTION("QUERY(Hospitais_BD!D:I,""select F where D='""&amp;D224&amp;""'"")"),"Inhoaiba")</f>
        <v>Inhoaiba</v>
      </c>
      <c r="O224" s="53" t="str">
        <f>IFERROR(__xludf.DUMMYFUNCTION("QUERY(Hospitais_BD!D:I,""select G where D='""&amp;D224&amp;""'"")"),"Campo Grande")</f>
        <v>Campo Grande</v>
      </c>
      <c r="P224" s="37" t="s">
        <v>1187</v>
      </c>
      <c r="Q224" s="125" t="str">
        <f>IFERROR(__xludf.DUMMYFUNCTION("QUERY(Hospitais_BD!D:I,""select I where D='""&amp;D224&amp;""'"")"),"Público")</f>
        <v>Público</v>
      </c>
      <c r="R224" s="125" t="str">
        <f>IFERROR(__xludf.DUMMYFUNCTION("QUERY(Hospitais_BD!D:I,""select H where D='""&amp;D224&amp;""'"")"),"Unidade básica - BAIXA COMPLEXIDADE")</f>
        <v>Unidade básica - BAIXA COMPLEXIDADE</v>
      </c>
      <c r="S224" s="194" t="s">
        <v>1188</v>
      </c>
      <c r="T224" s="218"/>
      <c r="U224" s="208"/>
      <c r="V224" s="75"/>
      <c r="W224" s="75"/>
      <c r="X224" s="37"/>
      <c r="Y224" s="75"/>
      <c r="Z224" s="75"/>
      <c r="AA224" s="37"/>
      <c r="AB224" s="37"/>
      <c r="AC224" s="37" t="s">
        <v>1189</v>
      </c>
      <c r="AD224" s="75">
        <v>23004.0</v>
      </c>
      <c r="AE224" s="121"/>
      <c r="AF224" s="130"/>
      <c r="AG224" s="75">
        <v>50.0</v>
      </c>
      <c r="AH224" s="75"/>
      <c r="AI224" s="75"/>
      <c r="AJ224" s="75"/>
      <c r="AK224" s="129"/>
      <c r="AL224" s="129"/>
      <c r="AM224" s="131" t="s">
        <v>1003</v>
      </c>
    </row>
    <row r="225" ht="21.0" customHeight="1">
      <c r="A225" s="190">
        <v>43966.0</v>
      </c>
      <c r="B225" s="191">
        <v>0.5449768518518519</v>
      </c>
      <c r="C225" s="50"/>
      <c r="D225" s="25" t="s">
        <v>766</v>
      </c>
      <c r="E225" s="83">
        <v>4.24987170083E13</v>
      </c>
      <c r="F225" s="83">
        <v>3.3611411E7</v>
      </c>
      <c r="G225" s="83"/>
      <c r="H225" s="83"/>
      <c r="I225" s="83"/>
      <c r="J225" s="83"/>
      <c r="K225" s="83"/>
      <c r="L225" s="83"/>
      <c r="M225" s="70" t="str">
        <f>IFERROR(__xludf.DUMMYFUNCTION("QUERY(Hospitais_BD!D:I,""select E where D='""&amp;D225&amp;""'"",0)"),"REGIAO METROPOLITANA")</f>
        <v>REGIAO METROPOLITANA</v>
      </c>
      <c r="N225" s="44" t="str">
        <f>IFERROR(__xludf.DUMMYFUNCTION("QUERY(Hospitais_BD!D:I,""select F where D='""&amp;D225&amp;""'"")"),"RIO DE JANEIRO")</f>
        <v>RIO DE JANEIRO</v>
      </c>
      <c r="O225" s="70" t="str">
        <f>IFERROR(__xludf.DUMMYFUNCTION("QUERY(Hospitais_BD!D:I,""select G where D='""&amp;D225&amp;""'"")"),"BONSUCESSO")</f>
        <v>BONSUCESSO</v>
      </c>
      <c r="P225" s="25" t="s">
        <v>1190</v>
      </c>
      <c r="Q225" s="137" t="str">
        <f>IFERROR(__xludf.DUMMYFUNCTION("QUERY(Hospitais_BD!D:I,""select I where D='""&amp;D225&amp;""'"")"),"Público")</f>
        <v>Público</v>
      </c>
      <c r="R225" s="137" t="str">
        <f>IFERROR(__xludf.DUMMYFUNCTION("QUERY(Hospitais_BD!D:I,""select H where D='""&amp;D225&amp;""'"")"),"Unidade básica de saúde - BAIXA COMPLEXIDADE
")</f>
        <v>Unidade básica de saúde - BAIXA COMPLEXIDADE
</v>
      </c>
      <c r="S225" s="192" t="s">
        <v>1191</v>
      </c>
      <c r="T225" s="217"/>
      <c r="U225" s="207"/>
      <c r="V225" s="83"/>
      <c r="W225" s="83"/>
      <c r="X225" s="25"/>
      <c r="Y225" s="83"/>
      <c r="Z225" s="83"/>
      <c r="AA225" s="25"/>
      <c r="AB225" s="25"/>
      <c r="AC225" s="25" t="s">
        <v>1192</v>
      </c>
      <c r="AD225" s="83">
        <v>17108.0</v>
      </c>
      <c r="AE225" s="134"/>
      <c r="AF225" s="142"/>
      <c r="AG225" s="83">
        <v>50.0</v>
      </c>
      <c r="AH225" s="83"/>
      <c r="AI225" s="83"/>
      <c r="AJ225" s="83"/>
      <c r="AK225" s="83"/>
      <c r="AL225" s="83">
        <v>50.0</v>
      </c>
      <c r="AM225" s="145" t="s">
        <v>1003</v>
      </c>
    </row>
    <row r="226" ht="21.0" customHeight="1">
      <c r="A226" s="193">
        <v>43967.0</v>
      </c>
      <c r="B226" s="76">
        <v>0.17488425925925927</v>
      </c>
      <c r="C226" s="69"/>
      <c r="D226" s="37" t="s">
        <v>377</v>
      </c>
      <c r="E226" s="75">
        <v>3.9450201487E11</v>
      </c>
      <c r="F226" s="75">
        <v>2.5995408E7</v>
      </c>
      <c r="G226" s="75"/>
      <c r="H226" s="75"/>
      <c r="I226" s="75"/>
      <c r="J226" s="75"/>
      <c r="K226" s="75"/>
      <c r="L226" s="75"/>
      <c r="M226" s="53" t="str">
        <f>IFERROR(__xludf.DUMMYFUNCTION("QUERY(Hospitais_BD!D:I,""select E where D='""&amp;D226&amp;""'"",0)"),"ZONA NORTE")</f>
        <v>ZONA NORTE</v>
      </c>
      <c r="N226" s="45" t="str">
        <f>IFERROR(__xludf.DUMMYFUNCTION("QUERY(Hospitais_BD!D:I,""select F where D='""&amp;D226&amp;""'"")"),"Rio de Janeiro")</f>
        <v>Rio de Janeiro</v>
      </c>
      <c r="O226" s="53" t="str">
        <f>IFERROR(__xludf.DUMMYFUNCTION("QUERY(Hospitais_BD!D:I,""select G where D='""&amp;D226&amp;""'"")"),"Lins de Vasconcelos")</f>
        <v>Lins de Vasconcelos</v>
      </c>
      <c r="P226" s="37" t="s">
        <v>1193</v>
      </c>
      <c r="Q226" s="125" t="str">
        <f>IFERROR(__xludf.DUMMYFUNCTION("QUERY(Hospitais_BD!D:I,""select I where D='""&amp;D226&amp;""'"")"),"Público")</f>
        <v>Público</v>
      </c>
      <c r="R226" s="125" t="str">
        <f>IFERROR(__xludf.DUMMYFUNCTION("QUERY(Hospitais_BD!D:I,""select H where D='""&amp;D226&amp;""'"")"),"Unidade básica - BAIXA COMPLEXIDADE")</f>
        <v>Unidade básica - BAIXA COMPLEXIDADE</v>
      </c>
      <c r="S226" s="194" t="s">
        <v>1194</v>
      </c>
      <c r="T226" s="218"/>
      <c r="U226" s="208"/>
      <c r="V226" s="75"/>
      <c r="W226" s="75"/>
      <c r="X226" s="37"/>
      <c r="Y226" s="75"/>
      <c r="Z226" s="75"/>
      <c r="AA226" s="37"/>
      <c r="AB226" s="37"/>
      <c r="AC226" s="37" t="s">
        <v>1195</v>
      </c>
      <c r="AD226" s="75">
        <v>5.21046705E8</v>
      </c>
      <c r="AE226" s="121"/>
      <c r="AF226" s="130"/>
      <c r="AG226" s="75">
        <v>100.0</v>
      </c>
      <c r="AH226" s="75"/>
      <c r="AI226" s="75"/>
      <c r="AJ226" s="75"/>
      <c r="AK226" s="129"/>
      <c r="AL226" s="129"/>
      <c r="AM226" s="131" t="s">
        <v>1003</v>
      </c>
    </row>
    <row r="227" ht="21.0" customHeight="1">
      <c r="A227" s="190">
        <v>43968.0</v>
      </c>
      <c r="B227" s="191">
        <v>0.07925925925925927</v>
      </c>
      <c r="C227" s="50"/>
      <c r="D227" s="25" t="s">
        <v>821</v>
      </c>
      <c r="E227" s="83">
        <v>3.3781055000135E13</v>
      </c>
      <c r="F227" s="83">
        <v>2.22961155E8</v>
      </c>
      <c r="G227" s="83"/>
      <c r="H227" s="83"/>
      <c r="I227" s="83"/>
      <c r="J227" s="83"/>
      <c r="K227" s="83"/>
      <c r="L227" s="83"/>
      <c r="M227" s="70" t="str">
        <f>IFERROR(__xludf.DUMMYFUNCTION("QUERY(Hospitais_BD!D:I,""select E where D='""&amp;D227&amp;""'"",0)"),"CENTRO")</f>
        <v>CENTRO</v>
      </c>
      <c r="N227" s="44" t="str">
        <f>IFERROR(__xludf.DUMMYFUNCTION("QUERY(Hospitais_BD!D:I,""select F where D='""&amp;D227&amp;""'"")"),"Rio de Janeiro")</f>
        <v>Rio de Janeiro</v>
      </c>
      <c r="O227" s="70" t="str">
        <f>IFERROR(__xludf.DUMMYFUNCTION("QUERY(Hospitais_BD!D:I,""select G where D='""&amp;D227&amp;""'"")"),"Centro")</f>
        <v>Centro</v>
      </c>
      <c r="P227" s="25" t="s">
        <v>1196</v>
      </c>
      <c r="Q227" s="137" t="str">
        <f>IFERROR(__xludf.DUMMYFUNCTION("QUERY(Hospitais_BD!D:I,""select I where D='""&amp;D227&amp;""'"")"),"Público")</f>
        <v>Público</v>
      </c>
      <c r="R227" s="137" t="str">
        <f>IFERROR(__xludf.DUMMYFUNCTION("QUERY(Hospitais_BD!D:I,""select H where D='""&amp;D227&amp;""'"")"),"Unidade básica de saúde - BAIXA COMPLEXIDADE
")</f>
        <v>Unidade básica de saúde - BAIXA COMPLEXIDADE
</v>
      </c>
      <c r="S227" s="192">
        <v>0.0</v>
      </c>
      <c r="T227" s="217"/>
      <c r="U227" s="207"/>
      <c r="V227" s="83"/>
      <c r="W227" s="83"/>
      <c r="X227" s="25"/>
      <c r="Y227" s="83"/>
      <c r="Z227" s="83"/>
      <c r="AA227" s="25"/>
      <c r="AB227" s="25"/>
      <c r="AC227" s="25" t="s">
        <v>1197</v>
      </c>
      <c r="AD227" s="83">
        <v>626584.0</v>
      </c>
      <c r="AE227" s="134"/>
      <c r="AF227" s="142"/>
      <c r="AG227" s="83">
        <v>50.0</v>
      </c>
      <c r="AH227" s="83"/>
      <c r="AI227" s="83"/>
      <c r="AJ227" s="83"/>
      <c r="AK227" s="144"/>
      <c r="AL227" s="144"/>
      <c r="AM227" s="145" t="s">
        <v>1003</v>
      </c>
    </row>
    <row r="228" ht="21.0" customHeight="1">
      <c r="A228" s="193">
        <v>43968.0</v>
      </c>
      <c r="B228" s="76">
        <v>0.520636574074074</v>
      </c>
      <c r="C228" s="69"/>
      <c r="D228" s="37" t="s">
        <v>896</v>
      </c>
      <c r="E228" s="75">
        <v>4.939756000151E12</v>
      </c>
      <c r="F228" s="75">
        <v>2.1997311784E10</v>
      </c>
      <c r="G228" s="75"/>
      <c r="H228" s="75"/>
      <c r="I228" s="75"/>
      <c r="J228" s="75"/>
      <c r="K228" s="75"/>
      <c r="L228" s="75"/>
      <c r="M228" s="53" t="str">
        <f>IFERROR(__xludf.DUMMYFUNCTION("QUERY(Hospitais_BD!D:I,""select E where D='""&amp;D228&amp;""'"",0)"),"BAIXADA FLUMINENSE")</f>
        <v>BAIXADA FLUMINENSE</v>
      </c>
      <c r="N228" s="45" t="str">
        <f>IFERROR(__xludf.DUMMYFUNCTION("QUERY(Hospitais_BD!D:I,""select F where D='""&amp;D228&amp;""'"")"),"Mesquita")</f>
        <v>Mesquita</v>
      </c>
      <c r="O228" s="53" t="str">
        <f>IFERROR(__xludf.DUMMYFUNCTION("QUERY(Hospitais_BD!D:I,""select G where D='""&amp;D228&amp;""'"")"),"Santa Terezinha")</f>
        <v>Santa Terezinha</v>
      </c>
      <c r="P228" s="37" t="s">
        <v>1198</v>
      </c>
      <c r="Q228" s="125" t="str">
        <f>IFERROR(__xludf.DUMMYFUNCTION("QUERY(Hospitais_BD!D:I,""select I where D='""&amp;D228&amp;""'"")"),"Público")</f>
        <v>Público</v>
      </c>
      <c r="R228" s="125" t="str">
        <f>IFERROR(__xludf.DUMMYFUNCTION("QUERY(Hospitais_BD!D:I,""select H where D='""&amp;D228&amp;""'"")"),"Unidade básica de saúde - BAIXA COMPLEXIDADE")</f>
        <v>Unidade básica de saúde - BAIXA COMPLEXIDADE</v>
      </c>
      <c r="S228" s="194" t="s">
        <v>1199</v>
      </c>
      <c r="T228" s="218"/>
      <c r="U228" s="208"/>
      <c r="V228" s="75"/>
      <c r="W228" s="75"/>
      <c r="X228" s="37"/>
      <c r="Y228" s="75"/>
      <c r="Z228" s="75"/>
      <c r="AA228" s="37"/>
      <c r="AB228" s="37"/>
      <c r="AC228" s="37" t="s">
        <v>1200</v>
      </c>
      <c r="AD228" s="75">
        <v>6.001071E7</v>
      </c>
      <c r="AE228" s="121"/>
      <c r="AF228" s="130"/>
      <c r="AG228" s="75">
        <v>50.0</v>
      </c>
      <c r="AH228" s="75"/>
      <c r="AI228" s="75"/>
      <c r="AJ228" s="75"/>
      <c r="AK228" s="129"/>
      <c r="AL228" s="129"/>
      <c r="AM228" s="131" t="s">
        <v>1003</v>
      </c>
    </row>
    <row r="229" ht="21.0" customHeight="1">
      <c r="A229" s="190">
        <v>43969.0</v>
      </c>
      <c r="B229" s="191">
        <v>0.39567129629629627</v>
      </c>
      <c r="C229" s="50"/>
      <c r="D229" s="25" t="s">
        <v>758</v>
      </c>
      <c r="E229" s="83">
        <v>1.4470588000151E13</v>
      </c>
      <c r="F229" s="83">
        <v>9.99976586E8</v>
      </c>
      <c r="G229" s="83"/>
      <c r="H229" s="83"/>
      <c r="I229" s="83"/>
      <c r="J229" s="83"/>
      <c r="K229" s="83"/>
      <c r="L229" s="83"/>
      <c r="M229" s="70" t="str">
        <f>IFERROR(__xludf.DUMMYFUNCTION("QUERY(Hospitais_BD!D:I,""select E where D='""&amp;D229&amp;""'"",0)"),"ZONA NORTE")</f>
        <v>ZONA NORTE</v>
      </c>
      <c r="N229" s="44" t="str">
        <f>IFERROR(__xludf.DUMMYFUNCTION("QUERY(Hospitais_BD!D:I,""select F where D='""&amp;D229&amp;""'"")"),"Rio de Janeiro")</f>
        <v>Rio de Janeiro</v>
      </c>
      <c r="O229" s="70" t="str">
        <f>IFERROR(__xludf.DUMMYFUNCTION("QUERY(Hospitais_BD!D:I,""select G where D='""&amp;D229&amp;""'"")"),"Vigario Geral")</f>
        <v>Vigario Geral</v>
      </c>
      <c r="P229" s="25" t="s">
        <v>1201</v>
      </c>
      <c r="Q229" s="137" t="str">
        <f>IFERROR(__xludf.DUMMYFUNCTION("QUERY(Hospitais_BD!D:I,""select I where D='""&amp;D229&amp;""'"")"),"Público")</f>
        <v>Público</v>
      </c>
      <c r="R229" s="137" t="str">
        <f>IFERROR(__xludf.DUMMYFUNCTION("QUERY(Hospitais_BD!D:I,""select H where D='""&amp;D229&amp;""'"")"),"Unidade básica de saúde - BAIXA COMPLEXIDADE
")</f>
        <v>Unidade básica de saúde - BAIXA COMPLEXIDADE
</v>
      </c>
      <c r="S229" s="192" t="s">
        <v>1202</v>
      </c>
      <c r="T229" s="217"/>
      <c r="U229" s="207"/>
      <c r="V229" s="83"/>
      <c r="W229" s="83"/>
      <c r="X229" s="25"/>
      <c r="Y229" s="83"/>
      <c r="Z229" s="83"/>
      <c r="AA229" s="25"/>
      <c r="AB229" s="25"/>
      <c r="AC229" s="25" t="s">
        <v>1203</v>
      </c>
      <c r="AD229" s="83">
        <v>62613.0</v>
      </c>
      <c r="AE229" s="134"/>
      <c r="AF229" s="142"/>
      <c r="AG229" s="83">
        <v>50.0</v>
      </c>
      <c r="AH229" s="83"/>
      <c r="AI229" s="83"/>
      <c r="AJ229" s="83"/>
      <c r="AK229" s="144"/>
      <c r="AL229" s="144"/>
      <c r="AM229" s="145" t="s">
        <v>1003</v>
      </c>
    </row>
    <row r="230" ht="21.0" customHeight="1">
      <c r="A230" s="193">
        <v>43969.0</v>
      </c>
      <c r="B230" s="76">
        <v>0.6812847222222222</v>
      </c>
      <c r="C230" s="69"/>
      <c r="D230" s="37" t="s">
        <v>762</v>
      </c>
      <c r="E230" s="75">
        <v>1.0978857000134E13</v>
      </c>
      <c r="F230" s="75">
        <v>2.137613773E9</v>
      </c>
      <c r="G230" s="75"/>
      <c r="H230" s="75"/>
      <c r="I230" s="75"/>
      <c r="J230" s="75"/>
      <c r="K230" s="75"/>
      <c r="L230" s="75"/>
      <c r="M230" s="53" t="str">
        <f>IFERROR(__xludf.DUMMYFUNCTION("QUERY(Hospitais_BD!D:I,""select E where D='""&amp;D230&amp;""'"",0)"),"BAIXADA FLUMINENSE")</f>
        <v>BAIXADA FLUMINENSE</v>
      </c>
      <c r="N230" s="45" t="str">
        <f>IFERROR(__xludf.DUMMYFUNCTION("QUERY(Hospitais_BD!D:I,""select F where D='""&amp;D230&amp;""'"")"),"Nilópolis")</f>
        <v>Nilópolis</v>
      </c>
      <c r="O230" s="53" t="str">
        <f>IFERROR(__xludf.DUMMYFUNCTION("QUERY(Hospitais_BD!D:I,""select G where D='""&amp;D230&amp;""'"")"),"CABUIS")</f>
        <v>CABUIS</v>
      </c>
      <c r="P230" s="37" t="s">
        <v>1204</v>
      </c>
      <c r="Q230" s="125" t="str">
        <f>IFERROR(__xludf.DUMMYFUNCTION("QUERY(Hospitais_BD!D:I,""select I where D='""&amp;D230&amp;""'"")"),"Público")</f>
        <v>Público</v>
      </c>
      <c r="R230" s="125" t="str">
        <f>IFERROR(__xludf.DUMMYFUNCTION("QUERY(Hospitais_BD!D:I,""select H where D='""&amp;D230&amp;""'"")"),"Hospital de Apoio - MÉDIA COMPLEXIDADE
")</f>
        <v>Hospital de Apoio - MÉDIA COMPLEXIDADE
</v>
      </c>
      <c r="S230" s="194" t="s">
        <v>1205</v>
      </c>
      <c r="T230" s="218"/>
      <c r="U230" s="208"/>
      <c r="V230" s="75"/>
      <c r="W230" s="75"/>
      <c r="X230" s="37"/>
      <c r="Y230" s="75"/>
      <c r="Z230" s="75"/>
      <c r="AA230" s="37"/>
      <c r="AB230" s="37"/>
      <c r="AC230" s="37" t="s">
        <v>1206</v>
      </c>
      <c r="AD230" s="75">
        <v>137908.0</v>
      </c>
      <c r="AE230" s="121"/>
      <c r="AF230" s="130"/>
      <c r="AG230" s="75">
        <v>100.0</v>
      </c>
      <c r="AH230" s="75"/>
      <c r="AI230" s="75"/>
      <c r="AJ230" s="75"/>
      <c r="AK230" s="129"/>
      <c r="AL230" s="129"/>
      <c r="AM230" s="131" t="s">
        <v>1003</v>
      </c>
    </row>
    <row r="231" ht="21.0" customHeight="1">
      <c r="A231" s="207" t="s">
        <v>1119</v>
      </c>
      <c r="B231" s="84">
        <v>0.8604050925925926</v>
      </c>
      <c r="C231" s="50"/>
      <c r="D231" s="25" t="s">
        <v>858</v>
      </c>
      <c r="E231" s="83">
        <v>0.0</v>
      </c>
      <c r="F231" s="83">
        <v>2.1968074017E10</v>
      </c>
      <c r="G231" s="83"/>
      <c r="H231" s="83"/>
      <c r="I231" s="83"/>
      <c r="J231" s="83"/>
      <c r="K231" s="83">
        <v>100.0</v>
      </c>
      <c r="L231" s="83">
        <v>100.0</v>
      </c>
      <c r="M231" s="70" t="str">
        <f>IFERROR(__xludf.DUMMYFUNCTION("QUERY(Hospitais_BD!D:I,""select E where D='""&amp;D231&amp;""'"",0)"),"REGIAO SERRANA")</f>
        <v>REGIAO SERRANA</v>
      </c>
      <c r="N231" s="44" t="str">
        <f>IFERROR(__xludf.DUMMYFUNCTION("QUERY(Hospitais_BD!D:I,""select F where D='""&amp;D231&amp;""'"")"),"Teresopolis")</f>
        <v>Teresopolis</v>
      </c>
      <c r="O231" s="70" t="str">
        <f>IFERROR(__xludf.DUMMYFUNCTION("QUERY(Hospitais_BD!D:I,""select G where D='""&amp;D231&amp;""'"")"),"Meudom")</f>
        <v>Meudom</v>
      </c>
      <c r="P231" s="25" t="s">
        <v>859</v>
      </c>
      <c r="Q231" s="137" t="str">
        <f>IFERROR(__xludf.DUMMYFUNCTION("QUERY(Hospitais_BD!D:I,""select I where D='""&amp;D231&amp;""'"")"),"Público")</f>
        <v>Público</v>
      </c>
      <c r="R231" s="137" t="str">
        <f>IFERROR(__xludf.DUMMYFUNCTION("QUERY(Hospitais_BD!D:I,""select H where D='""&amp;D231&amp;""'"")"),"Unidade básica de saúde - BAIXA COMPLEXIDADE")</f>
        <v>Unidade básica de saúde - BAIXA COMPLEXIDADE</v>
      </c>
      <c r="S231" s="192">
        <v>0.0</v>
      </c>
      <c r="T231" s="217"/>
      <c r="U231" s="207"/>
      <c r="V231" s="83"/>
      <c r="W231" s="83"/>
      <c r="X231" s="25"/>
      <c r="Y231" s="83"/>
      <c r="Z231" s="83"/>
      <c r="AA231" s="25"/>
      <c r="AB231" s="25"/>
      <c r="AC231" s="25" t="s">
        <v>1120</v>
      </c>
      <c r="AD231" s="83">
        <v>0.0</v>
      </c>
      <c r="AE231" s="134"/>
      <c r="AF231" s="142"/>
      <c r="AG231" s="83"/>
      <c r="AH231" s="83"/>
      <c r="AI231" s="83"/>
      <c r="AJ231" s="83"/>
      <c r="AK231" s="144"/>
      <c r="AL231" s="144"/>
      <c r="AM231" s="145" t="s">
        <v>1014</v>
      </c>
    </row>
    <row r="232" ht="21.0" customHeight="1">
      <c r="A232" s="208" t="s">
        <v>1119</v>
      </c>
      <c r="B232" s="85">
        <v>0.8604050925925926</v>
      </c>
      <c r="C232" s="69"/>
      <c r="D232" s="37" t="s">
        <v>858</v>
      </c>
      <c r="E232" s="75">
        <v>0.0</v>
      </c>
      <c r="F232" s="75">
        <v>2.1968074017E10</v>
      </c>
      <c r="G232" s="75"/>
      <c r="H232" s="75"/>
      <c r="I232" s="75"/>
      <c r="J232" s="75"/>
      <c r="K232" s="75">
        <v>100.0</v>
      </c>
      <c r="L232" s="75">
        <v>100.0</v>
      </c>
      <c r="M232" s="53" t="str">
        <f>IFERROR(__xludf.DUMMYFUNCTION("QUERY(Hospitais_BD!D:I,""select E where D='""&amp;D232&amp;""'"",0)"),"REGIAO SERRANA")</f>
        <v>REGIAO SERRANA</v>
      </c>
      <c r="N232" s="45" t="str">
        <f>IFERROR(__xludf.DUMMYFUNCTION("QUERY(Hospitais_BD!D:I,""select F where D='""&amp;D232&amp;""'"")"),"Teresopolis")</f>
        <v>Teresopolis</v>
      </c>
      <c r="O232" s="53" t="str">
        <f>IFERROR(__xludf.DUMMYFUNCTION("QUERY(Hospitais_BD!D:I,""select G where D='""&amp;D232&amp;""'"")"),"Meudom")</f>
        <v>Meudom</v>
      </c>
      <c r="P232" s="37" t="s">
        <v>859</v>
      </c>
      <c r="Q232" s="125" t="str">
        <f>IFERROR(__xludf.DUMMYFUNCTION("QUERY(Hospitais_BD!D:I,""select I where D='""&amp;D232&amp;""'"")"),"Público")</f>
        <v>Público</v>
      </c>
      <c r="R232" s="125" t="str">
        <f>IFERROR(__xludf.DUMMYFUNCTION("QUERY(Hospitais_BD!D:I,""select H where D='""&amp;D232&amp;""'"")"),"Unidade básica de saúde - BAIXA COMPLEXIDADE")</f>
        <v>Unidade básica de saúde - BAIXA COMPLEXIDADE</v>
      </c>
      <c r="S232" s="194">
        <v>0.0</v>
      </c>
      <c r="T232" s="218"/>
      <c r="U232" s="208"/>
      <c r="V232" s="75"/>
      <c r="W232" s="75"/>
      <c r="X232" s="37"/>
      <c r="Y232" s="75"/>
      <c r="Z232" s="75"/>
      <c r="AA232" s="37"/>
      <c r="AB232" s="37"/>
      <c r="AC232" s="37" t="s">
        <v>1120</v>
      </c>
      <c r="AD232" s="75">
        <v>0.0</v>
      </c>
      <c r="AE232" s="121"/>
      <c r="AF232" s="130"/>
      <c r="AG232" s="75"/>
      <c r="AH232" s="75"/>
      <c r="AI232" s="75"/>
      <c r="AJ232" s="75"/>
      <c r="AK232" s="129"/>
      <c r="AL232" s="129"/>
      <c r="AM232" s="131" t="s">
        <v>1014</v>
      </c>
    </row>
    <row r="233" ht="21.0" customHeight="1">
      <c r="A233" s="207" t="s">
        <v>1119</v>
      </c>
      <c r="B233" s="84">
        <v>0.8604050925925926</v>
      </c>
      <c r="C233" s="20">
        <v>234.0</v>
      </c>
      <c r="D233" s="25" t="s">
        <v>858</v>
      </c>
      <c r="E233" s="83">
        <v>0.0</v>
      </c>
      <c r="F233" s="83">
        <v>2.1968074017E10</v>
      </c>
      <c r="G233" s="83"/>
      <c r="H233" s="83"/>
      <c r="I233" s="83"/>
      <c r="J233" s="83"/>
      <c r="K233" s="83">
        <v>100.0</v>
      </c>
      <c r="L233" s="83">
        <v>100.0</v>
      </c>
      <c r="M233" s="70" t="str">
        <f>IFERROR(__xludf.DUMMYFUNCTION("QUERY(Hospitais_BD!D:I,""select E where D='""&amp;D233&amp;""'"",0)"),"REGIAO SERRANA")</f>
        <v>REGIAO SERRANA</v>
      </c>
      <c r="N233" s="44" t="str">
        <f>IFERROR(__xludf.DUMMYFUNCTION("QUERY(Hospitais_BD!D:I,""select F where D='""&amp;D233&amp;""'"")"),"Teresopolis")</f>
        <v>Teresopolis</v>
      </c>
      <c r="O233" s="70" t="str">
        <f>IFERROR(__xludf.DUMMYFUNCTION("QUERY(Hospitais_BD!D:I,""select G where D='""&amp;D233&amp;""'"")"),"Meudom")</f>
        <v>Meudom</v>
      </c>
      <c r="P233" s="25" t="s">
        <v>859</v>
      </c>
      <c r="Q233" s="137" t="str">
        <f>IFERROR(__xludf.DUMMYFUNCTION("QUERY(Hospitais_BD!D:I,""select I where D='""&amp;D233&amp;""'"")"),"Público")</f>
        <v>Público</v>
      </c>
      <c r="R233" s="137" t="str">
        <f>IFERROR(__xludf.DUMMYFUNCTION("QUERY(Hospitais_BD!D:I,""select H where D='""&amp;D233&amp;""'"")"),"Unidade básica de saúde - BAIXA COMPLEXIDADE")</f>
        <v>Unidade básica de saúde - BAIXA COMPLEXIDADE</v>
      </c>
      <c r="S233" s="192">
        <v>0.0</v>
      </c>
      <c r="T233" s="217"/>
      <c r="U233" s="207"/>
      <c r="V233" s="83"/>
      <c r="W233" s="83"/>
      <c r="X233" s="25"/>
      <c r="Y233" s="83"/>
      <c r="Z233" s="83"/>
      <c r="AA233" s="25"/>
      <c r="AB233" s="25"/>
      <c r="AC233" s="25" t="s">
        <v>1120</v>
      </c>
      <c r="AD233" s="83">
        <v>0.0</v>
      </c>
      <c r="AE233" s="134"/>
      <c r="AF233" s="142"/>
      <c r="AG233" s="83"/>
      <c r="AH233" s="83"/>
      <c r="AI233" s="83"/>
      <c r="AJ233" s="83"/>
      <c r="AK233" s="144"/>
      <c r="AL233" s="144"/>
      <c r="AM233" s="145" t="s">
        <v>1014</v>
      </c>
    </row>
    <row r="234" ht="21.0" customHeight="1">
      <c r="A234" s="208" t="s">
        <v>1119</v>
      </c>
      <c r="B234" s="85">
        <v>0.8604050925925926</v>
      </c>
      <c r="C234" s="69"/>
      <c r="D234" s="37" t="s">
        <v>858</v>
      </c>
      <c r="E234" s="75">
        <v>0.0</v>
      </c>
      <c r="F234" s="75">
        <v>2.1968074017E10</v>
      </c>
      <c r="G234" s="75"/>
      <c r="H234" s="75"/>
      <c r="I234" s="75"/>
      <c r="J234" s="75"/>
      <c r="K234" s="75">
        <v>100.0</v>
      </c>
      <c r="L234" s="75">
        <v>100.0</v>
      </c>
      <c r="M234" s="53" t="str">
        <f>IFERROR(__xludf.DUMMYFUNCTION("QUERY(Hospitais_BD!D:I,""select E where D='""&amp;D234&amp;""'"",0)"),"REGIAO SERRANA")</f>
        <v>REGIAO SERRANA</v>
      </c>
      <c r="N234" s="45" t="str">
        <f>IFERROR(__xludf.DUMMYFUNCTION("QUERY(Hospitais_BD!D:I,""select F where D='""&amp;D234&amp;""'"")"),"Teresopolis")</f>
        <v>Teresopolis</v>
      </c>
      <c r="O234" s="53" t="str">
        <f>IFERROR(__xludf.DUMMYFUNCTION("QUERY(Hospitais_BD!D:I,""select G where D='""&amp;D234&amp;""'"")"),"Meudom")</f>
        <v>Meudom</v>
      </c>
      <c r="P234" s="37" t="s">
        <v>859</v>
      </c>
      <c r="Q234" s="125" t="str">
        <f>IFERROR(__xludf.DUMMYFUNCTION("QUERY(Hospitais_BD!D:I,""select I where D='""&amp;D234&amp;""'"")"),"Público")</f>
        <v>Público</v>
      </c>
      <c r="R234" s="125" t="str">
        <f>IFERROR(__xludf.DUMMYFUNCTION("QUERY(Hospitais_BD!D:I,""select H where D='""&amp;D234&amp;""'"")"),"Unidade básica de saúde - BAIXA COMPLEXIDADE")</f>
        <v>Unidade básica de saúde - BAIXA COMPLEXIDADE</v>
      </c>
      <c r="S234" s="194">
        <v>0.0</v>
      </c>
      <c r="T234" s="218"/>
      <c r="U234" s="208"/>
      <c r="V234" s="75"/>
      <c r="W234" s="75"/>
      <c r="X234" s="37"/>
      <c r="Y234" s="75"/>
      <c r="Z234" s="75"/>
      <c r="AA234" s="37"/>
      <c r="AB234" s="37"/>
      <c r="AC234" s="37" t="s">
        <v>1120</v>
      </c>
      <c r="AD234" s="75">
        <v>0.0</v>
      </c>
      <c r="AE234" s="121"/>
      <c r="AF234" s="130"/>
      <c r="AG234" s="75"/>
      <c r="AH234" s="75"/>
      <c r="AI234" s="75"/>
      <c r="AJ234" s="75"/>
      <c r="AK234" s="129"/>
      <c r="AL234" s="129"/>
      <c r="AM234" s="131" t="s">
        <v>1014</v>
      </c>
    </row>
    <row r="235" ht="21.0" customHeight="1">
      <c r="A235" s="207" t="s">
        <v>1119</v>
      </c>
      <c r="B235" s="84">
        <v>0.8604050925925926</v>
      </c>
      <c r="C235" s="50"/>
      <c r="D235" s="25" t="s">
        <v>858</v>
      </c>
      <c r="E235" s="83">
        <v>0.0</v>
      </c>
      <c r="F235" s="83">
        <v>2.1968074017E10</v>
      </c>
      <c r="G235" s="83"/>
      <c r="H235" s="83"/>
      <c r="I235" s="83"/>
      <c r="J235" s="83"/>
      <c r="K235" s="83">
        <v>100.0</v>
      </c>
      <c r="L235" s="83">
        <v>100.0</v>
      </c>
      <c r="M235" s="70" t="str">
        <f>IFERROR(__xludf.DUMMYFUNCTION("QUERY(Hospitais_BD!D:I,""select E where D='""&amp;D235&amp;""'"",0)"),"REGIAO SERRANA")</f>
        <v>REGIAO SERRANA</v>
      </c>
      <c r="N235" s="44" t="str">
        <f>IFERROR(__xludf.DUMMYFUNCTION("QUERY(Hospitais_BD!D:I,""select F where D='""&amp;D235&amp;""'"")"),"Teresopolis")</f>
        <v>Teresopolis</v>
      </c>
      <c r="O235" s="70" t="str">
        <f>IFERROR(__xludf.DUMMYFUNCTION("QUERY(Hospitais_BD!D:I,""select G where D='""&amp;D235&amp;""'"")"),"Meudom")</f>
        <v>Meudom</v>
      </c>
      <c r="P235" s="25" t="s">
        <v>859</v>
      </c>
      <c r="Q235" s="137" t="str">
        <f>IFERROR(__xludf.DUMMYFUNCTION("QUERY(Hospitais_BD!D:I,""select I where D='""&amp;D235&amp;""'"")"),"Público")</f>
        <v>Público</v>
      </c>
      <c r="R235" s="137" t="str">
        <f>IFERROR(__xludf.DUMMYFUNCTION("QUERY(Hospitais_BD!D:I,""select H where D='""&amp;D235&amp;""'"")"),"Unidade básica de saúde - BAIXA COMPLEXIDADE")</f>
        <v>Unidade básica de saúde - BAIXA COMPLEXIDADE</v>
      </c>
      <c r="S235" s="192">
        <v>0.0</v>
      </c>
      <c r="T235" s="217"/>
      <c r="U235" s="207"/>
      <c r="V235" s="83"/>
      <c r="W235" s="83"/>
      <c r="X235" s="25"/>
      <c r="Y235" s="83"/>
      <c r="Z235" s="83"/>
      <c r="AA235" s="25"/>
      <c r="AB235" s="25"/>
      <c r="AC235" s="25" t="s">
        <v>1120</v>
      </c>
      <c r="AD235" s="83">
        <v>0.0</v>
      </c>
      <c r="AE235" s="134"/>
      <c r="AF235" s="142"/>
      <c r="AG235" s="83"/>
      <c r="AH235" s="83"/>
      <c r="AI235" s="83"/>
      <c r="AJ235" s="83"/>
      <c r="AK235" s="144"/>
      <c r="AL235" s="144"/>
      <c r="AM235" s="145" t="s">
        <v>1014</v>
      </c>
    </row>
    <row r="236" ht="21.0" customHeight="1">
      <c r="A236" s="208" t="s">
        <v>1119</v>
      </c>
      <c r="B236" s="85">
        <v>0.8604050925925926</v>
      </c>
      <c r="C236" s="69"/>
      <c r="D236" s="37" t="s">
        <v>858</v>
      </c>
      <c r="E236" s="75">
        <v>0.0</v>
      </c>
      <c r="F236" s="75">
        <v>2.1968074017E10</v>
      </c>
      <c r="G236" s="75"/>
      <c r="H236" s="75"/>
      <c r="I236" s="75"/>
      <c r="J236" s="75"/>
      <c r="K236" s="75">
        <v>100.0</v>
      </c>
      <c r="L236" s="75">
        <v>100.0</v>
      </c>
      <c r="M236" s="53" t="str">
        <f>IFERROR(__xludf.DUMMYFUNCTION("QUERY(Hospitais_BD!D:I,""select E where D='""&amp;D236&amp;""'"",0)"),"REGIAO SERRANA")</f>
        <v>REGIAO SERRANA</v>
      </c>
      <c r="N236" s="45" t="str">
        <f>IFERROR(__xludf.DUMMYFUNCTION("QUERY(Hospitais_BD!D:I,""select F where D='""&amp;D236&amp;""'"")"),"Teresopolis")</f>
        <v>Teresopolis</v>
      </c>
      <c r="O236" s="53" t="str">
        <f>IFERROR(__xludf.DUMMYFUNCTION("QUERY(Hospitais_BD!D:I,""select G where D='""&amp;D236&amp;""'"")"),"Meudom")</f>
        <v>Meudom</v>
      </c>
      <c r="P236" s="37" t="s">
        <v>859</v>
      </c>
      <c r="Q236" s="125" t="str">
        <f>IFERROR(__xludf.DUMMYFUNCTION("QUERY(Hospitais_BD!D:I,""select I where D='""&amp;D236&amp;""'"")"),"Público")</f>
        <v>Público</v>
      </c>
      <c r="R236" s="125" t="str">
        <f>IFERROR(__xludf.DUMMYFUNCTION("QUERY(Hospitais_BD!D:I,""select H where D='""&amp;D236&amp;""'"")"),"Unidade básica de saúde - BAIXA COMPLEXIDADE")</f>
        <v>Unidade básica de saúde - BAIXA COMPLEXIDADE</v>
      </c>
      <c r="S236" s="194">
        <v>0.0</v>
      </c>
      <c r="T236" s="218"/>
      <c r="U236" s="208"/>
      <c r="V236" s="75"/>
      <c r="W236" s="75"/>
      <c r="X236" s="37"/>
      <c r="Y236" s="75"/>
      <c r="Z236" s="75"/>
      <c r="AA236" s="37"/>
      <c r="AB236" s="37"/>
      <c r="AC236" s="37" t="s">
        <v>1120</v>
      </c>
      <c r="AD236" s="75">
        <v>0.0</v>
      </c>
      <c r="AE236" s="121"/>
      <c r="AF236" s="130"/>
      <c r="AG236" s="75"/>
      <c r="AH236" s="75"/>
      <c r="AI236" s="75"/>
      <c r="AJ236" s="75"/>
      <c r="AK236" s="129"/>
      <c r="AL236" s="129"/>
      <c r="AM236" s="131" t="s">
        <v>1014</v>
      </c>
    </row>
    <row r="237" ht="21.0" customHeight="1">
      <c r="A237" s="207" t="s">
        <v>1119</v>
      </c>
      <c r="B237" s="84">
        <v>0.8604050925925926</v>
      </c>
      <c r="C237" s="50"/>
      <c r="D237" s="25" t="s">
        <v>858</v>
      </c>
      <c r="E237" s="83">
        <v>0.0</v>
      </c>
      <c r="F237" s="83">
        <v>2.1968074017E10</v>
      </c>
      <c r="G237" s="83"/>
      <c r="H237" s="83"/>
      <c r="I237" s="83"/>
      <c r="J237" s="83"/>
      <c r="K237" s="83">
        <v>100.0</v>
      </c>
      <c r="L237" s="83">
        <v>100.0</v>
      </c>
      <c r="M237" s="70" t="str">
        <f>IFERROR(__xludf.DUMMYFUNCTION("QUERY(Hospitais_BD!D:I,""select E where D='""&amp;D237&amp;""'"",0)"),"REGIAO SERRANA")</f>
        <v>REGIAO SERRANA</v>
      </c>
      <c r="N237" s="44" t="str">
        <f>IFERROR(__xludf.DUMMYFUNCTION("QUERY(Hospitais_BD!D:I,""select F where D='""&amp;D237&amp;""'"")"),"Teresopolis")</f>
        <v>Teresopolis</v>
      </c>
      <c r="O237" s="70" t="str">
        <f>IFERROR(__xludf.DUMMYFUNCTION("QUERY(Hospitais_BD!D:I,""select G where D='""&amp;D237&amp;""'"")"),"Meudom")</f>
        <v>Meudom</v>
      </c>
      <c r="P237" s="25" t="s">
        <v>859</v>
      </c>
      <c r="Q237" s="137" t="str">
        <f>IFERROR(__xludf.DUMMYFUNCTION("QUERY(Hospitais_BD!D:I,""select I where D='""&amp;D237&amp;""'"")"),"Público")</f>
        <v>Público</v>
      </c>
      <c r="R237" s="137" t="str">
        <f>IFERROR(__xludf.DUMMYFUNCTION("QUERY(Hospitais_BD!D:I,""select H where D='""&amp;D237&amp;""'"")"),"Unidade básica de saúde - BAIXA COMPLEXIDADE")</f>
        <v>Unidade básica de saúde - BAIXA COMPLEXIDADE</v>
      </c>
      <c r="S237" s="192">
        <v>0.0</v>
      </c>
      <c r="T237" s="217"/>
      <c r="U237" s="207"/>
      <c r="V237" s="83"/>
      <c r="W237" s="83"/>
      <c r="X237" s="25"/>
      <c r="Y237" s="83"/>
      <c r="Z237" s="83"/>
      <c r="AA237" s="25"/>
      <c r="AB237" s="25"/>
      <c r="AC237" s="25" t="s">
        <v>1120</v>
      </c>
      <c r="AD237" s="83">
        <v>0.0</v>
      </c>
      <c r="AE237" s="134"/>
      <c r="AF237" s="142"/>
      <c r="AG237" s="83"/>
      <c r="AH237" s="83"/>
      <c r="AI237" s="83"/>
      <c r="AJ237" s="83"/>
      <c r="AK237" s="144"/>
      <c r="AL237" s="144"/>
      <c r="AM237" s="145" t="s">
        <v>1014</v>
      </c>
    </row>
    <row r="238" ht="21.0" customHeight="1">
      <c r="A238" s="208" t="s">
        <v>1119</v>
      </c>
      <c r="B238" s="85">
        <v>0.8604050925925926</v>
      </c>
      <c r="C238" s="69"/>
      <c r="D238" s="37" t="s">
        <v>858</v>
      </c>
      <c r="E238" s="75">
        <v>0.0</v>
      </c>
      <c r="F238" s="75">
        <v>2.1968074017E10</v>
      </c>
      <c r="G238" s="75"/>
      <c r="H238" s="75"/>
      <c r="I238" s="75"/>
      <c r="J238" s="75"/>
      <c r="K238" s="75">
        <v>100.0</v>
      </c>
      <c r="L238" s="75">
        <v>100.0</v>
      </c>
      <c r="M238" s="53" t="str">
        <f>IFERROR(__xludf.DUMMYFUNCTION("QUERY(Hospitais_BD!D:I,""select E where D='""&amp;D238&amp;""'"",0)"),"REGIAO SERRANA")</f>
        <v>REGIAO SERRANA</v>
      </c>
      <c r="N238" s="45" t="str">
        <f>IFERROR(__xludf.DUMMYFUNCTION("QUERY(Hospitais_BD!D:I,""select F where D='""&amp;D238&amp;""'"")"),"Teresopolis")</f>
        <v>Teresopolis</v>
      </c>
      <c r="O238" s="53" t="str">
        <f>IFERROR(__xludf.DUMMYFUNCTION("QUERY(Hospitais_BD!D:I,""select G where D='""&amp;D238&amp;""'"")"),"Meudom")</f>
        <v>Meudom</v>
      </c>
      <c r="P238" s="37" t="s">
        <v>859</v>
      </c>
      <c r="Q238" s="125" t="str">
        <f>IFERROR(__xludf.DUMMYFUNCTION("QUERY(Hospitais_BD!D:I,""select I where D='""&amp;D238&amp;""'"")"),"Público")</f>
        <v>Público</v>
      </c>
      <c r="R238" s="125" t="str">
        <f>IFERROR(__xludf.DUMMYFUNCTION("QUERY(Hospitais_BD!D:I,""select H where D='""&amp;D238&amp;""'"")"),"Unidade básica de saúde - BAIXA COMPLEXIDADE")</f>
        <v>Unidade básica de saúde - BAIXA COMPLEXIDADE</v>
      </c>
      <c r="S238" s="194">
        <v>0.0</v>
      </c>
      <c r="T238" s="218"/>
      <c r="U238" s="208"/>
      <c r="V238" s="75"/>
      <c r="W238" s="75"/>
      <c r="X238" s="37"/>
      <c r="Y238" s="75"/>
      <c r="Z238" s="75"/>
      <c r="AA238" s="37"/>
      <c r="AB238" s="37"/>
      <c r="AC238" s="37" t="s">
        <v>1120</v>
      </c>
      <c r="AD238" s="75">
        <v>0.0</v>
      </c>
      <c r="AE238" s="121"/>
      <c r="AF238" s="130"/>
      <c r="AG238" s="75"/>
      <c r="AH238" s="75"/>
      <c r="AI238" s="75"/>
      <c r="AJ238" s="75"/>
      <c r="AK238" s="129"/>
      <c r="AL238" s="129"/>
      <c r="AM238" s="131" t="s">
        <v>1014</v>
      </c>
    </row>
    <row r="239" ht="21.0" customHeight="1">
      <c r="A239" s="207" t="s">
        <v>1119</v>
      </c>
      <c r="B239" s="84">
        <v>0.8604050925925926</v>
      </c>
      <c r="C239" s="50"/>
      <c r="D239" s="25" t="s">
        <v>858</v>
      </c>
      <c r="E239" s="83">
        <v>0.0</v>
      </c>
      <c r="F239" s="83">
        <v>2.1968074017E10</v>
      </c>
      <c r="G239" s="83"/>
      <c r="H239" s="83"/>
      <c r="I239" s="83"/>
      <c r="J239" s="83"/>
      <c r="K239" s="83">
        <v>100.0</v>
      </c>
      <c r="L239" s="83">
        <v>100.0</v>
      </c>
      <c r="M239" s="70" t="str">
        <f>IFERROR(__xludf.DUMMYFUNCTION("QUERY(Hospitais_BD!D:I,""select E where D='""&amp;D239&amp;""'"",0)"),"REGIAO SERRANA")</f>
        <v>REGIAO SERRANA</v>
      </c>
      <c r="N239" s="44" t="str">
        <f>IFERROR(__xludf.DUMMYFUNCTION("QUERY(Hospitais_BD!D:I,""select F where D='""&amp;D239&amp;""'"")"),"Teresopolis")</f>
        <v>Teresopolis</v>
      </c>
      <c r="O239" s="70" t="str">
        <f>IFERROR(__xludf.DUMMYFUNCTION("QUERY(Hospitais_BD!D:I,""select G where D='""&amp;D239&amp;""'"")"),"Meudom")</f>
        <v>Meudom</v>
      </c>
      <c r="P239" s="25" t="s">
        <v>859</v>
      </c>
      <c r="Q239" s="137" t="str">
        <f>IFERROR(__xludf.DUMMYFUNCTION("QUERY(Hospitais_BD!D:I,""select I where D='""&amp;D239&amp;""'"")"),"Público")</f>
        <v>Público</v>
      </c>
      <c r="R239" s="137" t="str">
        <f>IFERROR(__xludf.DUMMYFUNCTION("QUERY(Hospitais_BD!D:I,""select H where D='""&amp;D239&amp;""'"")"),"Unidade básica de saúde - BAIXA COMPLEXIDADE")</f>
        <v>Unidade básica de saúde - BAIXA COMPLEXIDADE</v>
      </c>
      <c r="S239" s="192">
        <v>0.0</v>
      </c>
      <c r="T239" s="217"/>
      <c r="U239" s="207"/>
      <c r="V239" s="83"/>
      <c r="W239" s="83"/>
      <c r="X239" s="25"/>
      <c r="Y239" s="83"/>
      <c r="Z239" s="83"/>
      <c r="AA239" s="25"/>
      <c r="AB239" s="25"/>
      <c r="AC239" s="25" t="s">
        <v>1120</v>
      </c>
      <c r="AD239" s="83">
        <v>0.0</v>
      </c>
      <c r="AE239" s="134"/>
      <c r="AF239" s="142"/>
      <c r="AG239" s="83"/>
      <c r="AH239" s="83"/>
      <c r="AI239" s="83"/>
      <c r="AJ239" s="83"/>
      <c r="AK239" s="144"/>
      <c r="AL239" s="144"/>
      <c r="AM239" s="145" t="s">
        <v>1014</v>
      </c>
    </row>
    <row r="240" ht="21.0" customHeight="1">
      <c r="A240" s="208" t="s">
        <v>1119</v>
      </c>
      <c r="B240" s="85">
        <v>0.8604050925925926</v>
      </c>
      <c r="C240" s="69"/>
      <c r="D240" s="37" t="s">
        <v>858</v>
      </c>
      <c r="E240" s="75">
        <v>0.0</v>
      </c>
      <c r="F240" s="75">
        <v>2.1968074017E10</v>
      </c>
      <c r="G240" s="75"/>
      <c r="H240" s="75"/>
      <c r="I240" s="75"/>
      <c r="J240" s="75"/>
      <c r="K240" s="75">
        <v>100.0</v>
      </c>
      <c r="L240" s="75">
        <v>100.0</v>
      </c>
      <c r="M240" s="53" t="str">
        <f>IFERROR(__xludf.DUMMYFUNCTION("QUERY(Hospitais_BD!D:I,""select E where D='""&amp;D240&amp;""'"",0)"),"REGIAO SERRANA")</f>
        <v>REGIAO SERRANA</v>
      </c>
      <c r="N240" s="45" t="str">
        <f>IFERROR(__xludf.DUMMYFUNCTION("QUERY(Hospitais_BD!D:I,""select F where D='""&amp;D240&amp;""'"")"),"Teresopolis")</f>
        <v>Teresopolis</v>
      </c>
      <c r="O240" s="53" t="str">
        <f>IFERROR(__xludf.DUMMYFUNCTION("QUERY(Hospitais_BD!D:I,""select G where D='""&amp;D240&amp;""'"")"),"Meudom")</f>
        <v>Meudom</v>
      </c>
      <c r="P240" s="37" t="s">
        <v>859</v>
      </c>
      <c r="Q240" s="125" t="str">
        <f>IFERROR(__xludf.DUMMYFUNCTION("QUERY(Hospitais_BD!D:I,""select I where D='""&amp;D240&amp;""'"")"),"Público")</f>
        <v>Público</v>
      </c>
      <c r="R240" s="125" t="str">
        <f>IFERROR(__xludf.DUMMYFUNCTION("QUERY(Hospitais_BD!D:I,""select H where D='""&amp;D240&amp;""'"")"),"Unidade básica de saúde - BAIXA COMPLEXIDADE")</f>
        <v>Unidade básica de saúde - BAIXA COMPLEXIDADE</v>
      </c>
      <c r="S240" s="194">
        <v>0.0</v>
      </c>
      <c r="T240" s="218"/>
      <c r="U240" s="208"/>
      <c r="V240" s="75"/>
      <c r="W240" s="75"/>
      <c r="X240" s="37"/>
      <c r="Y240" s="75"/>
      <c r="Z240" s="75"/>
      <c r="AA240" s="37"/>
      <c r="AB240" s="37"/>
      <c r="AC240" s="37" t="s">
        <v>1120</v>
      </c>
      <c r="AD240" s="75">
        <v>0.0</v>
      </c>
      <c r="AE240" s="121"/>
      <c r="AF240" s="130"/>
      <c r="AG240" s="75"/>
      <c r="AH240" s="75"/>
      <c r="AI240" s="75"/>
      <c r="AJ240" s="75"/>
      <c r="AK240" s="129"/>
      <c r="AL240" s="129"/>
      <c r="AM240" s="131" t="s">
        <v>1014</v>
      </c>
    </row>
    <row r="241" ht="21.0" customHeight="1">
      <c r="A241" s="207" t="s">
        <v>1119</v>
      </c>
      <c r="B241" s="84">
        <v>0.8604050925925926</v>
      </c>
      <c r="C241" s="50"/>
      <c r="D241" s="25" t="s">
        <v>858</v>
      </c>
      <c r="E241" s="83">
        <v>0.0</v>
      </c>
      <c r="F241" s="83">
        <v>2.1968074017E10</v>
      </c>
      <c r="G241" s="83"/>
      <c r="H241" s="83"/>
      <c r="I241" s="83"/>
      <c r="J241" s="83"/>
      <c r="K241" s="83">
        <v>100.0</v>
      </c>
      <c r="L241" s="83">
        <v>100.0</v>
      </c>
      <c r="M241" s="70" t="str">
        <f>IFERROR(__xludf.DUMMYFUNCTION("QUERY(Hospitais_BD!D:I,""select E where D='""&amp;D241&amp;""'"",0)"),"REGIAO SERRANA")</f>
        <v>REGIAO SERRANA</v>
      </c>
      <c r="N241" s="44" t="str">
        <f>IFERROR(__xludf.DUMMYFUNCTION("QUERY(Hospitais_BD!D:I,""select F where D='""&amp;D241&amp;""'"")"),"Teresopolis")</f>
        <v>Teresopolis</v>
      </c>
      <c r="O241" s="70" t="str">
        <f>IFERROR(__xludf.DUMMYFUNCTION("QUERY(Hospitais_BD!D:I,""select G where D='""&amp;D241&amp;""'"")"),"Meudom")</f>
        <v>Meudom</v>
      </c>
      <c r="P241" s="25" t="s">
        <v>859</v>
      </c>
      <c r="Q241" s="137" t="str">
        <f>IFERROR(__xludf.DUMMYFUNCTION("QUERY(Hospitais_BD!D:I,""select I where D='""&amp;D241&amp;""'"")"),"Público")</f>
        <v>Público</v>
      </c>
      <c r="R241" s="137" t="str">
        <f>IFERROR(__xludf.DUMMYFUNCTION("QUERY(Hospitais_BD!D:I,""select H where D='""&amp;D241&amp;""'"")"),"Unidade básica de saúde - BAIXA COMPLEXIDADE")</f>
        <v>Unidade básica de saúde - BAIXA COMPLEXIDADE</v>
      </c>
      <c r="S241" s="192">
        <v>0.0</v>
      </c>
      <c r="T241" s="217"/>
      <c r="U241" s="207"/>
      <c r="V241" s="83"/>
      <c r="W241" s="83"/>
      <c r="X241" s="25"/>
      <c r="Y241" s="83"/>
      <c r="Z241" s="83"/>
      <c r="AA241" s="25"/>
      <c r="AB241" s="25"/>
      <c r="AC241" s="25" t="s">
        <v>1120</v>
      </c>
      <c r="AD241" s="83">
        <v>0.0</v>
      </c>
      <c r="AE241" s="134"/>
      <c r="AF241" s="142"/>
      <c r="AG241" s="83"/>
      <c r="AH241" s="83"/>
      <c r="AI241" s="83"/>
      <c r="AJ241" s="83"/>
      <c r="AK241" s="144"/>
      <c r="AL241" s="144"/>
      <c r="AM241" s="145" t="s">
        <v>1014</v>
      </c>
    </row>
    <row r="242" ht="21.0" customHeight="1">
      <c r="A242" s="208" t="s">
        <v>1119</v>
      </c>
      <c r="B242" s="85">
        <v>0.8604050925925926</v>
      </c>
      <c r="C242" s="69"/>
      <c r="D242" s="37" t="s">
        <v>858</v>
      </c>
      <c r="E242" s="75">
        <v>0.0</v>
      </c>
      <c r="F242" s="75">
        <v>2.1968074017E10</v>
      </c>
      <c r="G242" s="75"/>
      <c r="H242" s="75"/>
      <c r="I242" s="75"/>
      <c r="J242" s="75"/>
      <c r="K242" s="75">
        <v>100.0</v>
      </c>
      <c r="L242" s="75">
        <v>100.0</v>
      </c>
      <c r="M242" s="53" t="str">
        <f>IFERROR(__xludf.DUMMYFUNCTION("QUERY(Hospitais_BD!D:I,""select E where D='""&amp;D242&amp;""'"",0)"),"REGIAO SERRANA")</f>
        <v>REGIAO SERRANA</v>
      </c>
      <c r="N242" s="45" t="str">
        <f>IFERROR(__xludf.DUMMYFUNCTION("QUERY(Hospitais_BD!D:I,""select F where D='""&amp;D242&amp;""'"")"),"Teresopolis")</f>
        <v>Teresopolis</v>
      </c>
      <c r="O242" s="53" t="str">
        <f>IFERROR(__xludf.DUMMYFUNCTION("QUERY(Hospitais_BD!D:I,""select G where D='""&amp;D242&amp;""'"")"),"Meudom")</f>
        <v>Meudom</v>
      </c>
      <c r="P242" s="37" t="s">
        <v>859</v>
      </c>
      <c r="Q242" s="125" t="str">
        <f>IFERROR(__xludf.DUMMYFUNCTION("QUERY(Hospitais_BD!D:I,""select I where D='""&amp;D242&amp;""'"")"),"Público")</f>
        <v>Público</v>
      </c>
      <c r="R242" s="125" t="str">
        <f>IFERROR(__xludf.DUMMYFUNCTION("QUERY(Hospitais_BD!D:I,""select H where D='""&amp;D242&amp;""'"")"),"Unidade básica de saúde - BAIXA COMPLEXIDADE")</f>
        <v>Unidade básica de saúde - BAIXA COMPLEXIDADE</v>
      </c>
      <c r="S242" s="194">
        <v>0.0</v>
      </c>
      <c r="T242" s="218"/>
      <c r="U242" s="208"/>
      <c r="V242" s="75"/>
      <c r="W242" s="75"/>
      <c r="X242" s="37"/>
      <c r="Y242" s="75"/>
      <c r="Z242" s="75"/>
      <c r="AA242" s="37"/>
      <c r="AB242" s="37"/>
      <c r="AC242" s="37" t="s">
        <v>1120</v>
      </c>
      <c r="AD242" s="75">
        <v>0.0</v>
      </c>
      <c r="AE242" s="121"/>
      <c r="AF242" s="130"/>
      <c r="AG242" s="75"/>
      <c r="AH242" s="75"/>
      <c r="AI242" s="75"/>
      <c r="AJ242" s="75"/>
      <c r="AK242" s="129"/>
      <c r="AL242" s="129"/>
      <c r="AM242" s="131" t="s">
        <v>1014</v>
      </c>
    </row>
    <row r="243" ht="21.0" customHeight="1">
      <c r="A243" s="207" t="s">
        <v>1119</v>
      </c>
      <c r="B243" s="84">
        <v>0.8604050925925926</v>
      </c>
      <c r="C243" s="50"/>
      <c r="D243" s="25" t="s">
        <v>858</v>
      </c>
      <c r="E243" s="83">
        <v>0.0</v>
      </c>
      <c r="F243" s="83">
        <v>2.1968074017E10</v>
      </c>
      <c r="G243" s="83"/>
      <c r="H243" s="83"/>
      <c r="I243" s="83"/>
      <c r="J243" s="83"/>
      <c r="K243" s="83">
        <v>100.0</v>
      </c>
      <c r="L243" s="83">
        <v>100.0</v>
      </c>
      <c r="M243" s="70" t="str">
        <f>IFERROR(__xludf.DUMMYFUNCTION("QUERY(Hospitais_BD!D:I,""select E where D='""&amp;D243&amp;""'"",0)"),"REGIAO SERRANA")</f>
        <v>REGIAO SERRANA</v>
      </c>
      <c r="N243" s="44" t="str">
        <f>IFERROR(__xludf.DUMMYFUNCTION("QUERY(Hospitais_BD!D:I,""select F where D='""&amp;D243&amp;""'"")"),"Teresopolis")</f>
        <v>Teresopolis</v>
      </c>
      <c r="O243" s="70" t="str">
        <f>IFERROR(__xludf.DUMMYFUNCTION("QUERY(Hospitais_BD!D:I,""select G where D='""&amp;D243&amp;""'"")"),"Meudom")</f>
        <v>Meudom</v>
      </c>
      <c r="P243" s="25" t="s">
        <v>859</v>
      </c>
      <c r="Q243" s="137" t="str">
        <f>IFERROR(__xludf.DUMMYFUNCTION("QUERY(Hospitais_BD!D:I,""select I where D='""&amp;D243&amp;""'"")"),"Público")</f>
        <v>Público</v>
      </c>
      <c r="R243" s="137" t="str">
        <f>IFERROR(__xludf.DUMMYFUNCTION("QUERY(Hospitais_BD!D:I,""select H where D='""&amp;D243&amp;""'"")"),"Unidade básica de saúde - BAIXA COMPLEXIDADE")</f>
        <v>Unidade básica de saúde - BAIXA COMPLEXIDADE</v>
      </c>
      <c r="S243" s="192">
        <v>0.0</v>
      </c>
      <c r="T243" s="217"/>
      <c r="U243" s="207"/>
      <c r="V243" s="83"/>
      <c r="W243" s="83"/>
      <c r="X243" s="25"/>
      <c r="Y243" s="83"/>
      <c r="Z243" s="83"/>
      <c r="AA243" s="25"/>
      <c r="AB243" s="25"/>
      <c r="AC243" s="25" t="s">
        <v>1120</v>
      </c>
      <c r="AD243" s="83">
        <v>0.0</v>
      </c>
      <c r="AE243" s="134"/>
      <c r="AF243" s="142"/>
      <c r="AG243" s="83"/>
      <c r="AH243" s="83"/>
      <c r="AI243" s="83"/>
      <c r="AJ243" s="83"/>
      <c r="AK243" s="144"/>
      <c r="AL243" s="144"/>
      <c r="AM243" s="145" t="s">
        <v>1014</v>
      </c>
    </row>
    <row r="244" ht="21.0" customHeight="1">
      <c r="A244" s="208" t="s">
        <v>1119</v>
      </c>
      <c r="B244" s="85">
        <v>0.8604050925925926</v>
      </c>
      <c r="C244" s="69"/>
      <c r="D244" s="37" t="s">
        <v>858</v>
      </c>
      <c r="E244" s="75">
        <v>0.0</v>
      </c>
      <c r="F244" s="75">
        <v>2.1968074017E10</v>
      </c>
      <c r="G244" s="75"/>
      <c r="H244" s="75"/>
      <c r="I244" s="75"/>
      <c r="J244" s="75"/>
      <c r="K244" s="75">
        <v>100.0</v>
      </c>
      <c r="L244" s="75">
        <v>100.0</v>
      </c>
      <c r="M244" s="53" t="str">
        <f>IFERROR(__xludf.DUMMYFUNCTION("QUERY(Hospitais_BD!D:I,""select E where D='""&amp;D244&amp;""'"",0)"),"REGIAO SERRANA")</f>
        <v>REGIAO SERRANA</v>
      </c>
      <c r="N244" s="45" t="str">
        <f>IFERROR(__xludf.DUMMYFUNCTION("QUERY(Hospitais_BD!D:I,""select F where D='""&amp;D244&amp;""'"")"),"Teresopolis")</f>
        <v>Teresopolis</v>
      </c>
      <c r="O244" s="53" t="str">
        <f>IFERROR(__xludf.DUMMYFUNCTION("QUERY(Hospitais_BD!D:I,""select G where D='""&amp;D244&amp;""'"")"),"Meudom")</f>
        <v>Meudom</v>
      </c>
      <c r="P244" s="37" t="s">
        <v>859</v>
      </c>
      <c r="Q244" s="125" t="str">
        <f>IFERROR(__xludf.DUMMYFUNCTION("QUERY(Hospitais_BD!D:I,""select I where D='""&amp;D244&amp;""'"")"),"Público")</f>
        <v>Público</v>
      </c>
      <c r="R244" s="125" t="str">
        <f>IFERROR(__xludf.DUMMYFUNCTION("QUERY(Hospitais_BD!D:I,""select H where D='""&amp;D244&amp;""'"")"),"Unidade básica de saúde - BAIXA COMPLEXIDADE")</f>
        <v>Unidade básica de saúde - BAIXA COMPLEXIDADE</v>
      </c>
      <c r="S244" s="194">
        <v>0.0</v>
      </c>
      <c r="T244" s="218"/>
      <c r="U244" s="208"/>
      <c r="V244" s="75"/>
      <c r="W244" s="75"/>
      <c r="X244" s="37"/>
      <c r="Y244" s="75"/>
      <c r="Z244" s="75"/>
      <c r="AA244" s="37"/>
      <c r="AB244" s="37"/>
      <c r="AC244" s="37" t="s">
        <v>1120</v>
      </c>
      <c r="AD244" s="75">
        <v>0.0</v>
      </c>
      <c r="AE244" s="121"/>
      <c r="AF244" s="130"/>
      <c r="AG244" s="75"/>
      <c r="AH244" s="75"/>
      <c r="AI244" s="75"/>
      <c r="AJ244" s="75"/>
      <c r="AK244" s="129"/>
      <c r="AL244" s="129"/>
      <c r="AM244" s="131" t="s">
        <v>1014</v>
      </c>
    </row>
    <row r="245" ht="21.0" customHeight="1">
      <c r="A245" s="207" t="s">
        <v>1207</v>
      </c>
      <c r="B245" s="84">
        <v>0.4898148148148148</v>
      </c>
      <c r="C245" s="50"/>
      <c r="D245" s="25" t="s">
        <v>810</v>
      </c>
      <c r="E245" s="83">
        <v>2295814.0</v>
      </c>
      <c r="F245" s="83">
        <v>2.654767E7</v>
      </c>
      <c r="G245" s="83"/>
      <c r="H245" s="83"/>
      <c r="I245" s="83"/>
      <c r="J245" s="83"/>
      <c r="K245" s="83">
        <v>25.0</v>
      </c>
      <c r="L245" s="83">
        <v>25.0</v>
      </c>
      <c r="M245" s="70" t="str">
        <f>IFERROR(__xludf.DUMMYFUNCTION("QUERY(Hospitais_BD!D:I,""select E where D='""&amp;D245&amp;""'"",0)"),"BAIXADA FLUMINENSE")</f>
        <v>BAIXADA FLUMINENSE</v>
      </c>
      <c r="N245" s="44" t="str">
        <f>IFERROR(__xludf.DUMMYFUNCTION("QUERY(Hospitais_BD!D:I,""select F where D='""&amp;D245&amp;""'"")"),"Duque de Caxias")</f>
        <v>Duque de Caxias</v>
      </c>
      <c r="O245" s="70" t="str">
        <f>IFERROR(__xludf.DUMMYFUNCTION("QUERY(Hospitais_BD!D:I,""select G where D='""&amp;D245&amp;""'"")"),"Jardim Olimpo")</f>
        <v>Jardim Olimpo</v>
      </c>
      <c r="P245" s="25" t="s">
        <v>1129</v>
      </c>
      <c r="Q245" s="137" t="str">
        <f>IFERROR(__xludf.DUMMYFUNCTION("QUERY(Hospitais_BD!D:I,""select I where D='""&amp;D245&amp;""'"")"),"Público")</f>
        <v>Público</v>
      </c>
      <c r="R245" s="137" t="str">
        <f>IFERROR(__xludf.DUMMYFUNCTION("QUERY(Hospitais_BD!D:I,""select H where D='""&amp;D245&amp;""'"")"),"Unidade básica de saúde - BAIXA COMPLEXIDADE
")</f>
        <v>Unidade básica de saúde - BAIXA COMPLEXIDADE
</v>
      </c>
      <c r="S245" s="192">
        <v>0.0</v>
      </c>
      <c r="T245" s="217"/>
      <c r="U245" s="207"/>
      <c r="V245" s="83"/>
      <c r="W245" s="83"/>
      <c r="X245" s="25"/>
      <c r="Y245" s="83"/>
      <c r="Z245" s="83"/>
      <c r="AA245" s="25"/>
      <c r="AB245" s="25"/>
      <c r="AC245" s="25" t="s">
        <v>1208</v>
      </c>
      <c r="AD245" s="83">
        <v>28309.0</v>
      </c>
      <c r="AE245" s="134"/>
      <c r="AF245" s="142"/>
      <c r="AG245" s="83"/>
      <c r="AH245" s="83"/>
      <c r="AI245" s="83"/>
      <c r="AJ245" s="83"/>
      <c r="AK245" s="144"/>
      <c r="AL245" s="144"/>
      <c r="AM245" s="145" t="s">
        <v>1014</v>
      </c>
    </row>
    <row r="246" ht="21.0" customHeight="1">
      <c r="A246" s="208" t="s">
        <v>1119</v>
      </c>
      <c r="B246" s="85">
        <v>0.8604050925925926</v>
      </c>
      <c r="C246" s="69"/>
      <c r="D246" s="37" t="s">
        <v>858</v>
      </c>
      <c r="E246" s="75">
        <v>0.0</v>
      </c>
      <c r="F246" s="75">
        <v>2.1968074017E10</v>
      </c>
      <c r="G246" s="75"/>
      <c r="H246" s="75"/>
      <c r="I246" s="75"/>
      <c r="J246" s="75"/>
      <c r="K246" s="75">
        <v>100.0</v>
      </c>
      <c r="L246" s="75">
        <v>100.0</v>
      </c>
      <c r="M246" s="53" t="str">
        <f>IFERROR(__xludf.DUMMYFUNCTION("QUERY(Hospitais_BD!D:I,""select E where D='""&amp;D246&amp;""'"",0)"),"REGIAO SERRANA")</f>
        <v>REGIAO SERRANA</v>
      </c>
      <c r="N246" s="45" t="str">
        <f>IFERROR(__xludf.DUMMYFUNCTION("QUERY(Hospitais_BD!D:I,""select F where D='""&amp;D246&amp;""'"")"),"Teresopolis")</f>
        <v>Teresopolis</v>
      </c>
      <c r="O246" s="53" t="str">
        <f>IFERROR(__xludf.DUMMYFUNCTION("QUERY(Hospitais_BD!D:I,""select G where D='""&amp;D246&amp;""'"")"),"Meudom")</f>
        <v>Meudom</v>
      </c>
      <c r="P246" s="37" t="s">
        <v>859</v>
      </c>
      <c r="Q246" s="125" t="str">
        <f>IFERROR(__xludf.DUMMYFUNCTION("QUERY(Hospitais_BD!D:I,""select I where D='""&amp;D246&amp;""'"")"),"Público")</f>
        <v>Público</v>
      </c>
      <c r="R246" s="125" t="str">
        <f>IFERROR(__xludf.DUMMYFUNCTION("QUERY(Hospitais_BD!D:I,""select H where D='""&amp;D246&amp;""'"")"),"Unidade básica de saúde - BAIXA COMPLEXIDADE")</f>
        <v>Unidade básica de saúde - BAIXA COMPLEXIDADE</v>
      </c>
      <c r="S246" s="194">
        <v>0.0</v>
      </c>
      <c r="T246" s="218"/>
      <c r="U246" s="208"/>
      <c r="V246" s="75"/>
      <c r="W246" s="75"/>
      <c r="X246" s="37"/>
      <c r="Y246" s="75"/>
      <c r="Z246" s="75"/>
      <c r="AA246" s="37"/>
      <c r="AB246" s="37"/>
      <c r="AC246" s="37" t="s">
        <v>1120</v>
      </c>
      <c r="AD246" s="75">
        <v>0.0</v>
      </c>
      <c r="AE246" s="121"/>
      <c r="AF246" s="130"/>
      <c r="AG246" s="75"/>
      <c r="AH246" s="75"/>
      <c r="AI246" s="75"/>
      <c r="AJ246" s="75"/>
      <c r="AK246" s="129"/>
      <c r="AL246" s="129"/>
      <c r="AM246" s="131" t="s">
        <v>1014</v>
      </c>
    </row>
    <row r="247" ht="21.0" customHeight="1">
      <c r="A247" s="207" t="s">
        <v>1119</v>
      </c>
      <c r="B247" s="84">
        <v>0.8604050925925926</v>
      </c>
      <c r="C247" s="50"/>
      <c r="D247" s="25" t="s">
        <v>858</v>
      </c>
      <c r="E247" s="83">
        <v>0.0</v>
      </c>
      <c r="F247" s="83">
        <v>2.1968074017E10</v>
      </c>
      <c r="G247" s="83"/>
      <c r="H247" s="83"/>
      <c r="I247" s="83"/>
      <c r="J247" s="83"/>
      <c r="K247" s="83">
        <v>100.0</v>
      </c>
      <c r="L247" s="83">
        <v>100.0</v>
      </c>
      <c r="M247" s="70" t="str">
        <f>IFERROR(__xludf.DUMMYFUNCTION("QUERY(Hospitais_BD!D:I,""select E where D='""&amp;D247&amp;""'"",0)"),"REGIAO SERRANA")</f>
        <v>REGIAO SERRANA</v>
      </c>
      <c r="N247" s="44" t="str">
        <f>IFERROR(__xludf.DUMMYFUNCTION("QUERY(Hospitais_BD!D:I,""select F where D='""&amp;D247&amp;""'"")"),"Teresopolis")</f>
        <v>Teresopolis</v>
      </c>
      <c r="O247" s="70" t="str">
        <f>IFERROR(__xludf.DUMMYFUNCTION("QUERY(Hospitais_BD!D:I,""select G where D='""&amp;D247&amp;""'"")"),"Meudom")</f>
        <v>Meudom</v>
      </c>
      <c r="P247" s="25" t="s">
        <v>859</v>
      </c>
      <c r="Q247" s="137" t="str">
        <f>IFERROR(__xludf.DUMMYFUNCTION("QUERY(Hospitais_BD!D:I,""select I where D='""&amp;D247&amp;""'"")"),"Público")</f>
        <v>Público</v>
      </c>
      <c r="R247" s="137" t="str">
        <f>IFERROR(__xludf.DUMMYFUNCTION("QUERY(Hospitais_BD!D:I,""select H where D='""&amp;D247&amp;""'"")"),"Unidade básica de saúde - BAIXA COMPLEXIDADE")</f>
        <v>Unidade básica de saúde - BAIXA COMPLEXIDADE</v>
      </c>
      <c r="S247" s="192">
        <v>0.0</v>
      </c>
      <c r="T247" s="217"/>
      <c r="U247" s="207"/>
      <c r="V247" s="83"/>
      <c r="W247" s="83"/>
      <c r="X247" s="25"/>
      <c r="Y247" s="83"/>
      <c r="Z247" s="83"/>
      <c r="AA247" s="25"/>
      <c r="AB247" s="25"/>
      <c r="AC247" s="25" t="s">
        <v>1120</v>
      </c>
      <c r="AD247" s="83">
        <v>0.0</v>
      </c>
      <c r="AE247" s="134"/>
      <c r="AF247" s="142"/>
      <c r="AG247" s="83"/>
      <c r="AH247" s="83"/>
      <c r="AI247" s="83"/>
      <c r="AJ247" s="83"/>
      <c r="AK247" s="144"/>
      <c r="AL247" s="144"/>
      <c r="AM247" s="145" t="s">
        <v>1014</v>
      </c>
    </row>
    <row r="248" ht="21.0" customHeight="1">
      <c r="A248" s="208" t="s">
        <v>1119</v>
      </c>
      <c r="B248" s="85">
        <v>0.8604050925925926</v>
      </c>
      <c r="C248" s="69"/>
      <c r="D248" s="37" t="s">
        <v>858</v>
      </c>
      <c r="E248" s="75">
        <v>0.0</v>
      </c>
      <c r="F248" s="75">
        <v>2.1968074017E10</v>
      </c>
      <c r="G248" s="75"/>
      <c r="H248" s="75"/>
      <c r="I248" s="75"/>
      <c r="J248" s="75"/>
      <c r="K248" s="75">
        <v>100.0</v>
      </c>
      <c r="L248" s="75">
        <v>100.0</v>
      </c>
      <c r="M248" s="53" t="str">
        <f>IFERROR(__xludf.DUMMYFUNCTION("QUERY(Hospitais_BD!D:I,""select E where D='""&amp;D248&amp;""'"",0)"),"REGIAO SERRANA")</f>
        <v>REGIAO SERRANA</v>
      </c>
      <c r="N248" s="45" t="str">
        <f>IFERROR(__xludf.DUMMYFUNCTION("QUERY(Hospitais_BD!D:I,""select F where D='""&amp;D248&amp;""'"")"),"Teresopolis")</f>
        <v>Teresopolis</v>
      </c>
      <c r="O248" s="53" t="str">
        <f>IFERROR(__xludf.DUMMYFUNCTION("QUERY(Hospitais_BD!D:I,""select G where D='""&amp;D248&amp;""'"")"),"Meudom")</f>
        <v>Meudom</v>
      </c>
      <c r="P248" s="37" t="s">
        <v>859</v>
      </c>
      <c r="Q248" s="125" t="str">
        <f>IFERROR(__xludf.DUMMYFUNCTION("QUERY(Hospitais_BD!D:I,""select I where D='""&amp;D248&amp;""'"")"),"Público")</f>
        <v>Público</v>
      </c>
      <c r="R248" s="125" t="str">
        <f>IFERROR(__xludf.DUMMYFUNCTION("QUERY(Hospitais_BD!D:I,""select H where D='""&amp;D248&amp;""'"")"),"Unidade básica de saúde - BAIXA COMPLEXIDADE")</f>
        <v>Unidade básica de saúde - BAIXA COMPLEXIDADE</v>
      </c>
      <c r="S248" s="194">
        <v>0.0</v>
      </c>
      <c r="T248" s="218"/>
      <c r="U248" s="208"/>
      <c r="V248" s="75"/>
      <c r="W248" s="75"/>
      <c r="X248" s="37"/>
      <c r="Y248" s="75"/>
      <c r="Z248" s="75"/>
      <c r="AA248" s="37"/>
      <c r="AB248" s="37"/>
      <c r="AC248" s="37" t="s">
        <v>1120</v>
      </c>
      <c r="AD248" s="75">
        <v>0.0</v>
      </c>
      <c r="AE248" s="121"/>
      <c r="AF248" s="130"/>
      <c r="AG248" s="75"/>
      <c r="AH248" s="75"/>
      <c r="AI248" s="75"/>
      <c r="AJ248" s="75"/>
      <c r="AK248" s="129"/>
      <c r="AL248" s="129"/>
      <c r="AM248" s="131" t="s">
        <v>1014</v>
      </c>
    </row>
    <row r="249" ht="21.0" customHeight="1">
      <c r="A249" s="207" t="s">
        <v>1119</v>
      </c>
      <c r="B249" s="84">
        <v>0.8604050925925926</v>
      </c>
      <c r="C249" s="50"/>
      <c r="D249" s="25" t="s">
        <v>858</v>
      </c>
      <c r="E249" s="83">
        <v>0.0</v>
      </c>
      <c r="F249" s="83">
        <v>2.1968074017E10</v>
      </c>
      <c r="G249" s="83"/>
      <c r="H249" s="83"/>
      <c r="I249" s="83"/>
      <c r="J249" s="83"/>
      <c r="K249" s="83">
        <v>100.0</v>
      </c>
      <c r="L249" s="83">
        <v>100.0</v>
      </c>
      <c r="M249" s="70" t="str">
        <f>IFERROR(__xludf.DUMMYFUNCTION("QUERY(Hospitais_BD!D:I,""select E where D='""&amp;D249&amp;""'"",0)"),"REGIAO SERRANA")</f>
        <v>REGIAO SERRANA</v>
      </c>
      <c r="N249" s="44" t="str">
        <f>IFERROR(__xludf.DUMMYFUNCTION("QUERY(Hospitais_BD!D:I,""select F where D='""&amp;D249&amp;""'"")"),"Teresopolis")</f>
        <v>Teresopolis</v>
      </c>
      <c r="O249" s="70" t="str">
        <f>IFERROR(__xludf.DUMMYFUNCTION("QUERY(Hospitais_BD!D:I,""select G where D='""&amp;D249&amp;""'"")"),"Meudom")</f>
        <v>Meudom</v>
      </c>
      <c r="P249" s="25" t="s">
        <v>859</v>
      </c>
      <c r="Q249" s="137" t="str">
        <f>IFERROR(__xludf.DUMMYFUNCTION("QUERY(Hospitais_BD!D:I,""select I where D='""&amp;D249&amp;""'"")"),"Público")</f>
        <v>Público</v>
      </c>
      <c r="R249" s="137" t="str">
        <f>IFERROR(__xludf.DUMMYFUNCTION("QUERY(Hospitais_BD!D:I,""select H where D='""&amp;D249&amp;""'"")"),"Unidade básica de saúde - BAIXA COMPLEXIDADE")</f>
        <v>Unidade básica de saúde - BAIXA COMPLEXIDADE</v>
      </c>
      <c r="S249" s="192">
        <v>0.0</v>
      </c>
      <c r="T249" s="217"/>
      <c r="U249" s="207"/>
      <c r="V249" s="83"/>
      <c r="W249" s="83"/>
      <c r="X249" s="25"/>
      <c r="Y249" s="83"/>
      <c r="Z249" s="83"/>
      <c r="AA249" s="25"/>
      <c r="AB249" s="25"/>
      <c r="AC249" s="25" t="s">
        <v>1120</v>
      </c>
      <c r="AD249" s="83">
        <v>0.0</v>
      </c>
      <c r="AE249" s="134"/>
      <c r="AF249" s="142"/>
      <c r="AG249" s="83"/>
      <c r="AH249" s="83"/>
      <c r="AI249" s="83"/>
      <c r="AJ249" s="83"/>
      <c r="AK249" s="144"/>
      <c r="AL249" s="144"/>
      <c r="AM249" s="145" t="s">
        <v>1014</v>
      </c>
    </row>
    <row r="250" ht="21.0" customHeight="1">
      <c r="A250" s="208" t="s">
        <v>1119</v>
      </c>
      <c r="B250" s="85">
        <v>0.8604050925925926</v>
      </c>
      <c r="C250" s="69"/>
      <c r="D250" s="37" t="s">
        <v>858</v>
      </c>
      <c r="E250" s="75">
        <v>0.0</v>
      </c>
      <c r="F250" s="75">
        <v>2.1968074017E10</v>
      </c>
      <c r="G250" s="75"/>
      <c r="H250" s="75"/>
      <c r="I250" s="75"/>
      <c r="J250" s="75"/>
      <c r="K250" s="75">
        <v>100.0</v>
      </c>
      <c r="L250" s="75">
        <v>100.0</v>
      </c>
      <c r="M250" s="53" t="str">
        <f>IFERROR(__xludf.DUMMYFUNCTION("QUERY(Hospitais_BD!D:I,""select E where D='""&amp;D250&amp;""'"",0)"),"REGIAO SERRANA")</f>
        <v>REGIAO SERRANA</v>
      </c>
      <c r="N250" s="45" t="str">
        <f>IFERROR(__xludf.DUMMYFUNCTION("QUERY(Hospitais_BD!D:I,""select F where D='""&amp;D250&amp;""'"")"),"Teresopolis")</f>
        <v>Teresopolis</v>
      </c>
      <c r="O250" s="53" t="str">
        <f>IFERROR(__xludf.DUMMYFUNCTION("QUERY(Hospitais_BD!D:I,""select G where D='""&amp;D250&amp;""'"")"),"Meudom")</f>
        <v>Meudom</v>
      </c>
      <c r="P250" s="37" t="s">
        <v>859</v>
      </c>
      <c r="Q250" s="125" t="str">
        <f>IFERROR(__xludf.DUMMYFUNCTION("QUERY(Hospitais_BD!D:I,""select I where D='""&amp;D250&amp;""'"")"),"Público")</f>
        <v>Público</v>
      </c>
      <c r="R250" s="125" t="str">
        <f>IFERROR(__xludf.DUMMYFUNCTION("QUERY(Hospitais_BD!D:I,""select H where D='""&amp;D250&amp;""'"")"),"Unidade básica de saúde - BAIXA COMPLEXIDADE")</f>
        <v>Unidade básica de saúde - BAIXA COMPLEXIDADE</v>
      </c>
      <c r="S250" s="194">
        <v>0.0</v>
      </c>
      <c r="T250" s="218"/>
      <c r="U250" s="208"/>
      <c r="V250" s="75"/>
      <c r="W250" s="75"/>
      <c r="X250" s="37"/>
      <c r="Y250" s="75"/>
      <c r="Z250" s="75"/>
      <c r="AA250" s="37"/>
      <c r="AB250" s="37"/>
      <c r="AC250" s="37" t="s">
        <v>1120</v>
      </c>
      <c r="AD250" s="75">
        <v>0.0</v>
      </c>
      <c r="AE250" s="121"/>
      <c r="AF250" s="130"/>
      <c r="AG250" s="75"/>
      <c r="AH250" s="75"/>
      <c r="AI250" s="75"/>
      <c r="AJ250" s="75"/>
      <c r="AK250" s="129"/>
      <c r="AL250" s="129"/>
      <c r="AM250" s="131" t="s">
        <v>1014</v>
      </c>
    </row>
    <row r="251" ht="21.0" customHeight="1">
      <c r="A251" s="207" t="s">
        <v>1209</v>
      </c>
      <c r="B251" s="84"/>
      <c r="C251" s="50"/>
      <c r="D251" s="25" t="s">
        <v>346</v>
      </c>
      <c r="E251" s="83"/>
      <c r="F251" s="83"/>
      <c r="G251" s="83"/>
      <c r="H251" s="83"/>
      <c r="I251" s="83"/>
      <c r="J251" s="83"/>
      <c r="K251" s="83">
        <v>0.0</v>
      </c>
      <c r="L251" s="83"/>
      <c r="M251" s="70" t="str">
        <f>IFERROR(__xludf.DUMMYFUNCTION("QUERY(Hospitais_BD!D:I,""select E where D='""&amp;D251&amp;""'"",0)"),"ZONA SUL")</f>
        <v>ZONA SUL</v>
      </c>
      <c r="N251" s="44" t="str">
        <f>IFERROR(__xludf.DUMMYFUNCTION("QUERY(Hospitais_BD!D:I,""select F where D='""&amp;D251&amp;""'"")"),"Rio de Janeiro")</f>
        <v>Rio de Janeiro</v>
      </c>
      <c r="O251" s="70" t="str">
        <f>IFERROR(__xludf.DUMMYFUNCTION("QUERY(Hospitais_BD!D:I,""select G where D='""&amp;D251&amp;""'"")"),"Leblon/Gavea")</f>
        <v>Leblon/Gavea</v>
      </c>
      <c r="P251" s="25"/>
      <c r="Q251" s="137" t="str">
        <f>IFERROR(__xludf.DUMMYFUNCTION("QUERY(Hospitais_BD!D:I,""select I where D='""&amp;D251&amp;""'"")"),"Público")</f>
        <v>Público</v>
      </c>
      <c r="R251" s="137" t="str">
        <f>IFERROR(__xludf.DUMMYFUNCTION("QUERY(Hospitais_BD!D:I,""select H where D='""&amp;D251&amp;""'"")"),"Grande emergência - MÉDIA COMPLEXIDADE")</f>
        <v>Grande emergência - MÉDIA COMPLEXIDADE</v>
      </c>
      <c r="S251" s="192"/>
      <c r="T251" s="217"/>
      <c r="U251" s="207"/>
      <c r="V251" s="83"/>
      <c r="W251" s="83"/>
      <c r="X251" s="224"/>
      <c r="Y251" s="225"/>
      <c r="Z251" s="83"/>
      <c r="AA251" s="225"/>
      <c r="AB251" s="25"/>
      <c r="AC251" s="25"/>
      <c r="AD251" s="83"/>
      <c r="AE251" s="134"/>
      <c r="AF251" s="142"/>
      <c r="AG251" s="83">
        <v>200.0</v>
      </c>
      <c r="AH251" s="83"/>
      <c r="AI251" s="83"/>
      <c r="AJ251" s="83"/>
      <c r="AK251" s="144"/>
      <c r="AL251" s="144"/>
      <c r="AM251" s="145" t="s">
        <v>1003</v>
      </c>
    </row>
    <row r="252" ht="21.0" customHeight="1">
      <c r="A252" s="226">
        <v>43983.0</v>
      </c>
      <c r="B252" s="85"/>
      <c r="C252" s="69"/>
      <c r="D252" s="37" t="s">
        <v>346</v>
      </c>
      <c r="E252" s="75"/>
      <c r="F252" s="75"/>
      <c r="G252" s="75"/>
      <c r="H252" s="75"/>
      <c r="I252" s="75"/>
      <c r="J252" s="75"/>
      <c r="K252" s="75">
        <v>0.0</v>
      </c>
      <c r="L252" s="75"/>
      <c r="M252" s="53" t="str">
        <f>IFERROR(__xludf.DUMMYFUNCTION("QUERY(Hospitais_BD!D:I,""select E where D='""&amp;D252&amp;""'"",0)"),"ZONA SUL")</f>
        <v>ZONA SUL</v>
      </c>
      <c r="N252" s="45" t="str">
        <f>IFERROR(__xludf.DUMMYFUNCTION("QUERY(Hospitais_BD!D:I,""select F where D='""&amp;D252&amp;""'"")"),"Rio de Janeiro")</f>
        <v>Rio de Janeiro</v>
      </c>
      <c r="O252" s="53" t="str">
        <f>IFERROR(__xludf.DUMMYFUNCTION("QUERY(Hospitais_BD!D:I,""select G where D='""&amp;D252&amp;""'"")"),"Leblon/Gavea")</f>
        <v>Leblon/Gavea</v>
      </c>
      <c r="P252" s="37"/>
      <c r="Q252" s="125" t="str">
        <f>IFERROR(__xludf.DUMMYFUNCTION("QUERY(Hospitais_BD!D:I,""select I where D='""&amp;D252&amp;""'"")"),"Público")</f>
        <v>Público</v>
      </c>
      <c r="R252" s="125" t="str">
        <f>IFERROR(__xludf.DUMMYFUNCTION("QUERY(Hospitais_BD!D:I,""select H where D='""&amp;D252&amp;""'"")"),"Grande emergência - MÉDIA COMPLEXIDADE")</f>
        <v>Grande emergência - MÉDIA COMPLEXIDADE</v>
      </c>
      <c r="S252" s="194"/>
      <c r="T252" s="218"/>
      <c r="U252" s="208"/>
      <c r="V252" s="75"/>
      <c r="W252" s="75"/>
      <c r="X252" s="37"/>
      <c r="Y252" s="75"/>
      <c r="Z252" s="75"/>
      <c r="AA252" s="37"/>
      <c r="AB252" s="37"/>
      <c r="AC252" s="37"/>
      <c r="AD252" s="75"/>
      <c r="AE252" s="121"/>
      <c r="AF252" s="130"/>
      <c r="AG252" s="75">
        <v>150.0</v>
      </c>
      <c r="AH252" s="75"/>
      <c r="AI252" s="75"/>
      <c r="AJ252" s="75"/>
      <c r="AK252" s="129"/>
      <c r="AL252" s="129"/>
      <c r="AM252" s="131" t="s">
        <v>1003</v>
      </c>
    </row>
    <row r="253" ht="21.0" customHeight="1">
      <c r="A253" s="227">
        <v>43939.0</v>
      </c>
      <c r="B253" s="84"/>
      <c r="C253" s="50"/>
      <c r="D253" s="95" t="s">
        <v>898</v>
      </c>
      <c r="E253" s="83"/>
      <c r="F253" s="83"/>
      <c r="G253" s="83"/>
      <c r="H253" s="83"/>
      <c r="I253" s="83"/>
      <c r="J253" s="83"/>
      <c r="K253" s="83"/>
      <c r="L253" s="83"/>
      <c r="M253" s="70" t="str">
        <f>IFERROR(__xludf.DUMMYFUNCTION("QUERY(Hospitais_BD!D:I,""select E where D='""&amp;D253&amp;""'"",0)"),"OUTROS ESTADOS")</f>
        <v>OUTROS ESTADOS</v>
      </c>
      <c r="N253" s="44" t="str">
        <f>IFERROR(__xludf.DUMMYFUNCTION("QUERY(Hospitais_BD!D:I,""select F where D='""&amp;D253&amp;""'"")"),"")</f>
        <v/>
      </c>
      <c r="O253" s="70" t="str">
        <f>IFERROR(__xludf.DUMMYFUNCTION("QUERY(Hospitais_BD!D:I,""select G where D='""&amp;D253&amp;""'"")"),"")</f>
        <v/>
      </c>
      <c r="P253" s="25"/>
      <c r="Q253" s="137" t="str">
        <f>IFERROR(__xludf.DUMMYFUNCTION("QUERY(Hospitais_BD!D:I,""select I where D='""&amp;D253&amp;""'"")"),"Público")</f>
        <v>Público</v>
      </c>
      <c r="R253" s="137" t="str">
        <f>IFERROR(__xludf.DUMMYFUNCTION("QUERY(Hospitais_BD!D:I,""select H where D='""&amp;D253&amp;""'"")"),"Outra Instituição")</f>
        <v>Outra Instituição</v>
      </c>
      <c r="S253" s="192"/>
      <c r="T253" s="217"/>
      <c r="U253" s="207"/>
      <c r="V253" s="83"/>
      <c r="W253" s="83"/>
      <c r="X253" s="25"/>
      <c r="Y253" s="83"/>
      <c r="Z253" s="83"/>
      <c r="AA253" s="25"/>
      <c r="AB253" s="25"/>
      <c r="AC253" s="25"/>
      <c r="AD253" s="83"/>
      <c r="AE253" s="134"/>
      <c r="AF253" s="142"/>
      <c r="AG253" s="83">
        <v>30.0</v>
      </c>
      <c r="AH253" s="83"/>
      <c r="AI253" s="83"/>
      <c r="AJ253" s="83"/>
      <c r="AK253" s="144"/>
      <c r="AL253" s="144"/>
      <c r="AM253" s="145" t="s">
        <v>1003</v>
      </c>
    </row>
    <row r="254" ht="21.0" customHeight="1">
      <c r="A254" s="226">
        <v>43943.0</v>
      </c>
      <c r="B254" s="85"/>
      <c r="C254" s="69"/>
      <c r="D254" s="96" t="s">
        <v>899</v>
      </c>
      <c r="E254" s="75"/>
      <c r="F254" s="75"/>
      <c r="G254" s="75"/>
      <c r="H254" s="75"/>
      <c r="I254" s="75"/>
      <c r="J254" s="75"/>
      <c r="K254" s="75"/>
      <c r="L254" s="75"/>
      <c r="M254" s="53" t="str">
        <f>IFERROR(__xludf.DUMMYFUNCTION("QUERY(Hospitais_BD!D:I,""select E where D='""&amp;D254&amp;""'"",0)"),"CENTRO")</f>
        <v>CENTRO</v>
      </c>
      <c r="N254" s="45" t="str">
        <f>IFERROR(__xludf.DUMMYFUNCTION("QUERY(Hospitais_BD!D:I,""select F where D='""&amp;D254&amp;""'"")"),"Rio de Janeiro")</f>
        <v>Rio de Janeiro</v>
      </c>
      <c r="O254" s="53" t="str">
        <f>IFERROR(__xludf.DUMMYFUNCTION("QUERY(Hospitais_BD!D:I,""select G where D='""&amp;D254&amp;""'"")"),"Cidade Nova")</f>
        <v>Cidade Nova</v>
      </c>
      <c r="P254" s="37"/>
      <c r="Q254" s="125" t="str">
        <f>IFERROR(__xludf.DUMMYFUNCTION("QUERY(Hospitais_BD!D:I,""select I where D='""&amp;D254&amp;""'"")"),"Público")</f>
        <v>Público</v>
      </c>
      <c r="R254" s="125" t="str">
        <f>IFERROR(__xludf.DUMMYFUNCTION("QUERY(Hospitais_BD!D:I,""select H where D='""&amp;D254&amp;""'"")"),"Outra Instituição")</f>
        <v>Outra Instituição</v>
      </c>
      <c r="S254" s="194"/>
      <c r="T254" s="218"/>
      <c r="U254" s="208"/>
      <c r="V254" s="75"/>
      <c r="W254" s="75"/>
      <c r="X254" s="37"/>
      <c r="Y254" s="75"/>
      <c r="Z254" s="75"/>
      <c r="AA254" s="37"/>
      <c r="AB254" s="37"/>
      <c r="AC254" s="37"/>
      <c r="AD254" s="75"/>
      <c r="AE254" s="121"/>
      <c r="AF254" s="130"/>
      <c r="AG254" s="75">
        <v>200.0</v>
      </c>
      <c r="AH254" s="75"/>
      <c r="AI254" s="75"/>
      <c r="AJ254" s="75"/>
      <c r="AK254" s="129"/>
      <c r="AL254" s="129"/>
      <c r="AM254" s="131" t="s">
        <v>1003</v>
      </c>
    </row>
    <row r="255" ht="21.0" customHeight="1">
      <c r="A255" s="227">
        <v>43943.0</v>
      </c>
      <c r="B255" s="84"/>
      <c r="C255" s="50"/>
      <c r="D255" s="68" t="s">
        <v>120</v>
      </c>
      <c r="E255" s="83"/>
      <c r="F255" s="83"/>
      <c r="G255" s="83"/>
      <c r="H255" s="83"/>
      <c r="I255" s="83"/>
      <c r="J255" s="83"/>
      <c r="K255" s="83"/>
      <c r="L255" s="83"/>
      <c r="M255" s="70" t="str">
        <f>IFERROR(__xludf.DUMMYFUNCTION("QUERY(Hospitais_BD!D:I,""select E where D='""&amp;D255&amp;""'"",0)"),"ZONA OESTE")</f>
        <v>ZONA OESTE</v>
      </c>
      <c r="N255" s="44" t="str">
        <f>IFERROR(__xludf.DUMMYFUNCTION("QUERY(Hospitais_BD!D:I,""select F where D='""&amp;D255&amp;""'"")"),"Rio de Janeiro")</f>
        <v>Rio de Janeiro</v>
      </c>
      <c r="O255" s="70" t="str">
        <f>IFERROR(__xludf.DUMMYFUNCTION("QUERY(Hospitais_BD!D:I,""select G where D='""&amp;D255&amp;""'"")"),"Recreio dos Bandeirantes")</f>
        <v>Recreio dos Bandeirantes</v>
      </c>
      <c r="P255" s="25"/>
      <c r="Q255" s="137" t="str">
        <f>IFERROR(__xludf.DUMMYFUNCTION("QUERY(Hospitais_BD!D:I,""select I where D='""&amp;D255&amp;""'"")"),"Público")</f>
        <v>Público</v>
      </c>
      <c r="R255" s="137" t="str">
        <f>IFERROR(__xludf.DUMMYFUNCTION("QUERY(Hospitais_BD!D:I,""select H where D='""&amp;D255&amp;""'"")"),"Grande emergência - MÉDIA COMPLEXIDADE")</f>
        <v>Grande emergência - MÉDIA COMPLEXIDADE</v>
      </c>
      <c r="S255" s="192"/>
      <c r="T255" s="217"/>
      <c r="U255" s="207"/>
      <c r="V255" s="83"/>
      <c r="W255" s="83"/>
      <c r="X255" s="25"/>
      <c r="Y255" s="83"/>
      <c r="Z255" s="83"/>
      <c r="AA255" s="25"/>
      <c r="AB255" s="25"/>
      <c r="AC255" s="25"/>
      <c r="AD255" s="83"/>
      <c r="AE255" s="134"/>
      <c r="AF255" s="142"/>
      <c r="AG255" s="83">
        <v>25.0</v>
      </c>
      <c r="AH255" s="83"/>
      <c r="AI255" s="83"/>
      <c r="AJ255" s="83"/>
      <c r="AK255" s="144"/>
      <c r="AL255" s="144"/>
      <c r="AM255" s="145" t="s">
        <v>1003</v>
      </c>
    </row>
    <row r="256" ht="21.0" customHeight="1">
      <c r="A256" s="226">
        <v>43943.0</v>
      </c>
      <c r="B256" s="85"/>
      <c r="C256" s="69"/>
      <c r="D256" s="228" t="s">
        <v>834</v>
      </c>
      <c r="E256" s="75"/>
      <c r="F256" s="75"/>
      <c r="G256" s="75"/>
      <c r="H256" s="75"/>
      <c r="I256" s="75"/>
      <c r="J256" s="75"/>
      <c r="K256" s="75"/>
      <c r="L256" s="75"/>
      <c r="M256" s="53" t="str">
        <f>IFERROR(__xludf.DUMMYFUNCTION("QUERY(Hospitais_BD!D:I,""select E where D='""&amp;D256&amp;""'"",0)"),"ZONA NORTE")</f>
        <v>ZONA NORTE</v>
      </c>
      <c r="N256" s="45" t="str">
        <f>IFERROR(__xludf.DUMMYFUNCTION("QUERY(Hospitais_BD!D:I,""select F where D='""&amp;D256&amp;""'"")"),"Rio de Janeiro")</f>
        <v>Rio de Janeiro</v>
      </c>
      <c r="O256" s="53" t="str">
        <f>IFERROR(__xludf.DUMMYFUNCTION("QUERY(Hospitais_BD!D:I,""select G where D='""&amp;D256&amp;""'"")"),"Portuguesa")</f>
        <v>Portuguesa</v>
      </c>
      <c r="P256" s="37"/>
      <c r="Q256" s="125" t="str">
        <f>IFERROR(__xludf.DUMMYFUNCTION("QUERY(Hospitais_BD!D:I,""select I where D='""&amp;D256&amp;""'"")"),"Público")</f>
        <v>Público</v>
      </c>
      <c r="R256" s="125" t="str">
        <f>IFERROR(__xludf.DUMMYFUNCTION("QUERY(Hospitais_BD!D:I,""select H where D='""&amp;D256&amp;""'"")"),"Hospital de Referência - ALTA COMPLEXIDADE
")</f>
        <v>Hospital de Referência - ALTA COMPLEXIDADE
</v>
      </c>
      <c r="S256" s="194"/>
      <c r="T256" s="218"/>
      <c r="U256" s="208"/>
      <c r="V256" s="75"/>
      <c r="W256" s="75"/>
      <c r="X256" s="37"/>
      <c r="Y256" s="75"/>
      <c r="Z256" s="75"/>
      <c r="AA256" s="37"/>
      <c r="AB256" s="37"/>
      <c r="AC256" s="37"/>
      <c r="AD256" s="75"/>
      <c r="AE256" s="121"/>
      <c r="AF256" s="130"/>
      <c r="AG256" s="75">
        <v>25.0</v>
      </c>
      <c r="AH256" s="75"/>
      <c r="AI256" s="75"/>
      <c r="AJ256" s="75"/>
      <c r="AK256" s="129"/>
      <c r="AL256" s="129"/>
      <c r="AM256" s="131" t="s">
        <v>1003</v>
      </c>
    </row>
    <row r="257" ht="21.0" customHeight="1">
      <c r="A257" s="227">
        <v>43945.0</v>
      </c>
      <c r="B257" s="84"/>
      <c r="C257" s="50"/>
      <c r="D257" s="68" t="s">
        <v>900</v>
      </c>
      <c r="E257" s="83"/>
      <c r="F257" s="83"/>
      <c r="G257" s="83"/>
      <c r="H257" s="83"/>
      <c r="I257" s="83"/>
      <c r="J257" s="83"/>
      <c r="K257" s="83"/>
      <c r="L257" s="83"/>
      <c r="M257" s="70" t="str">
        <f>IFERROR(__xludf.DUMMYFUNCTION("QUERY(Hospitais_BD!D:I,""select E where D='""&amp;D257&amp;""'"",0)"),"ZONA SUL")</f>
        <v>ZONA SUL</v>
      </c>
      <c r="N257" s="44" t="str">
        <f>IFERROR(__xludf.DUMMYFUNCTION("QUERY(Hospitais_BD!D:I,""select F where D='""&amp;D257&amp;""'"")"),"Rio de Janeiro")</f>
        <v>Rio de Janeiro</v>
      </c>
      <c r="O257" s="70" t="str">
        <f>IFERROR(__xludf.DUMMYFUNCTION("QUERY(Hospitais_BD!D:I,""select G where D='""&amp;D257&amp;""'"")"),"Gávea")</f>
        <v>Gávea</v>
      </c>
      <c r="P257" s="25"/>
      <c r="Q257" s="137" t="str">
        <f>IFERROR(__xludf.DUMMYFUNCTION("QUERY(Hospitais_BD!D:I,""select I where D='""&amp;D257&amp;""'"")"),"Privado")</f>
        <v>Privado</v>
      </c>
      <c r="R257" s="137" t="str">
        <f>IFERROR(__xludf.DUMMYFUNCTION("QUERY(Hospitais_BD!D:I,""select H where D='""&amp;D257&amp;""'"")"),"Outra Instituição")</f>
        <v>Outra Instituição</v>
      </c>
      <c r="S257" s="192"/>
      <c r="T257" s="217"/>
      <c r="U257" s="207"/>
      <c r="V257" s="83"/>
      <c r="W257" s="83"/>
      <c r="X257" s="25"/>
      <c r="Y257" s="83"/>
      <c r="Z257" s="83"/>
      <c r="AA257" s="25"/>
      <c r="AB257" s="25"/>
      <c r="AC257" s="25"/>
      <c r="AD257" s="83"/>
      <c r="AE257" s="134"/>
      <c r="AF257" s="142"/>
      <c r="AG257" s="83">
        <v>50.0</v>
      </c>
      <c r="AH257" s="83"/>
      <c r="AI257" s="83"/>
      <c r="AJ257" s="83"/>
      <c r="AK257" s="144"/>
      <c r="AL257" s="144"/>
      <c r="AM257" s="145" t="s">
        <v>1003</v>
      </c>
    </row>
    <row r="258" ht="21.0" customHeight="1">
      <c r="A258" s="226">
        <v>43950.0</v>
      </c>
      <c r="B258" s="85"/>
      <c r="C258" s="69"/>
      <c r="D258" s="38" t="s">
        <v>935</v>
      </c>
      <c r="E258" s="75"/>
      <c r="F258" s="75"/>
      <c r="G258" s="75"/>
      <c r="H258" s="75"/>
      <c r="I258" s="75"/>
      <c r="J258" s="75"/>
      <c r="K258" s="75"/>
      <c r="L258" s="75"/>
      <c r="M258" s="53" t="str">
        <f>IFERROR(__xludf.DUMMYFUNCTION("QUERY(Hospitais_BD!D:I,""select E where D='""&amp;D258&amp;""'"",0)"),"ZONA OESTE")</f>
        <v>ZONA OESTE</v>
      </c>
      <c r="N258" s="45" t="str">
        <f>IFERROR(__xludf.DUMMYFUNCTION("QUERY(Hospitais_BD!D:I,""select F where D='""&amp;D258&amp;""'"")"),"Rio de Janeiro")</f>
        <v>Rio de Janeiro</v>
      </c>
      <c r="O258" s="53" t="str">
        <f>IFERROR(__xludf.DUMMYFUNCTION("QUERY(Hospitais_BD!D:I,""select G where D='""&amp;D258&amp;""'"")"),"Rio Centro")</f>
        <v>Rio Centro</v>
      </c>
      <c r="P258" s="37"/>
      <c r="Q258" s="125" t="str">
        <f>IFERROR(__xludf.DUMMYFUNCTION("QUERY(Hospitais_BD!D:I,""select I where D='""&amp;D258&amp;""'"")"),"Público")</f>
        <v>Público</v>
      </c>
      <c r="R258" s="125" t="str">
        <f>IFERROR(__xludf.DUMMYFUNCTION("QUERY(Hospitais_BD!D:I,""select H where D='""&amp;D258&amp;""'"")"),"Hospital de Referência - ALTA COMPLEXIDADE")</f>
        <v>Hospital de Referência - ALTA COMPLEXIDADE</v>
      </c>
      <c r="S258" s="194"/>
      <c r="T258" s="218"/>
      <c r="U258" s="208"/>
      <c r="V258" s="75"/>
      <c r="W258" s="75"/>
      <c r="X258" s="37"/>
      <c r="Y258" s="75"/>
      <c r="Z258" s="75"/>
      <c r="AA258" s="37"/>
      <c r="AB258" s="37"/>
      <c r="AC258" s="37"/>
      <c r="AD258" s="75"/>
      <c r="AE258" s="121"/>
      <c r="AF258" s="130"/>
      <c r="AG258" s="229">
        <v>2500.0</v>
      </c>
      <c r="AH258" s="75"/>
      <c r="AI258" s="75"/>
      <c r="AJ258" s="75"/>
      <c r="AK258" s="129"/>
      <c r="AL258" s="129"/>
      <c r="AM258" s="131" t="s">
        <v>1003</v>
      </c>
    </row>
    <row r="259" ht="21.0" customHeight="1">
      <c r="A259" s="227">
        <v>43950.0</v>
      </c>
      <c r="B259" s="84"/>
      <c r="C259" s="50"/>
      <c r="D259" s="25" t="s">
        <v>937</v>
      </c>
      <c r="E259" s="83"/>
      <c r="F259" s="83"/>
      <c r="G259" s="83"/>
      <c r="H259" s="83"/>
      <c r="I259" s="83"/>
      <c r="J259" s="83"/>
      <c r="K259" s="83"/>
      <c r="L259" s="83"/>
      <c r="M259" s="70" t="str">
        <f>IFERROR(__xludf.DUMMYFUNCTION("QUERY(Hospitais_BD!D:I,""select E where D='""&amp;D259&amp;""'"",0)"),"ZONA NORTE")</f>
        <v>ZONA NORTE</v>
      </c>
      <c r="N259" s="44" t="str">
        <f>IFERROR(__xludf.DUMMYFUNCTION("QUERY(Hospitais_BD!D:I,""select F where D='""&amp;D259&amp;""'"")"),"Rio de Janeiro")</f>
        <v>Rio de Janeiro</v>
      </c>
      <c r="O259" s="70" t="str">
        <f>IFERROR(__xludf.DUMMYFUNCTION("QUERY(Hospitais_BD!D:I,""select G where D='""&amp;D259&amp;""'"")"),"Penha")</f>
        <v>Penha</v>
      </c>
      <c r="P259" s="25"/>
      <c r="Q259" s="137" t="str">
        <f>IFERROR(__xludf.DUMMYFUNCTION("QUERY(Hospitais_BD!D:I,""select I where D='""&amp;D259&amp;""'"")"),"Público")</f>
        <v>Público</v>
      </c>
      <c r="R259" s="137" t="str">
        <f>IFERROR(__xludf.DUMMYFUNCTION("QUERY(Hospitais_BD!D:I,""select H where D='""&amp;D259&amp;""'"")"),"Grande emergência - MÉDIA COMPLEXIDADE
")</f>
        <v>Grande emergência - MÉDIA COMPLEXIDADE
</v>
      </c>
      <c r="S259" s="192"/>
      <c r="T259" s="217"/>
      <c r="U259" s="207"/>
      <c r="V259" s="83"/>
      <c r="W259" s="83"/>
      <c r="X259" s="25"/>
      <c r="Y259" s="83"/>
      <c r="Z259" s="83"/>
      <c r="AA259" s="25"/>
      <c r="AB259" s="25"/>
      <c r="AC259" s="25"/>
      <c r="AD259" s="83"/>
      <c r="AE259" s="134"/>
      <c r="AF259" s="142"/>
      <c r="AG259" s="83">
        <v>50.0</v>
      </c>
      <c r="AH259" s="83"/>
      <c r="AI259" s="83"/>
      <c r="AJ259" s="83"/>
      <c r="AK259" s="144"/>
      <c r="AL259" s="144"/>
      <c r="AM259" s="145" t="s">
        <v>1003</v>
      </c>
    </row>
    <row r="260" ht="21.0" customHeight="1">
      <c r="A260" s="226">
        <v>43950.0</v>
      </c>
      <c r="B260" s="85"/>
      <c r="C260" s="69"/>
      <c r="D260" s="38" t="s">
        <v>96</v>
      </c>
      <c r="E260" s="75"/>
      <c r="F260" s="75"/>
      <c r="G260" s="75"/>
      <c r="H260" s="75"/>
      <c r="I260" s="75"/>
      <c r="J260" s="75"/>
      <c r="K260" s="75"/>
      <c r="L260" s="75"/>
      <c r="M260" s="53" t="str">
        <f>IFERROR(__xludf.DUMMYFUNCTION("QUERY(Hospitais_BD!D:I,""select E where D='""&amp;D260&amp;""'"",0)"),"CENTRO")</f>
        <v>CENTRO</v>
      </c>
      <c r="N260" s="45" t="str">
        <f>IFERROR(__xludf.DUMMYFUNCTION("QUERY(Hospitais_BD!D:I,""select F where D='""&amp;D260&amp;""'"")"),"Rio de Janeiro")</f>
        <v>Rio de Janeiro</v>
      </c>
      <c r="O260" s="53" t="str">
        <f>IFERROR(__xludf.DUMMYFUNCTION("QUERY(Hospitais_BD!D:I,""select G where D='""&amp;D260&amp;""'"")"),"Gamboa")</f>
        <v>Gamboa</v>
      </c>
      <c r="P260" s="37"/>
      <c r="Q260" s="125" t="str">
        <f>IFERROR(__xludf.DUMMYFUNCTION("QUERY(Hospitais_BD!D:I,""select I where D='""&amp;D260&amp;""'"")"),"Público")</f>
        <v>Público</v>
      </c>
      <c r="R260" s="125" t="str">
        <f>IFERROR(__xludf.DUMMYFUNCTION("QUERY(Hospitais_BD!D:I,""select H where D='""&amp;D260&amp;""'"")"),"Unidade básica - BAIXA COMPLEXIDADE")</f>
        <v>Unidade básica - BAIXA COMPLEXIDADE</v>
      </c>
      <c r="S260" s="194"/>
      <c r="T260" s="218"/>
      <c r="U260" s="208"/>
      <c r="V260" s="75"/>
      <c r="W260" s="75"/>
      <c r="X260" s="37"/>
      <c r="Y260" s="75"/>
      <c r="Z260" s="75"/>
      <c r="AA260" s="37"/>
      <c r="AB260" s="37"/>
      <c r="AC260" s="37"/>
      <c r="AD260" s="75"/>
      <c r="AE260" s="121"/>
      <c r="AF260" s="130"/>
      <c r="AG260" s="75">
        <v>25.0</v>
      </c>
      <c r="AH260" s="75"/>
      <c r="AI260" s="75"/>
      <c r="AJ260" s="75"/>
      <c r="AK260" s="129"/>
      <c r="AL260" s="129"/>
      <c r="AM260" s="131" t="s">
        <v>1003</v>
      </c>
    </row>
    <row r="261" ht="21.0" customHeight="1">
      <c r="A261" s="227">
        <v>43950.0</v>
      </c>
      <c r="B261" s="84"/>
      <c r="C261" s="50"/>
      <c r="D261" s="39" t="s">
        <v>90</v>
      </c>
      <c r="E261" s="83"/>
      <c r="F261" s="83"/>
      <c r="G261" s="83"/>
      <c r="H261" s="83"/>
      <c r="I261" s="83"/>
      <c r="J261" s="83"/>
      <c r="K261" s="83"/>
      <c r="L261" s="83"/>
      <c r="M261" s="70" t="str">
        <f>IFERROR(__xludf.DUMMYFUNCTION("QUERY(Hospitais_BD!D:I,""select E where D='""&amp;D261&amp;""'"",0)"),"ZONA OESTE")</f>
        <v>ZONA OESTE</v>
      </c>
      <c r="N261" s="44" t="str">
        <f>IFERROR(__xludf.DUMMYFUNCTION("QUERY(Hospitais_BD!D:I,""select F where D='""&amp;D261&amp;""'"")"),"Rio de Janeiro")</f>
        <v>Rio de Janeiro</v>
      </c>
      <c r="O261" s="70" t="str">
        <f>IFERROR(__xludf.DUMMYFUNCTION("QUERY(Hospitais_BD!D:I,""select G where D='""&amp;D261&amp;""'"")"),"Paciência proximo a Santa Cruz")</f>
        <v>Paciência proximo a Santa Cruz</v>
      </c>
      <c r="P261" s="25"/>
      <c r="Q261" s="137" t="str">
        <f>IFERROR(__xludf.DUMMYFUNCTION("QUERY(Hospitais_BD!D:I,""select I where D='""&amp;D261&amp;""'"")"),"Público")</f>
        <v>Público</v>
      </c>
      <c r="R261" s="137" t="str">
        <f>IFERROR(__xludf.DUMMYFUNCTION("QUERY(Hospitais_BD!D:I,""select H where D='""&amp;D261&amp;""'"")"),"Unidade básica - BAIXA COMPLEXIDADE")</f>
        <v>Unidade básica - BAIXA COMPLEXIDADE</v>
      </c>
      <c r="S261" s="192"/>
      <c r="T261" s="217"/>
      <c r="U261" s="207"/>
      <c r="V261" s="83"/>
      <c r="W261" s="83"/>
      <c r="X261" s="25"/>
      <c r="Y261" s="83"/>
      <c r="Z261" s="83"/>
      <c r="AA261" s="25"/>
      <c r="AB261" s="25"/>
      <c r="AC261" s="25"/>
      <c r="AD261" s="83"/>
      <c r="AE261" s="134"/>
      <c r="AF261" s="142"/>
      <c r="AG261" s="83">
        <v>25.0</v>
      </c>
      <c r="AH261" s="83"/>
      <c r="AI261" s="83"/>
      <c r="AJ261" s="83"/>
      <c r="AK261" s="144"/>
      <c r="AL261" s="144">
        <v>50.0</v>
      </c>
      <c r="AM261" s="145" t="s">
        <v>1003</v>
      </c>
    </row>
    <row r="262" ht="21.0" customHeight="1">
      <c r="A262" s="226">
        <v>43950.0</v>
      </c>
      <c r="B262" s="85"/>
      <c r="C262" s="69"/>
      <c r="D262" s="38" t="s">
        <v>93</v>
      </c>
      <c r="E262" s="75"/>
      <c r="F262" s="75"/>
      <c r="G262" s="75"/>
      <c r="H262" s="75"/>
      <c r="I262" s="75"/>
      <c r="J262" s="75"/>
      <c r="K262" s="75"/>
      <c r="L262" s="75"/>
      <c r="M262" s="53" t="str">
        <f>IFERROR(__xludf.DUMMYFUNCTION("QUERY(Hospitais_BD!D:I,""select E where D='""&amp;D262&amp;""'"",0)"),"ZONA OESTE")</f>
        <v>ZONA OESTE</v>
      </c>
      <c r="N262" s="45" t="str">
        <f>IFERROR(__xludf.DUMMYFUNCTION("QUERY(Hospitais_BD!D:I,""select F where D='""&amp;D262&amp;""'"")"),"Rio de Janeiro")</f>
        <v>Rio de Janeiro</v>
      </c>
      <c r="O262" s="53" t="str">
        <f>IFERROR(__xludf.DUMMYFUNCTION("QUERY(Hospitais_BD!D:I,""select G where D='""&amp;D262&amp;""'"")"),"Senador Camara")</f>
        <v>Senador Camara</v>
      </c>
      <c r="P262" s="37"/>
      <c r="Q262" s="125" t="str">
        <f>IFERROR(__xludf.DUMMYFUNCTION("QUERY(Hospitais_BD!D:I,""select I where D='""&amp;D262&amp;""'"")"),"Público")</f>
        <v>Público</v>
      </c>
      <c r="R262" s="125" t="str">
        <f>IFERROR(__xludf.DUMMYFUNCTION("QUERY(Hospitais_BD!D:I,""select H where D='""&amp;D262&amp;""'"")"),"Unidade básica - BAIXA COMPLEXIDADE")</f>
        <v>Unidade básica - BAIXA COMPLEXIDADE</v>
      </c>
      <c r="S262" s="194"/>
      <c r="T262" s="218"/>
      <c r="U262" s="208"/>
      <c r="V262" s="75"/>
      <c r="W262" s="75"/>
      <c r="X262" s="37"/>
      <c r="Y262" s="75"/>
      <c r="Z262" s="75"/>
      <c r="AA262" s="37"/>
      <c r="AB262" s="37"/>
      <c r="AC262" s="37"/>
      <c r="AD262" s="75"/>
      <c r="AE262" s="121"/>
      <c r="AF262" s="130"/>
      <c r="AG262" s="75">
        <v>25.0</v>
      </c>
      <c r="AH262" s="75"/>
      <c r="AI262" s="75"/>
      <c r="AJ262" s="75"/>
      <c r="AK262" s="129"/>
      <c r="AL262" s="129">
        <v>50.0</v>
      </c>
      <c r="AM262" s="131" t="s">
        <v>1003</v>
      </c>
    </row>
    <row r="263" ht="21.0" customHeight="1">
      <c r="A263" s="227">
        <v>43950.0</v>
      </c>
      <c r="B263" s="84"/>
      <c r="C263" s="50"/>
      <c r="D263" s="230" t="s">
        <v>644</v>
      </c>
      <c r="E263" s="83"/>
      <c r="F263" s="83"/>
      <c r="G263" s="83"/>
      <c r="H263" s="83"/>
      <c r="I263" s="83"/>
      <c r="J263" s="83"/>
      <c r="K263" s="83"/>
      <c r="L263" s="83"/>
      <c r="M263" s="70" t="str">
        <f>IFERROR(__xludf.DUMMYFUNCTION("QUERY(Hospitais_BD!D:I,""select E where D='""&amp;D263&amp;""'"",0)"),"BAIXADA FLUMINENSE")</f>
        <v>BAIXADA FLUMINENSE</v>
      </c>
      <c r="N263" s="44" t="str">
        <f>IFERROR(__xludf.DUMMYFUNCTION("QUERY(Hospitais_BD!D:I,""select F where D='""&amp;D263&amp;""'"")"),"Nova Iguaçu")</f>
        <v>Nova Iguaçu</v>
      </c>
      <c r="O263" s="70" t="str">
        <f>IFERROR(__xludf.DUMMYFUNCTION("QUERY(Hospitais_BD!D:I,""select G where D='""&amp;D263&amp;""'"")"),"Austim")</f>
        <v>Austim</v>
      </c>
      <c r="P263" s="25"/>
      <c r="Q263" s="137" t="str">
        <f>IFERROR(__xludf.DUMMYFUNCTION("QUERY(Hospitais_BD!D:I,""select I where D='""&amp;D263&amp;""'"")"),"Público")</f>
        <v>Público</v>
      </c>
      <c r="R263" s="137" t="str">
        <f>IFERROR(__xludf.DUMMYFUNCTION("QUERY(Hospitais_BD!D:I,""select H where D='""&amp;D263&amp;""'"")"),"Unidade básica de saúde - BAIXA COMPLEXIDADE
")</f>
        <v>Unidade básica de saúde - BAIXA COMPLEXIDADE
</v>
      </c>
      <c r="S263" s="192"/>
      <c r="T263" s="217"/>
      <c r="U263" s="207"/>
      <c r="V263" s="83"/>
      <c r="W263" s="83"/>
      <c r="X263" s="25"/>
      <c r="Y263" s="83"/>
      <c r="Z263" s="83"/>
      <c r="AA263" s="25"/>
      <c r="AB263" s="25"/>
      <c r="AC263" s="25"/>
      <c r="AD263" s="83"/>
      <c r="AE263" s="134"/>
      <c r="AF263" s="142"/>
      <c r="AG263" s="83">
        <v>25.0</v>
      </c>
      <c r="AH263" s="83"/>
      <c r="AI263" s="83"/>
      <c r="AJ263" s="83"/>
      <c r="AK263" s="144"/>
      <c r="AL263" s="144"/>
      <c r="AM263" s="145" t="s">
        <v>1003</v>
      </c>
    </row>
    <row r="264" ht="21.0" customHeight="1">
      <c r="A264" s="226">
        <v>43950.0</v>
      </c>
      <c r="B264" s="85"/>
      <c r="C264" s="69"/>
      <c r="D264" s="37" t="s">
        <v>258</v>
      </c>
      <c r="E264" s="75"/>
      <c r="F264" s="75"/>
      <c r="G264" s="75"/>
      <c r="H264" s="75"/>
      <c r="I264" s="75"/>
      <c r="J264" s="75"/>
      <c r="K264" s="75"/>
      <c r="L264" s="75"/>
      <c r="M264" s="53" t="str">
        <f>IFERROR(__xludf.DUMMYFUNCTION("QUERY(Hospitais_BD!D:I,""select E where D='""&amp;D264&amp;""'"",0)"),"#REF!")</f>
        <v>#REF!</v>
      </c>
      <c r="N264" s="45" t="str">
        <f>IFERROR(__xludf.DUMMYFUNCTION("QUERY(Hospitais_BD!D:I,""select F where D='""&amp;D264&amp;""'"")"),"#REF!")</f>
        <v>#REF!</v>
      </c>
      <c r="O264" s="53" t="str">
        <f>IFERROR(__xludf.DUMMYFUNCTION("QUERY(Hospitais_BD!D:I,""select G where D='""&amp;D264&amp;""'"")"),"#REF!")</f>
        <v>#REF!</v>
      </c>
      <c r="P264" s="37"/>
      <c r="Q264" s="125" t="str">
        <f>IFERROR(__xludf.DUMMYFUNCTION("QUERY(Hospitais_BD!D:I,""select I where D='""&amp;D264&amp;""'"")"),"#REF!")</f>
        <v>#REF!</v>
      </c>
      <c r="R264" s="125" t="str">
        <f>IFERROR(__xludf.DUMMYFUNCTION("QUERY(Hospitais_BD!D:I,""select H where D='""&amp;D264&amp;""'"")"),"#REF!")</f>
        <v>#REF!</v>
      </c>
      <c r="S264" s="194"/>
      <c r="T264" s="218"/>
      <c r="U264" s="208"/>
      <c r="V264" s="75"/>
      <c r="W264" s="75"/>
      <c r="X264" s="37"/>
      <c r="Y264" s="75"/>
      <c r="Z264" s="75"/>
      <c r="AA264" s="37"/>
      <c r="AB264" s="37"/>
      <c r="AC264" s="37"/>
      <c r="AD264" s="75"/>
      <c r="AE264" s="121"/>
      <c r="AF264" s="130"/>
      <c r="AG264" s="75">
        <v>200.0</v>
      </c>
      <c r="AH264" s="75"/>
      <c r="AI264" s="75"/>
      <c r="AJ264" s="75"/>
      <c r="AK264" s="129"/>
      <c r="AL264" s="129"/>
      <c r="AM264" s="131" t="s">
        <v>1003</v>
      </c>
    </row>
    <row r="265" ht="21.0" customHeight="1">
      <c r="A265" s="227">
        <v>43950.0</v>
      </c>
      <c r="B265" s="84"/>
      <c r="C265" s="50"/>
      <c r="D265" s="231" t="s">
        <v>902</v>
      </c>
      <c r="E265" s="83"/>
      <c r="F265" s="83"/>
      <c r="G265" s="83"/>
      <c r="H265" s="83"/>
      <c r="I265" s="83"/>
      <c r="J265" s="83"/>
      <c r="K265" s="83"/>
      <c r="L265" s="83"/>
      <c r="M265" s="70" t="str">
        <f>IFERROR(__xludf.DUMMYFUNCTION("QUERY(Hospitais_BD!D:I,""select E where D='""&amp;D265&amp;""'"",0)"),"ZONA OESTE")</f>
        <v>ZONA OESTE</v>
      </c>
      <c r="N265" s="44" t="str">
        <f>IFERROR(__xludf.DUMMYFUNCTION("QUERY(Hospitais_BD!D:I,""select F where D='""&amp;D265&amp;""'"")"),"Rio de Janeiro")</f>
        <v>Rio de Janeiro</v>
      </c>
      <c r="O265" s="70" t="str">
        <f>IFERROR(__xludf.DUMMYFUNCTION("QUERY(Hospitais_BD!D:I,""select G where D='""&amp;D265&amp;""'"")"),"Cidade de Deus")</f>
        <v>Cidade de Deus</v>
      </c>
      <c r="P265" s="25"/>
      <c r="Q265" s="137" t="str">
        <f>IFERROR(__xludf.DUMMYFUNCTION("QUERY(Hospitais_BD!D:I,""select I where D='""&amp;D265&amp;""'"")"),"Público")</f>
        <v>Público</v>
      </c>
      <c r="R265" s="137" t="str">
        <f>IFERROR(__xludf.DUMMYFUNCTION("QUERY(Hospitais_BD!D:I,""select H where D='""&amp;D265&amp;""'"")"),"Outra Instituição")</f>
        <v>Outra Instituição</v>
      </c>
      <c r="S265" s="192"/>
      <c r="T265" s="217"/>
      <c r="U265" s="207"/>
      <c r="V265" s="83"/>
      <c r="W265" s="83"/>
      <c r="X265" s="25"/>
      <c r="Y265" s="83"/>
      <c r="Z265" s="83"/>
      <c r="AA265" s="25"/>
      <c r="AB265" s="25"/>
      <c r="AC265" s="25"/>
      <c r="AD265" s="83"/>
      <c r="AE265" s="134"/>
      <c r="AF265" s="142"/>
      <c r="AG265" s="83">
        <v>30.0</v>
      </c>
      <c r="AH265" s="83"/>
      <c r="AI265" s="83"/>
      <c r="AJ265" s="83"/>
      <c r="AK265" s="144"/>
      <c r="AL265" s="144"/>
      <c r="AM265" s="145" t="s">
        <v>1003</v>
      </c>
    </row>
    <row r="266" ht="21.0" customHeight="1">
      <c r="A266" s="226">
        <v>43950.0</v>
      </c>
      <c r="B266" s="85"/>
      <c r="C266" s="69"/>
      <c r="D266" s="232" t="s">
        <v>904</v>
      </c>
      <c r="E266" s="75"/>
      <c r="F266" s="75"/>
      <c r="G266" s="75"/>
      <c r="H266" s="75"/>
      <c r="I266" s="75"/>
      <c r="J266" s="75"/>
      <c r="K266" s="75"/>
      <c r="L266" s="75"/>
      <c r="M266" s="53" t="str">
        <f>IFERROR(__xludf.DUMMYFUNCTION("QUERY(Hospitais_BD!D:I,""select E where D='""&amp;D266&amp;""'"",0)"),"ZONA NORTE")</f>
        <v>ZONA NORTE</v>
      </c>
      <c r="N266" s="45" t="str">
        <f>IFERROR(__xludf.DUMMYFUNCTION("QUERY(Hospitais_BD!D:I,""select F where D='""&amp;D266&amp;""'"")"),"Rio de Janeiro")</f>
        <v>Rio de Janeiro</v>
      </c>
      <c r="O266" s="53" t="str">
        <f>IFERROR(__xludf.DUMMYFUNCTION("QUERY(Hospitais_BD!D:I,""select G where D='""&amp;D266&amp;""'"")"),"Ramos")</f>
        <v>Ramos</v>
      </c>
      <c r="P266" s="37"/>
      <c r="Q266" s="125" t="str">
        <f>IFERROR(__xludf.DUMMYFUNCTION("QUERY(Hospitais_BD!D:I,""select I where D='""&amp;D266&amp;""'"")"),"Público")</f>
        <v>Público</v>
      </c>
      <c r="R266" s="125" t="str">
        <f>IFERROR(__xludf.DUMMYFUNCTION("QUERY(Hospitais_BD!D:I,""select H where D='""&amp;D266&amp;""'"")"),"Unidade básica de saúde - BAIXA COMPLEXIDADE")</f>
        <v>Unidade básica de saúde - BAIXA COMPLEXIDADE</v>
      </c>
      <c r="S266" s="194"/>
      <c r="T266" s="218"/>
      <c r="U266" s="208"/>
      <c r="V266" s="75"/>
      <c r="W266" s="75"/>
      <c r="X266" s="37"/>
      <c r="Y266" s="75"/>
      <c r="Z266" s="75"/>
      <c r="AA266" s="37"/>
      <c r="AB266" s="37"/>
      <c r="AC266" s="37"/>
      <c r="AD266" s="75"/>
      <c r="AE266" s="121"/>
      <c r="AF266" s="130"/>
      <c r="AG266" s="75">
        <v>30.0</v>
      </c>
      <c r="AH266" s="75"/>
      <c r="AI266" s="75"/>
      <c r="AJ266" s="75"/>
      <c r="AK266" s="129"/>
      <c r="AL266" s="129"/>
      <c r="AM266" s="131" t="s">
        <v>1003</v>
      </c>
    </row>
    <row r="267" ht="21.0" customHeight="1">
      <c r="A267" s="227">
        <v>43950.0</v>
      </c>
      <c r="B267" s="84"/>
      <c r="C267" s="50"/>
      <c r="D267" s="25" t="s">
        <v>545</v>
      </c>
      <c r="E267" s="83"/>
      <c r="F267" s="83"/>
      <c r="G267" s="83"/>
      <c r="H267" s="83"/>
      <c r="I267" s="83"/>
      <c r="J267" s="83"/>
      <c r="K267" s="83"/>
      <c r="L267" s="83"/>
      <c r="M267" s="70" t="str">
        <f>IFERROR(__xludf.DUMMYFUNCTION("QUERY(Hospitais_BD!D:I,""select E where D='""&amp;D267&amp;""'"",0)"),"ZONA OESTE")</f>
        <v>ZONA OESTE</v>
      </c>
      <c r="N267" s="44" t="str">
        <f>IFERROR(__xludf.DUMMYFUNCTION("QUERY(Hospitais_BD!D:I,""select F where D='""&amp;D267&amp;""'"")"),"Rio de Janeiro")</f>
        <v>Rio de Janeiro</v>
      </c>
      <c r="O267" s="70" t="str">
        <f>IFERROR(__xludf.DUMMYFUNCTION("QUERY(Hospitais_BD!D:I,""select G where D='""&amp;D267&amp;""'"")"),"Campo Grande")</f>
        <v>Campo Grande</v>
      </c>
      <c r="P267" s="25"/>
      <c r="Q267" s="137" t="str">
        <f>IFERROR(__xludf.DUMMYFUNCTION("QUERY(Hospitais_BD!D:I,""select I where D='""&amp;D267&amp;""'"")"),"Público")</f>
        <v>Público</v>
      </c>
      <c r="R267" s="137" t="str">
        <f>IFERROR(__xludf.DUMMYFUNCTION("QUERY(Hospitais_BD!D:I,""select H where D='""&amp;D267&amp;""'"")"),"Grande emergência - MÉDIA COMPLEXIDADE")</f>
        <v>Grande emergência - MÉDIA COMPLEXIDADE</v>
      </c>
      <c r="S267" s="192"/>
      <c r="T267" s="217"/>
      <c r="U267" s="207"/>
      <c r="V267" s="83"/>
      <c r="W267" s="83"/>
      <c r="X267" s="25"/>
      <c r="Y267" s="83"/>
      <c r="Z267" s="83"/>
      <c r="AA267" s="25"/>
      <c r="AB267" s="25"/>
      <c r="AC267" s="25"/>
      <c r="AD267" s="83"/>
      <c r="AE267" s="134"/>
      <c r="AF267" s="142"/>
      <c r="AG267" s="83">
        <v>50.0</v>
      </c>
      <c r="AH267" s="83"/>
      <c r="AI267" s="83"/>
      <c r="AJ267" s="83">
        <v>25.0</v>
      </c>
      <c r="AK267" s="144"/>
      <c r="AL267" s="144"/>
      <c r="AM267" s="145" t="s">
        <v>1003</v>
      </c>
    </row>
    <row r="268" ht="21.0" customHeight="1">
      <c r="A268" s="226">
        <v>43950.0</v>
      </c>
      <c r="B268" s="85"/>
      <c r="C268" s="69"/>
      <c r="D268" s="28" t="s">
        <v>368</v>
      </c>
      <c r="E268" s="75"/>
      <c r="F268" s="75"/>
      <c r="G268" s="75"/>
      <c r="H268" s="75"/>
      <c r="I268" s="75"/>
      <c r="J268" s="75"/>
      <c r="K268" s="75"/>
      <c r="L268" s="75"/>
      <c r="M268" s="53" t="str">
        <f>IFERROR(__xludf.DUMMYFUNCTION("QUERY(Hospitais_BD!D:I,""select E where D='""&amp;D268&amp;""'"",0)"),"#REF!")</f>
        <v>#REF!</v>
      </c>
      <c r="N268" s="45" t="str">
        <f>IFERROR(__xludf.DUMMYFUNCTION("QUERY(Hospitais_BD!D:I,""select F where D='""&amp;D268&amp;""'"")"),"#REF!")</f>
        <v>#REF!</v>
      </c>
      <c r="O268" s="53" t="str">
        <f>IFERROR(__xludf.DUMMYFUNCTION("QUERY(Hospitais_BD!D:I,""select G where D='""&amp;D268&amp;""'"")"),"#REF!")</f>
        <v>#REF!</v>
      </c>
      <c r="P268" s="37"/>
      <c r="Q268" s="125" t="str">
        <f>IFERROR(__xludf.DUMMYFUNCTION("QUERY(Hospitais_BD!D:I,""select I where D='""&amp;D268&amp;""'"")"),"#REF!")</f>
        <v>#REF!</v>
      </c>
      <c r="R268" s="125" t="str">
        <f>IFERROR(__xludf.DUMMYFUNCTION("QUERY(Hospitais_BD!D:I,""select H where D='""&amp;D268&amp;""'"")"),"#REF!")</f>
        <v>#REF!</v>
      </c>
      <c r="S268" s="194"/>
      <c r="T268" s="218"/>
      <c r="U268" s="208"/>
      <c r="V268" s="75"/>
      <c r="W268" s="75"/>
      <c r="X268" s="37"/>
      <c r="Y268" s="75"/>
      <c r="Z268" s="75"/>
      <c r="AA268" s="37"/>
      <c r="AB268" s="37"/>
      <c r="AC268" s="37"/>
      <c r="AD268" s="75"/>
      <c r="AE268" s="121"/>
      <c r="AF268" s="130"/>
      <c r="AG268" s="75">
        <v>100.0</v>
      </c>
      <c r="AH268" s="75"/>
      <c r="AI268" s="75"/>
      <c r="AJ268" s="75"/>
      <c r="AK268" s="129"/>
      <c r="AL268" s="129"/>
      <c r="AM268" s="131" t="s">
        <v>1003</v>
      </c>
    </row>
    <row r="269" ht="21.0" customHeight="1">
      <c r="A269" s="227">
        <v>43950.0</v>
      </c>
      <c r="B269" s="84"/>
      <c r="C269" s="50"/>
      <c r="D269" s="22" t="s">
        <v>267</v>
      </c>
      <c r="E269" s="83"/>
      <c r="F269" s="83"/>
      <c r="G269" s="83"/>
      <c r="H269" s="83"/>
      <c r="I269" s="83"/>
      <c r="J269" s="83"/>
      <c r="K269" s="83"/>
      <c r="L269" s="83"/>
      <c r="M269" s="70" t="str">
        <f>IFERROR(__xludf.DUMMYFUNCTION("QUERY(Hospitais_BD!D:I,""select E where D='""&amp;D269&amp;""'"",0)"),"ZONA SUL")</f>
        <v>ZONA SUL</v>
      </c>
      <c r="N269" s="44" t="str">
        <f>IFERROR(__xludf.DUMMYFUNCTION("QUERY(Hospitais_BD!D:I,""select F where D='""&amp;D269&amp;""'"")"),"Rio de Janeiro")</f>
        <v>Rio de Janeiro</v>
      </c>
      <c r="O269" s="70" t="str">
        <f>IFERROR(__xludf.DUMMYFUNCTION("QUERY(Hospitais_BD!D:I,""select G where D='""&amp;D269&amp;""'"")"),"Jardim Botanico")</f>
        <v>Jardim Botanico</v>
      </c>
      <c r="P269" s="25"/>
      <c r="Q269" s="137" t="str">
        <f>IFERROR(__xludf.DUMMYFUNCTION("QUERY(Hospitais_BD!D:I,""select I where D='""&amp;D269&amp;""'"")"),"Público")</f>
        <v>Público</v>
      </c>
      <c r="R269" s="137" t="str">
        <f>IFERROR(__xludf.DUMMYFUNCTION("QUERY(Hospitais_BD!D:I,""select H where D='""&amp;D269&amp;""'"")"),"Grande emergência - MÉDIA COMPLEXIDADE")</f>
        <v>Grande emergência - MÉDIA COMPLEXIDADE</v>
      </c>
      <c r="S269" s="192"/>
      <c r="T269" s="217"/>
      <c r="U269" s="207"/>
      <c r="V269" s="83"/>
      <c r="W269" s="83"/>
      <c r="X269" s="25"/>
      <c r="Y269" s="83"/>
      <c r="Z269" s="83"/>
      <c r="AA269" s="25"/>
      <c r="AB269" s="25"/>
      <c r="AC269" s="25"/>
      <c r="AD269" s="83"/>
      <c r="AE269" s="134"/>
      <c r="AF269" s="142"/>
      <c r="AG269" s="83">
        <v>75.0</v>
      </c>
      <c r="AH269" s="83"/>
      <c r="AI269" s="83"/>
      <c r="AJ269" s="83"/>
      <c r="AK269" s="144"/>
      <c r="AL269" s="144"/>
      <c r="AM269" s="145" t="s">
        <v>1003</v>
      </c>
    </row>
    <row r="270" ht="21.0" customHeight="1">
      <c r="A270" s="226">
        <v>43950.0</v>
      </c>
      <c r="B270" s="85"/>
      <c r="C270" s="69"/>
      <c r="D270" s="28" t="s">
        <v>337</v>
      </c>
      <c r="E270" s="75"/>
      <c r="F270" s="75"/>
      <c r="G270" s="75"/>
      <c r="H270" s="75"/>
      <c r="I270" s="75"/>
      <c r="J270" s="75"/>
      <c r="K270" s="75"/>
      <c r="L270" s="75"/>
      <c r="M270" s="53" t="str">
        <f>IFERROR(__xludf.DUMMYFUNCTION("QUERY(Hospitais_BD!D:I,""select E where D='""&amp;D270&amp;""'"",0)"),"ZONA NORTE")</f>
        <v>ZONA NORTE</v>
      </c>
      <c r="N270" s="45" t="str">
        <f>IFERROR(__xludf.DUMMYFUNCTION("QUERY(Hospitais_BD!D:I,""select F where D='""&amp;D270&amp;""'"")"),"Rio de Janeiro")</f>
        <v>Rio de Janeiro</v>
      </c>
      <c r="O270" s="53" t="str">
        <f>IFERROR(__xludf.DUMMYFUNCTION("QUERY(Hospitais_BD!D:I,""select G where D='""&amp;D270&amp;""'"")"),"Vila Isabel")</f>
        <v>Vila Isabel</v>
      </c>
      <c r="P270" s="37"/>
      <c r="Q270" s="125" t="str">
        <f>IFERROR(__xludf.DUMMYFUNCTION("QUERY(Hospitais_BD!D:I,""select I where D='""&amp;D270&amp;""'"")"),"Público")</f>
        <v>Público</v>
      </c>
      <c r="R270" s="125" t="str">
        <f>IFERROR(__xludf.DUMMYFUNCTION("QUERY(Hospitais_BD!D:I,""select H where D='""&amp;D270&amp;""'"")"),"Grande emergência - MÉDIA COMPLEXIDADE")</f>
        <v>Grande emergência - MÉDIA COMPLEXIDADE</v>
      </c>
      <c r="S270" s="194"/>
      <c r="T270" s="218"/>
      <c r="U270" s="208"/>
      <c r="V270" s="75"/>
      <c r="W270" s="75"/>
      <c r="X270" s="37"/>
      <c r="Y270" s="75"/>
      <c r="Z270" s="75"/>
      <c r="AA270" s="37"/>
      <c r="AB270" s="37"/>
      <c r="AC270" s="37"/>
      <c r="AD270" s="75"/>
      <c r="AE270" s="121"/>
      <c r="AF270" s="130"/>
      <c r="AG270" s="75">
        <v>100.0</v>
      </c>
      <c r="AH270" s="75"/>
      <c r="AI270" s="75"/>
      <c r="AJ270" s="75"/>
      <c r="AK270" s="129"/>
      <c r="AL270" s="129"/>
      <c r="AM270" s="131" t="s">
        <v>1003</v>
      </c>
    </row>
    <row r="271" ht="21.0" customHeight="1">
      <c r="A271" s="227">
        <v>43950.0</v>
      </c>
      <c r="B271" s="84"/>
      <c r="C271" s="50"/>
      <c r="D271" s="22" t="s">
        <v>819</v>
      </c>
      <c r="E271" s="83"/>
      <c r="F271" s="83"/>
      <c r="G271" s="83"/>
      <c r="H271" s="83"/>
      <c r="I271" s="83"/>
      <c r="J271" s="83"/>
      <c r="K271" s="83"/>
      <c r="L271" s="83"/>
      <c r="M271" s="70" t="str">
        <f>IFERROR(__xludf.DUMMYFUNCTION("QUERY(Hospitais_BD!D:I,""select E where D='""&amp;D271&amp;""'"",0)"),"BAIXADA FLUMINENSE")</f>
        <v>BAIXADA FLUMINENSE</v>
      </c>
      <c r="N271" s="44" t="str">
        <f>IFERROR(__xludf.DUMMYFUNCTION("QUERY(Hospitais_BD!D:I,""select F where D='""&amp;D271&amp;""'"")"),"Nova Iguaçu")</f>
        <v>Nova Iguaçu</v>
      </c>
      <c r="O271" s="70" t="str">
        <f>IFERROR(__xludf.DUMMYFUNCTION("QUERY(Hospitais_BD!D:I,""select G where D='""&amp;D271&amp;""'"")"),"Posse")</f>
        <v>Posse</v>
      </c>
      <c r="P271" s="25"/>
      <c r="Q271" s="137" t="str">
        <f>IFERROR(__xludf.DUMMYFUNCTION("QUERY(Hospitais_BD!D:I,""select I where D='""&amp;D271&amp;""'"")"),"Público")</f>
        <v>Público</v>
      </c>
      <c r="R271" s="137" t="str">
        <f>IFERROR(__xludf.DUMMYFUNCTION("QUERY(Hospitais_BD!D:I,""select H where D='""&amp;D271&amp;""'"")"),"Hospital de Referência - ALTA COMPLEXIDADE
")</f>
        <v>Hospital de Referência - ALTA COMPLEXIDADE
</v>
      </c>
      <c r="S271" s="192"/>
      <c r="T271" s="217"/>
      <c r="U271" s="207"/>
      <c r="V271" s="83"/>
      <c r="W271" s="83"/>
      <c r="X271" s="25"/>
      <c r="Y271" s="83"/>
      <c r="Z271" s="83"/>
      <c r="AA271" s="25"/>
      <c r="AB271" s="25"/>
      <c r="AC271" s="25"/>
      <c r="AD271" s="83"/>
      <c r="AE271" s="134"/>
      <c r="AF271" s="142"/>
      <c r="AG271" s="83"/>
      <c r="AH271" s="83"/>
      <c r="AI271" s="83"/>
      <c r="AJ271" s="83">
        <v>100.0</v>
      </c>
      <c r="AK271" s="144"/>
      <c r="AL271" s="144"/>
      <c r="AM271" s="145" t="s">
        <v>1003</v>
      </c>
    </row>
    <row r="272" ht="21.0" customHeight="1">
      <c r="A272" s="226">
        <v>43958.0</v>
      </c>
      <c r="B272" s="85"/>
      <c r="C272" s="69"/>
      <c r="D272" s="37" t="s">
        <v>905</v>
      </c>
      <c r="E272" s="75"/>
      <c r="F272" s="75"/>
      <c r="G272" s="75"/>
      <c r="H272" s="75"/>
      <c r="I272" s="75"/>
      <c r="J272" s="75"/>
      <c r="K272" s="75"/>
      <c r="L272" s="75"/>
      <c r="M272" s="53" t="str">
        <f>IFERROR(__xludf.DUMMYFUNCTION("QUERY(Hospitais_BD!D:I,""select E where D='""&amp;D272&amp;""'"",0)"),"ZONA OESTE")</f>
        <v>ZONA OESTE</v>
      </c>
      <c r="N272" s="45" t="str">
        <f>IFERROR(__xludf.DUMMYFUNCTION("QUERY(Hospitais_BD!D:I,""select F where D='""&amp;D272&amp;""'"")"),"Rio de Janeiro")</f>
        <v>Rio de Janeiro</v>
      </c>
      <c r="O272" s="53" t="str">
        <f>IFERROR(__xludf.DUMMYFUNCTION("QUERY(Hospitais_BD!D:I,""select G where D='""&amp;D272&amp;""'"")"),"Santa Cruz")</f>
        <v>Santa Cruz</v>
      </c>
      <c r="P272" s="37"/>
      <c r="Q272" s="125" t="str">
        <f>IFERROR(__xludf.DUMMYFUNCTION("QUERY(Hospitais_BD!D:I,""select I where D='""&amp;D272&amp;""'"")"),"Público")</f>
        <v>Público</v>
      </c>
      <c r="R272" s="125" t="str">
        <f>IFERROR(__xludf.DUMMYFUNCTION("QUERY(Hospitais_BD!D:I,""select H where D='""&amp;D272&amp;""'"")"),"Grande emergência - MÉDIA COMPLEXIDADE
")</f>
        <v>Grande emergência - MÉDIA COMPLEXIDADE
</v>
      </c>
      <c r="S272" s="194"/>
      <c r="T272" s="218"/>
      <c r="U272" s="208"/>
      <c r="V272" s="75"/>
      <c r="W272" s="75"/>
      <c r="X272" s="37"/>
      <c r="Y272" s="75"/>
      <c r="Z272" s="75"/>
      <c r="AA272" s="37"/>
      <c r="AB272" s="37"/>
      <c r="AC272" s="37"/>
      <c r="AD272" s="75"/>
      <c r="AE272" s="121"/>
      <c r="AF272" s="130"/>
      <c r="AG272" s="75">
        <v>90.0</v>
      </c>
      <c r="AH272" s="75"/>
      <c r="AI272" s="75"/>
      <c r="AJ272" s="75"/>
      <c r="AK272" s="129"/>
      <c r="AL272" s="129"/>
      <c r="AM272" s="131" t="s">
        <v>1003</v>
      </c>
    </row>
    <row r="273" ht="21.0" customHeight="1">
      <c r="A273" s="227">
        <v>43964.0</v>
      </c>
      <c r="B273" s="84"/>
      <c r="C273" s="50"/>
      <c r="D273" s="95" t="s">
        <v>818</v>
      </c>
      <c r="E273" s="83"/>
      <c r="F273" s="83"/>
      <c r="G273" s="83"/>
      <c r="H273" s="83"/>
      <c r="I273" s="83"/>
      <c r="J273" s="83"/>
      <c r="K273" s="83"/>
      <c r="L273" s="83"/>
      <c r="M273" s="70" t="str">
        <f>IFERROR(__xludf.DUMMYFUNCTION("QUERY(Hospitais_BD!D:I,""select E where D='""&amp;D273&amp;""'"",0)"),"REGIAO METROPOLITANA")</f>
        <v>REGIAO METROPOLITANA</v>
      </c>
      <c r="N273" s="44" t="str">
        <f>IFERROR(__xludf.DUMMYFUNCTION("QUERY(Hospitais_BD!D:I,""select F where D='""&amp;D273&amp;""'"")"),"Rio de Janeiro")</f>
        <v>Rio de Janeiro</v>
      </c>
      <c r="O273" s="70" t="str">
        <f>IFERROR(__xludf.DUMMYFUNCTION("QUERY(Hospitais_BD!D:I,""select G where D='""&amp;D273&amp;""'"")"),"Manguinhos")</f>
        <v>Manguinhos</v>
      </c>
      <c r="P273" s="25"/>
      <c r="Q273" s="137" t="str">
        <f>IFERROR(__xludf.DUMMYFUNCTION("QUERY(Hospitais_BD!D:I,""select I where D='""&amp;D273&amp;""'"")"),"Público")</f>
        <v>Público</v>
      </c>
      <c r="R273" s="137" t="str">
        <f>IFERROR(__xludf.DUMMYFUNCTION("QUERY(Hospitais_BD!D:I,""select H where D='""&amp;D273&amp;""'"")"),"Hospital de Referência - ALTA COMPLEXIDADE
")</f>
        <v>Hospital de Referência - ALTA COMPLEXIDADE
</v>
      </c>
      <c r="S273" s="192"/>
      <c r="T273" s="217"/>
      <c r="U273" s="207"/>
      <c r="V273" s="83"/>
      <c r="W273" s="83"/>
      <c r="X273" s="25"/>
      <c r="Y273" s="83"/>
      <c r="Z273" s="83"/>
      <c r="AA273" s="25"/>
      <c r="AB273" s="25"/>
      <c r="AC273" s="25"/>
      <c r="AD273" s="83"/>
      <c r="AE273" s="134"/>
      <c r="AF273" s="142"/>
      <c r="AG273" s="83">
        <v>1000.0</v>
      </c>
      <c r="AH273" s="83"/>
      <c r="AI273" s="83"/>
      <c r="AJ273" s="83"/>
      <c r="AK273" s="144"/>
      <c r="AL273" s="144"/>
      <c r="AM273" s="145" t="s">
        <v>1003</v>
      </c>
    </row>
    <row r="274" ht="21.0" customHeight="1">
      <c r="A274" s="226">
        <v>43964.0</v>
      </c>
      <c r="B274" s="85"/>
      <c r="C274" s="69"/>
      <c r="D274" s="72" t="s">
        <v>906</v>
      </c>
      <c r="E274" s="75"/>
      <c r="F274" s="75"/>
      <c r="G274" s="75"/>
      <c r="H274" s="75"/>
      <c r="I274" s="75"/>
      <c r="J274" s="75"/>
      <c r="K274" s="75"/>
      <c r="L274" s="75"/>
      <c r="M274" s="53" t="str">
        <f>IFERROR(__xludf.DUMMYFUNCTION("QUERY(Hospitais_BD!D:I,""select E where D='""&amp;D274&amp;""'"",0)"),"ZONA NORTE")</f>
        <v>ZONA NORTE</v>
      </c>
      <c r="N274" s="45" t="str">
        <f>IFERROR(__xludf.DUMMYFUNCTION("QUERY(Hospitais_BD!D:I,""select F where D='""&amp;D274&amp;""'"")"),"Rio de Janeiro")</f>
        <v>Rio de Janeiro</v>
      </c>
      <c r="O274" s="53" t="str">
        <f>IFERROR(__xludf.DUMMYFUNCTION("QUERY(Hospitais_BD!D:I,""select G where D='""&amp;D274&amp;""'"")"),"Ilha do Governador")</f>
        <v>Ilha do Governador</v>
      </c>
      <c r="P274" s="37"/>
      <c r="Q274" s="125" t="str">
        <f>IFERROR(__xludf.DUMMYFUNCTION("QUERY(Hospitais_BD!D:I,""select I where D='""&amp;D274&amp;""'"")"),"Público")</f>
        <v>Público</v>
      </c>
      <c r="R274" s="125" t="str">
        <f>IFERROR(__xludf.DUMMYFUNCTION("QUERY(Hospitais_BD!D:I,""select H where D='""&amp;D274&amp;""'"")"),"Hospital de Apoio - MÉDIA COMPLEXIDADE
")</f>
        <v>Hospital de Apoio - MÉDIA COMPLEXIDADE
</v>
      </c>
      <c r="S274" s="194"/>
      <c r="T274" s="218"/>
      <c r="U274" s="208"/>
      <c r="V274" s="75"/>
      <c r="W274" s="75"/>
      <c r="X274" s="37"/>
      <c r="Y274" s="75"/>
      <c r="Z274" s="75"/>
      <c r="AA274" s="37"/>
      <c r="AB274" s="37"/>
      <c r="AC274" s="37"/>
      <c r="AD274" s="75"/>
      <c r="AE274" s="121"/>
      <c r="AF274" s="130"/>
      <c r="AG274" s="75">
        <v>100.0</v>
      </c>
      <c r="AH274" s="75"/>
      <c r="AI274" s="75"/>
      <c r="AJ274" s="75"/>
      <c r="AK274" s="129"/>
      <c r="AL274" s="129"/>
      <c r="AM274" s="131" t="s">
        <v>1003</v>
      </c>
    </row>
    <row r="275" ht="21.0" customHeight="1">
      <c r="A275" s="227">
        <v>43964.0</v>
      </c>
      <c r="B275" s="84"/>
      <c r="C275" s="50"/>
      <c r="D275" s="68" t="s">
        <v>446</v>
      </c>
      <c r="E275" s="83"/>
      <c r="F275" s="83"/>
      <c r="G275" s="83"/>
      <c r="H275" s="83"/>
      <c r="I275" s="83"/>
      <c r="J275" s="83"/>
      <c r="K275" s="83"/>
      <c r="L275" s="83"/>
      <c r="M275" s="70" t="str">
        <f>IFERROR(__xludf.DUMMYFUNCTION("QUERY(Hospitais_BD!D:I,""select E where D='""&amp;D275&amp;""'"",0)"),"ZONA SUL")</f>
        <v>ZONA SUL</v>
      </c>
      <c r="N275" s="44" t="str">
        <f>IFERROR(__xludf.DUMMYFUNCTION("QUERY(Hospitais_BD!D:I,""select F where D='""&amp;D275&amp;""'"")"),"Rio de Janeiro")</f>
        <v>Rio de Janeiro</v>
      </c>
      <c r="O275" s="70" t="str">
        <f>IFERROR(__xludf.DUMMYFUNCTION("QUERY(Hospitais_BD!D:I,""select G where D='""&amp;D275&amp;""'"")"),"Humaita")</f>
        <v>Humaita</v>
      </c>
      <c r="P275" s="25"/>
      <c r="Q275" s="137" t="str">
        <f>IFERROR(__xludf.DUMMYFUNCTION("QUERY(Hospitais_BD!D:I,""select I where D='""&amp;D275&amp;""'"")"),"Público")</f>
        <v>Público</v>
      </c>
      <c r="R275" s="137" t="str">
        <f>IFERROR(__xludf.DUMMYFUNCTION("QUERY(Hospitais_BD!D:I,""select H where D='""&amp;D275&amp;""'"")"),"Unidade básica - BAIXA COMPLEXIDADE")</f>
        <v>Unidade básica - BAIXA COMPLEXIDADE</v>
      </c>
      <c r="S275" s="192"/>
      <c r="T275" s="217"/>
      <c r="U275" s="207"/>
      <c r="V275" s="83"/>
      <c r="W275" s="83"/>
      <c r="X275" s="25"/>
      <c r="Y275" s="83"/>
      <c r="Z275" s="83"/>
      <c r="AA275" s="25"/>
      <c r="AB275" s="25"/>
      <c r="AC275" s="25"/>
      <c r="AD275" s="83"/>
      <c r="AE275" s="134"/>
      <c r="AF275" s="142"/>
      <c r="AG275" s="83">
        <v>100.0</v>
      </c>
      <c r="AH275" s="83"/>
      <c r="AI275" s="83"/>
      <c r="AJ275" s="83"/>
      <c r="AK275" s="144"/>
      <c r="AL275" s="144"/>
      <c r="AM275" s="145" t="s">
        <v>1003</v>
      </c>
    </row>
    <row r="276" ht="21.0" customHeight="1">
      <c r="A276" s="226">
        <v>43964.0</v>
      </c>
      <c r="B276" s="85"/>
      <c r="C276" s="69"/>
      <c r="D276" s="72" t="s">
        <v>907</v>
      </c>
      <c r="E276" s="75"/>
      <c r="F276" s="75"/>
      <c r="G276" s="75"/>
      <c r="H276" s="75"/>
      <c r="I276" s="75"/>
      <c r="J276" s="75"/>
      <c r="K276" s="75"/>
      <c r="L276" s="75"/>
      <c r="M276" s="53" t="str">
        <f>IFERROR(__xludf.DUMMYFUNCTION("QUERY(Hospitais_BD!D:I,""select E where D='""&amp;D276&amp;""'"",0)"),"")</f>
        <v/>
      </c>
      <c r="N276" s="45" t="str">
        <f>IFERROR(__xludf.DUMMYFUNCTION("QUERY(Hospitais_BD!D:I,""select F where D='""&amp;D276&amp;""'"")"),"Rio de Janeiro")</f>
        <v>Rio de Janeiro</v>
      </c>
      <c r="O276" s="53" t="str">
        <f>IFERROR(__xludf.DUMMYFUNCTION("QUERY(Hospitais_BD!D:I,""select G where D='""&amp;D276&amp;""'"")"),"Rio de Janeiro")</f>
        <v>Rio de Janeiro</v>
      </c>
      <c r="P276" s="37"/>
      <c r="Q276" s="125" t="str">
        <f>IFERROR(__xludf.DUMMYFUNCTION("QUERY(Hospitais_BD!D:I,""select I where D='""&amp;D276&amp;""'"")"),"Público")</f>
        <v>Público</v>
      </c>
      <c r="R276" s="125" t="str">
        <f>IFERROR(__xludf.DUMMYFUNCTION("QUERY(Hospitais_BD!D:I,""select H where D='""&amp;D276&amp;""'"")"),"Outra Instituição")</f>
        <v>Outra Instituição</v>
      </c>
      <c r="S276" s="194"/>
      <c r="T276" s="218"/>
      <c r="U276" s="208"/>
      <c r="V276" s="75"/>
      <c r="W276" s="75"/>
      <c r="X276" s="37"/>
      <c r="Y276" s="75"/>
      <c r="Z276" s="75"/>
      <c r="AA276" s="37"/>
      <c r="AB276" s="37"/>
      <c r="AC276" s="37"/>
      <c r="AD276" s="75"/>
      <c r="AE276" s="121"/>
      <c r="AF276" s="130"/>
      <c r="AG276" s="75">
        <v>50.0</v>
      </c>
      <c r="AH276" s="75"/>
      <c r="AI276" s="75"/>
      <c r="AJ276" s="75"/>
      <c r="AK276" s="129"/>
      <c r="AL276" s="129"/>
      <c r="AM276" s="131" t="s">
        <v>1003</v>
      </c>
    </row>
    <row r="277" ht="21.0" customHeight="1">
      <c r="A277" s="227">
        <v>43964.0</v>
      </c>
      <c r="B277" s="84"/>
      <c r="C277" s="50"/>
      <c r="D277" s="233" t="s">
        <v>908</v>
      </c>
      <c r="E277" s="83"/>
      <c r="F277" s="83"/>
      <c r="G277" s="83"/>
      <c r="H277" s="83"/>
      <c r="I277" s="83"/>
      <c r="J277" s="83"/>
      <c r="K277" s="83"/>
      <c r="L277" s="83"/>
      <c r="M277" s="70" t="str">
        <f>IFERROR(__xludf.DUMMYFUNCTION("QUERY(Hospitais_BD!D:I,""select E where D='""&amp;D277&amp;""'"",0)"),"ZONA NORTE")</f>
        <v>ZONA NORTE</v>
      </c>
      <c r="N277" s="44" t="str">
        <f>IFERROR(__xludf.DUMMYFUNCTION("QUERY(Hospitais_BD!D:I,""select F where D='""&amp;D277&amp;""'"")"),"Rio de Janeiro")</f>
        <v>Rio de Janeiro</v>
      </c>
      <c r="O277" s="70" t="str">
        <f>IFERROR(__xludf.DUMMYFUNCTION("QUERY(Hospitais_BD!D:I,""select G where D='""&amp;D277&amp;""'"")"),"Maré")</f>
        <v>Maré</v>
      </c>
      <c r="P277" s="25"/>
      <c r="Q277" s="137" t="str">
        <f>IFERROR(__xludf.DUMMYFUNCTION("QUERY(Hospitais_BD!D:I,""select I where D='""&amp;D277&amp;""'"")"),"Público")</f>
        <v>Público</v>
      </c>
      <c r="R277" s="137" t="str">
        <f>IFERROR(__xludf.DUMMYFUNCTION("QUERY(Hospitais_BD!D:I,""select H where D='""&amp;D277&amp;""'"")"),"Outra Instituição")</f>
        <v>Outra Instituição</v>
      </c>
      <c r="S277" s="192"/>
      <c r="T277" s="217"/>
      <c r="U277" s="207"/>
      <c r="V277" s="83"/>
      <c r="W277" s="83"/>
      <c r="X277" s="25"/>
      <c r="Y277" s="83"/>
      <c r="Z277" s="83"/>
      <c r="AA277" s="25"/>
      <c r="AB277" s="25"/>
      <c r="AC277" s="25"/>
      <c r="AD277" s="83"/>
      <c r="AE277" s="134"/>
      <c r="AF277" s="142"/>
      <c r="AG277" s="83"/>
      <c r="AH277" s="83"/>
      <c r="AI277" s="83"/>
      <c r="AJ277" s="83">
        <v>400.0</v>
      </c>
      <c r="AK277" s="144">
        <v>48.0</v>
      </c>
      <c r="AL277" s="144"/>
      <c r="AM277" s="145" t="s">
        <v>1003</v>
      </c>
    </row>
    <row r="278" ht="21.0" customHeight="1">
      <c r="A278" s="226">
        <v>43964.0</v>
      </c>
      <c r="B278" s="85"/>
      <c r="C278" s="69"/>
      <c r="D278" s="234" t="s">
        <v>910</v>
      </c>
      <c r="E278" s="75"/>
      <c r="F278" s="75"/>
      <c r="G278" s="75"/>
      <c r="H278" s="75"/>
      <c r="I278" s="75"/>
      <c r="J278" s="75"/>
      <c r="K278" s="75"/>
      <c r="L278" s="75"/>
      <c r="M278" s="53" t="str">
        <f>IFERROR(__xludf.DUMMYFUNCTION("QUERY(Hospitais_BD!D:I,""select E where D='""&amp;D278&amp;""'"",0)"),"ZONA NORTE")</f>
        <v>ZONA NORTE</v>
      </c>
      <c r="N278" s="45" t="str">
        <f>IFERROR(__xludf.DUMMYFUNCTION("QUERY(Hospitais_BD!D:I,""select F where D='""&amp;D278&amp;""'"")"),"Rio de Janeiro")</f>
        <v>Rio de Janeiro</v>
      </c>
      <c r="O278" s="53" t="str">
        <f>IFERROR(__xludf.DUMMYFUNCTION("QUERY(Hospitais_BD!D:I,""select G where D='""&amp;D278&amp;""'"")"),"Ilha do Fundão")</f>
        <v>Ilha do Fundão</v>
      </c>
      <c r="P278" s="37"/>
      <c r="Q278" s="125" t="str">
        <f>IFERROR(__xludf.DUMMYFUNCTION("QUERY(Hospitais_BD!D:I,""select I where D='""&amp;D278&amp;""'"")"),"Público")</f>
        <v>Público</v>
      </c>
      <c r="R278" s="125" t="str">
        <f>IFERROR(__xludf.DUMMYFUNCTION("QUERY(Hospitais_BD!D:I,""select H where D='""&amp;D278&amp;""'"")"),"Outra Instituição")</f>
        <v>Outra Instituição</v>
      </c>
      <c r="S278" s="194"/>
      <c r="T278" s="218"/>
      <c r="U278" s="208"/>
      <c r="V278" s="75"/>
      <c r="W278" s="75"/>
      <c r="X278" s="37"/>
      <c r="Y278" s="75"/>
      <c r="Z278" s="75"/>
      <c r="AA278" s="37"/>
      <c r="AB278" s="37"/>
      <c r="AC278" s="37"/>
      <c r="AD278" s="75"/>
      <c r="AE278" s="121"/>
      <c r="AF278" s="130"/>
      <c r="AG278" s="75">
        <v>25.0</v>
      </c>
      <c r="AH278" s="75"/>
      <c r="AI278" s="75"/>
      <c r="AJ278" s="75"/>
      <c r="AK278" s="129"/>
      <c r="AL278" s="129"/>
      <c r="AM278" s="131" t="s">
        <v>1003</v>
      </c>
    </row>
    <row r="279" ht="21.0" customHeight="1">
      <c r="A279" s="227">
        <v>43964.0</v>
      </c>
      <c r="B279" s="84"/>
      <c r="C279" s="50"/>
      <c r="D279" s="25" t="s">
        <v>911</v>
      </c>
      <c r="E279" s="83"/>
      <c r="F279" s="83"/>
      <c r="G279" s="83"/>
      <c r="H279" s="83"/>
      <c r="I279" s="83"/>
      <c r="J279" s="83"/>
      <c r="K279" s="83"/>
      <c r="L279" s="83"/>
      <c r="M279" s="70" t="str">
        <f>IFERROR(__xludf.DUMMYFUNCTION("QUERY(Hospitais_BD!D:I,""select E where D='""&amp;D279&amp;""'"",0)"),"REGIAO SERRANA")</f>
        <v>REGIAO SERRANA</v>
      </c>
      <c r="N279" s="44" t="str">
        <f>IFERROR(__xludf.DUMMYFUNCTION("QUERY(Hospitais_BD!D:I,""select F where D='""&amp;D279&amp;""'"")"),"Petrópolis")</f>
        <v>Petrópolis</v>
      </c>
      <c r="O279" s="70" t="str">
        <f>IFERROR(__xludf.DUMMYFUNCTION("QUERY(Hospitais_BD!D:I,""select G where D='""&amp;D279&amp;""'"")"),"Côrreas")</f>
        <v>Côrreas</v>
      </c>
      <c r="P279" s="25"/>
      <c r="Q279" s="137" t="str">
        <f>IFERROR(__xludf.DUMMYFUNCTION("QUERY(Hospitais_BD!D:I,""select I where D='""&amp;D279&amp;""'"")"),"Público")</f>
        <v>Público</v>
      </c>
      <c r="R279" s="137" t="str">
        <f>IFERROR(__xludf.DUMMYFUNCTION("QUERY(Hospitais_BD!D:I,""select H where D='""&amp;D279&amp;""'"")"),"Grande emergência - MÉDIA COMPLEXIDADE
")</f>
        <v>Grande emergência - MÉDIA COMPLEXIDADE
</v>
      </c>
      <c r="S279" s="192"/>
      <c r="T279" s="217"/>
      <c r="U279" s="207"/>
      <c r="V279" s="83"/>
      <c r="W279" s="83"/>
      <c r="X279" s="25"/>
      <c r="Y279" s="83"/>
      <c r="Z279" s="83"/>
      <c r="AA279" s="25"/>
      <c r="AB279" s="25"/>
      <c r="AC279" s="25"/>
      <c r="AD279" s="83"/>
      <c r="AE279" s="134"/>
      <c r="AF279" s="142"/>
      <c r="AG279" s="83">
        <v>40.0</v>
      </c>
      <c r="AH279" s="83"/>
      <c r="AI279" s="83"/>
      <c r="AJ279" s="83"/>
      <c r="AK279" s="144"/>
      <c r="AL279" s="144"/>
      <c r="AM279" s="145" t="s">
        <v>1003</v>
      </c>
    </row>
    <row r="280" ht="21.0" customHeight="1">
      <c r="A280" s="226">
        <v>43964.0</v>
      </c>
      <c r="B280" s="85"/>
      <c r="C280" s="69"/>
      <c r="D280" s="72" t="s">
        <v>913</v>
      </c>
      <c r="E280" s="75"/>
      <c r="F280" s="75"/>
      <c r="G280" s="75"/>
      <c r="H280" s="75"/>
      <c r="I280" s="75"/>
      <c r="J280" s="75"/>
      <c r="K280" s="75"/>
      <c r="L280" s="75"/>
      <c r="M280" s="53" t="str">
        <f>IFERROR(__xludf.DUMMYFUNCTION("QUERY(Hospitais_BD!D:I,""select E where D='""&amp;D280&amp;""'"",0)"),"")</f>
        <v/>
      </c>
      <c r="N280" s="45" t="str">
        <f>IFERROR(__xludf.DUMMYFUNCTION("QUERY(Hospitais_BD!D:I,""select F where D='""&amp;D280&amp;""'"")"),"Rio de Janeiro")</f>
        <v>Rio de Janeiro</v>
      </c>
      <c r="O280" s="53" t="str">
        <f>IFERROR(__xludf.DUMMYFUNCTION("QUERY(Hospitais_BD!D:I,""select G where D='""&amp;D280&amp;""'"")"),"Rio de Janeiro")</f>
        <v>Rio de Janeiro</v>
      </c>
      <c r="P280" s="37"/>
      <c r="Q280" s="125" t="str">
        <f>IFERROR(__xludf.DUMMYFUNCTION("QUERY(Hospitais_BD!D:I,""select I where D='""&amp;D280&amp;""'"")"),"Privado")</f>
        <v>Privado</v>
      </c>
      <c r="R280" s="125" t="str">
        <f>IFERROR(__xludf.DUMMYFUNCTION("QUERY(Hospitais_BD!D:I,""select H where D='""&amp;D280&amp;""'"")"),"Outra Instituição")</f>
        <v>Outra Instituição</v>
      </c>
      <c r="S280" s="194"/>
      <c r="T280" s="218"/>
      <c r="U280" s="208"/>
      <c r="V280" s="75"/>
      <c r="W280" s="75"/>
      <c r="X280" s="37"/>
      <c r="Y280" s="75"/>
      <c r="Z280" s="75"/>
      <c r="AA280" s="37"/>
      <c r="AB280" s="37"/>
      <c r="AC280" s="37"/>
      <c r="AD280" s="75"/>
      <c r="AE280" s="121"/>
      <c r="AF280" s="130"/>
      <c r="AG280" s="75">
        <v>100.0</v>
      </c>
      <c r="AH280" s="75"/>
      <c r="AI280" s="75"/>
      <c r="AJ280" s="75"/>
      <c r="AK280" s="129"/>
      <c r="AL280" s="129"/>
      <c r="AM280" s="131" t="s">
        <v>1003</v>
      </c>
    </row>
    <row r="281" ht="21.0" customHeight="1">
      <c r="A281" s="235">
        <v>43973.0</v>
      </c>
      <c r="B281" s="84"/>
      <c r="C281" s="50"/>
      <c r="D281" s="172" t="s">
        <v>914</v>
      </c>
      <c r="E281" s="83"/>
      <c r="F281" s="83"/>
      <c r="G281" s="83"/>
      <c r="H281" s="83"/>
      <c r="I281" s="83"/>
      <c r="J281" s="83"/>
      <c r="K281" s="83"/>
      <c r="L281" s="83"/>
      <c r="M281" s="70" t="str">
        <f>IFERROR(__xludf.DUMMYFUNCTION("QUERY(Hospitais_BD!D:I,""select E where D='""&amp;D281&amp;""'"",0)"),"")</f>
        <v/>
      </c>
      <c r="N281" s="44" t="str">
        <f>IFERROR(__xludf.DUMMYFUNCTION("QUERY(Hospitais_BD!D:I,""select F where D='""&amp;D281&amp;""'"")"),"Rio de Janeiro")</f>
        <v>Rio de Janeiro</v>
      </c>
      <c r="O281" s="70" t="str">
        <f>IFERROR(__xludf.DUMMYFUNCTION("QUERY(Hospitais_BD!D:I,""select G where D='""&amp;D281&amp;""'"")"),"Rio de Janeiro")</f>
        <v>Rio de Janeiro</v>
      </c>
      <c r="P281" s="25"/>
      <c r="Q281" s="137" t="str">
        <f>IFERROR(__xludf.DUMMYFUNCTION("QUERY(Hospitais_BD!D:I,""select I where D='""&amp;D281&amp;""'"")"),"Público")</f>
        <v>Público</v>
      </c>
      <c r="R281" s="137" t="str">
        <f>IFERROR(__xludf.DUMMYFUNCTION("QUERY(Hospitais_BD!D:I,""select H where D='""&amp;D281&amp;""'"")"),"Outra Instituição")</f>
        <v>Outra Instituição</v>
      </c>
      <c r="S281" s="192"/>
      <c r="T281" s="217"/>
      <c r="U281" s="207"/>
      <c r="V281" s="83"/>
      <c r="W281" s="83"/>
      <c r="X281" s="25"/>
      <c r="Y281" s="83"/>
      <c r="Z281" s="83"/>
      <c r="AA281" s="25"/>
      <c r="AB281" s="25"/>
      <c r="AC281" s="25"/>
      <c r="AD281" s="83"/>
      <c r="AE281" s="134"/>
      <c r="AF281" s="142"/>
      <c r="AG281" s="83">
        <v>350.0</v>
      </c>
      <c r="AH281" s="83"/>
      <c r="AI281" s="83"/>
      <c r="AJ281" s="83"/>
      <c r="AK281" s="144"/>
      <c r="AL281" s="144"/>
      <c r="AM281" s="145" t="s">
        <v>1003</v>
      </c>
    </row>
    <row r="282" ht="21.0" customHeight="1">
      <c r="A282" s="236">
        <v>43973.0</v>
      </c>
      <c r="B282" s="85"/>
      <c r="C282" s="69"/>
      <c r="D282" s="186" t="s">
        <v>915</v>
      </c>
      <c r="E282" s="75"/>
      <c r="F282" s="75"/>
      <c r="G282" s="75"/>
      <c r="H282" s="75"/>
      <c r="I282" s="75"/>
      <c r="J282" s="75"/>
      <c r="K282" s="75"/>
      <c r="L282" s="75"/>
      <c r="M282" s="53" t="str">
        <f>IFERROR(__xludf.DUMMYFUNCTION("QUERY(Hospitais_BD!D:I,""select E where D='""&amp;D282&amp;""'"",0)"),"ZONA OESTE")</f>
        <v>ZONA OESTE</v>
      </c>
      <c r="N282" s="45" t="str">
        <f>IFERROR(__xludf.DUMMYFUNCTION("QUERY(Hospitais_BD!D:I,""select F where D='""&amp;D282&amp;""'"")"),"Rio de Janeiro")</f>
        <v>Rio de Janeiro</v>
      </c>
      <c r="O282" s="53" t="str">
        <f>IFERROR(__xludf.DUMMYFUNCTION("QUERY(Hospitais_BD!D:I,""select G where D='""&amp;D282&amp;""'"")"),"Cidade de Deus")</f>
        <v>Cidade de Deus</v>
      </c>
      <c r="P282" s="37"/>
      <c r="Q282" s="125" t="str">
        <f>IFERROR(__xludf.DUMMYFUNCTION("QUERY(Hospitais_BD!D:I,""select I where D='""&amp;D282&amp;""'"")"),"Público")</f>
        <v>Público</v>
      </c>
      <c r="R282" s="125" t="str">
        <f>IFERROR(__xludf.DUMMYFUNCTION("QUERY(Hospitais_BD!D:I,""select H where D='""&amp;D282&amp;""'"")"),"Outra Instituição")</f>
        <v>Outra Instituição</v>
      </c>
      <c r="S282" s="194"/>
      <c r="T282" s="218"/>
      <c r="U282" s="208"/>
      <c r="V282" s="75"/>
      <c r="W282" s="75"/>
      <c r="X282" s="37"/>
      <c r="Y282" s="75"/>
      <c r="Z282" s="75"/>
      <c r="AA282" s="37"/>
      <c r="AB282" s="37"/>
      <c r="AC282" s="37"/>
      <c r="AD282" s="75"/>
      <c r="AE282" s="121"/>
      <c r="AF282" s="130"/>
      <c r="AG282" s="75">
        <v>100.0</v>
      </c>
      <c r="AH282" s="75"/>
      <c r="AI282" s="75"/>
      <c r="AJ282" s="75"/>
      <c r="AK282" s="129">
        <v>49.0</v>
      </c>
      <c r="AL282" s="129"/>
      <c r="AM282" s="131" t="s">
        <v>1003</v>
      </c>
    </row>
    <row r="283" ht="21.0" customHeight="1">
      <c r="A283" s="235">
        <v>43978.0</v>
      </c>
      <c r="B283" s="84"/>
      <c r="C283" s="50"/>
      <c r="D283" s="25" t="s">
        <v>916</v>
      </c>
      <c r="E283" s="83"/>
      <c r="F283" s="83"/>
      <c r="G283" s="83"/>
      <c r="H283" s="83"/>
      <c r="I283" s="83"/>
      <c r="J283" s="83"/>
      <c r="K283" s="83"/>
      <c r="L283" s="83"/>
      <c r="M283" s="70" t="str">
        <f>IFERROR(__xludf.DUMMYFUNCTION("QUERY(Hospitais_BD!D:I,""select E where D='""&amp;D283&amp;""'"",0)"),"REGIAO SERRANA")</f>
        <v>REGIAO SERRANA</v>
      </c>
      <c r="N283" s="44" t="str">
        <f>IFERROR(__xludf.DUMMYFUNCTION("QUERY(Hospitais_BD!D:I,""select F where D='""&amp;D283&amp;""'"")"),"Teresópolis")</f>
        <v>Teresópolis</v>
      </c>
      <c r="O283" s="70" t="str">
        <f>IFERROR(__xludf.DUMMYFUNCTION("QUERY(Hospitais_BD!D:I,""select G where D='""&amp;D283&amp;""'"")"),"Teresópolis")</f>
        <v>Teresópolis</v>
      </c>
      <c r="P283" s="25"/>
      <c r="Q283" s="137" t="str">
        <f>IFERROR(__xludf.DUMMYFUNCTION("QUERY(Hospitais_BD!D:I,""select I where D='""&amp;D283&amp;""'"")"),"Público")</f>
        <v>Público</v>
      </c>
      <c r="R283" s="137" t="str">
        <f>IFERROR(__xludf.DUMMYFUNCTION("QUERY(Hospitais_BD!D:I,""select H where D='""&amp;D283&amp;""'"")"),"Outra Instituição")</f>
        <v>Outra Instituição</v>
      </c>
      <c r="S283" s="192"/>
      <c r="T283" s="217"/>
      <c r="U283" s="207"/>
      <c r="V283" s="83"/>
      <c r="W283" s="83"/>
      <c r="X283" s="25"/>
      <c r="Y283" s="83"/>
      <c r="Z283" s="83"/>
      <c r="AA283" s="25"/>
      <c r="AB283" s="25"/>
      <c r="AC283" s="25"/>
      <c r="AD283" s="83"/>
      <c r="AE283" s="134"/>
      <c r="AF283" s="142"/>
      <c r="AG283" s="83">
        <v>130.0</v>
      </c>
      <c r="AH283" s="83"/>
      <c r="AI283" s="83"/>
      <c r="AJ283" s="83"/>
      <c r="AK283" s="144">
        <v>50.0</v>
      </c>
      <c r="AL283" s="144"/>
      <c r="AM283" s="145" t="s">
        <v>1003</v>
      </c>
    </row>
    <row r="284" ht="21.0" customHeight="1">
      <c r="A284" s="236">
        <v>43978.0</v>
      </c>
      <c r="B284" s="85"/>
      <c r="C284" s="69"/>
      <c r="D284" s="37" t="s">
        <v>552</v>
      </c>
      <c r="E284" s="75"/>
      <c r="F284" s="75"/>
      <c r="G284" s="75"/>
      <c r="H284" s="75"/>
      <c r="I284" s="75"/>
      <c r="J284" s="75"/>
      <c r="K284" s="75"/>
      <c r="L284" s="75"/>
      <c r="M284" s="53" t="str">
        <f>IFERROR(__xludf.DUMMYFUNCTION("QUERY(Hospitais_BD!D:I,""select E where D='""&amp;D284&amp;""'"",0)"),"ZONA NORTE")</f>
        <v>ZONA NORTE</v>
      </c>
      <c r="N284" s="45" t="str">
        <f>IFERROR(__xludf.DUMMYFUNCTION("QUERY(Hospitais_BD!D:I,""select F where D='""&amp;D284&amp;""'"")"),"Rio de Janeiro")</f>
        <v>Rio de Janeiro</v>
      </c>
      <c r="O284" s="53" t="str">
        <f>IFERROR(__xludf.DUMMYFUNCTION("QUERY(Hospitais_BD!D:I,""select G where D='""&amp;D284&amp;""'"")"),"Iraja")</f>
        <v>Iraja</v>
      </c>
      <c r="P284" s="37"/>
      <c r="Q284" s="125" t="str">
        <f>IFERROR(__xludf.DUMMYFUNCTION("QUERY(Hospitais_BD!D:I,""select I where D='""&amp;D284&amp;""'"")"),"Público")</f>
        <v>Público</v>
      </c>
      <c r="R284" s="125" t="str">
        <f>IFERROR(__xludf.DUMMYFUNCTION("QUERY(Hospitais_BD!D:I,""select H where D='""&amp;D284&amp;""'"")"),"Grande emergência - MÉDIA COMPLEXIDADE")</f>
        <v>Grande emergência - MÉDIA COMPLEXIDADE</v>
      </c>
      <c r="S284" s="194"/>
      <c r="T284" s="218"/>
      <c r="U284" s="208"/>
      <c r="V284" s="75"/>
      <c r="W284" s="75"/>
      <c r="X284" s="37"/>
      <c r="Y284" s="75"/>
      <c r="Z284" s="75"/>
      <c r="AA284" s="37"/>
      <c r="AB284" s="37"/>
      <c r="AC284" s="37"/>
      <c r="AD284" s="75"/>
      <c r="AE284" s="121"/>
      <c r="AF284" s="130"/>
      <c r="AG284" s="75">
        <v>50.0</v>
      </c>
      <c r="AH284" s="75"/>
      <c r="AI284" s="75"/>
      <c r="AJ284" s="75"/>
      <c r="AK284" s="129"/>
      <c r="AL284" s="129">
        <v>25.0</v>
      </c>
      <c r="AM284" s="131" t="s">
        <v>1003</v>
      </c>
    </row>
    <row r="285" ht="21.0" customHeight="1">
      <c r="A285" s="235">
        <v>43978.0</v>
      </c>
      <c r="B285" s="84"/>
      <c r="C285" s="50"/>
      <c r="D285" s="80" t="s">
        <v>918</v>
      </c>
      <c r="E285" s="83"/>
      <c r="F285" s="83"/>
      <c r="G285" s="83"/>
      <c r="H285" s="83"/>
      <c r="I285" s="83"/>
      <c r="J285" s="83"/>
      <c r="K285" s="83"/>
      <c r="L285" s="83"/>
      <c r="M285" s="70" t="str">
        <f>IFERROR(__xludf.DUMMYFUNCTION("QUERY(Hospitais_BD!D:I,""select E where D='""&amp;D285&amp;""'"",0)"),"BAIXADA FLUMINENSE")</f>
        <v>BAIXADA FLUMINENSE</v>
      </c>
      <c r="N285" s="44" t="str">
        <f>IFERROR(__xludf.DUMMYFUNCTION("QUERY(Hospitais_BD!D:I,""select F where D='""&amp;D285&amp;""'"")"),"Duque de Caxias")</f>
        <v>Duque de Caxias</v>
      </c>
      <c r="O285" s="70" t="str">
        <f>IFERROR(__xludf.DUMMYFUNCTION("QUERY(Hospitais_BD!D:I,""select G where D='""&amp;D285&amp;""'"")"),"Parque Lafaiete")</f>
        <v>Parque Lafaiete</v>
      </c>
      <c r="P285" s="25"/>
      <c r="Q285" s="137" t="str">
        <f>IFERROR(__xludf.DUMMYFUNCTION("QUERY(Hospitais_BD!D:I,""select I where D='""&amp;D285&amp;""'"")"),"Público")</f>
        <v>Público</v>
      </c>
      <c r="R285" s="137" t="str">
        <f>IFERROR(__xludf.DUMMYFUNCTION("QUERY(Hospitais_BD!D:I,""select H where D='""&amp;D285&amp;""'"")"),"Grande emergência - MÉDIA COMPLEXIDADE
")</f>
        <v>Grande emergência - MÉDIA COMPLEXIDADE
</v>
      </c>
      <c r="S285" s="192"/>
      <c r="T285" s="217"/>
      <c r="U285" s="207"/>
      <c r="V285" s="83"/>
      <c r="W285" s="83"/>
      <c r="X285" s="25"/>
      <c r="Y285" s="83"/>
      <c r="Z285" s="83"/>
      <c r="AA285" s="25"/>
      <c r="AB285" s="25"/>
      <c r="AC285" s="25"/>
      <c r="AD285" s="83"/>
      <c r="AE285" s="134"/>
      <c r="AF285" s="142"/>
      <c r="AG285" s="83">
        <v>50.0</v>
      </c>
      <c r="AH285" s="83"/>
      <c r="AI285" s="83"/>
      <c r="AJ285" s="83"/>
      <c r="AK285" s="144"/>
      <c r="AL285" s="144"/>
      <c r="AM285" s="145" t="s">
        <v>1003</v>
      </c>
    </row>
    <row r="286" ht="21.0" customHeight="1">
      <c r="A286" s="236">
        <v>43978.0</v>
      </c>
      <c r="B286" s="85"/>
      <c r="C286" s="69"/>
      <c r="D286" s="37" t="s">
        <v>171</v>
      </c>
      <c r="E286" s="75"/>
      <c r="F286" s="75"/>
      <c r="G286" s="75"/>
      <c r="H286" s="75"/>
      <c r="I286" s="75"/>
      <c r="J286" s="75"/>
      <c r="K286" s="75"/>
      <c r="L286" s="75"/>
      <c r="M286" s="53" t="str">
        <f>IFERROR(__xludf.DUMMYFUNCTION("QUERY(Hospitais_BD!D:I,""select E where D='""&amp;D286&amp;""'"",0)"),"CENTRO")</f>
        <v>CENTRO</v>
      </c>
      <c r="N286" s="45" t="str">
        <f>IFERROR(__xludf.DUMMYFUNCTION("QUERY(Hospitais_BD!D:I,""select F where D='""&amp;D286&amp;""'"")"),"Rio de Janeiro")</f>
        <v>Rio de Janeiro</v>
      </c>
      <c r="O286" s="53" t="str">
        <f>IFERROR(__xludf.DUMMYFUNCTION("QUERY(Hospitais_BD!D:I,""select G where D='""&amp;D286&amp;""'"")"),"Centro")</f>
        <v>Centro</v>
      </c>
      <c r="P286" s="37"/>
      <c r="Q286" s="125" t="str">
        <f>IFERROR(__xludf.DUMMYFUNCTION("QUERY(Hospitais_BD!D:I,""select I where D='""&amp;D286&amp;""'"")"),"Público")</f>
        <v>Público</v>
      </c>
      <c r="R286" s="125" t="str">
        <f>IFERROR(__xludf.DUMMYFUNCTION("QUERY(Hospitais_BD!D:I,""select H where D='""&amp;D286&amp;""'"")"),"Grande emergência - MÉDIA COMPLEXIDADE")</f>
        <v>Grande emergência - MÉDIA COMPLEXIDADE</v>
      </c>
      <c r="S286" s="194"/>
      <c r="T286" s="218"/>
      <c r="U286" s="208"/>
      <c r="V286" s="75"/>
      <c r="W286" s="75"/>
      <c r="X286" s="37"/>
      <c r="Y286" s="75"/>
      <c r="Z286" s="75"/>
      <c r="AA286" s="37"/>
      <c r="AB286" s="37"/>
      <c r="AC286" s="37"/>
      <c r="AD286" s="75"/>
      <c r="AE286" s="121"/>
      <c r="AF286" s="130"/>
      <c r="AG286" s="75">
        <v>100.0</v>
      </c>
      <c r="AH286" s="75"/>
      <c r="AI286" s="75"/>
      <c r="AJ286" s="75"/>
      <c r="AK286" s="129"/>
      <c r="AL286" s="129"/>
      <c r="AM286" s="131" t="s">
        <v>1003</v>
      </c>
    </row>
    <row r="287" ht="21.0" customHeight="1">
      <c r="A287" s="235">
        <v>43978.0</v>
      </c>
      <c r="B287" s="84"/>
      <c r="C287" s="50"/>
      <c r="D287" s="80" t="s">
        <v>920</v>
      </c>
      <c r="E287" s="83"/>
      <c r="F287" s="83"/>
      <c r="G287" s="83"/>
      <c r="H287" s="83"/>
      <c r="I287" s="83"/>
      <c r="J287" s="83"/>
      <c r="K287" s="83"/>
      <c r="L287" s="83"/>
      <c r="M287" s="70" t="str">
        <f>IFERROR(__xludf.DUMMYFUNCTION("QUERY(Hospitais_BD!D:I,""select E where D='""&amp;D287&amp;""'"",0)"),"REGIAO DOS LAGOS")</f>
        <v>REGIAO DOS LAGOS</v>
      </c>
      <c r="N287" s="44" t="str">
        <f>IFERROR(__xludf.DUMMYFUNCTION("QUERY(Hospitais_BD!D:I,""select F where D='""&amp;D287&amp;""'"")"),"Arraial do Cabo")</f>
        <v>Arraial do Cabo</v>
      </c>
      <c r="O287" s="70" t="str">
        <f>IFERROR(__xludf.DUMMYFUNCTION("QUERY(Hospitais_BD!D:I,""select G where D='""&amp;D287&amp;""'"")"),"Figueira")</f>
        <v>Figueira</v>
      </c>
      <c r="P287" s="25"/>
      <c r="Q287" s="137" t="str">
        <f>IFERROR(__xludf.DUMMYFUNCTION("QUERY(Hospitais_BD!D:I,""select I where D='""&amp;D287&amp;""'"")"),"Público")</f>
        <v>Público</v>
      </c>
      <c r="R287" s="137" t="str">
        <f>IFERROR(__xludf.DUMMYFUNCTION("QUERY(Hospitais_BD!D:I,""select H where D='""&amp;D287&amp;""'"")"),"Grande emergência - MÉDIA COMPLEXIDADE
")</f>
        <v>Grande emergência - MÉDIA COMPLEXIDADE
</v>
      </c>
      <c r="S287" s="192"/>
      <c r="T287" s="217"/>
      <c r="U287" s="207"/>
      <c r="V287" s="83"/>
      <c r="W287" s="83"/>
      <c r="X287" s="25"/>
      <c r="Y287" s="83"/>
      <c r="Z287" s="83"/>
      <c r="AA287" s="25"/>
      <c r="AB287" s="25"/>
      <c r="AC287" s="25"/>
      <c r="AD287" s="83"/>
      <c r="AE287" s="134"/>
      <c r="AF287" s="142"/>
      <c r="AG287" s="83">
        <v>100.0</v>
      </c>
      <c r="AH287" s="83"/>
      <c r="AI287" s="83"/>
      <c r="AJ287" s="83"/>
      <c r="AK287" s="144"/>
      <c r="AL287" s="144"/>
      <c r="AM287" s="145" t="s">
        <v>1003</v>
      </c>
    </row>
    <row r="288" ht="21.0" customHeight="1">
      <c r="A288" s="236">
        <v>43978.0</v>
      </c>
      <c r="B288" s="85"/>
      <c r="C288" s="69"/>
      <c r="D288" s="28" t="s">
        <v>239</v>
      </c>
      <c r="E288" s="75"/>
      <c r="F288" s="75"/>
      <c r="G288" s="75"/>
      <c r="H288" s="75"/>
      <c r="I288" s="75"/>
      <c r="J288" s="75"/>
      <c r="K288" s="75"/>
      <c r="L288" s="75"/>
      <c r="M288" s="53" t="str">
        <f>IFERROR(__xludf.DUMMYFUNCTION("QUERY(Hospitais_BD!D:I,""select E where D='""&amp;D288&amp;""'"",0)"),"CENTRO")</f>
        <v>CENTRO</v>
      </c>
      <c r="N288" s="45" t="str">
        <f>IFERROR(__xludf.DUMMYFUNCTION("QUERY(Hospitais_BD!D:I,""select F where D='""&amp;D288&amp;""'"")"),"Rio de Janeiro")</f>
        <v>Rio de Janeiro</v>
      </c>
      <c r="O288" s="53" t="str">
        <f>IFERROR(__xludf.DUMMYFUNCTION("QUERY(Hospitais_BD!D:I,""select G where D='""&amp;D288&amp;""'"")"),"Cidade Nova")</f>
        <v>Cidade Nova</v>
      </c>
      <c r="P288" s="37"/>
      <c r="Q288" s="125" t="str">
        <f>IFERROR(__xludf.DUMMYFUNCTION("QUERY(Hospitais_BD!D:I,""select I where D='""&amp;D288&amp;""'"")"),"Público")</f>
        <v>Público</v>
      </c>
      <c r="R288" s="125" t="str">
        <f>IFERROR(__xludf.DUMMYFUNCTION("QUERY(Hospitais_BD!D:I,""select H where D='""&amp;D288&amp;""'"")"),"Unidade básica - BAIXA COMPLEXIDADE")</f>
        <v>Unidade básica - BAIXA COMPLEXIDADE</v>
      </c>
      <c r="S288" s="194"/>
      <c r="T288" s="218"/>
      <c r="U288" s="208"/>
      <c r="V288" s="75"/>
      <c r="W288" s="75"/>
      <c r="X288" s="37"/>
      <c r="Y288" s="75"/>
      <c r="Z288" s="75"/>
      <c r="AA288" s="37"/>
      <c r="AB288" s="37"/>
      <c r="AC288" s="37"/>
      <c r="AD288" s="75"/>
      <c r="AE288" s="121"/>
      <c r="AF288" s="130"/>
      <c r="AG288" s="75">
        <v>100.0</v>
      </c>
      <c r="AH288" s="75"/>
      <c r="AI288" s="75"/>
      <c r="AJ288" s="75"/>
      <c r="AK288" s="129"/>
      <c r="AL288" s="129"/>
      <c r="AM288" s="131" t="s">
        <v>1003</v>
      </c>
    </row>
    <row r="289" ht="21.0" customHeight="1">
      <c r="A289" s="235">
        <v>43978.0</v>
      </c>
      <c r="B289" s="84"/>
      <c r="C289" s="50"/>
      <c r="D289" s="22" t="s">
        <v>234</v>
      </c>
      <c r="E289" s="83"/>
      <c r="F289" s="83"/>
      <c r="G289" s="83"/>
      <c r="H289" s="83"/>
      <c r="I289" s="83"/>
      <c r="J289" s="83"/>
      <c r="K289" s="83"/>
      <c r="L289" s="83"/>
      <c r="M289" s="70" t="str">
        <f>IFERROR(__xludf.DUMMYFUNCTION("QUERY(Hospitais_BD!D:I,""select E where D='""&amp;D289&amp;""'"",0)"),"REGIAO MEDIO PARAIBA")</f>
        <v>REGIAO MEDIO PARAIBA</v>
      </c>
      <c r="N289" s="44" t="str">
        <f>IFERROR(__xludf.DUMMYFUNCTION("QUERY(Hospitais_BD!D:I,""select F where D='""&amp;D289&amp;""'"")"),"Valença")</f>
        <v>Valença</v>
      </c>
      <c r="O289" s="70" t="str">
        <f>IFERROR(__xludf.DUMMYFUNCTION("QUERY(Hospitais_BD!D:I,""select G where D='""&amp;D289&amp;""'"")"),"Centro ")</f>
        <v>Centro </v>
      </c>
      <c r="P289" s="25"/>
      <c r="Q289" s="137" t="str">
        <f>IFERROR(__xludf.DUMMYFUNCTION("QUERY(Hospitais_BD!D:I,""select I where D='""&amp;D289&amp;""'"")"),"Privado")</f>
        <v>Privado</v>
      </c>
      <c r="R289" s="137" t="str">
        <f>IFERROR(__xludf.DUMMYFUNCTION("QUERY(Hospitais_BD!D:I,""select H where D='""&amp;D289&amp;""'"")"),"Referência - ALTA COMPLEXIDADE")</f>
        <v>Referência - ALTA COMPLEXIDADE</v>
      </c>
      <c r="S289" s="192"/>
      <c r="T289" s="217"/>
      <c r="U289" s="207"/>
      <c r="V289" s="83"/>
      <c r="W289" s="83"/>
      <c r="X289" s="25"/>
      <c r="Y289" s="83"/>
      <c r="Z289" s="83"/>
      <c r="AA289" s="25"/>
      <c r="AB289" s="25"/>
      <c r="AC289" s="25"/>
      <c r="AD289" s="83"/>
      <c r="AE289" s="134"/>
      <c r="AF289" s="142"/>
      <c r="AG289" s="83">
        <v>100.0</v>
      </c>
      <c r="AH289" s="83"/>
      <c r="AI289" s="83"/>
      <c r="AJ289" s="83"/>
      <c r="AK289" s="144"/>
      <c r="AL289" s="144"/>
      <c r="AM289" s="145" t="s">
        <v>1003</v>
      </c>
    </row>
    <row r="290" ht="21.0" customHeight="1">
      <c r="A290" s="236">
        <v>43978.0</v>
      </c>
      <c r="B290" s="85"/>
      <c r="C290" s="69"/>
      <c r="D290" s="28" t="s">
        <v>203</v>
      </c>
      <c r="E290" s="75"/>
      <c r="F290" s="75"/>
      <c r="G290" s="75"/>
      <c r="H290" s="75"/>
      <c r="I290" s="75"/>
      <c r="J290" s="75"/>
      <c r="K290" s="75"/>
      <c r="L290" s="75"/>
      <c r="M290" s="53" t="str">
        <f>IFERROR(__xludf.DUMMYFUNCTION("QUERY(Hospitais_BD!D:I,""select E where D='""&amp;D290&amp;""'"",0)"),"REGIAO METROPOLITANA")</f>
        <v>REGIAO METROPOLITANA</v>
      </c>
      <c r="N290" s="45" t="str">
        <f>IFERROR(__xludf.DUMMYFUNCTION("QUERY(Hospitais_BD!D:I,""select F where D='""&amp;D290&amp;""'"")"),"Niterói")</f>
        <v>Niterói</v>
      </c>
      <c r="O290" s="53" t="str">
        <f>IFERROR(__xludf.DUMMYFUNCTION("QUERY(Hospitais_BD!D:I,""select G where D='""&amp;D290&amp;""'"")"),"Santa Rosa")</f>
        <v>Santa Rosa</v>
      </c>
      <c r="P290" s="37"/>
      <c r="Q290" s="125" t="str">
        <f>IFERROR(__xludf.DUMMYFUNCTION("QUERY(Hospitais_BD!D:I,""select I where D='""&amp;D290&amp;""'"")"),"Público")</f>
        <v>Público</v>
      </c>
      <c r="R290" s="125" t="str">
        <f>IFERROR(__xludf.DUMMYFUNCTION("QUERY(Hospitais_BD!D:I,""select H where D='""&amp;D290&amp;""'"")"),"Unidade básica - BAIXA COMPLEXIDADE")</f>
        <v>Unidade básica - BAIXA COMPLEXIDADE</v>
      </c>
      <c r="S290" s="194"/>
      <c r="T290" s="218"/>
      <c r="U290" s="208"/>
      <c r="V290" s="75"/>
      <c r="W290" s="75"/>
      <c r="X290" s="37"/>
      <c r="Y290" s="75"/>
      <c r="Z290" s="75"/>
      <c r="AA290" s="37"/>
      <c r="AB290" s="37"/>
      <c r="AC290" s="37"/>
      <c r="AD290" s="75"/>
      <c r="AE290" s="121"/>
      <c r="AF290" s="130"/>
      <c r="AG290" s="75">
        <v>100.0</v>
      </c>
      <c r="AH290" s="75"/>
      <c r="AI290" s="75"/>
      <c r="AJ290" s="75"/>
      <c r="AK290" s="129"/>
      <c r="AL290" s="129"/>
      <c r="AM290" s="131" t="s">
        <v>1003</v>
      </c>
    </row>
    <row r="291" ht="21.0" customHeight="1">
      <c r="A291" s="235">
        <v>43978.0</v>
      </c>
      <c r="B291" s="84"/>
      <c r="C291" s="50"/>
      <c r="D291" s="80" t="s">
        <v>922</v>
      </c>
      <c r="E291" s="83"/>
      <c r="F291" s="83"/>
      <c r="G291" s="83"/>
      <c r="H291" s="83"/>
      <c r="I291" s="83"/>
      <c r="J291" s="83"/>
      <c r="K291" s="83"/>
      <c r="L291" s="83"/>
      <c r="M291" s="70" t="str">
        <f>IFERROR(__xludf.DUMMYFUNCTION("QUERY(Hospitais_BD!D:I,""select E where D='""&amp;D291&amp;""'"",0)"),"ZONA OESTE")</f>
        <v>ZONA OESTE</v>
      </c>
      <c r="N291" s="44" t="str">
        <f>IFERROR(__xludf.DUMMYFUNCTION("QUERY(Hospitais_BD!D:I,""select F where D='""&amp;D291&amp;""'"")"),"Rio de Janeiro")</f>
        <v>Rio de Janeiro</v>
      </c>
      <c r="O291" s="70" t="str">
        <f>IFERROR(__xludf.DUMMYFUNCTION("QUERY(Hospitais_BD!D:I,""select G where D='""&amp;D291&amp;""'"")"),"Bangu")</f>
        <v>Bangu</v>
      </c>
      <c r="P291" s="25"/>
      <c r="Q291" s="137" t="str">
        <f>IFERROR(__xludf.DUMMYFUNCTION("QUERY(Hospitais_BD!D:I,""select I where D='""&amp;D291&amp;""'"")"),"Público")</f>
        <v>Público</v>
      </c>
      <c r="R291" s="137" t="str">
        <f>IFERROR(__xludf.DUMMYFUNCTION("QUERY(Hospitais_BD!D:I,""select H where D='""&amp;D291&amp;""'"")"),"Unidade básica de saúde - BAIXA COMPLEXIDADE")</f>
        <v>Unidade básica de saúde - BAIXA COMPLEXIDADE</v>
      </c>
      <c r="S291" s="192"/>
      <c r="T291" s="217"/>
      <c r="U291" s="207"/>
      <c r="V291" s="83"/>
      <c r="W291" s="83"/>
      <c r="X291" s="25"/>
      <c r="Y291" s="83"/>
      <c r="Z291" s="83"/>
      <c r="AA291" s="25"/>
      <c r="AB291" s="25"/>
      <c r="AC291" s="25"/>
      <c r="AD291" s="83"/>
      <c r="AE291" s="134"/>
      <c r="AF291" s="142"/>
      <c r="AG291" s="83">
        <v>50.0</v>
      </c>
      <c r="AH291" s="83"/>
      <c r="AI291" s="83"/>
      <c r="AJ291" s="83"/>
      <c r="AK291" s="144"/>
      <c r="AL291" s="144"/>
      <c r="AM291" s="145" t="s">
        <v>1003</v>
      </c>
    </row>
    <row r="292" ht="21.0" customHeight="1">
      <c r="A292" s="236">
        <v>43978.0</v>
      </c>
      <c r="B292" s="85"/>
      <c r="C292" s="69"/>
      <c r="D292" s="101" t="s">
        <v>923</v>
      </c>
      <c r="E292" s="75"/>
      <c r="F292" s="75"/>
      <c r="G292" s="75"/>
      <c r="H292" s="75"/>
      <c r="I292" s="75"/>
      <c r="J292" s="75"/>
      <c r="K292" s="75"/>
      <c r="L292" s="75"/>
      <c r="M292" s="53" t="str">
        <f>IFERROR(__xludf.DUMMYFUNCTION("QUERY(Hospitais_BD!D:I,""select E where D='""&amp;D292&amp;""'"",0)"),"ZONA OESTE")</f>
        <v>ZONA OESTE</v>
      </c>
      <c r="N292" s="45" t="str">
        <f>IFERROR(__xludf.DUMMYFUNCTION("QUERY(Hospitais_BD!D:I,""select F where D='""&amp;D292&amp;""'"")"),"Rio de Janeiro")</f>
        <v>Rio de Janeiro</v>
      </c>
      <c r="O292" s="53" t="str">
        <f>IFERROR(__xludf.DUMMYFUNCTION("QUERY(Hospitais_BD!D:I,""select G where D='""&amp;D292&amp;""'"")"),"Bangu")</f>
        <v>Bangu</v>
      </c>
      <c r="P292" s="37"/>
      <c r="Q292" s="125" t="str">
        <f>IFERROR(__xludf.DUMMYFUNCTION("QUERY(Hospitais_BD!D:I,""select I where D='""&amp;D292&amp;""'"")"),"Público")</f>
        <v>Público</v>
      </c>
      <c r="R292" s="125" t="str">
        <f>IFERROR(__xludf.DUMMYFUNCTION("QUERY(Hospitais_BD!D:I,""select H where D='""&amp;D292&amp;""'"")"),"Unidade básica de saúde - BAIXA COMPLEXIDADE")</f>
        <v>Unidade básica de saúde - BAIXA COMPLEXIDADE</v>
      </c>
      <c r="S292" s="194"/>
      <c r="T292" s="218"/>
      <c r="U292" s="208"/>
      <c r="V292" s="75"/>
      <c r="W292" s="75"/>
      <c r="X292" s="37"/>
      <c r="Y292" s="75"/>
      <c r="Z292" s="75"/>
      <c r="AA292" s="37"/>
      <c r="AB292" s="37"/>
      <c r="AC292" s="37"/>
      <c r="AD292" s="75"/>
      <c r="AE292" s="121"/>
      <c r="AF292" s="130"/>
      <c r="AG292" s="75">
        <v>50.0</v>
      </c>
      <c r="AH292" s="75"/>
      <c r="AI292" s="75"/>
      <c r="AJ292" s="75"/>
      <c r="AK292" s="129"/>
      <c r="AL292" s="129"/>
      <c r="AM292" s="131" t="s">
        <v>1003</v>
      </c>
    </row>
    <row r="293" ht="21.0" customHeight="1">
      <c r="A293" s="235">
        <v>43978.0</v>
      </c>
      <c r="B293" s="84"/>
      <c r="C293" s="50"/>
      <c r="D293" s="80" t="s">
        <v>924</v>
      </c>
      <c r="E293" s="83"/>
      <c r="F293" s="83"/>
      <c r="G293" s="83"/>
      <c r="H293" s="83"/>
      <c r="I293" s="83"/>
      <c r="J293" s="83"/>
      <c r="K293" s="83"/>
      <c r="L293" s="83"/>
      <c r="M293" s="70" t="str">
        <f>IFERROR(__xludf.DUMMYFUNCTION("QUERY(Hospitais_BD!D:I,""select E where D='""&amp;D293&amp;""'"",0)"),"ZONA OESTE")</f>
        <v>ZONA OESTE</v>
      </c>
      <c r="N293" s="44" t="str">
        <f>IFERROR(__xludf.DUMMYFUNCTION("QUERY(Hospitais_BD!D:I,""select F where D='""&amp;D293&amp;""'"")"),"Rio de Janeiro")</f>
        <v>Rio de Janeiro</v>
      </c>
      <c r="O293" s="70" t="str">
        <f>IFERROR(__xludf.DUMMYFUNCTION("QUERY(Hospitais_BD!D:I,""select G where D='""&amp;D293&amp;""'"")"),"Senador Camará")</f>
        <v>Senador Camará</v>
      </c>
      <c r="P293" s="25"/>
      <c r="Q293" s="137" t="str">
        <f>IFERROR(__xludf.DUMMYFUNCTION("QUERY(Hospitais_BD!D:I,""select I where D='""&amp;D293&amp;""'"")"),"Público")</f>
        <v>Público</v>
      </c>
      <c r="R293" s="137" t="str">
        <f>IFERROR(__xludf.DUMMYFUNCTION("QUERY(Hospitais_BD!D:I,""select H where D='""&amp;D293&amp;""'"")"),"Unidade básica de saúde - BAIXA COMPLEXIDADE")</f>
        <v>Unidade básica de saúde - BAIXA COMPLEXIDADE</v>
      </c>
      <c r="S293" s="192"/>
      <c r="T293" s="217"/>
      <c r="U293" s="207"/>
      <c r="V293" s="83"/>
      <c r="W293" s="83"/>
      <c r="X293" s="25"/>
      <c r="Y293" s="83"/>
      <c r="Z293" s="83"/>
      <c r="AA293" s="25"/>
      <c r="AB293" s="25"/>
      <c r="AC293" s="25"/>
      <c r="AD293" s="83"/>
      <c r="AE293" s="134"/>
      <c r="AF293" s="142"/>
      <c r="AG293" s="83">
        <v>50.0</v>
      </c>
      <c r="AH293" s="83"/>
      <c r="AI293" s="83"/>
      <c r="AJ293" s="83"/>
      <c r="AK293" s="144"/>
      <c r="AL293" s="144"/>
      <c r="AM293" s="145" t="s">
        <v>1003</v>
      </c>
    </row>
    <row r="294" ht="21.0" customHeight="1">
      <c r="A294" s="236">
        <v>43978.0</v>
      </c>
      <c r="B294" s="85"/>
      <c r="C294" s="69"/>
      <c r="D294" s="37" t="s">
        <v>925</v>
      </c>
      <c r="E294" s="75"/>
      <c r="F294" s="75"/>
      <c r="G294" s="75"/>
      <c r="H294" s="75"/>
      <c r="I294" s="75"/>
      <c r="J294" s="75"/>
      <c r="K294" s="75"/>
      <c r="L294" s="75"/>
      <c r="M294" s="53" t="str">
        <f>IFERROR(__xludf.DUMMYFUNCTION("QUERY(Hospitais_BD!D:I,""select E where D='""&amp;D294&amp;""'"",0)"),"")</f>
        <v/>
      </c>
      <c r="N294" s="45" t="str">
        <f>IFERROR(__xludf.DUMMYFUNCTION("QUERY(Hospitais_BD!D:I,""select F where D='""&amp;D294&amp;""'"")"),"Rio de Janeiro")</f>
        <v>Rio de Janeiro</v>
      </c>
      <c r="O294" s="53" t="str">
        <f>IFERROR(__xludf.DUMMYFUNCTION("QUERY(Hospitais_BD!D:I,""select G where D='""&amp;D294&amp;""'"")"),"Rio de Janeiro")</f>
        <v>Rio de Janeiro</v>
      </c>
      <c r="P294" s="37"/>
      <c r="Q294" s="125" t="str">
        <f>IFERROR(__xludf.DUMMYFUNCTION("QUERY(Hospitais_BD!D:I,""select I where D='""&amp;D294&amp;""'"")"),"Público")</f>
        <v>Público</v>
      </c>
      <c r="R294" s="125" t="str">
        <f>IFERROR(__xludf.DUMMYFUNCTION("QUERY(Hospitais_BD!D:I,""select H where D='""&amp;D294&amp;""'"")"),"Outra Instituição")</f>
        <v>Outra Instituição</v>
      </c>
      <c r="S294" s="194"/>
      <c r="T294" s="218"/>
      <c r="U294" s="208"/>
      <c r="V294" s="75"/>
      <c r="W294" s="75"/>
      <c r="X294" s="37"/>
      <c r="Y294" s="75"/>
      <c r="Z294" s="75"/>
      <c r="AA294" s="37"/>
      <c r="AB294" s="37"/>
      <c r="AC294" s="37"/>
      <c r="AD294" s="75"/>
      <c r="AE294" s="121"/>
      <c r="AF294" s="130"/>
      <c r="AG294" s="75">
        <v>50.0</v>
      </c>
      <c r="AH294" s="75"/>
      <c r="AI294" s="75"/>
      <c r="AJ294" s="75"/>
      <c r="AK294" s="129"/>
      <c r="AL294" s="129"/>
      <c r="AM294" s="131" t="s">
        <v>1003</v>
      </c>
    </row>
    <row r="295" ht="21.0" customHeight="1">
      <c r="A295" s="235">
        <v>43978.0</v>
      </c>
      <c r="B295" s="84"/>
      <c r="C295" s="50"/>
      <c r="D295" s="237" t="s">
        <v>448</v>
      </c>
      <c r="E295" s="83"/>
      <c r="F295" s="83"/>
      <c r="G295" s="83"/>
      <c r="H295" s="83"/>
      <c r="I295" s="83"/>
      <c r="J295" s="83"/>
      <c r="K295" s="83"/>
      <c r="L295" s="83"/>
      <c r="M295" s="70" t="str">
        <f>IFERROR(__xludf.DUMMYFUNCTION("QUERY(Hospitais_BD!D:I,""select E where D='""&amp;D295&amp;""'"",0)"),"ZONA OESTE")</f>
        <v>ZONA OESTE</v>
      </c>
      <c r="N295" s="44" t="str">
        <f>IFERROR(__xludf.DUMMYFUNCTION("QUERY(Hospitais_BD!D:I,""select F where D='""&amp;D295&amp;""'"")"),"Rio de Janeiro")</f>
        <v>Rio de Janeiro</v>
      </c>
      <c r="O295" s="70" t="str">
        <f>IFERROR(__xludf.DUMMYFUNCTION("QUERY(Hospitais_BD!D:I,""select G where D='""&amp;D295&amp;""'"")"),"TANQUE")</f>
        <v>TANQUE</v>
      </c>
      <c r="P295" s="25"/>
      <c r="Q295" s="137" t="str">
        <f>IFERROR(__xludf.DUMMYFUNCTION("QUERY(Hospitais_BD!D:I,""select I where D='""&amp;D295&amp;""'"")"),"Público")</f>
        <v>Público</v>
      </c>
      <c r="R295" s="137" t="str">
        <f>IFERROR(__xludf.DUMMYFUNCTION("QUERY(Hospitais_BD!D:I,""select H where D='""&amp;D295&amp;""'"")"),"Unidade básica - BAIXA COMPLEXIDADE")</f>
        <v>Unidade básica - BAIXA COMPLEXIDADE</v>
      </c>
      <c r="S295" s="192"/>
      <c r="T295" s="217"/>
      <c r="U295" s="207"/>
      <c r="V295" s="83"/>
      <c r="W295" s="83"/>
      <c r="X295" s="25"/>
      <c r="Y295" s="83"/>
      <c r="Z295" s="83"/>
      <c r="AA295" s="25"/>
      <c r="AB295" s="25"/>
      <c r="AC295" s="25"/>
      <c r="AD295" s="83"/>
      <c r="AE295" s="134"/>
      <c r="AF295" s="142"/>
      <c r="AG295" s="83">
        <v>50.0</v>
      </c>
      <c r="AH295" s="83"/>
      <c r="AI295" s="83"/>
      <c r="AJ295" s="83"/>
      <c r="AK295" s="144"/>
      <c r="AL295" s="144"/>
      <c r="AM295" s="145" t="s">
        <v>1003</v>
      </c>
    </row>
    <row r="296" ht="21.0" customHeight="1">
      <c r="A296" s="236">
        <v>43983.0</v>
      </c>
      <c r="B296" s="85"/>
      <c r="C296" s="69"/>
      <c r="D296" s="37" t="s">
        <v>468</v>
      </c>
      <c r="E296" s="75"/>
      <c r="F296" s="75"/>
      <c r="G296" s="75"/>
      <c r="H296" s="75"/>
      <c r="I296" s="75"/>
      <c r="J296" s="75"/>
      <c r="K296" s="75"/>
      <c r="L296" s="75"/>
      <c r="M296" s="53" t="str">
        <f>IFERROR(__xludf.DUMMYFUNCTION("QUERY(Hospitais_BD!D:I,""select E where D='""&amp;D296&amp;""'"",0)"),"ZONA SUL")</f>
        <v>ZONA SUL</v>
      </c>
      <c r="N296" s="45" t="str">
        <f>IFERROR(__xludf.DUMMYFUNCTION("QUERY(Hospitais_BD!D:I,""select F where D='""&amp;D296&amp;""'"")"),"Rio de Janeiro")</f>
        <v>Rio de Janeiro</v>
      </c>
      <c r="O296" s="53" t="str">
        <f>IFERROR(__xludf.DUMMYFUNCTION("QUERY(Hospitais_BD!D:I,""select G where D='""&amp;D296&amp;""'"")"),"Flamengo")</f>
        <v>Flamengo</v>
      </c>
      <c r="P296" s="37"/>
      <c r="Q296" s="125" t="str">
        <f>IFERROR(__xludf.DUMMYFUNCTION("QUERY(Hospitais_BD!D:I,""select I where D='""&amp;D296&amp;""'"")"),"Público")</f>
        <v>Público</v>
      </c>
      <c r="R296" s="125" t="str">
        <f>IFERROR(__xludf.DUMMYFUNCTION("QUERY(Hospitais_BD!D:I,""select H where D='""&amp;D296&amp;""'"")"),"Referência - ALTA COMPLEXIDADE")</f>
        <v>Referência - ALTA COMPLEXIDADE</v>
      </c>
      <c r="S296" s="194"/>
      <c r="T296" s="218"/>
      <c r="U296" s="208"/>
      <c r="V296" s="75"/>
      <c r="W296" s="75"/>
      <c r="X296" s="37"/>
      <c r="Y296" s="75"/>
      <c r="Z296" s="75"/>
      <c r="AA296" s="37"/>
      <c r="AB296" s="37"/>
      <c r="AC296" s="37"/>
      <c r="AD296" s="75"/>
      <c r="AE296" s="121"/>
      <c r="AF296" s="130"/>
      <c r="AG296" s="75">
        <v>100.0</v>
      </c>
      <c r="AH296" s="75"/>
      <c r="AI296" s="75"/>
      <c r="AJ296" s="75"/>
      <c r="AK296" s="129"/>
      <c r="AL296" s="129"/>
      <c r="AM296" s="131" t="s">
        <v>1003</v>
      </c>
    </row>
    <row r="297" ht="21.0" customHeight="1">
      <c r="A297" s="238">
        <v>43985.0</v>
      </c>
      <c r="B297" s="84"/>
      <c r="C297" s="50"/>
      <c r="D297" s="239" t="s">
        <v>744</v>
      </c>
      <c r="E297" s="83"/>
      <c r="F297" s="83"/>
      <c r="G297" s="83"/>
      <c r="H297" s="83"/>
      <c r="I297" s="83"/>
      <c r="J297" s="83"/>
      <c r="K297" s="83"/>
      <c r="L297" s="83"/>
      <c r="M297" s="70" t="str">
        <f>IFERROR(__xludf.DUMMYFUNCTION("QUERY(Hospitais_BD!D:I,""select E where D='""&amp;D297&amp;""'"",0)"),"ZONA NORTE")</f>
        <v>ZONA NORTE</v>
      </c>
      <c r="N297" s="44" t="str">
        <f>IFERROR(__xludf.DUMMYFUNCTION("QUERY(Hospitais_BD!D:I,""select F where D='""&amp;D297&amp;""'"")"),"Rio de Janeiro")</f>
        <v>Rio de Janeiro</v>
      </c>
      <c r="O297" s="70" t="str">
        <f>IFERROR(__xludf.DUMMYFUNCTION("QUERY(Hospitais_BD!D:I,""select G where D='""&amp;D297&amp;""'"")"),"Galeao")</f>
        <v>Galeao</v>
      </c>
      <c r="P297" s="25"/>
      <c r="Q297" s="137" t="str">
        <f>IFERROR(__xludf.DUMMYFUNCTION("QUERY(Hospitais_BD!D:I,""select I where D='""&amp;D297&amp;""'"")"),"Público")</f>
        <v>Público</v>
      </c>
      <c r="R297" s="137" t="str">
        <f>IFERROR(__xludf.DUMMYFUNCTION("QUERY(Hospitais_BD!D:I,""select H where D='""&amp;D297&amp;""'"")"),"Departamento Geral de Ações Socioeducativas
")</f>
        <v>Departamento Geral de Ações Socioeducativas
</v>
      </c>
      <c r="S297" s="192"/>
      <c r="T297" s="217"/>
      <c r="U297" s="207"/>
      <c r="V297" s="83"/>
      <c r="W297" s="83"/>
      <c r="X297" s="25"/>
      <c r="Y297" s="83"/>
      <c r="Z297" s="83"/>
      <c r="AA297" s="25"/>
      <c r="AB297" s="25"/>
      <c r="AC297" s="25"/>
      <c r="AD297" s="83"/>
      <c r="AE297" s="134"/>
      <c r="AF297" s="142"/>
      <c r="AG297" s="83">
        <v>50.0</v>
      </c>
      <c r="AH297" s="83"/>
      <c r="AI297" s="83"/>
      <c r="AJ297" s="83"/>
      <c r="AK297" s="144">
        <v>20.0</v>
      </c>
      <c r="AL297" s="144"/>
      <c r="AM297" s="145" t="s">
        <v>1003</v>
      </c>
    </row>
    <row r="298" ht="21.0" customHeight="1">
      <c r="A298" s="240">
        <v>43985.0</v>
      </c>
      <c r="B298" s="85"/>
      <c r="C298" s="69"/>
      <c r="D298" s="102" t="s">
        <v>926</v>
      </c>
      <c r="E298" s="75"/>
      <c r="F298" s="75"/>
      <c r="G298" s="75"/>
      <c r="H298" s="75"/>
      <c r="I298" s="75"/>
      <c r="J298" s="75"/>
      <c r="K298" s="75"/>
      <c r="L298" s="75"/>
      <c r="M298" s="53" t="str">
        <f>IFERROR(__xludf.DUMMYFUNCTION("QUERY(Hospitais_BD!D:I,""select E where D='""&amp;D298&amp;""'"",0)"),"ZONA NORTE")</f>
        <v>ZONA NORTE</v>
      </c>
      <c r="N298" s="45" t="str">
        <f>IFERROR(__xludf.DUMMYFUNCTION("QUERY(Hospitais_BD!D:I,""select F where D='""&amp;D298&amp;""'"")"),"Rio de Janeiro")</f>
        <v>Rio de Janeiro</v>
      </c>
      <c r="O298" s="53" t="str">
        <f>IFERROR(__xludf.DUMMYFUNCTION("QUERY(Hospitais_BD!D:I,""select G where D='""&amp;D298&amp;""'"")"),"Marechal Hermes")</f>
        <v>Marechal Hermes</v>
      </c>
      <c r="P298" s="37"/>
      <c r="Q298" s="125" t="str">
        <f>IFERROR(__xludf.DUMMYFUNCTION("QUERY(Hospitais_BD!D:I,""select I where D='""&amp;D298&amp;""'"")"),"Público")</f>
        <v>Público</v>
      </c>
      <c r="R298" s="125" t="str">
        <f>IFERROR(__xludf.DUMMYFUNCTION("QUERY(Hospitais_BD!D:I,""select H where D='""&amp;D298&amp;""'"")"),"Unidade básica de saúde - BAIXA COMPLEXIDADE")</f>
        <v>Unidade básica de saúde - BAIXA COMPLEXIDADE</v>
      </c>
      <c r="S298" s="194"/>
      <c r="T298" s="218"/>
      <c r="U298" s="208"/>
      <c r="V298" s="75"/>
      <c r="W298" s="75"/>
      <c r="X298" s="37"/>
      <c r="Y298" s="75"/>
      <c r="Z298" s="75"/>
      <c r="AA298" s="37"/>
      <c r="AB298" s="37"/>
      <c r="AC298" s="37"/>
      <c r="AD298" s="75"/>
      <c r="AE298" s="121"/>
      <c r="AF298" s="130"/>
      <c r="AG298" s="75">
        <v>50.0</v>
      </c>
      <c r="AH298" s="75"/>
      <c r="AI298" s="75"/>
      <c r="AJ298" s="75"/>
      <c r="AK298" s="129">
        <v>20.0</v>
      </c>
      <c r="AL298" s="129">
        <v>10.0</v>
      </c>
      <c r="AM298" s="131" t="s">
        <v>1003</v>
      </c>
    </row>
    <row r="299" ht="21.0" customHeight="1">
      <c r="A299" s="238">
        <v>43985.0</v>
      </c>
      <c r="B299" s="84"/>
      <c r="C299" s="50"/>
      <c r="D299" s="103" t="s">
        <v>927</v>
      </c>
      <c r="E299" s="83"/>
      <c r="F299" s="83"/>
      <c r="G299" s="83"/>
      <c r="H299" s="83"/>
      <c r="I299" s="83"/>
      <c r="J299" s="83"/>
      <c r="K299" s="83"/>
      <c r="L299" s="83"/>
      <c r="M299" s="70" t="str">
        <f>IFERROR(__xludf.DUMMYFUNCTION("QUERY(Hospitais_BD!D:I,""select E where D='""&amp;D299&amp;""'"",0)"),"ZONA OESTE")</f>
        <v>ZONA OESTE</v>
      </c>
      <c r="N299" s="44" t="str">
        <f>IFERROR(__xludf.DUMMYFUNCTION("QUERY(Hospitais_BD!D:I,""select F where D='""&amp;D299&amp;""'"")"),"Rio de Janeiro")</f>
        <v>Rio de Janeiro</v>
      </c>
      <c r="O299" s="70" t="str">
        <f>IFERROR(__xludf.DUMMYFUNCTION("QUERY(Hospitais_BD!D:I,""select G where D='""&amp;D299&amp;""'"")"),"Bangu")</f>
        <v>Bangu</v>
      </c>
      <c r="P299" s="25"/>
      <c r="Q299" s="137" t="str">
        <f>IFERROR(__xludf.DUMMYFUNCTION("QUERY(Hospitais_BD!D:I,""select I where D='""&amp;D299&amp;""'"")"),"Público")</f>
        <v>Público</v>
      </c>
      <c r="R299" s="137" t="str">
        <f>IFERROR(__xludf.DUMMYFUNCTION("QUERY(Hospitais_BD!D:I,""select H where D='""&amp;D299&amp;""'"")"),"Unidade básica de saúde - BAIXA COMPLEXIDADE")</f>
        <v>Unidade básica de saúde - BAIXA COMPLEXIDADE</v>
      </c>
      <c r="S299" s="192"/>
      <c r="T299" s="217"/>
      <c r="U299" s="207"/>
      <c r="V299" s="83"/>
      <c r="W299" s="83"/>
      <c r="X299" s="25"/>
      <c r="Y299" s="83"/>
      <c r="Z299" s="83"/>
      <c r="AA299" s="25"/>
      <c r="AB299" s="25"/>
      <c r="AC299" s="25"/>
      <c r="AD299" s="83"/>
      <c r="AE299" s="134"/>
      <c r="AF299" s="142"/>
      <c r="AG299" s="83">
        <v>50.0</v>
      </c>
      <c r="AH299" s="83"/>
      <c r="AI299" s="83"/>
      <c r="AJ299" s="83"/>
      <c r="AK299" s="144">
        <v>10.0</v>
      </c>
      <c r="AL299" s="144">
        <v>20.0</v>
      </c>
      <c r="AM299" s="145" t="s">
        <v>1003</v>
      </c>
    </row>
    <row r="300" ht="21.0" customHeight="1">
      <c r="A300" s="240">
        <v>43985.0</v>
      </c>
      <c r="B300" s="85"/>
      <c r="C300" s="69"/>
      <c r="D300" s="102" t="s">
        <v>928</v>
      </c>
      <c r="E300" s="75"/>
      <c r="F300" s="75"/>
      <c r="G300" s="75"/>
      <c r="H300" s="75"/>
      <c r="I300" s="75"/>
      <c r="J300" s="75"/>
      <c r="K300" s="75"/>
      <c r="L300" s="75"/>
      <c r="M300" s="53" t="str">
        <f>IFERROR(__xludf.DUMMYFUNCTION("QUERY(Hospitais_BD!D:I,""select E where D='""&amp;D300&amp;""'"",0)"),"ZONA OESTE")</f>
        <v>ZONA OESTE</v>
      </c>
      <c r="N300" s="45" t="str">
        <f>IFERROR(__xludf.DUMMYFUNCTION("QUERY(Hospitais_BD!D:I,""select F where D='""&amp;D300&amp;""'"")"),"Rio de Janeiro")</f>
        <v>Rio de Janeiro</v>
      </c>
      <c r="O300" s="53" t="str">
        <f>IFERROR(__xludf.DUMMYFUNCTION("QUERY(Hospitais_BD!D:I,""select G where D='""&amp;D300&amp;""'"")"),"Padre Miguel")</f>
        <v>Padre Miguel</v>
      </c>
      <c r="P300" s="37"/>
      <c r="Q300" s="125" t="str">
        <f>IFERROR(__xludf.DUMMYFUNCTION("QUERY(Hospitais_BD!D:I,""select I where D='""&amp;D300&amp;""'"")"),"Público")</f>
        <v>Público</v>
      </c>
      <c r="R300" s="125" t="str">
        <f>IFERROR(__xludf.DUMMYFUNCTION("QUERY(Hospitais_BD!D:I,""select H where D='""&amp;D300&amp;""'"")"),"Unidade básica de saúde - BAIXA COMPLEXIDADE")</f>
        <v>Unidade básica de saúde - BAIXA COMPLEXIDADE</v>
      </c>
      <c r="S300" s="194"/>
      <c r="T300" s="218"/>
      <c r="U300" s="208"/>
      <c r="V300" s="75"/>
      <c r="W300" s="75"/>
      <c r="X300" s="37"/>
      <c r="Y300" s="75"/>
      <c r="Z300" s="75"/>
      <c r="AA300" s="37"/>
      <c r="AB300" s="37"/>
      <c r="AC300" s="37"/>
      <c r="AD300" s="75"/>
      <c r="AE300" s="121"/>
      <c r="AF300" s="130"/>
      <c r="AG300" s="75">
        <v>50.0</v>
      </c>
      <c r="AH300" s="75"/>
      <c r="AI300" s="75"/>
      <c r="AJ300" s="75"/>
      <c r="AK300" s="129">
        <v>10.0</v>
      </c>
      <c r="AL300" s="129">
        <v>20.0</v>
      </c>
      <c r="AM300" s="131" t="s">
        <v>1003</v>
      </c>
    </row>
    <row r="301" ht="21.0" customHeight="1">
      <c r="A301" s="238">
        <v>43985.0</v>
      </c>
      <c r="B301" s="84"/>
      <c r="C301" s="50"/>
      <c r="D301" s="103" t="s">
        <v>929</v>
      </c>
      <c r="E301" s="83"/>
      <c r="F301" s="83"/>
      <c r="G301" s="83"/>
      <c r="H301" s="83"/>
      <c r="I301" s="83"/>
      <c r="J301" s="83"/>
      <c r="K301" s="83"/>
      <c r="L301" s="83"/>
      <c r="M301" s="70" t="str">
        <f>IFERROR(__xludf.DUMMYFUNCTION("QUERY(Hospitais_BD!D:I,""select E where D='""&amp;D301&amp;""'"",0)"),"ZONA OESTE")</f>
        <v>ZONA OESTE</v>
      </c>
      <c r="N301" s="44" t="str">
        <f>IFERROR(__xludf.DUMMYFUNCTION("QUERY(Hospitais_BD!D:I,""select F where D='""&amp;D301&amp;""'"")"),"Rio de Janeiro")</f>
        <v>Rio de Janeiro</v>
      </c>
      <c r="O301" s="70" t="str">
        <f>IFERROR(__xludf.DUMMYFUNCTION("QUERY(Hospitais_BD!D:I,""select G where D='""&amp;D301&amp;""'"")"),"Vila Kennedy")</f>
        <v>Vila Kennedy</v>
      </c>
      <c r="P301" s="25"/>
      <c r="Q301" s="137" t="str">
        <f>IFERROR(__xludf.DUMMYFUNCTION("QUERY(Hospitais_BD!D:I,""select I where D='""&amp;D301&amp;""'"")"),"Público")</f>
        <v>Público</v>
      </c>
      <c r="R301" s="137" t="str">
        <f>IFERROR(__xludf.DUMMYFUNCTION("QUERY(Hospitais_BD!D:I,""select H where D='""&amp;D301&amp;""'"")"),"Unidade básica de saúde - BAIXA COMPLEXIDADE")</f>
        <v>Unidade básica de saúde - BAIXA COMPLEXIDADE</v>
      </c>
      <c r="S301" s="192"/>
      <c r="T301" s="217"/>
      <c r="U301" s="207"/>
      <c r="V301" s="83"/>
      <c r="W301" s="83"/>
      <c r="X301" s="25"/>
      <c r="Y301" s="83"/>
      <c r="Z301" s="83"/>
      <c r="AA301" s="25"/>
      <c r="AB301" s="25"/>
      <c r="AC301" s="25"/>
      <c r="AD301" s="83"/>
      <c r="AE301" s="134"/>
      <c r="AF301" s="142"/>
      <c r="AG301" s="83">
        <v>50.0</v>
      </c>
      <c r="AH301" s="83"/>
      <c r="AI301" s="83"/>
      <c r="AJ301" s="83"/>
      <c r="AK301" s="144">
        <v>10.0</v>
      </c>
      <c r="AL301" s="144">
        <v>20.0</v>
      </c>
      <c r="AM301" s="145" t="s">
        <v>1003</v>
      </c>
    </row>
    <row r="302" ht="21.0" customHeight="1">
      <c r="A302" s="240">
        <v>43985.0</v>
      </c>
      <c r="B302" s="85"/>
      <c r="C302" s="69"/>
      <c r="D302" s="102" t="s">
        <v>931</v>
      </c>
      <c r="E302" s="75"/>
      <c r="F302" s="75"/>
      <c r="G302" s="75"/>
      <c r="H302" s="75"/>
      <c r="I302" s="75"/>
      <c r="J302" s="75"/>
      <c r="K302" s="75"/>
      <c r="L302" s="75"/>
      <c r="M302" s="53" t="str">
        <f>IFERROR(__xludf.DUMMYFUNCTION("QUERY(Hospitais_BD!D:I,""select E where D='""&amp;D302&amp;""'"",0)"),"ZONA OESTE")</f>
        <v>ZONA OESTE</v>
      </c>
      <c r="N302" s="45" t="str">
        <f>IFERROR(__xludf.DUMMYFUNCTION("QUERY(Hospitais_BD!D:I,""select F where D='""&amp;D302&amp;""'"")"),"Rio de Janeiro")</f>
        <v>Rio de Janeiro</v>
      </c>
      <c r="O302" s="53" t="str">
        <f>IFERROR(__xludf.DUMMYFUNCTION("QUERY(Hospitais_BD!D:I,""select G where D='""&amp;D302&amp;""'"")"),"Senador Camará")</f>
        <v>Senador Camará</v>
      </c>
      <c r="P302" s="37"/>
      <c r="Q302" s="125" t="str">
        <f>IFERROR(__xludf.DUMMYFUNCTION("QUERY(Hospitais_BD!D:I,""select I where D='""&amp;D302&amp;""'"")"),"Público")</f>
        <v>Público</v>
      </c>
      <c r="R302" s="125" t="str">
        <f>IFERROR(__xludf.DUMMYFUNCTION("QUERY(Hospitais_BD!D:I,""select H where D='""&amp;D302&amp;""'"")"),"Unidade básica de saúde - BAIXA COMPLEXIDADE")</f>
        <v>Unidade básica de saúde - BAIXA COMPLEXIDADE</v>
      </c>
      <c r="S302" s="194"/>
      <c r="T302" s="218"/>
      <c r="U302" s="208"/>
      <c r="V302" s="75"/>
      <c r="W302" s="75"/>
      <c r="X302" s="37"/>
      <c r="Y302" s="75"/>
      <c r="Z302" s="75"/>
      <c r="AA302" s="37"/>
      <c r="AB302" s="37"/>
      <c r="AC302" s="37"/>
      <c r="AD302" s="75"/>
      <c r="AE302" s="121"/>
      <c r="AF302" s="130"/>
      <c r="AG302" s="75">
        <v>50.0</v>
      </c>
      <c r="AH302" s="75"/>
      <c r="AI302" s="75"/>
      <c r="AJ302" s="75"/>
      <c r="AK302" s="129">
        <v>10.0</v>
      </c>
      <c r="AL302" s="129">
        <v>50.0</v>
      </c>
      <c r="AM302" s="131" t="s">
        <v>1003</v>
      </c>
    </row>
    <row r="303" ht="21.0" customHeight="1">
      <c r="A303" s="238">
        <v>43985.0</v>
      </c>
      <c r="B303" s="84"/>
      <c r="C303" s="50"/>
      <c r="D303" s="239" t="s">
        <v>932</v>
      </c>
      <c r="E303" s="83"/>
      <c r="F303" s="83"/>
      <c r="G303" s="83"/>
      <c r="H303" s="83"/>
      <c r="I303" s="83"/>
      <c r="J303" s="83"/>
      <c r="K303" s="83"/>
      <c r="L303" s="83"/>
      <c r="M303" s="70" t="str">
        <f>IFERROR(__xludf.DUMMYFUNCTION("QUERY(Hospitais_BD!D:I,""select E where D='""&amp;D303&amp;""'"",0)"),"ZONA NORTE")</f>
        <v>ZONA NORTE</v>
      </c>
      <c r="N303" s="44" t="str">
        <f>IFERROR(__xludf.DUMMYFUNCTION("QUERY(Hospitais_BD!D:I,""select F where D='""&amp;D303&amp;""'"")"),"Rio de Janeiro")</f>
        <v>Rio de Janeiro</v>
      </c>
      <c r="O303" s="70" t="str">
        <f>IFERROR(__xludf.DUMMYFUNCTION("QUERY(Hospitais_BD!D:I,""select G where D='""&amp;D303&amp;""'"")"),"Coelho Neto")</f>
        <v>Coelho Neto</v>
      </c>
      <c r="P303" s="25"/>
      <c r="Q303" s="137" t="str">
        <f>IFERROR(__xludf.DUMMYFUNCTION("QUERY(Hospitais_BD!D:I,""select I where D='""&amp;D303&amp;""'"")"),"Público")</f>
        <v>Público</v>
      </c>
      <c r="R303" s="137" t="str">
        <f>IFERROR(__xludf.DUMMYFUNCTION("QUERY(Hospitais_BD!D:I,""select H where D='""&amp;D303&amp;""'"")"),"Unidade básica de saúde - BAIXA COMPLEXIDADE")</f>
        <v>Unidade básica de saúde - BAIXA COMPLEXIDADE</v>
      </c>
      <c r="S303" s="192"/>
      <c r="T303" s="217"/>
      <c r="U303" s="207"/>
      <c r="V303" s="83"/>
      <c r="W303" s="83"/>
      <c r="X303" s="25"/>
      <c r="Y303" s="83"/>
      <c r="Z303" s="83"/>
      <c r="AA303" s="25"/>
      <c r="AB303" s="25"/>
      <c r="AC303" s="25"/>
      <c r="AD303" s="83"/>
      <c r="AE303" s="134"/>
      <c r="AF303" s="142"/>
      <c r="AG303" s="83">
        <v>50.0</v>
      </c>
      <c r="AH303" s="83"/>
      <c r="AI303" s="83"/>
      <c r="AJ303" s="83"/>
      <c r="AK303" s="144">
        <v>15.0</v>
      </c>
      <c r="AL303" s="144">
        <v>25.0</v>
      </c>
      <c r="AM303" s="145" t="s">
        <v>1003</v>
      </c>
    </row>
    <row r="304" ht="21.0" customHeight="1">
      <c r="A304" s="240">
        <v>43985.0</v>
      </c>
      <c r="B304" s="85"/>
      <c r="C304" s="69"/>
      <c r="D304" s="105" t="s">
        <v>933</v>
      </c>
      <c r="E304" s="75"/>
      <c r="F304" s="75"/>
      <c r="G304" s="75"/>
      <c r="H304" s="75"/>
      <c r="I304" s="75"/>
      <c r="J304" s="75"/>
      <c r="K304" s="75"/>
      <c r="L304" s="75"/>
      <c r="M304" s="53" t="str">
        <f>IFERROR(__xludf.DUMMYFUNCTION("QUERY(Hospitais_BD!D:I,""select E where D='""&amp;D304&amp;""'"",0)"),"ZONA OESTE")</f>
        <v>ZONA OESTE</v>
      </c>
      <c r="N304" s="45" t="str">
        <f>IFERROR(__xludf.DUMMYFUNCTION("QUERY(Hospitais_BD!D:I,""select F where D='""&amp;D304&amp;""'"")"),"Rio de Janeiro")</f>
        <v>Rio de Janeiro</v>
      </c>
      <c r="O304" s="53" t="str">
        <f>IFERROR(__xludf.DUMMYFUNCTION("QUERY(Hospitais_BD!D:I,""select G where D='""&amp;D304&amp;""'"")"),"Complexo de Gericinó")</f>
        <v>Complexo de Gericinó</v>
      </c>
      <c r="P304" s="37"/>
      <c r="Q304" s="125" t="str">
        <f>IFERROR(__xludf.DUMMYFUNCTION("QUERY(Hospitais_BD!D:I,""select I where D='""&amp;D304&amp;""'"")"),"Público")</f>
        <v>Público</v>
      </c>
      <c r="R304" s="125" t="str">
        <f>IFERROR(__xludf.DUMMYFUNCTION("QUERY(Hospitais_BD!D:I,""select H where D='""&amp;D304&amp;""'"")"),"Hospital de Apoio - MÉDIA COMPLEXIDADE
")</f>
        <v>Hospital de Apoio - MÉDIA COMPLEXIDADE
</v>
      </c>
      <c r="S304" s="194"/>
      <c r="T304" s="218"/>
      <c r="U304" s="208"/>
      <c r="V304" s="75"/>
      <c r="W304" s="75"/>
      <c r="X304" s="37"/>
      <c r="Y304" s="75"/>
      <c r="Z304" s="75"/>
      <c r="AA304" s="37"/>
      <c r="AB304" s="37"/>
      <c r="AC304" s="37"/>
      <c r="AD304" s="75"/>
      <c r="AE304" s="121"/>
      <c r="AF304" s="130"/>
      <c r="AG304" s="75">
        <v>50.0</v>
      </c>
      <c r="AH304" s="75"/>
      <c r="AI304" s="75"/>
      <c r="AJ304" s="75"/>
      <c r="AK304" s="129">
        <v>10.0</v>
      </c>
      <c r="AL304" s="129"/>
      <c r="AM304" s="131" t="s">
        <v>1003</v>
      </c>
    </row>
    <row r="305" ht="21.0" customHeight="1">
      <c r="A305" s="227">
        <v>43937.0</v>
      </c>
      <c r="B305" s="84"/>
      <c r="C305" s="50"/>
      <c r="D305" s="25" t="s">
        <v>267</v>
      </c>
      <c r="E305" s="83"/>
      <c r="F305" s="83"/>
      <c r="G305" s="83"/>
      <c r="H305" s="83"/>
      <c r="I305" s="83"/>
      <c r="J305" s="83"/>
      <c r="K305" s="83"/>
      <c r="L305" s="83"/>
      <c r="M305" s="70" t="str">
        <f>IFERROR(__xludf.DUMMYFUNCTION("QUERY(Hospitais_BD!D:I,""select E where D='""&amp;D305&amp;""'"",0)"),"ZONA SUL")</f>
        <v>ZONA SUL</v>
      </c>
      <c r="N305" s="44" t="str">
        <f>IFERROR(__xludf.DUMMYFUNCTION("QUERY(Hospitais_BD!D:I,""select F where D='""&amp;D305&amp;""'"")"),"Rio de Janeiro")</f>
        <v>Rio de Janeiro</v>
      </c>
      <c r="O305" s="70" t="str">
        <f>IFERROR(__xludf.DUMMYFUNCTION("QUERY(Hospitais_BD!D:I,""select G where D='""&amp;D305&amp;""'"")"),"Jardim Botanico")</f>
        <v>Jardim Botanico</v>
      </c>
      <c r="P305" s="25"/>
      <c r="Q305" s="137" t="str">
        <f>IFERROR(__xludf.DUMMYFUNCTION("QUERY(Hospitais_BD!D:I,""select I where D='""&amp;D305&amp;""'"")"),"Público")</f>
        <v>Público</v>
      </c>
      <c r="R305" s="137" t="str">
        <f>IFERROR(__xludf.DUMMYFUNCTION("QUERY(Hospitais_BD!D:I,""select H where D='""&amp;D305&amp;""'"")"),"Grande emergência - MÉDIA COMPLEXIDADE")</f>
        <v>Grande emergência - MÉDIA COMPLEXIDADE</v>
      </c>
      <c r="S305" s="192"/>
      <c r="T305" s="217"/>
      <c r="U305" s="207"/>
      <c r="V305" s="83"/>
      <c r="W305" s="83"/>
      <c r="X305" s="25"/>
      <c r="Y305" s="83"/>
      <c r="Z305" s="83"/>
      <c r="AA305" s="25"/>
      <c r="AB305" s="25"/>
      <c r="AC305" s="25"/>
      <c r="AD305" s="83"/>
      <c r="AE305" s="134"/>
      <c r="AF305" s="142"/>
      <c r="AG305" s="83">
        <v>100.0</v>
      </c>
      <c r="AH305" s="83"/>
      <c r="AI305" s="83"/>
      <c r="AJ305" s="83"/>
      <c r="AK305" s="144"/>
      <c r="AL305" s="144"/>
      <c r="AM305" s="145" t="s">
        <v>1003</v>
      </c>
    </row>
    <row r="306" ht="21.0" customHeight="1">
      <c r="A306" s="226">
        <v>43939.0</v>
      </c>
      <c r="B306" s="85"/>
      <c r="C306" s="69"/>
      <c r="D306" s="37" t="s">
        <v>345</v>
      </c>
      <c r="E306" s="75"/>
      <c r="F306" s="75"/>
      <c r="G306" s="75"/>
      <c r="H306" s="75"/>
      <c r="I306" s="75"/>
      <c r="J306" s="75"/>
      <c r="K306" s="75"/>
      <c r="L306" s="75"/>
      <c r="M306" s="53" t="str">
        <f>IFERROR(__xludf.DUMMYFUNCTION("QUERY(Hospitais_BD!D:I,""select E where D='""&amp;D306&amp;""'"",0)"),"ZONA OESTE")</f>
        <v>ZONA OESTE</v>
      </c>
      <c r="N306" s="45" t="str">
        <f>IFERROR(__xludf.DUMMYFUNCTION("QUERY(Hospitais_BD!D:I,""select F where D='""&amp;D306&amp;""'"")"),"Rio de Janeiro")</f>
        <v>Rio de Janeiro</v>
      </c>
      <c r="O306" s="53" t="str">
        <f>IFERROR(__xludf.DUMMYFUNCTION("QUERY(Hospitais_BD!D:I,""select G where D='""&amp;D306&amp;""'"")"),"Barra da Tijuca")</f>
        <v>Barra da Tijuca</v>
      </c>
      <c r="P306" s="37"/>
      <c r="Q306" s="125" t="str">
        <f>IFERROR(__xludf.DUMMYFUNCTION("QUERY(Hospitais_BD!D:I,""select I where D='""&amp;D306&amp;""'"")"),"Público")</f>
        <v>Público</v>
      </c>
      <c r="R306" s="125" t="str">
        <f>IFERROR(__xludf.DUMMYFUNCTION("QUERY(Hospitais_BD!D:I,""select H where D='""&amp;D306&amp;""'"")"),"Grande emergência - MÉDIA COMPLEXIDADE")</f>
        <v>Grande emergência - MÉDIA COMPLEXIDADE</v>
      </c>
      <c r="S306" s="194"/>
      <c r="T306" s="218"/>
      <c r="U306" s="208"/>
      <c r="V306" s="75"/>
      <c r="W306" s="75"/>
      <c r="X306" s="37"/>
      <c r="Y306" s="75"/>
      <c r="Z306" s="75"/>
      <c r="AA306" s="37"/>
      <c r="AB306" s="37"/>
      <c r="AC306" s="37"/>
      <c r="AD306" s="75"/>
      <c r="AE306" s="121"/>
      <c r="AF306" s="130"/>
      <c r="AG306" s="75">
        <v>135.0</v>
      </c>
      <c r="AH306" s="75"/>
      <c r="AI306" s="75"/>
      <c r="AJ306" s="75"/>
      <c r="AK306" s="129"/>
      <c r="AL306" s="129"/>
      <c r="AM306" s="131" t="s">
        <v>1003</v>
      </c>
    </row>
    <row r="307" ht="21.0" customHeight="1">
      <c r="A307" s="227">
        <v>43939.0</v>
      </c>
      <c r="B307" s="84"/>
      <c r="C307" s="50"/>
      <c r="D307" s="25" t="s">
        <v>337</v>
      </c>
      <c r="E307" s="83"/>
      <c r="F307" s="83"/>
      <c r="G307" s="83"/>
      <c r="H307" s="83"/>
      <c r="I307" s="83"/>
      <c r="J307" s="83"/>
      <c r="K307" s="83"/>
      <c r="L307" s="83"/>
      <c r="M307" s="70" t="str">
        <f>IFERROR(__xludf.DUMMYFUNCTION("QUERY(Hospitais_BD!D:I,""select E where D='""&amp;D307&amp;""'"",0)"),"ZONA NORTE")</f>
        <v>ZONA NORTE</v>
      </c>
      <c r="N307" s="44" t="str">
        <f>IFERROR(__xludf.DUMMYFUNCTION("QUERY(Hospitais_BD!D:I,""select F where D='""&amp;D307&amp;""'"")"),"Rio de Janeiro")</f>
        <v>Rio de Janeiro</v>
      </c>
      <c r="O307" s="70" t="str">
        <f>IFERROR(__xludf.DUMMYFUNCTION("QUERY(Hospitais_BD!D:I,""select G where D='""&amp;D307&amp;""'"")"),"Vila Isabel")</f>
        <v>Vila Isabel</v>
      </c>
      <c r="P307" s="25"/>
      <c r="Q307" s="137" t="str">
        <f>IFERROR(__xludf.DUMMYFUNCTION("QUERY(Hospitais_BD!D:I,""select I where D='""&amp;D307&amp;""'"")"),"Público")</f>
        <v>Público</v>
      </c>
      <c r="R307" s="137" t="str">
        <f>IFERROR(__xludf.DUMMYFUNCTION("QUERY(Hospitais_BD!D:I,""select H where D='""&amp;D307&amp;""'"")"),"Grande emergência - MÉDIA COMPLEXIDADE")</f>
        <v>Grande emergência - MÉDIA COMPLEXIDADE</v>
      </c>
      <c r="S307" s="192"/>
      <c r="T307" s="217"/>
      <c r="U307" s="207"/>
      <c r="V307" s="83"/>
      <c r="W307" s="83"/>
      <c r="X307" s="25"/>
      <c r="Y307" s="83"/>
      <c r="Z307" s="83"/>
      <c r="AA307" s="25"/>
      <c r="AB307" s="25"/>
      <c r="AC307" s="25"/>
      <c r="AD307" s="83"/>
      <c r="AE307" s="134"/>
      <c r="AF307" s="142"/>
      <c r="AG307" s="83">
        <v>10.0</v>
      </c>
      <c r="AH307" s="83"/>
      <c r="AI307" s="83"/>
      <c r="AJ307" s="83"/>
      <c r="AK307" s="144"/>
      <c r="AL307" s="144"/>
      <c r="AM307" s="145" t="s">
        <v>1003</v>
      </c>
    </row>
    <row r="308" ht="21.0" customHeight="1">
      <c r="A308" s="241">
        <v>43964.0</v>
      </c>
      <c r="B308" s="85"/>
      <c r="C308" s="69"/>
      <c r="D308" s="37" t="s">
        <v>368</v>
      </c>
      <c r="E308" s="75"/>
      <c r="F308" s="75"/>
      <c r="G308" s="75"/>
      <c r="H308" s="75"/>
      <c r="I308" s="75"/>
      <c r="J308" s="75"/>
      <c r="K308" s="75"/>
      <c r="L308" s="75"/>
      <c r="M308" s="53" t="str">
        <f>IFERROR(__xludf.DUMMYFUNCTION("QUERY(Hospitais_BD!D:I,""select E where D='""&amp;D308&amp;""'"",0)"),"#REF!")</f>
        <v>#REF!</v>
      </c>
      <c r="N308" s="45" t="str">
        <f>IFERROR(__xludf.DUMMYFUNCTION("QUERY(Hospitais_BD!D:I,""select F where D='""&amp;D308&amp;""'"")"),"#REF!")</f>
        <v>#REF!</v>
      </c>
      <c r="O308" s="53" t="str">
        <f>IFERROR(__xludf.DUMMYFUNCTION("QUERY(Hospitais_BD!D:I,""select G where D='""&amp;D308&amp;""'"")"),"#REF!")</f>
        <v>#REF!</v>
      </c>
      <c r="P308" s="37"/>
      <c r="Q308" s="125" t="str">
        <f>IFERROR(__xludf.DUMMYFUNCTION("QUERY(Hospitais_BD!D:I,""select I where D='""&amp;D308&amp;""'"")"),"#REF!")</f>
        <v>#REF!</v>
      </c>
      <c r="R308" s="125" t="str">
        <f>IFERROR(__xludf.DUMMYFUNCTION("QUERY(Hospitais_BD!D:I,""select H where D='""&amp;D308&amp;""'"")"),"#REF!")</f>
        <v>#REF!</v>
      </c>
      <c r="S308" s="194"/>
      <c r="T308" s="218"/>
      <c r="U308" s="208"/>
      <c r="V308" s="75"/>
      <c r="W308" s="75"/>
      <c r="X308" s="37"/>
      <c r="Y308" s="75"/>
      <c r="Z308" s="75"/>
      <c r="AA308" s="37"/>
      <c r="AB308" s="37"/>
      <c r="AC308" s="37"/>
      <c r="AD308" s="75"/>
      <c r="AE308" s="121"/>
      <c r="AF308" s="130"/>
      <c r="AG308" s="75">
        <v>200.0</v>
      </c>
      <c r="AH308" s="75"/>
      <c r="AI308" s="75"/>
      <c r="AJ308" s="75"/>
      <c r="AK308" s="129"/>
      <c r="AL308" s="129"/>
      <c r="AM308" s="131" t="s">
        <v>1003</v>
      </c>
    </row>
    <row r="309" ht="21.0" customHeight="1">
      <c r="A309" s="242">
        <v>43964.0</v>
      </c>
      <c r="B309" s="84"/>
      <c r="C309" s="50"/>
      <c r="D309" s="95" t="s">
        <v>834</v>
      </c>
      <c r="E309" s="83"/>
      <c r="F309" s="83"/>
      <c r="G309" s="83"/>
      <c r="H309" s="83"/>
      <c r="I309" s="83"/>
      <c r="J309" s="83"/>
      <c r="K309" s="83"/>
      <c r="L309" s="83"/>
      <c r="M309" s="70" t="str">
        <f>IFERROR(__xludf.DUMMYFUNCTION("QUERY(Hospitais_BD!D:I,""select E where D='""&amp;D309&amp;""'"",0)"),"ZONA NORTE")</f>
        <v>ZONA NORTE</v>
      </c>
      <c r="N309" s="44" t="str">
        <f>IFERROR(__xludf.DUMMYFUNCTION("QUERY(Hospitais_BD!D:I,""select F where D='""&amp;D309&amp;""'"")"),"Rio de Janeiro")</f>
        <v>Rio de Janeiro</v>
      </c>
      <c r="O309" s="70" t="str">
        <f>IFERROR(__xludf.DUMMYFUNCTION("QUERY(Hospitais_BD!D:I,""select G where D='""&amp;D309&amp;""'"")"),"Portuguesa")</f>
        <v>Portuguesa</v>
      </c>
      <c r="P309" s="25"/>
      <c r="Q309" s="137" t="str">
        <f>IFERROR(__xludf.DUMMYFUNCTION("QUERY(Hospitais_BD!D:I,""select I where D='""&amp;D309&amp;""'"")"),"Público")</f>
        <v>Público</v>
      </c>
      <c r="R309" s="137" t="str">
        <f>IFERROR(__xludf.DUMMYFUNCTION("QUERY(Hospitais_BD!D:I,""select H where D='""&amp;D309&amp;""'"")"),"Hospital de Referência - ALTA COMPLEXIDADE
")</f>
        <v>Hospital de Referência - ALTA COMPLEXIDADE
</v>
      </c>
      <c r="S309" s="192"/>
      <c r="T309" s="217"/>
      <c r="U309" s="207"/>
      <c r="V309" s="83"/>
      <c r="W309" s="83"/>
      <c r="X309" s="25"/>
      <c r="Y309" s="83"/>
      <c r="Z309" s="83"/>
      <c r="AA309" s="25"/>
      <c r="AB309" s="25"/>
      <c r="AC309" s="25"/>
      <c r="AD309" s="83"/>
      <c r="AE309" s="134"/>
      <c r="AF309" s="142"/>
      <c r="AG309" s="83">
        <v>200.0</v>
      </c>
      <c r="AH309" s="83"/>
      <c r="AI309" s="83"/>
      <c r="AJ309" s="83"/>
      <c r="AK309" s="144"/>
      <c r="AL309" s="144"/>
      <c r="AM309" s="145" t="s">
        <v>1003</v>
      </c>
    </row>
    <row r="310" ht="21.0" customHeight="1">
      <c r="A310" s="241">
        <v>43964.0</v>
      </c>
      <c r="B310" s="85"/>
      <c r="C310" s="69"/>
      <c r="D310" s="37" t="s">
        <v>361</v>
      </c>
      <c r="E310" s="75"/>
      <c r="F310" s="75"/>
      <c r="G310" s="75"/>
      <c r="H310" s="75"/>
      <c r="I310" s="75"/>
      <c r="J310" s="75"/>
      <c r="K310" s="75"/>
      <c r="L310" s="75"/>
      <c r="M310" s="53" t="str">
        <f>IFERROR(__xludf.DUMMYFUNCTION("QUERY(Hospitais_BD!D:I,""select E where D='""&amp;D310&amp;""'"",0)"),"ZONA OESTE")</f>
        <v>ZONA OESTE</v>
      </c>
      <c r="N310" s="45" t="str">
        <f>IFERROR(__xludf.DUMMYFUNCTION("QUERY(Hospitais_BD!D:I,""select F where D='""&amp;D310&amp;""'"")"),"Rio de Janeiro")</f>
        <v>Rio de Janeiro</v>
      </c>
      <c r="O310" s="53" t="str">
        <f>IFERROR(__xludf.DUMMYFUNCTION("QUERY(Hospitais_BD!D:I,""select G where D='""&amp;D310&amp;""'"")"),"Campo Grande")</f>
        <v>Campo Grande</v>
      </c>
      <c r="P310" s="37"/>
      <c r="Q310" s="125" t="str">
        <f>IFERROR(__xludf.DUMMYFUNCTION("QUERY(Hospitais_BD!D:I,""select I where D='""&amp;D310&amp;""'"")"),"Público")</f>
        <v>Público</v>
      </c>
      <c r="R310" s="125" t="str">
        <f>IFERROR(__xludf.DUMMYFUNCTION("QUERY(Hospitais_BD!D:I,""select H where D='""&amp;D310&amp;""'"")"),"Grande emergência - MÉDIA COMPLEXIDADE")</f>
        <v>Grande emergência - MÉDIA COMPLEXIDADE</v>
      </c>
      <c r="S310" s="194"/>
      <c r="T310" s="218"/>
      <c r="U310" s="208"/>
      <c r="V310" s="75"/>
      <c r="W310" s="75"/>
      <c r="X310" s="37"/>
      <c r="Y310" s="75"/>
      <c r="Z310" s="75"/>
      <c r="AA310" s="37"/>
      <c r="AB310" s="37"/>
      <c r="AC310" s="37"/>
      <c r="AD310" s="75"/>
      <c r="AE310" s="121"/>
      <c r="AF310" s="130"/>
      <c r="AG310" s="75">
        <v>150.0</v>
      </c>
      <c r="AH310" s="75"/>
      <c r="AI310" s="75"/>
      <c r="AJ310" s="75"/>
      <c r="AK310" s="129"/>
      <c r="AL310" s="129"/>
      <c r="AM310" s="131" t="s">
        <v>1003</v>
      </c>
    </row>
    <row r="311" ht="21.0" customHeight="1">
      <c r="A311" s="242">
        <v>43964.0</v>
      </c>
      <c r="B311" s="84"/>
      <c r="C311" s="50"/>
      <c r="D311" s="68" t="s">
        <v>67</v>
      </c>
      <c r="E311" s="83"/>
      <c r="F311" s="83"/>
      <c r="G311" s="83"/>
      <c r="H311" s="83"/>
      <c r="I311" s="83"/>
      <c r="J311" s="83"/>
      <c r="K311" s="83"/>
      <c r="L311" s="83"/>
      <c r="M311" s="70" t="str">
        <f>IFERROR(__xludf.DUMMYFUNCTION("QUERY(Hospitais_BD!D:I,""select E where D='""&amp;D311&amp;""'"",0)"),"ZONA SUL")</f>
        <v>ZONA SUL</v>
      </c>
      <c r="N311" s="44" t="str">
        <f>IFERROR(__xludf.DUMMYFUNCTION("QUERY(Hospitais_BD!D:I,""select F where D='""&amp;D311&amp;""'"")"),"Rio de Janeiro")</f>
        <v>Rio de Janeiro</v>
      </c>
      <c r="O311" s="70" t="str">
        <f>IFERROR(__xludf.DUMMYFUNCTION("QUERY(Hospitais_BD!D:I,""select G where D='""&amp;D311&amp;""'"")"),"Leblon")</f>
        <v>Leblon</v>
      </c>
      <c r="P311" s="25"/>
      <c r="Q311" s="137" t="str">
        <f>IFERROR(__xludf.DUMMYFUNCTION("QUERY(Hospitais_BD!D:I,""select I where D='""&amp;D311&amp;""'"")"),"Público")</f>
        <v>Público</v>
      </c>
      <c r="R311" s="137" t="str">
        <f>IFERROR(__xludf.DUMMYFUNCTION("QUERY(Hospitais_BD!D:I,""select H where D='""&amp;D311&amp;""'"")"),"Grande emergência - MÉDIA COMPLEXIDADE")</f>
        <v>Grande emergência - MÉDIA COMPLEXIDADE</v>
      </c>
      <c r="S311" s="192"/>
      <c r="T311" s="217"/>
      <c r="U311" s="207"/>
      <c r="V311" s="83"/>
      <c r="W311" s="83"/>
      <c r="X311" s="25"/>
      <c r="Y311" s="83"/>
      <c r="Z311" s="83"/>
      <c r="AA311" s="25"/>
      <c r="AB311" s="25"/>
      <c r="AC311" s="25"/>
      <c r="AD311" s="83"/>
      <c r="AE311" s="134"/>
      <c r="AF311" s="142"/>
      <c r="AG311" s="83">
        <v>200.0</v>
      </c>
      <c r="AH311" s="83"/>
      <c r="AI311" s="83"/>
      <c r="AJ311" s="83"/>
      <c r="AK311" s="144"/>
      <c r="AL311" s="144"/>
      <c r="AM311" s="145" t="s">
        <v>1003</v>
      </c>
    </row>
    <row r="312" ht="21.0" customHeight="1">
      <c r="A312" s="241">
        <v>43964.0</v>
      </c>
      <c r="B312" s="85"/>
      <c r="C312" s="69"/>
      <c r="D312" s="37" t="s">
        <v>249</v>
      </c>
      <c r="E312" s="75"/>
      <c r="F312" s="75"/>
      <c r="G312" s="75"/>
      <c r="H312" s="75"/>
      <c r="I312" s="75"/>
      <c r="J312" s="75"/>
      <c r="K312" s="75"/>
      <c r="L312" s="75"/>
      <c r="M312" s="53" t="str">
        <f>IFERROR(__xludf.DUMMYFUNCTION("QUERY(Hospitais_BD!D:I,""select E where D='""&amp;D312&amp;""'"",0)"),"REGIAO METROPOLITANA")</f>
        <v>REGIAO METROPOLITANA</v>
      </c>
      <c r="N312" s="45" t="str">
        <f>IFERROR(__xludf.DUMMYFUNCTION("QUERY(Hospitais_BD!D:I,""select F where D='""&amp;D312&amp;""'"")"),"Niteroi")</f>
        <v>Niteroi</v>
      </c>
      <c r="O312" s="53" t="str">
        <f>IFERROR(__xludf.DUMMYFUNCTION("QUERY(Hospitais_BD!D:I,""select G where D='""&amp;D312&amp;""'"")"),"Fonseca")</f>
        <v>Fonseca</v>
      </c>
      <c r="P312" s="37"/>
      <c r="Q312" s="125" t="str">
        <f>IFERROR(__xludf.DUMMYFUNCTION("QUERY(Hospitais_BD!D:I,""select I where D='""&amp;D312&amp;""'"")"),"Público")</f>
        <v>Público</v>
      </c>
      <c r="R312" s="125" t="str">
        <f>IFERROR(__xludf.DUMMYFUNCTION("QUERY(Hospitais_BD!D:I,""select H where D='""&amp;D312&amp;""'"")"),"Referência - ALTA COMPLEXIDADE")</f>
        <v>Referência - ALTA COMPLEXIDADE</v>
      </c>
      <c r="S312" s="194"/>
      <c r="T312" s="218"/>
      <c r="U312" s="208"/>
      <c r="V312" s="75"/>
      <c r="W312" s="75"/>
      <c r="X312" s="37"/>
      <c r="Y312" s="75"/>
      <c r="Z312" s="75"/>
      <c r="AA312" s="37"/>
      <c r="AB312" s="37"/>
      <c r="AC312" s="37"/>
      <c r="AD312" s="75"/>
      <c r="AE312" s="121"/>
      <c r="AF312" s="130"/>
      <c r="AG312" s="75">
        <v>150.0</v>
      </c>
      <c r="AH312" s="75"/>
      <c r="AI312" s="75"/>
      <c r="AJ312" s="75"/>
      <c r="AK312" s="129"/>
      <c r="AL312" s="129"/>
      <c r="AM312" s="131" t="s">
        <v>1003</v>
      </c>
    </row>
    <row r="313" ht="21.0" customHeight="1">
      <c r="A313" s="242">
        <v>43964.0</v>
      </c>
      <c r="B313" s="84"/>
      <c r="C313" s="50"/>
      <c r="D313" s="243" t="s">
        <v>217</v>
      </c>
      <c r="E313" s="83"/>
      <c r="F313" s="83"/>
      <c r="G313" s="83"/>
      <c r="H313" s="83"/>
      <c r="I313" s="83"/>
      <c r="J313" s="83"/>
      <c r="K313" s="83"/>
      <c r="L313" s="83"/>
      <c r="M313" s="70" t="str">
        <f>IFERROR(__xludf.DUMMYFUNCTION("QUERY(Hospitais_BD!D:I,""select E where D='""&amp;D313&amp;""'"",0)"),"ZONA NORTE")</f>
        <v>ZONA NORTE</v>
      </c>
      <c r="N313" s="44" t="str">
        <f>IFERROR(__xludf.DUMMYFUNCTION("QUERY(Hospitais_BD!D:I,""select F where D='""&amp;D313&amp;""'"")"),"Rio de Janeiro")</f>
        <v>Rio de Janeiro</v>
      </c>
      <c r="O313" s="70" t="str">
        <f>IFERROR(__xludf.DUMMYFUNCTION("QUERY(Hospitais_BD!D:I,""select G where D='""&amp;D313&amp;""'"")"),"Vila Isabel")</f>
        <v>Vila Isabel</v>
      </c>
      <c r="P313" s="25"/>
      <c r="Q313" s="137" t="str">
        <f>IFERROR(__xludf.DUMMYFUNCTION("QUERY(Hospitais_BD!D:I,""select I where D='""&amp;D313&amp;""'"")"),"Público")</f>
        <v>Público</v>
      </c>
      <c r="R313" s="137" t="str">
        <f>IFERROR(__xludf.DUMMYFUNCTION("QUERY(Hospitais_BD!D:I,""select H where D='""&amp;D313&amp;""'"")"),"Unidade básica - BAIXA COMPLEXIDADE")</f>
        <v>Unidade básica - BAIXA COMPLEXIDADE</v>
      </c>
      <c r="S313" s="192"/>
      <c r="T313" s="217"/>
      <c r="U313" s="207"/>
      <c r="V313" s="83"/>
      <c r="W313" s="83"/>
      <c r="X313" s="25"/>
      <c r="Y313" s="83"/>
      <c r="Z313" s="83"/>
      <c r="AA313" s="25"/>
      <c r="AB313" s="25"/>
      <c r="AC313" s="25"/>
      <c r="AD313" s="83"/>
      <c r="AE313" s="134"/>
      <c r="AF313" s="142"/>
      <c r="AG313" s="83">
        <v>50.0</v>
      </c>
      <c r="AH313" s="83"/>
      <c r="AI313" s="83"/>
      <c r="AJ313" s="83"/>
      <c r="AK313" s="144"/>
      <c r="AL313" s="144"/>
      <c r="AM313" s="145" t="s">
        <v>1003</v>
      </c>
    </row>
    <row r="314" ht="21.0" customHeight="1">
      <c r="A314" s="241">
        <v>43966.0</v>
      </c>
      <c r="B314" s="85"/>
      <c r="C314" s="69"/>
      <c r="D314" s="105" t="s">
        <v>938</v>
      </c>
      <c r="E314" s="75"/>
      <c r="F314" s="75"/>
      <c r="G314" s="75"/>
      <c r="H314" s="75"/>
      <c r="I314" s="75"/>
      <c r="J314" s="75"/>
      <c r="K314" s="75"/>
      <c r="L314" s="75"/>
      <c r="M314" s="53" t="str">
        <f>IFERROR(__xludf.DUMMYFUNCTION("QUERY(Hospitais_BD!D:I,""select E where D='""&amp;D314&amp;""'"",0)"),"ZONA OESTE")</f>
        <v>ZONA OESTE</v>
      </c>
      <c r="N314" s="45" t="str">
        <f>IFERROR(__xludf.DUMMYFUNCTION("QUERY(Hospitais_BD!D:I,""select F where D='""&amp;D314&amp;""'"")"),"Rio de Janeiro")</f>
        <v>Rio de Janeiro</v>
      </c>
      <c r="O314" s="53" t="str">
        <f>IFERROR(__xludf.DUMMYFUNCTION("QUERY(Hospitais_BD!D:I,""select G where D='""&amp;D314&amp;""'"")"),"Campo Grande")</f>
        <v>Campo Grande</v>
      </c>
      <c r="P314" s="37"/>
      <c r="Q314" s="125" t="str">
        <f>IFERROR(__xludf.DUMMYFUNCTION("QUERY(Hospitais_BD!D:I,""select I where D='""&amp;D314&amp;""'"")"),"Público")</f>
        <v>Público</v>
      </c>
      <c r="R314" s="125" t="str">
        <f>IFERROR(__xludf.DUMMYFUNCTION("QUERY(Hospitais_BD!D:I,""select H where D='""&amp;D314&amp;""'"")"),"Grande emergência - MÉDIA COMPLEXIDADE
")</f>
        <v>Grande emergência - MÉDIA COMPLEXIDADE
</v>
      </c>
      <c r="S314" s="194"/>
      <c r="T314" s="218"/>
      <c r="U314" s="208"/>
      <c r="V314" s="75"/>
      <c r="W314" s="75"/>
      <c r="X314" s="37"/>
      <c r="Y314" s="75"/>
      <c r="Z314" s="75"/>
      <c r="AA314" s="37"/>
      <c r="AB314" s="37"/>
      <c r="AC314" s="37"/>
      <c r="AD314" s="75"/>
      <c r="AE314" s="121"/>
      <c r="AF314" s="130"/>
      <c r="AG314" s="75"/>
      <c r="AH314" s="75"/>
      <c r="AI314" s="75"/>
      <c r="AJ314" s="75"/>
      <c r="AK314" s="129">
        <v>5.0</v>
      </c>
      <c r="AL314" s="129">
        <v>25.0</v>
      </c>
      <c r="AM314" s="131" t="s">
        <v>1003</v>
      </c>
    </row>
    <row r="315" ht="21.0" customHeight="1">
      <c r="A315" s="242">
        <v>43973.0</v>
      </c>
      <c r="B315" s="84"/>
      <c r="C315" s="50"/>
      <c r="D315" s="106" t="s">
        <v>939</v>
      </c>
      <c r="E315" s="83"/>
      <c r="F315" s="83"/>
      <c r="G315" s="83"/>
      <c r="H315" s="83"/>
      <c r="I315" s="83"/>
      <c r="J315" s="83"/>
      <c r="K315" s="83"/>
      <c r="L315" s="83"/>
      <c r="M315" s="70" t="str">
        <f>IFERROR(__xludf.DUMMYFUNCTION("QUERY(Hospitais_BD!D:I,""select E where D='""&amp;D315&amp;""'"",0)"),"REGIAO METROPOLITANA")</f>
        <v>REGIAO METROPOLITANA</v>
      </c>
      <c r="N315" s="44" t="str">
        <f>IFERROR(__xludf.DUMMYFUNCTION("QUERY(Hospitais_BD!D:I,""select F where D='""&amp;D315&amp;""'"")"),"São Gonçalo")</f>
        <v>São Gonçalo</v>
      </c>
      <c r="O315" s="70" t="str">
        <f>IFERROR(__xludf.DUMMYFUNCTION("QUERY(Hospitais_BD!D:I,""select G where D='""&amp;D315&amp;""'"")"),"Jardim Catarina")</f>
        <v>Jardim Catarina</v>
      </c>
      <c r="P315" s="25"/>
      <c r="Q315" s="137" t="str">
        <f>IFERROR(__xludf.DUMMYFUNCTION("QUERY(Hospitais_BD!D:I,""select I where D='""&amp;D315&amp;""'"")"),"Público")</f>
        <v>Público</v>
      </c>
      <c r="R315" s="137" t="str">
        <f>IFERROR(__xludf.DUMMYFUNCTION("QUERY(Hospitais_BD!D:I,""select H where D='""&amp;D315&amp;""'"")"),"Grande emergência - MÉDIA COMPLEXIDADE
")</f>
        <v>Grande emergência - MÉDIA COMPLEXIDADE
</v>
      </c>
      <c r="S315" s="192"/>
      <c r="T315" s="217"/>
      <c r="U315" s="207"/>
      <c r="V315" s="83"/>
      <c r="W315" s="83"/>
      <c r="X315" s="25"/>
      <c r="Y315" s="83"/>
      <c r="Z315" s="83"/>
      <c r="AA315" s="25"/>
      <c r="AB315" s="25"/>
      <c r="AC315" s="25"/>
      <c r="AD315" s="83"/>
      <c r="AE315" s="134"/>
      <c r="AF315" s="142"/>
      <c r="AG315" s="83"/>
      <c r="AH315" s="83"/>
      <c r="AI315" s="83"/>
      <c r="AJ315" s="83"/>
      <c r="AK315" s="144">
        <v>25.0</v>
      </c>
      <c r="AL315" s="144"/>
      <c r="AM315" s="145" t="s">
        <v>1003</v>
      </c>
    </row>
    <row r="316" ht="21.0" customHeight="1">
      <c r="A316" s="241">
        <v>43973.0</v>
      </c>
      <c r="B316" s="85"/>
      <c r="C316" s="69"/>
      <c r="D316" s="105" t="s">
        <v>941</v>
      </c>
      <c r="E316" s="75"/>
      <c r="F316" s="75"/>
      <c r="G316" s="75"/>
      <c r="H316" s="75"/>
      <c r="I316" s="75"/>
      <c r="J316" s="75"/>
      <c r="K316" s="75"/>
      <c r="L316" s="75"/>
      <c r="M316" s="53" t="str">
        <f>IFERROR(__xludf.DUMMYFUNCTION("QUERY(Hospitais_BD!D:I,""select E where D='""&amp;D316&amp;""'"",0)"),"REGIAO METROPOLITANA")</f>
        <v>REGIAO METROPOLITANA</v>
      </c>
      <c r="N316" s="45" t="str">
        <f>IFERROR(__xludf.DUMMYFUNCTION("QUERY(Hospitais_BD!D:I,""select F where D='""&amp;D316&amp;""'"")"),"Itaboraí")</f>
        <v>Itaboraí</v>
      </c>
      <c r="O316" s="53" t="str">
        <f>IFERROR(__xludf.DUMMYFUNCTION("QUERY(Hospitais_BD!D:I,""select G where D='""&amp;D316&amp;""'"")"),"Manilha")</f>
        <v>Manilha</v>
      </c>
      <c r="P316" s="37"/>
      <c r="Q316" s="125" t="str">
        <f>IFERROR(__xludf.DUMMYFUNCTION("QUERY(Hospitais_BD!D:I,""select I where D='""&amp;D316&amp;""'"")"),"Público")</f>
        <v>Público</v>
      </c>
      <c r="R316" s="125" t="str">
        <f>IFERROR(__xludf.DUMMYFUNCTION("QUERY(Hospitais_BD!D:I,""select H where D='""&amp;D316&amp;""'"")"),"Grande emergência - MÉDIA COMPLEXIDADE
")</f>
        <v>Grande emergência - MÉDIA COMPLEXIDADE
</v>
      </c>
      <c r="S316" s="194"/>
      <c r="T316" s="218"/>
      <c r="U316" s="208"/>
      <c r="V316" s="75"/>
      <c r="W316" s="75"/>
      <c r="X316" s="37"/>
      <c r="Y316" s="75"/>
      <c r="Z316" s="75"/>
      <c r="AA316" s="37"/>
      <c r="AB316" s="37"/>
      <c r="AC316" s="37"/>
      <c r="AD316" s="75"/>
      <c r="AE316" s="121"/>
      <c r="AF316" s="130"/>
      <c r="AG316" s="75"/>
      <c r="AH316" s="75"/>
      <c r="AI316" s="75"/>
      <c r="AJ316" s="75"/>
      <c r="AK316" s="129">
        <v>25.0</v>
      </c>
      <c r="AL316" s="129"/>
      <c r="AM316" s="131" t="s">
        <v>1003</v>
      </c>
    </row>
    <row r="317" ht="21.0" customHeight="1">
      <c r="A317" s="242">
        <v>43971.0</v>
      </c>
      <c r="B317" s="84"/>
      <c r="C317" s="50"/>
      <c r="D317" s="106" t="s">
        <v>942</v>
      </c>
      <c r="E317" s="83"/>
      <c r="F317" s="83"/>
      <c r="G317" s="83"/>
      <c r="H317" s="83"/>
      <c r="I317" s="83"/>
      <c r="J317" s="83"/>
      <c r="K317" s="83"/>
      <c r="L317" s="83"/>
      <c r="M317" s="70" t="str">
        <f>IFERROR(__xludf.DUMMYFUNCTION("QUERY(Hospitais_BD!D:I,""select E where D='""&amp;D317&amp;""'"",0)"),"CENTRO")</f>
        <v>CENTRO</v>
      </c>
      <c r="N317" s="44" t="str">
        <f>IFERROR(__xludf.DUMMYFUNCTION("QUERY(Hospitais_BD!D:I,""select F where D='""&amp;D317&amp;""'"")"),"Rio de Janeiro")</f>
        <v>Rio de Janeiro</v>
      </c>
      <c r="O317" s="70" t="str">
        <f>IFERROR(__xludf.DUMMYFUNCTION("QUERY(Hospitais_BD!D:I,""select G where D='""&amp;D317&amp;""'"")"),"Estácio")</f>
        <v>Estácio</v>
      </c>
      <c r="P317" s="25"/>
      <c r="Q317" s="137" t="str">
        <f>IFERROR(__xludf.DUMMYFUNCTION("QUERY(Hospitais_BD!D:I,""select I where D='""&amp;D317&amp;""'"")"),"Público")</f>
        <v>Público</v>
      </c>
      <c r="R317" s="137" t="str">
        <f>IFERROR(__xludf.DUMMYFUNCTION("QUERY(Hospitais_BD!D:I,""select H where D='""&amp;D317&amp;""'"")"),"Unidade básica de saúde - BAIXA COMPLEXIDADE")</f>
        <v>Unidade básica de saúde - BAIXA COMPLEXIDADE</v>
      </c>
      <c r="S317" s="192"/>
      <c r="T317" s="217"/>
      <c r="U317" s="207"/>
      <c r="V317" s="83"/>
      <c r="W317" s="83"/>
      <c r="X317" s="25"/>
      <c r="Y317" s="83"/>
      <c r="Z317" s="83"/>
      <c r="AA317" s="25"/>
      <c r="AB317" s="25"/>
      <c r="AC317" s="25"/>
      <c r="AD317" s="83"/>
      <c r="AE317" s="134"/>
      <c r="AF317" s="142"/>
      <c r="AG317" s="83"/>
      <c r="AH317" s="83"/>
      <c r="AI317" s="83"/>
      <c r="AJ317" s="83"/>
      <c r="AK317" s="144">
        <v>20.0</v>
      </c>
      <c r="AL317" s="144">
        <v>10.0</v>
      </c>
      <c r="AM317" s="145" t="s">
        <v>1003</v>
      </c>
    </row>
    <row r="318" ht="21.0" customHeight="1">
      <c r="A318" s="241">
        <v>43985.0</v>
      </c>
      <c r="B318" s="85"/>
      <c r="C318" s="69"/>
      <c r="D318" s="105" t="s">
        <v>944</v>
      </c>
      <c r="E318" s="75"/>
      <c r="F318" s="75"/>
      <c r="G318" s="75"/>
      <c r="H318" s="75"/>
      <c r="I318" s="75"/>
      <c r="J318" s="75"/>
      <c r="K318" s="75"/>
      <c r="L318" s="75"/>
      <c r="M318" s="53" t="str">
        <f>IFERROR(__xludf.DUMMYFUNCTION("QUERY(Hospitais_BD!D:I,""select E where D='""&amp;D318&amp;""'"",0)"),"ZONA NORTE")</f>
        <v>ZONA NORTE</v>
      </c>
      <c r="N318" s="45" t="str">
        <f>IFERROR(__xludf.DUMMYFUNCTION("QUERY(Hospitais_BD!D:I,""select F where D='""&amp;D318&amp;""'"")"),"Rio de Janeiro")</f>
        <v>Rio de Janeiro</v>
      </c>
      <c r="O318" s="53" t="str">
        <f>IFERROR(__xludf.DUMMYFUNCTION("QUERY(Hospitais_BD!D:I,""select G where D='""&amp;D318&amp;""'"")"),"Engenho Novo")</f>
        <v>Engenho Novo</v>
      </c>
      <c r="P318" s="37"/>
      <c r="Q318" s="125" t="str">
        <f>IFERROR(__xludf.DUMMYFUNCTION("QUERY(Hospitais_BD!D:I,""select I where D='""&amp;D318&amp;""'"")"),"Público")</f>
        <v>Público</v>
      </c>
      <c r="R318" s="125" t="str">
        <f>IFERROR(__xludf.DUMMYFUNCTION("QUERY(Hospitais_BD!D:I,""select H where D='""&amp;D318&amp;""'"")"),"Grande emergência - MÉDIA COMPLEXIDADE
")</f>
        <v>Grande emergência - MÉDIA COMPLEXIDADE
</v>
      </c>
      <c r="S318" s="194"/>
      <c r="T318" s="218"/>
      <c r="U318" s="208"/>
      <c r="V318" s="75"/>
      <c r="W318" s="75"/>
      <c r="X318" s="37"/>
      <c r="Y318" s="75"/>
      <c r="Z318" s="75"/>
      <c r="AA318" s="37"/>
      <c r="AB318" s="37"/>
      <c r="AC318" s="37"/>
      <c r="AD318" s="75"/>
      <c r="AE318" s="121"/>
      <c r="AF318" s="130"/>
      <c r="AG318" s="75"/>
      <c r="AH318" s="75"/>
      <c r="AI318" s="75"/>
      <c r="AJ318" s="75"/>
      <c r="AK318" s="129">
        <v>12.5</v>
      </c>
      <c r="AL318" s="129">
        <v>20.0</v>
      </c>
      <c r="AM318" s="131" t="s">
        <v>1003</v>
      </c>
    </row>
    <row r="319" ht="21.0" customHeight="1">
      <c r="A319" s="242">
        <v>43991.0</v>
      </c>
      <c r="B319" s="84"/>
      <c r="C319" s="50"/>
      <c r="D319" s="230" t="s">
        <v>946</v>
      </c>
      <c r="E319" s="83"/>
      <c r="F319" s="83"/>
      <c r="G319" s="83"/>
      <c r="H319" s="83"/>
      <c r="I319" s="83"/>
      <c r="J319" s="83"/>
      <c r="K319" s="83"/>
      <c r="L319" s="83"/>
      <c r="M319" s="70" t="str">
        <f>IFERROR(__xludf.DUMMYFUNCTION("QUERY(Hospitais_BD!D:I,""select E where D='""&amp;D319&amp;""'"",0)"),"ZONA OESTE")</f>
        <v>ZONA OESTE</v>
      </c>
      <c r="N319" s="44" t="str">
        <f>IFERROR(__xludf.DUMMYFUNCTION("QUERY(Hospitais_BD!D:I,""select F where D='""&amp;D319&amp;""'"")"),"Rio de Janeiro")</f>
        <v>Rio de Janeiro</v>
      </c>
      <c r="O319" s="70" t="str">
        <f>IFERROR(__xludf.DUMMYFUNCTION("QUERY(Hospitais_BD!D:I,""select G where D='""&amp;D319&amp;""'"")"),"Cidade de Deus")</f>
        <v>Cidade de Deus</v>
      </c>
      <c r="P319" s="25"/>
      <c r="Q319" s="137" t="str">
        <f>IFERROR(__xludf.DUMMYFUNCTION("QUERY(Hospitais_BD!D:I,""select I where D='""&amp;D319&amp;""'"")"),"Público")</f>
        <v>Público</v>
      </c>
      <c r="R319" s="137" t="str">
        <f>IFERROR(__xludf.DUMMYFUNCTION("QUERY(Hospitais_BD!D:I,""select H where D='""&amp;D319&amp;""'"")"),"Outra Instituição")</f>
        <v>Outra Instituição</v>
      </c>
      <c r="S319" s="192"/>
      <c r="T319" s="217"/>
      <c r="U319" s="207"/>
      <c r="V319" s="83"/>
      <c r="W319" s="83"/>
      <c r="X319" s="25"/>
      <c r="Y319" s="83"/>
      <c r="Z319" s="83"/>
      <c r="AA319" s="25"/>
      <c r="AB319" s="25"/>
      <c r="AC319" s="25"/>
      <c r="AD319" s="83"/>
      <c r="AE319" s="134"/>
      <c r="AF319" s="142"/>
      <c r="AG319" s="83">
        <v>13.0</v>
      </c>
      <c r="AH319" s="83"/>
      <c r="AI319" s="83"/>
      <c r="AJ319" s="83"/>
      <c r="AK319" s="144"/>
      <c r="AL319" s="144"/>
      <c r="AM319" s="145" t="s">
        <v>1003</v>
      </c>
    </row>
    <row r="320" ht="21.0" customHeight="1">
      <c r="A320" s="241">
        <v>43991.0</v>
      </c>
      <c r="B320" s="85"/>
      <c r="C320" s="69"/>
      <c r="D320" s="244" t="s">
        <v>947</v>
      </c>
      <c r="E320" s="75"/>
      <c r="F320" s="75"/>
      <c r="G320" s="75"/>
      <c r="H320" s="75"/>
      <c r="I320" s="75"/>
      <c r="J320" s="75"/>
      <c r="K320" s="75"/>
      <c r="L320" s="75"/>
      <c r="M320" s="53" t="str">
        <f>IFERROR(__xludf.DUMMYFUNCTION("QUERY(Hospitais_BD!D:I,""select E where D='""&amp;D320&amp;""'"",0)"),"REGIAO SERRANA")</f>
        <v>REGIAO SERRANA</v>
      </c>
      <c r="N320" s="45" t="str">
        <f>IFERROR(__xludf.DUMMYFUNCTION("QUERY(Hospitais_BD!D:I,""select F where D='""&amp;D320&amp;""'"")"),"Teresópolis")</f>
        <v>Teresópolis</v>
      </c>
      <c r="O320" s="53" t="str">
        <f>IFERROR(__xludf.DUMMYFUNCTION("QUERY(Hospitais_BD!D:I,""select G where D='""&amp;D320&amp;""'"")"),"Teresópolis")</f>
        <v>Teresópolis</v>
      </c>
      <c r="P320" s="37"/>
      <c r="Q320" s="125" t="str">
        <f>IFERROR(__xludf.DUMMYFUNCTION("QUERY(Hospitais_BD!D:I,""select I where D='""&amp;D320&amp;""'"")"),"Público")</f>
        <v>Público</v>
      </c>
      <c r="R320" s="125" t="str">
        <f>IFERROR(__xludf.DUMMYFUNCTION("QUERY(Hospitais_BD!D:I,""select H where D='""&amp;D320&amp;""'"")"),"Outra Instituição")</f>
        <v>Outra Instituição</v>
      </c>
      <c r="S320" s="194"/>
      <c r="T320" s="218"/>
      <c r="U320" s="208"/>
      <c r="V320" s="75"/>
      <c r="W320" s="75"/>
      <c r="X320" s="37"/>
      <c r="Y320" s="75"/>
      <c r="Z320" s="75"/>
      <c r="AA320" s="37"/>
      <c r="AB320" s="37"/>
      <c r="AC320" s="37"/>
      <c r="AD320" s="75"/>
      <c r="AE320" s="121"/>
      <c r="AF320" s="130"/>
      <c r="AG320" s="75">
        <v>15.0</v>
      </c>
      <c r="AH320" s="75"/>
      <c r="AI320" s="75"/>
      <c r="AJ320" s="75"/>
      <c r="AK320" s="129"/>
      <c r="AL320" s="129"/>
      <c r="AM320" s="131" t="s">
        <v>1003</v>
      </c>
    </row>
    <row r="321" ht="21.0" customHeight="1">
      <c r="A321" s="242">
        <v>43991.0</v>
      </c>
      <c r="B321" s="84"/>
      <c r="C321" s="50"/>
      <c r="D321" s="230" t="s">
        <v>948</v>
      </c>
      <c r="E321" s="83"/>
      <c r="F321" s="83"/>
      <c r="G321" s="83"/>
      <c r="H321" s="83"/>
      <c r="I321" s="83"/>
      <c r="J321" s="83"/>
      <c r="K321" s="83"/>
      <c r="L321" s="83"/>
      <c r="M321" s="70" t="str">
        <f>IFERROR(__xludf.DUMMYFUNCTION("QUERY(Hospitais_BD!D:I,""select E where D='""&amp;D321&amp;""'"",0)"),"ZONA OESTE")</f>
        <v>ZONA OESTE</v>
      </c>
      <c r="N321" s="44" t="str">
        <f>IFERROR(__xludf.DUMMYFUNCTION("QUERY(Hospitais_BD!D:I,""select F where D='""&amp;D321&amp;""'"")"),"Rio de Janeiro")</f>
        <v>Rio de Janeiro</v>
      </c>
      <c r="O321" s="70" t="str">
        <f>IFERROR(__xludf.DUMMYFUNCTION("QUERY(Hospitais_BD!D:I,""select G where D='""&amp;D321&amp;""'"")"),"Gardênia Azul")</f>
        <v>Gardênia Azul</v>
      </c>
      <c r="P321" s="25"/>
      <c r="Q321" s="137" t="str">
        <f>IFERROR(__xludf.DUMMYFUNCTION("QUERY(Hospitais_BD!D:I,""select I where D='""&amp;D321&amp;""'"")"),"Público")</f>
        <v>Público</v>
      </c>
      <c r="R321" s="137" t="str">
        <f>IFERROR(__xludf.DUMMYFUNCTION("QUERY(Hospitais_BD!D:I,""select H where D='""&amp;D321&amp;""'"")"),"Outra Instituição")</f>
        <v>Outra Instituição</v>
      </c>
      <c r="S321" s="192"/>
      <c r="T321" s="217"/>
      <c r="U321" s="207"/>
      <c r="V321" s="83"/>
      <c r="W321" s="83"/>
      <c r="X321" s="25"/>
      <c r="Y321" s="83"/>
      <c r="Z321" s="83"/>
      <c r="AA321" s="25"/>
      <c r="AB321" s="25"/>
      <c r="AC321" s="25"/>
      <c r="AD321" s="83"/>
      <c r="AE321" s="134"/>
      <c r="AF321" s="142"/>
      <c r="AG321" s="83">
        <v>20.0</v>
      </c>
      <c r="AH321" s="83"/>
      <c r="AI321" s="83"/>
      <c r="AJ321" s="83"/>
      <c r="AK321" s="144"/>
      <c r="AL321" s="144"/>
      <c r="AM321" s="145" t="s">
        <v>1003</v>
      </c>
    </row>
    <row r="322" ht="21.0" customHeight="1">
      <c r="A322" s="241">
        <v>44000.0</v>
      </c>
      <c r="B322" s="85"/>
      <c r="C322" s="69"/>
      <c r="D322" s="152" t="s">
        <v>879</v>
      </c>
      <c r="E322" s="75"/>
      <c r="F322" s="75"/>
      <c r="G322" s="75"/>
      <c r="H322" s="75"/>
      <c r="I322" s="75"/>
      <c r="J322" s="75"/>
      <c r="K322" s="75"/>
      <c r="L322" s="75"/>
      <c r="M322" s="53" t="str">
        <f>IFERROR(__xludf.DUMMYFUNCTION("QUERY(Hospitais_BD!D:I,""select E where D='""&amp;D322&amp;""'"",0)"),"ZONA OESTE")</f>
        <v>ZONA OESTE</v>
      </c>
      <c r="N322" s="45" t="str">
        <f>IFERROR(__xludf.DUMMYFUNCTION("QUERY(Hospitais_BD!D:I,""select F where D='""&amp;D322&amp;""'"")"),"Rio de Janeiro")</f>
        <v>Rio de Janeiro</v>
      </c>
      <c r="O322" s="53" t="str">
        <f>IFERROR(__xludf.DUMMYFUNCTION("QUERY(Hospitais_BD!D:I,""select G where D='""&amp;D322&amp;""'"")"),"Santa Cruz")</f>
        <v>Santa Cruz</v>
      </c>
      <c r="P322" s="37"/>
      <c r="Q322" s="125" t="str">
        <f>IFERROR(__xludf.DUMMYFUNCTION("QUERY(Hospitais_BD!D:I,""select I where D='""&amp;D322&amp;""'"")"),"Público")</f>
        <v>Público</v>
      </c>
      <c r="R322" s="125" t="str">
        <f>IFERROR(__xludf.DUMMYFUNCTION("QUERY(Hospitais_BD!D:I,""select H where D='""&amp;D322&amp;""'"")"),"Outra Instituição")</f>
        <v>Outra Instituição</v>
      </c>
      <c r="S322" s="194"/>
      <c r="T322" s="218"/>
      <c r="U322" s="208"/>
      <c r="V322" s="75"/>
      <c r="W322" s="75"/>
      <c r="X322" s="37"/>
      <c r="Y322" s="75"/>
      <c r="Z322" s="75"/>
      <c r="AA322" s="37"/>
      <c r="AB322" s="37"/>
      <c r="AC322" s="37"/>
      <c r="AD322" s="75"/>
      <c r="AE322" s="121"/>
      <c r="AF322" s="130"/>
      <c r="AG322" s="75">
        <v>15.0</v>
      </c>
      <c r="AH322" s="75"/>
      <c r="AI322" s="75"/>
      <c r="AJ322" s="75"/>
      <c r="AK322" s="129"/>
      <c r="AL322" s="129"/>
      <c r="AM322" s="131" t="s">
        <v>1003</v>
      </c>
    </row>
    <row r="323" ht="21.0" customHeight="1">
      <c r="A323" s="242">
        <v>43998.0</v>
      </c>
      <c r="B323" s="84"/>
      <c r="C323" s="50"/>
      <c r="D323" s="230" t="s">
        <v>950</v>
      </c>
      <c r="E323" s="83"/>
      <c r="F323" s="83"/>
      <c r="G323" s="83"/>
      <c r="H323" s="83"/>
      <c r="I323" s="83"/>
      <c r="J323" s="83"/>
      <c r="K323" s="83"/>
      <c r="L323" s="83"/>
      <c r="M323" s="70" t="str">
        <f>IFERROR(__xludf.DUMMYFUNCTION("QUERY(Hospitais_BD!D:I,""select E where D='""&amp;D323&amp;""'"",0)"),"ZONA OESTE")</f>
        <v>ZONA OESTE</v>
      </c>
      <c r="N323" s="44" t="str">
        <f>IFERROR(__xludf.DUMMYFUNCTION("QUERY(Hospitais_BD!D:I,""select F where D='""&amp;D323&amp;""'"")"),"Rio de Janeiro")</f>
        <v>Rio de Janeiro</v>
      </c>
      <c r="O323" s="70" t="str">
        <f>IFERROR(__xludf.DUMMYFUNCTION("QUERY(Hospitais_BD!D:I,""select G where D='""&amp;D323&amp;""'"")"),"Complexo do Alemão")</f>
        <v>Complexo do Alemão</v>
      </c>
      <c r="P323" s="25"/>
      <c r="Q323" s="137" t="str">
        <f>IFERROR(__xludf.DUMMYFUNCTION("QUERY(Hospitais_BD!D:I,""select I where D='""&amp;D323&amp;""'"")"),"Público")</f>
        <v>Público</v>
      </c>
      <c r="R323" s="137" t="str">
        <f>IFERROR(__xludf.DUMMYFUNCTION("QUERY(Hospitais_BD!D:I,""select H where D='""&amp;D323&amp;""'"")"),"Outra Instituição")</f>
        <v>Outra Instituição</v>
      </c>
      <c r="S323" s="192"/>
      <c r="T323" s="217"/>
      <c r="U323" s="207"/>
      <c r="V323" s="83"/>
      <c r="W323" s="83"/>
      <c r="X323" s="25"/>
      <c r="Y323" s="83"/>
      <c r="Z323" s="83"/>
      <c r="AA323" s="25"/>
      <c r="AB323" s="25"/>
      <c r="AC323" s="25"/>
      <c r="AD323" s="83"/>
      <c r="AE323" s="134"/>
      <c r="AF323" s="142"/>
      <c r="AG323" s="23">
        <v>12.0</v>
      </c>
      <c r="AH323" s="83"/>
      <c r="AI323" s="83"/>
      <c r="AJ323" s="83"/>
      <c r="AK323" s="144"/>
      <c r="AL323" s="144"/>
      <c r="AM323" s="145" t="s">
        <v>1003</v>
      </c>
    </row>
    <row r="324" ht="21.0" customHeight="1">
      <c r="A324" s="241"/>
      <c r="B324" s="85"/>
      <c r="C324" s="69"/>
      <c r="D324" s="244" t="s">
        <v>952</v>
      </c>
      <c r="E324" s="75"/>
      <c r="F324" s="75"/>
      <c r="G324" s="75"/>
      <c r="H324" s="75"/>
      <c r="I324" s="75"/>
      <c r="J324" s="75"/>
      <c r="K324" s="75"/>
      <c r="L324" s="75"/>
      <c r="M324" s="53" t="str">
        <f>IFERROR(__xludf.DUMMYFUNCTION("QUERY(Hospitais_BD!D:I,""select E where D='""&amp;D324&amp;""'"",0)"),"OUTRO ESTADO ")</f>
        <v>OUTRO ESTADO </v>
      </c>
      <c r="N324" s="45" t="str">
        <f>IFERROR(__xludf.DUMMYFUNCTION("QUERY(Hospitais_BD!D:I,""select F where D='""&amp;D324&amp;""'"")"),"Roraima")</f>
        <v>Roraima</v>
      </c>
      <c r="O324" s="53" t="str">
        <f>IFERROR(__xludf.DUMMYFUNCTION("QUERY(Hospitais_BD!D:I,""select G where D='""&amp;D324&amp;""'"")"),"Roraima")</f>
        <v>Roraima</v>
      </c>
      <c r="P324" s="37"/>
      <c r="Q324" s="125" t="str">
        <f>IFERROR(__xludf.DUMMYFUNCTION("QUERY(Hospitais_BD!D:I,""select I where D='""&amp;D324&amp;""'"")"),"Público")</f>
        <v>Público</v>
      </c>
      <c r="R324" s="125" t="str">
        <f>IFERROR(__xludf.DUMMYFUNCTION("QUERY(Hospitais_BD!D:I,""select H where D='""&amp;D324&amp;""'"")"),"Outra Instituição")</f>
        <v>Outra Instituição</v>
      </c>
      <c r="S324" s="194"/>
      <c r="T324" s="218"/>
      <c r="U324" s="208"/>
      <c r="V324" s="75"/>
      <c r="W324" s="75"/>
      <c r="X324" s="37"/>
      <c r="Y324" s="75"/>
      <c r="Z324" s="75"/>
      <c r="AA324" s="37"/>
      <c r="AB324" s="37"/>
      <c r="AC324" s="37"/>
      <c r="AD324" s="75"/>
      <c r="AE324" s="121"/>
      <c r="AF324" s="130"/>
      <c r="AG324" s="29">
        <v>100.0</v>
      </c>
      <c r="AH324" s="75"/>
      <c r="AI324" s="75"/>
      <c r="AJ324" s="75"/>
      <c r="AK324" s="129"/>
      <c r="AL324" s="129"/>
      <c r="AM324" s="131" t="s">
        <v>1003</v>
      </c>
    </row>
    <row r="325" ht="21.0" customHeight="1">
      <c r="A325" s="242"/>
      <c r="B325" s="84"/>
      <c r="C325" s="50"/>
      <c r="D325" s="230" t="s">
        <v>955</v>
      </c>
      <c r="E325" s="83"/>
      <c r="F325" s="83"/>
      <c r="G325" s="83"/>
      <c r="H325" s="83"/>
      <c r="I325" s="83"/>
      <c r="J325" s="83"/>
      <c r="K325" s="83"/>
      <c r="L325" s="83"/>
      <c r="M325" s="70" t="str">
        <f>IFERROR(__xludf.DUMMYFUNCTION("QUERY(Hospitais_BD!D:I,""select E where D='""&amp;D325&amp;""'"",0)"),"ZONA NORTE")</f>
        <v>ZONA NORTE</v>
      </c>
      <c r="N325" s="44" t="str">
        <f>IFERROR(__xludf.DUMMYFUNCTION("QUERY(Hospitais_BD!D:I,""select F where D='""&amp;D325&amp;""'"")"),"Rio de Janeiro")</f>
        <v>Rio de Janeiro</v>
      </c>
      <c r="O325" s="70" t="str">
        <f>IFERROR(__xludf.DUMMYFUNCTION("QUERY(Hospitais_BD!D:I,""select G where D='""&amp;D325&amp;""'"")"),"Ilha do Fundão")</f>
        <v>Ilha do Fundão</v>
      </c>
      <c r="P325" s="25"/>
      <c r="Q325" s="137" t="str">
        <f>IFERROR(__xludf.DUMMYFUNCTION("QUERY(Hospitais_BD!D:I,""select I where D='""&amp;D325&amp;""'"")"),"Público")</f>
        <v>Público</v>
      </c>
      <c r="R325" s="137" t="str">
        <f>IFERROR(__xludf.DUMMYFUNCTION("QUERY(Hospitais_BD!D:I,""select H where D='""&amp;D325&amp;""'"")"),"Outra Instituição")</f>
        <v>Outra Instituição</v>
      </c>
      <c r="S325" s="192"/>
      <c r="T325" s="217"/>
      <c r="U325" s="207"/>
      <c r="V325" s="83"/>
      <c r="W325" s="83"/>
      <c r="X325" s="25"/>
      <c r="Y325" s="83"/>
      <c r="Z325" s="83"/>
      <c r="AA325" s="25"/>
      <c r="AB325" s="25"/>
      <c r="AC325" s="25"/>
      <c r="AD325" s="83"/>
      <c r="AE325" s="134"/>
      <c r="AF325" s="142"/>
      <c r="AG325" s="23">
        <v>60.0</v>
      </c>
      <c r="AH325" s="83"/>
      <c r="AI325" s="83"/>
      <c r="AJ325" s="83"/>
      <c r="AK325" s="144"/>
      <c r="AL325" s="144"/>
      <c r="AM325" s="145" t="s">
        <v>1003</v>
      </c>
    </row>
    <row r="326" ht="21.0" customHeight="1">
      <c r="A326" s="241"/>
      <c r="B326" s="85"/>
      <c r="C326" s="69"/>
      <c r="D326" s="244" t="s">
        <v>956</v>
      </c>
      <c r="E326" s="75"/>
      <c r="F326" s="75"/>
      <c r="G326" s="75"/>
      <c r="H326" s="75"/>
      <c r="I326" s="75"/>
      <c r="J326" s="75"/>
      <c r="K326" s="75"/>
      <c r="L326" s="75"/>
      <c r="M326" s="53" t="str">
        <f>IFERROR(__xludf.DUMMYFUNCTION("QUERY(Hospitais_BD!D:I,""select E where D='""&amp;D326&amp;""'"",0)"),"OUTRO ESTADO ")</f>
        <v>OUTRO ESTADO </v>
      </c>
      <c r="N326" s="45" t="str">
        <f>IFERROR(__xludf.DUMMYFUNCTION("QUERY(Hospitais_BD!D:I,""select F where D='""&amp;D326&amp;""'"")"),"Maranhão")</f>
        <v>Maranhão</v>
      </c>
      <c r="O326" s="53" t="str">
        <f>IFERROR(__xludf.DUMMYFUNCTION("QUERY(Hospitais_BD!D:I,""select G where D='""&amp;D326&amp;""'"")"),"Pinheiro")</f>
        <v>Pinheiro</v>
      </c>
      <c r="P326" s="37"/>
      <c r="Q326" s="125" t="str">
        <f>IFERROR(__xludf.DUMMYFUNCTION("QUERY(Hospitais_BD!D:I,""select I where D='""&amp;D326&amp;""'"")"),"Público")</f>
        <v>Público</v>
      </c>
      <c r="R326" s="125" t="str">
        <f>IFERROR(__xludf.DUMMYFUNCTION("QUERY(Hospitais_BD!D:I,""select H where D='""&amp;D326&amp;""'"")"),"Grande emergência - MÉDIA COMPLEXIDADE
")</f>
        <v>Grande emergência - MÉDIA COMPLEXIDADE
</v>
      </c>
      <c r="S326" s="194"/>
      <c r="T326" s="218"/>
      <c r="U326" s="208"/>
      <c r="V326" s="75"/>
      <c r="W326" s="75"/>
      <c r="X326" s="37"/>
      <c r="Y326" s="75"/>
      <c r="Z326" s="75"/>
      <c r="AA326" s="37"/>
      <c r="AB326" s="37"/>
      <c r="AC326" s="37"/>
      <c r="AD326" s="75"/>
      <c r="AE326" s="121"/>
      <c r="AF326" s="130"/>
      <c r="AG326" s="29">
        <v>250.0</v>
      </c>
      <c r="AH326" s="75"/>
      <c r="AI326" s="75"/>
      <c r="AJ326" s="75"/>
      <c r="AK326" s="129"/>
      <c r="AL326" s="129"/>
      <c r="AM326" s="131" t="s">
        <v>1003</v>
      </c>
    </row>
    <row r="327" ht="21.0" customHeight="1">
      <c r="A327" s="242"/>
      <c r="B327" s="84"/>
      <c r="C327" s="50"/>
      <c r="D327" s="230" t="s">
        <v>959</v>
      </c>
      <c r="E327" s="83"/>
      <c r="F327" s="83"/>
      <c r="G327" s="83"/>
      <c r="H327" s="83"/>
      <c r="I327" s="83"/>
      <c r="J327" s="83"/>
      <c r="K327" s="83"/>
      <c r="L327" s="83"/>
      <c r="M327" s="70" t="str">
        <f>IFERROR(__xludf.DUMMYFUNCTION("QUERY(Hospitais_BD!D:I,""select E where D='""&amp;D327&amp;""'"",0)"),"OUTRO ESTADO ")</f>
        <v>OUTRO ESTADO </v>
      </c>
      <c r="N327" s="44" t="str">
        <f>IFERROR(__xludf.DUMMYFUNCTION("QUERY(Hospitais_BD!D:I,""select F where D='""&amp;D327&amp;""'"")"),"Maranhão ")</f>
        <v>Maranhão </v>
      </c>
      <c r="O327" s="70" t="str">
        <f>IFERROR(__xludf.DUMMYFUNCTION("QUERY(Hospitais_BD!D:I,""select G where D='""&amp;D327&amp;""'"")"),"Pinheiro")</f>
        <v>Pinheiro</v>
      </c>
      <c r="P327" s="25"/>
      <c r="Q327" s="137" t="str">
        <f>IFERROR(__xludf.DUMMYFUNCTION("QUERY(Hospitais_BD!D:I,""select I where D='""&amp;D327&amp;""'"")"),"Público")</f>
        <v>Público</v>
      </c>
      <c r="R327" s="137" t="str">
        <f>IFERROR(__xludf.DUMMYFUNCTION("QUERY(Hospitais_BD!D:I,""select H where D='""&amp;D327&amp;""'"")"),"Grande emergência - MÉDIA COMPLEXIDADE
")</f>
        <v>Grande emergência - MÉDIA COMPLEXIDADE
</v>
      </c>
      <c r="S327" s="192"/>
      <c r="T327" s="217"/>
      <c r="U327" s="207"/>
      <c r="V327" s="83"/>
      <c r="W327" s="83"/>
      <c r="X327" s="25"/>
      <c r="Y327" s="83"/>
      <c r="Z327" s="83"/>
      <c r="AA327" s="25"/>
      <c r="AB327" s="25"/>
      <c r="AC327" s="25"/>
      <c r="AD327" s="83"/>
      <c r="AE327" s="134"/>
      <c r="AF327" s="142"/>
      <c r="AG327" s="23">
        <v>200.0</v>
      </c>
      <c r="AH327" s="83"/>
      <c r="AI327" s="83"/>
      <c r="AJ327" s="83"/>
      <c r="AK327" s="144"/>
      <c r="AL327" s="144"/>
      <c r="AM327" s="145" t="s">
        <v>1003</v>
      </c>
    </row>
    <row r="328" ht="21.0" customHeight="1">
      <c r="A328" s="241"/>
      <c r="B328" s="85"/>
      <c r="C328" s="69"/>
      <c r="D328" s="244" t="s">
        <v>961</v>
      </c>
      <c r="E328" s="75"/>
      <c r="F328" s="75"/>
      <c r="G328" s="75"/>
      <c r="H328" s="75"/>
      <c r="I328" s="75"/>
      <c r="J328" s="75"/>
      <c r="K328" s="75"/>
      <c r="L328" s="75"/>
      <c r="M328" s="53" t="str">
        <f>IFERROR(__xludf.DUMMYFUNCTION("QUERY(Hospitais_BD!D:I,""select E where D='""&amp;D328&amp;""'"",0)"),"OUTRO ESTADO ")</f>
        <v>OUTRO ESTADO </v>
      </c>
      <c r="N328" s="45" t="str">
        <f>IFERROR(__xludf.DUMMYFUNCTION("QUERY(Hospitais_BD!D:I,""select F where D='""&amp;D328&amp;""'"")"),"Maranhão")</f>
        <v>Maranhão</v>
      </c>
      <c r="O328" s="53" t="str">
        <f>IFERROR(__xludf.DUMMYFUNCTION("QUERY(Hospitais_BD!D:I,""select G where D='""&amp;D328&amp;""'"")"),"Pinheiro")</f>
        <v>Pinheiro</v>
      </c>
      <c r="P328" s="37"/>
      <c r="Q328" s="125" t="str">
        <f>IFERROR(__xludf.DUMMYFUNCTION("QUERY(Hospitais_BD!D:I,""select I where D='""&amp;D328&amp;""'"")"),"Público")</f>
        <v>Público</v>
      </c>
      <c r="R328" s="125" t="str">
        <f>IFERROR(__xludf.DUMMYFUNCTION("QUERY(Hospitais_BD!D:I,""select H where D='""&amp;D328&amp;""'"")"),"Hospital de Referência - ALTA COMPLEXIDADE")</f>
        <v>Hospital de Referência - ALTA COMPLEXIDADE</v>
      </c>
      <c r="S328" s="194"/>
      <c r="T328" s="218"/>
      <c r="U328" s="208"/>
      <c r="V328" s="75"/>
      <c r="W328" s="75"/>
      <c r="X328" s="37"/>
      <c r="Y328" s="75"/>
      <c r="Z328" s="75"/>
      <c r="AA328" s="37"/>
      <c r="AB328" s="37"/>
      <c r="AC328" s="37"/>
      <c r="AD328" s="75"/>
      <c r="AE328" s="121"/>
      <c r="AF328" s="130"/>
      <c r="AG328" s="29">
        <v>500.0</v>
      </c>
      <c r="AH328" s="75"/>
      <c r="AI328" s="75"/>
      <c r="AJ328" s="75"/>
      <c r="AK328" s="129"/>
      <c r="AL328" s="129"/>
      <c r="AM328" s="131" t="s">
        <v>1003</v>
      </c>
    </row>
    <row r="329" ht="21.0" customHeight="1">
      <c r="A329" s="242"/>
      <c r="B329" s="84"/>
      <c r="C329" s="50"/>
      <c r="D329" s="230" t="s">
        <v>962</v>
      </c>
      <c r="E329" s="83"/>
      <c r="F329" s="83"/>
      <c r="G329" s="83"/>
      <c r="H329" s="83"/>
      <c r="I329" s="83"/>
      <c r="J329" s="83"/>
      <c r="K329" s="83"/>
      <c r="L329" s="83"/>
      <c r="M329" s="70" t="str">
        <f>IFERROR(__xludf.DUMMYFUNCTION("QUERY(Hospitais_BD!D:I,""select E where D='""&amp;D329&amp;""'"",0)"),"OUTRO ESTADO")</f>
        <v>OUTRO ESTADO</v>
      </c>
      <c r="N329" s="44" t="str">
        <f>IFERROR(__xludf.DUMMYFUNCTION("QUERY(Hospitais_BD!D:I,""select F where D='""&amp;D329&amp;""'"")"),"Minas Gerais")</f>
        <v>Minas Gerais</v>
      </c>
      <c r="O329" s="70" t="str">
        <f>IFERROR(__xludf.DUMMYFUNCTION("QUERY(Hospitais_BD!D:I,""select G where D='""&amp;D329&amp;""'"")"),"São João Nepomuceno")</f>
        <v>São João Nepomuceno</v>
      </c>
      <c r="P329" s="25"/>
      <c r="Q329" s="137" t="str">
        <f>IFERROR(__xludf.DUMMYFUNCTION("QUERY(Hospitais_BD!D:I,""select I where D='""&amp;D329&amp;""'"")"),"Público")</f>
        <v>Público</v>
      </c>
      <c r="R329" s="137" t="str">
        <f>IFERROR(__xludf.DUMMYFUNCTION("QUERY(Hospitais_BD!D:I,""select H where D='""&amp;D329&amp;""'"")"),"Grande emergência - MÉDIA COMPLEXIDADE
")</f>
        <v>Grande emergência - MÉDIA COMPLEXIDADE
</v>
      </c>
      <c r="S329" s="192"/>
      <c r="T329" s="217"/>
      <c r="U329" s="207"/>
      <c r="V329" s="83"/>
      <c r="W329" s="83"/>
      <c r="X329" s="25"/>
      <c r="Y329" s="83"/>
      <c r="Z329" s="83"/>
      <c r="AA329" s="25"/>
      <c r="AB329" s="25"/>
      <c r="AC329" s="25"/>
      <c r="AD329" s="83"/>
      <c r="AE329" s="134"/>
      <c r="AF329" s="142"/>
      <c r="AG329" s="23">
        <v>300.0</v>
      </c>
      <c r="AH329" s="83"/>
      <c r="AI329" s="83"/>
      <c r="AJ329" s="83"/>
      <c r="AK329" s="144"/>
      <c r="AL329" s="144"/>
      <c r="AM329" s="145" t="s">
        <v>1003</v>
      </c>
    </row>
    <row r="330" ht="21.0" customHeight="1">
      <c r="A330" s="241"/>
      <c r="B330" s="85"/>
      <c r="C330" s="69"/>
      <c r="D330" s="244" t="s">
        <v>965</v>
      </c>
      <c r="E330" s="75"/>
      <c r="F330" s="75"/>
      <c r="G330" s="75"/>
      <c r="H330" s="75"/>
      <c r="I330" s="75"/>
      <c r="J330" s="75"/>
      <c r="K330" s="75"/>
      <c r="L330" s="75"/>
      <c r="M330" s="53" t="str">
        <f>IFERROR(__xludf.DUMMYFUNCTION("QUERY(Hospitais_BD!D:I,""select E where D='""&amp;D330&amp;""'"",0)"),"OUTRO ESTADO ")</f>
        <v>OUTRO ESTADO </v>
      </c>
      <c r="N330" s="45" t="str">
        <f>IFERROR(__xludf.DUMMYFUNCTION("QUERY(Hospitais_BD!D:I,""select F where D='""&amp;D330&amp;""'"")"),"Ceará")</f>
        <v>Ceará</v>
      </c>
      <c r="O330" s="53" t="str">
        <f>IFERROR(__xludf.DUMMYFUNCTION("QUERY(Hospitais_BD!D:I,""select G where D='""&amp;D330&amp;""'"")"),"Ceará")</f>
        <v>Ceará</v>
      </c>
      <c r="P330" s="37"/>
      <c r="Q330" s="125" t="str">
        <f>IFERROR(__xludf.DUMMYFUNCTION("QUERY(Hospitais_BD!D:I,""select I where D='""&amp;D330&amp;""'"")"),"Público")</f>
        <v>Público</v>
      </c>
      <c r="R330" s="125" t="str">
        <f>IFERROR(__xludf.DUMMYFUNCTION("QUERY(Hospitais_BD!D:I,""select H where D='""&amp;D330&amp;""'"")"),"Outra Instituição")</f>
        <v>Outra Instituição</v>
      </c>
      <c r="S330" s="194"/>
      <c r="T330" s="218"/>
      <c r="U330" s="208"/>
      <c r="V330" s="75"/>
      <c r="W330" s="75"/>
      <c r="X330" s="37"/>
      <c r="Y330" s="75"/>
      <c r="Z330" s="75"/>
      <c r="AA330" s="37"/>
      <c r="AB330" s="37"/>
      <c r="AC330" s="37"/>
      <c r="AD330" s="75"/>
      <c r="AE330" s="121"/>
      <c r="AF330" s="130"/>
      <c r="AG330" s="29">
        <v>1190.0</v>
      </c>
      <c r="AH330" s="75"/>
      <c r="AI330" s="75"/>
      <c r="AJ330" s="75"/>
      <c r="AK330" s="129"/>
      <c r="AL330" s="129"/>
      <c r="AM330" s="131" t="s">
        <v>1003</v>
      </c>
    </row>
  </sheetData>
  <autoFilter ref="$A$1:$AM$330"/>
  <conditionalFormatting sqref="C231:C250">
    <cfRule type="notContainsBlanks" dxfId="3" priority="1">
      <formula>LEN(TRIM(C231))&gt;0</formula>
    </cfRule>
  </conditionalFormatting>
  <conditionalFormatting sqref="A2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3.43"/>
  </cols>
  <sheetData>
    <row r="1">
      <c r="A1" s="245" t="s">
        <v>1210</v>
      </c>
      <c r="B1" s="246" t="s">
        <v>1211</v>
      </c>
      <c r="C1" s="247" t="s">
        <v>41</v>
      </c>
      <c r="D1" s="247" t="s">
        <v>47</v>
      </c>
      <c r="E1" s="248" t="s">
        <v>1212</v>
      </c>
      <c r="F1" s="249" t="s">
        <v>41</v>
      </c>
      <c r="G1" s="249" t="s">
        <v>47</v>
      </c>
      <c r="H1" s="250" t="s">
        <v>1213</v>
      </c>
      <c r="I1" s="251" t="s">
        <v>41</v>
      </c>
      <c r="J1" s="251" t="s">
        <v>47</v>
      </c>
      <c r="K1" s="248" t="s">
        <v>1214</v>
      </c>
      <c r="L1" s="249" t="s">
        <v>41</v>
      </c>
      <c r="M1" s="249" t="s">
        <v>47</v>
      </c>
      <c r="N1" s="252" t="s">
        <v>1215</v>
      </c>
      <c r="O1" s="252" t="s">
        <v>41</v>
      </c>
      <c r="P1" s="252" t="s">
        <v>47</v>
      </c>
    </row>
    <row r="2">
      <c r="A2" s="253" t="s">
        <v>1216</v>
      </c>
      <c r="B2" s="254">
        <f t="shared" ref="B2:P2" si="1">SUM(B3:B6)</f>
        <v>231</v>
      </c>
      <c r="C2" s="254">
        <f t="shared" si="1"/>
        <v>178</v>
      </c>
      <c r="D2" s="254">
        <f t="shared" si="1"/>
        <v>53</v>
      </c>
      <c r="E2" s="255">
        <f t="shared" si="1"/>
        <v>0</v>
      </c>
      <c r="F2" s="255">
        <f t="shared" si="1"/>
        <v>0</v>
      </c>
      <c r="G2" s="255">
        <f t="shared" si="1"/>
        <v>0</v>
      </c>
      <c r="H2" s="256">
        <f t="shared" si="1"/>
        <v>0</v>
      </c>
      <c r="I2" s="256">
        <f t="shared" si="1"/>
        <v>0</v>
      </c>
      <c r="J2" s="256">
        <f t="shared" si="1"/>
        <v>0</v>
      </c>
      <c r="K2" s="255">
        <f t="shared" si="1"/>
        <v>0</v>
      </c>
      <c r="L2" s="255">
        <f t="shared" si="1"/>
        <v>0</v>
      </c>
      <c r="M2" s="255">
        <f t="shared" si="1"/>
        <v>0</v>
      </c>
      <c r="N2" s="257">
        <f t="shared" si="1"/>
        <v>12033.5</v>
      </c>
      <c r="O2" s="257">
        <f t="shared" si="1"/>
        <v>11713.5</v>
      </c>
      <c r="P2" s="257">
        <f t="shared" si="1"/>
        <v>320</v>
      </c>
    </row>
    <row r="3">
      <c r="A3" s="258"/>
      <c r="B3" s="259"/>
      <c r="C3" s="259"/>
      <c r="D3" s="259"/>
      <c r="E3" s="260"/>
      <c r="F3" s="260"/>
      <c r="G3" s="260"/>
      <c r="H3" s="261"/>
      <c r="I3" s="261"/>
      <c r="J3" s="261"/>
      <c r="K3" s="262"/>
      <c r="L3" s="262"/>
      <c r="M3" s="262"/>
      <c r="N3" s="263"/>
      <c r="O3" s="263"/>
      <c r="P3" s="263"/>
    </row>
    <row r="4">
      <c r="A4" s="264" t="s">
        <v>40</v>
      </c>
      <c r="B4" s="265">
        <f>COUNTIF(Hospitais_BD!H2:H6,A4)</f>
        <v>83</v>
      </c>
      <c r="C4" s="266">
        <f>COUNTIFS(Hospitais_BD!H2:H6,A4,Hospitais_BD!I2:I6,C1)</f>
        <v>67</v>
      </c>
      <c r="D4" s="266">
        <f>COUNTIFS(Hospitais_BD!H2:H6,A4,Hospitais_BD!I2:I6,D1)</f>
        <v>16</v>
      </c>
      <c r="E4" s="267">
        <f>IFERROR(__xludf.DUMMYFUNCTION("SUM(QUERY(Hospitais_BD!H:AI,""select AG where H = '""&amp;A4&amp;""'"",1))"),0.0)</f>
        <v>0</v>
      </c>
      <c r="F4" s="267">
        <f>IFERROR(__xludf.DUMMYFUNCTION("SUM(QUERY(Hospitais_BD!H:AI,""select AG where H = '""&amp;A4&amp;""' and I='""&amp;F1&amp;""'"",1))"),0.0)</f>
        <v>0</v>
      </c>
      <c r="G4" s="267">
        <f>IFERROR(__xludf.DUMMYFUNCTION("SUM(QUERY(Hospitais_BD!H:AI,""select AG where H = '""&amp;A4&amp;""' and I='""&amp;G1&amp;""'"",1))"),0.0)</f>
        <v>0</v>
      </c>
      <c r="H4" s="268">
        <f>IFERROR(__xludf.DUMMYFUNCTION("SUM(QUERY(Hospitais_BD!H:AI,""select AH where H = '""&amp;A4&amp;""'"",1))"),0.0)</f>
        <v>0</v>
      </c>
      <c r="I4" s="268">
        <f>IFERROR(__xludf.DUMMYFUNCTION("SUM(QUERY(Hospitais_BD!H:AI,""select AH where H = '""&amp;A4&amp;""' and I='""&amp;I1&amp;""'"",1))"),0.0)</f>
        <v>0</v>
      </c>
      <c r="J4" s="268">
        <f>IFERROR(__xludf.DUMMYFUNCTION("SUM(QUERY(Hospitais_BD!H:AH,""select AH where H = '""&amp;A4&amp;""' and I='""&amp;J1&amp;""'"",1))"),0.0)</f>
        <v>0</v>
      </c>
      <c r="K4" s="269">
        <f>IFERROR(__xludf.DUMMYFUNCTION("SUM(QUERY(Hospitais_BD!H:AI,""select AI where H = '""&amp;A4&amp;""'"",1))"),0.0)</f>
        <v>0</v>
      </c>
      <c r="L4" s="269">
        <f>IFERROR(__xludf.DUMMYFUNCTION("SUM(QUERY(Hospitais_BD!H:AI,""select AI where H = '""&amp;A4&amp;""' and I='""&amp;L1&amp;""'"",1))"),0.0)</f>
        <v>0</v>
      </c>
      <c r="M4" s="269">
        <f>IFERROR(__xludf.DUMMYFUNCTION("SUM(QUERY(Hospitais_BD!H1:AI6,""select AI where H = '""&amp;A4&amp;""' and I='""&amp;M1&amp;""'"",1))"),0.0)</f>
        <v>0</v>
      </c>
      <c r="N4" s="270">
        <f>IFERROR(__xludf.DUMMYFUNCTION("SUM(QUERY(Hospitais_BD!H:Y,""select T,U,V,W,X,Y where H = '""&amp;A4&amp;""'"",1))"),4642.0)</f>
        <v>4642</v>
      </c>
      <c r="O4" s="270">
        <f>IFERROR(__xludf.DUMMYFUNCTION("SUM(QUERY(Hospitais_BD!H:Y,""select T,U,V,W,X,Y where H = '""&amp;A4&amp;""' and I='""&amp;O1&amp;""'"",1))"),4492.0)</f>
        <v>4492</v>
      </c>
      <c r="P4" s="270">
        <f>IFERROR(__xludf.DUMMYFUNCTION("SUM(QUERY(Hospitais_BD!H:Y,""select T,U,V,W,X,Y where H = '""&amp;A4&amp;""' and I='""&amp;P1&amp;""'"",1))"),150.0)</f>
        <v>150</v>
      </c>
    </row>
    <row r="5">
      <c r="A5" s="271" t="s">
        <v>69</v>
      </c>
      <c r="B5" s="265">
        <f>COUNTIF(Hospitais_BD!H2:H6,A5)</f>
        <v>56</v>
      </c>
      <c r="C5" s="266">
        <f>COUNTIFS(Hospitais_BD!H2:H6,A5,Hospitais_BD!I2:I6,C1)</f>
        <v>54</v>
      </c>
      <c r="D5" s="266">
        <f>COUNTIFS(Hospitais_BD!H2:H6,A5,Hospitais_BD!I2:I6,D1)</f>
        <v>2</v>
      </c>
      <c r="E5" s="267">
        <f>IFERROR(__xludf.DUMMYFUNCTION("SUM(QUERY(Hospitais_BD!H:AI,""select AG where H = '""&amp;A5&amp;""'"",1))"),0.0)</f>
        <v>0</v>
      </c>
      <c r="F5" s="267">
        <f>IFERROR(__xludf.DUMMYFUNCTION("SUM(QUERY(Hospitais_BD!H:AI,""select AG where H = '""&amp;A5&amp;""' and I='""&amp;F1&amp;""'"",1))"),0.0)</f>
        <v>0</v>
      </c>
      <c r="G5" s="267">
        <f>IFERROR(__xludf.DUMMYFUNCTION("SUM(QUERY(Hospitais_BD!H:AI,""select AG where H = '""&amp;A5&amp;""' and I='""&amp;G1&amp;""'"",1))"),0.0)</f>
        <v>0</v>
      </c>
      <c r="H5" s="268">
        <f>IFERROR(__xludf.DUMMYFUNCTION("SUM(QUERY(Hospitais_BD!H:AI,""select AH where H = '""&amp;A5&amp;""'"",1))"),0.0)</f>
        <v>0</v>
      </c>
      <c r="I5" s="268">
        <f>IFERROR(__xludf.DUMMYFUNCTION("SUM(QUERY(Hospitais_BD!H:AI,""select AH where H = '""&amp;A5&amp;""' and I='""&amp;I1&amp;""'"",1))"),0.0)</f>
        <v>0</v>
      </c>
      <c r="J5" s="268">
        <f>IFERROR(__xludf.DUMMYFUNCTION("SUM(QUERY(Hospitais_BD!H:AH,""select AH where H = '""&amp;A5&amp;""' and I='""&amp;J1&amp;""'"",1))"),0.0)</f>
        <v>0</v>
      </c>
      <c r="K5" s="269">
        <f>IFERROR(__xludf.DUMMYFUNCTION("SUM(QUERY(Hospitais_BD!H:AI,""select AI where H = '""&amp;A5&amp;""'"",1))"),0.0)</f>
        <v>0</v>
      </c>
      <c r="L5" s="269">
        <f>IFERROR(__xludf.DUMMYFUNCTION("SUM(QUERY(Hospitais_BD!H:AI,""select AI where H = '""&amp;A5&amp;""' and I='""&amp;L1&amp;""'"",1))"),0.0)</f>
        <v>0</v>
      </c>
      <c r="M5" s="269">
        <f>IFERROR(__xludf.DUMMYFUNCTION("SUM(QUERY(Hospitais_BD!H2:AI6,""select AI where H = '""&amp;A5&amp;""' and I='""&amp;M1&amp;""'"",1))"),0.0)</f>
        <v>0</v>
      </c>
      <c r="N5" s="270">
        <f>IFERROR(__xludf.DUMMYFUNCTION("SUM(QUERY(Hospitais_BD!H:Y,""select T,U,V,W,X,Y where H = '""&amp;A5&amp;""'"",1))"),4773.5)</f>
        <v>4773.5</v>
      </c>
      <c r="O5" s="270">
        <f>IFERROR(__xludf.DUMMYFUNCTION("SUM(QUERY(Hospitais_BD!H:Y,""select T,U,V,W,X,Y where H = '""&amp;A5&amp;""' and I='""&amp;O1&amp;""'"",1))"),4773.5)</f>
        <v>4773.5</v>
      </c>
      <c r="P5" s="270">
        <f>IFERROR(__xludf.DUMMYFUNCTION("SUM(QUERY(Hospitais_BD!H:Y,""select T,U,V,W,X,Y where H = '""&amp;A5&amp;""' and I='""&amp;P1&amp;""'"",1))"),0.0)</f>
        <v>0</v>
      </c>
    </row>
    <row r="6">
      <c r="A6" s="271" t="s">
        <v>51</v>
      </c>
      <c r="B6" s="265">
        <f>COUNTIF(Hospitais_BD!H2:H6,A6)</f>
        <v>92</v>
      </c>
      <c r="C6" s="266">
        <f>COUNTIFS(Hospitais_BD!H2:H6,A6,Hospitais_BD!I2:I6,C1)</f>
        <v>57</v>
      </c>
      <c r="D6" s="266">
        <f>COUNTIFS(Hospitais_BD!H2:H6,A6,Hospitais_BD!I2:I6,D1)</f>
        <v>35</v>
      </c>
      <c r="E6" s="267">
        <f>IFERROR(__xludf.DUMMYFUNCTION("SUM(QUERY(Hospitais_BD!H:AI,""select AG where H = '""&amp;A6&amp;""'"",1))"),0.0)</f>
        <v>0</v>
      </c>
      <c r="F6" s="267">
        <f>IFERROR(__xludf.DUMMYFUNCTION("SUM(QUERY(Hospitais_BD!H:AI,""select AG where H = '""&amp;A6&amp;""' and I='""&amp;F1&amp;""'"",1))"),0.0)</f>
        <v>0</v>
      </c>
      <c r="G6" s="267">
        <f>IFERROR(__xludf.DUMMYFUNCTION("SUM(QUERY(Hospitais_BD!H:AI,""select AG where H = '""&amp;A6&amp;""' and I='""&amp;G1&amp;""'"",1))"),0.0)</f>
        <v>0</v>
      </c>
      <c r="H6" s="268">
        <f>IFERROR(__xludf.DUMMYFUNCTION("SUM(QUERY(Hospitais_BD!H:AI,""select AH where H = '""&amp;A6&amp;""'"",1))"),0.0)</f>
        <v>0</v>
      </c>
      <c r="I6" s="268">
        <f>IFERROR(__xludf.DUMMYFUNCTION("SUM(QUERY(Hospitais_BD!H:AI,""select AH where H = '""&amp;A6&amp;""' and I='""&amp;I1&amp;""'"",1))"),0.0)</f>
        <v>0</v>
      </c>
      <c r="J6" s="268">
        <f>IFERROR(__xludf.DUMMYFUNCTION("SUM(QUERY(Hospitais_BD!H:AH,""select AH where H = '""&amp;A6&amp;""' and I='""&amp;J1&amp;""'"",1))"),0.0)</f>
        <v>0</v>
      </c>
      <c r="K6" s="269">
        <f>IFERROR(__xludf.DUMMYFUNCTION("SUM(QUERY(Hospitais_BD!H:AI,""select AI where H = '""&amp;A6&amp;""'"",1))"),0.0)</f>
        <v>0</v>
      </c>
      <c r="L6" s="269">
        <f>IFERROR(__xludf.DUMMYFUNCTION("SUM(QUERY(Hospitais_BD!H:AI,""select AI where H = '""&amp;A6&amp;""' and I='""&amp;L1&amp;""'"",1))"),0.0)</f>
        <v>0</v>
      </c>
      <c r="M6" s="269">
        <f>IFERROR(__xludf.DUMMYFUNCTION("SUM(QUERY(Hospitais_BD!H3:AI6,""select AI where H = '""&amp;A6&amp;""' and I='""&amp;M1&amp;""'"",1))"),0.0)</f>
        <v>0</v>
      </c>
      <c r="N6" s="270">
        <f>IFERROR(__xludf.DUMMYFUNCTION("SUM(QUERY(Hospitais_BD!H:Y,""select T,U,V,W,X,Y where H = '""&amp;A6&amp;""'"",1))"),2618.0)</f>
        <v>2618</v>
      </c>
      <c r="O6" s="270">
        <f>IFERROR(__xludf.DUMMYFUNCTION("SUM(QUERY(Hospitais_BD!H:Y,""select T,U,V,W,X,Y where H = '""&amp;A6&amp;""' and I='""&amp;O1&amp;""'"",1))"),2448.0)</f>
        <v>2448</v>
      </c>
      <c r="P6" s="270">
        <f>IFERROR(__xludf.DUMMYFUNCTION("SUM(QUERY(Hospitais_BD!H:Y,""select T,U,V,W,X,Y where H = '""&amp;A6&amp;""' and I='""&amp;P1&amp;""'"",1))"),170.0)</f>
        <v>170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30.43"/>
  </cols>
  <sheetData>
    <row r="1">
      <c r="A1" s="245"/>
      <c r="B1" s="272"/>
      <c r="C1" s="272"/>
      <c r="D1" s="272"/>
      <c r="E1" s="272"/>
      <c r="F1" s="273" t="s">
        <v>1217</v>
      </c>
      <c r="G1" s="274"/>
      <c r="H1" s="274"/>
      <c r="I1" s="274"/>
      <c r="J1" s="274"/>
      <c r="K1" s="274"/>
      <c r="L1" s="274"/>
      <c r="M1" s="274"/>
      <c r="N1" s="275"/>
      <c r="O1" s="272"/>
      <c r="P1" s="273" t="s">
        <v>1218</v>
      </c>
      <c r="Q1" s="274"/>
      <c r="R1" s="274"/>
      <c r="S1" s="274"/>
      <c r="T1" s="274"/>
      <c r="U1" s="274"/>
      <c r="V1" s="274"/>
      <c r="W1" s="274"/>
      <c r="X1" s="275"/>
      <c r="Y1" s="272"/>
      <c r="Z1" s="273" t="s">
        <v>1219</v>
      </c>
      <c r="AA1" s="274"/>
      <c r="AB1" s="274"/>
      <c r="AC1" s="274"/>
      <c r="AD1" s="274"/>
      <c r="AE1" s="274"/>
      <c r="AF1" s="274"/>
      <c r="AG1" s="274"/>
      <c r="AH1" s="275"/>
      <c r="AI1" s="272"/>
      <c r="AJ1" s="273" t="s">
        <v>1220</v>
      </c>
      <c r="AK1" s="274"/>
      <c r="AL1" s="274"/>
      <c r="AM1" s="274"/>
      <c r="AN1" s="274"/>
      <c r="AO1" s="274"/>
      <c r="AP1" s="274"/>
      <c r="AQ1" s="274"/>
      <c r="AR1" s="275"/>
      <c r="AS1" s="272"/>
      <c r="AT1" s="273" t="s">
        <v>1221</v>
      </c>
      <c r="AU1" s="274"/>
      <c r="AV1" s="274"/>
      <c r="AW1" s="274"/>
      <c r="AX1" s="274"/>
      <c r="AY1" s="274"/>
      <c r="AZ1" s="274"/>
      <c r="BA1" s="274"/>
      <c r="BB1" s="275"/>
      <c r="BC1" s="272"/>
      <c r="BD1" s="273" t="s">
        <v>1222</v>
      </c>
      <c r="BE1" s="274"/>
      <c r="BF1" s="274"/>
      <c r="BG1" s="274"/>
      <c r="BH1" s="274"/>
      <c r="BI1" s="274"/>
      <c r="BJ1" s="274"/>
      <c r="BK1" s="274"/>
      <c r="BL1" s="275"/>
    </row>
    <row r="2">
      <c r="A2" s="245" t="s">
        <v>1210</v>
      </c>
      <c r="B2" s="246" t="s">
        <v>1211</v>
      </c>
      <c r="C2" s="247" t="s">
        <v>41</v>
      </c>
      <c r="D2" s="247" t="s">
        <v>47</v>
      </c>
      <c r="E2" s="276"/>
      <c r="F2" s="248" t="s">
        <v>1223</v>
      </c>
      <c r="G2" s="249" t="s">
        <v>41</v>
      </c>
      <c r="H2" s="249" t="s">
        <v>47</v>
      </c>
      <c r="I2" s="277" t="s">
        <v>1215</v>
      </c>
      <c r="J2" s="277" t="s">
        <v>41</v>
      </c>
      <c r="K2" s="277" t="s">
        <v>47</v>
      </c>
      <c r="L2" s="248" t="s">
        <v>1224</v>
      </c>
      <c r="M2" s="249" t="s">
        <v>41</v>
      </c>
      <c r="N2" s="249" t="s">
        <v>47</v>
      </c>
      <c r="O2" s="278"/>
      <c r="P2" s="248" t="s">
        <v>1223</v>
      </c>
      <c r="Q2" s="249" t="s">
        <v>41</v>
      </c>
      <c r="R2" s="249" t="s">
        <v>47</v>
      </c>
      <c r="S2" s="277" t="s">
        <v>1215</v>
      </c>
      <c r="T2" s="277" t="s">
        <v>41</v>
      </c>
      <c r="U2" s="277" t="s">
        <v>47</v>
      </c>
      <c r="V2" s="248" t="s">
        <v>1224</v>
      </c>
      <c r="W2" s="249" t="s">
        <v>41</v>
      </c>
      <c r="X2" s="249" t="s">
        <v>47</v>
      </c>
      <c r="Y2" s="278"/>
      <c r="Z2" s="248" t="s">
        <v>1223</v>
      </c>
      <c r="AA2" s="249" t="s">
        <v>41</v>
      </c>
      <c r="AB2" s="249" t="s">
        <v>47</v>
      </c>
      <c r="AC2" s="277" t="s">
        <v>1215</v>
      </c>
      <c r="AD2" s="277" t="s">
        <v>41</v>
      </c>
      <c r="AE2" s="277" t="s">
        <v>47</v>
      </c>
      <c r="AF2" s="248" t="s">
        <v>1224</v>
      </c>
      <c r="AG2" s="249" t="s">
        <v>41</v>
      </c>
      <c r="AH2" s="249" t="s">
        <v>47</v>
      </c>
      <c r="AI2" s="278"/>
      <c r="AJ2" s="248" t="s">
        <v>1223</v>
      </c>
      <c r="AK2" s="249" t="s">
        <v>41</v>
      </c>
      <c r="AL2" s="249" t="s">
        <v>47</v>
      </c>
      <c r="AM2" s="277" t="s">
        <v>1215</v>
      </c>
      <c r="AN2" s="277" t="s">
        <v>41</v>
      </c>
      <c r="AO2" s="277" t="s">
        <v>47</v>
      </c>
      <c r="AP2" s="248" t="s">
        <v>1224</v>
      </c>
      <c r="AQ2" s="249" t="s">
        <v>41</v>
      </c>
      <c r="AR2" s="249" t="s">
        <v>47</v>
      </c>
      <c r="AS2" s="278"/>
      <c r="AT2" s="248" t="s">
        <v>1223</v>
      </c>
      <c r="AU2" s="249" t="s">
        <v>41</v>
      </c>
      <c r="AV2" s="249" t="s">
        <v>47</v>
      </c>
      <c r="AW2" s="277" t="s">
        <v>1215</v>
      </c>
      <c r="AX2" s="277" t="s">
        <v>41</v>
      </c>
      <c r="AY2" s="277" t="s">
        <v>47</v>
      </c>
      <c r="AZ2" s="248" t="s">
        <v>1224</v>
      </c>
      <c r="BA2" s="249" t="s">
        <v>41</v>
      </c>
      <c r="BB2" s="249" t="s">
        <v>47</v>
      </c>
      <c r="BC2" s="278"/>
      <c r="BD2" s="248" t="s">
        <v>1223</v>
      </c>
      <c r="BE2" s="249" t="s">
        <v>41</v>
      </c>
      <c r="BF2" s="249" t="s">
        <v>47</v>
      </c>
      <c r="BG2" s="277" t="s">
        <v>1215</v>
      </c>
      <c r="BH2" s="277" t="s">
        <v>41</v>
      </c>
      <c r="BI2" s="277" t="s">
        <v>47</v>
      </c>
      <c r="BJ2" s="248" t="s">
        <v>1224</v>
      </c>
      <c r="BK2" s="249" t="s">
        <v>41</v>
      </c>
      <c r="BL2" s="249" t="s">
        <v>47</v>
      </c>
    </row>
    <row r="3">
      <c r="A3" s="253" t="s">
        <v>1225</v>
      </c>
      <c r="B3" s="254">
        <f t="shared" ref="B3:D3" si="1">SUM(B5,B12,B22)</f>
        <v>420</v>
      </c>
      <c r="C3" s="254">
        <f t="shared" si="1"/>
        <v>360</v>
      </c>
      <c r="D3" s="254">
        <f t="shared" si="1"/>
        <v>60</v>
      </c>
      <c r="E3" s="276"/>
      <c r="F3" s="279">
        <f t="shared" ref="F3:K3" si="2">SUM(F5,F12)</f>
        <v>0</v>
      </c>
      <c r="G3" s="279">
        <f t="shared" si="2"/>
        <v>0</v>
      </c>
      <c r="H3" s="279">
        <f t="shared" si="2"/>
        <v>0</v>
      </c>
      <c r="I3" s="280">
        <f t="shared" si="2"/>
        <v>21307</v>
      </c>
      <c r="J3" s="280">
        <f t="shared" si="2"/>
        <v>20987</v>
      </c>
      <c r="K3" s="280">
        <f t="shared" si="2"/>
        <v>320</v>
      </c>
      <c r="L3" s="279">
        <f t="shared" ref="L3:N3" si="3">F3-I3</f>
        <v>-21307</v>
      </c>
      <c r="M3" s="279">
        <f t="shared" si="3"/>
        <v>-20987</v>
      </c>
      <c r="N3" s="279">
        <f t="shared" si="3"/>
        <v>-320</v>
      </c>
      <c r="O3" s="281"/>
      <c r="P3" s="279">
        <f t="shared" ref="P3:U3" si="4">SUM(P5,P12)</f>
        <v>0</v>
      </c>
      <c r="Q3" s="279">
        <f t="shared" si="4"/>
        <v>0</v>
      </c>
      <c r="R3" s="279">
        <f t="shared" si="4"/>
        <v>0</v>
      </c>
      <c r="S3" s="280">
        <f t="shared" si="4"/>
        <v>0</v>
      </c>
      <c r="T3" s="280">
        <f t="shared" si="4"/>
        <v>0</v>
      </c>
      <c r="U3" s="280">
        <f t="shared" si="4"/>
        <v>0</v>
      </c>
      <c r="V3" s="279">
        <f t="shared" ref="V3:X3" si="5">P3-S3</f>
        <v>0</v>
      </c>
      <c r="W3" s="279">
        <f t="shared" si="5"/>
        <v>0</v>
      </c>
      <c r="X3" s="279">
        <f t="shared" si="5"/>
        <v>0</v>
      </c>
      <c r="Y3" s="281"/>
      <c r="Z3" s="279">
        <f t="shared" ref="Z3:AE3" si="6">SUM(Z5,Z12)</f>
        <v>0</v>
      </c>
      <c r="AA3" s="279">
        <f t="shared" si="6"/>
        <v>0</v>
      </c>
      <c r="AB3" s="279">
        <f t="shared" si="6"/>
        <v>0</v>
      </c>
      <c r="AC3" s="280">
        <f t="shared" si="6"/>
        <v>0</v>
      </c>
      <c r="AD3" s="280">
        <f t="shared" si="6"/>
        <v>0</v>
      </c>
      <c r="AE3" s="280">
        <f t="shared" si="6"/>
        <v>0</v>
      </c>
      <c r="AF3" s="279">
        <f t="shared" ref="AF3:AH3" si="7">Z3-AC3</f>
        <v>0</v>
      </c>
      <c r="AG3" s="279">
        <f t="shared" si="7"/>
        <v>0</v>
      </c>
      <c r="AH3" s="279">
        <f t="shared" si="7"/>
        <v>0</v>
      </c>
      <c r="AI3" s="281"/>
      <c r="AJ3" s="279">
        <f t="shared" ref="AJ3:AO3" si="8">SUM(AJ5,AJ12)</f>
        <v>0</v>
      </c>
      <c r="AK3" s="279">
        <f t="shared" si="8"/>
        <v>0</v>
      </c>
      <c r="AL3" s="279">
        <f t="shared" si="8"/>
        <v>0</v>
      </c>
      <c r="AM3" s="280">
        <f t="shared" si="8"/>
        <v>1325</v>
      </c>
      <c r="AN3" s="280">
        <f t="shared" si="8"/>
        <v>1275</v>
      </c>
      <c r="AO3" s="280">
        <f t="shared" si="8"/>
        <v>50</v>
      </c>
      <c r="AP3" s="279">
        <f t="shared" ref="AP3:AR3" si="9">AJ3-AM3</f>
        <v>-1325</v>
      </c>
      <c r="AQ3" s="279">
        <f t="shared" si="9"/>
        <v>-1275</v>
      </c>
      <c r="AR3" s="279">
        <f t="shared" si="9"/>
        <v>-50</v>
      </c>
      <c r="AS3" s="281"/>
      <c r="AT3" s="279">
        <f t="shared" ref="AT3:AY3" si="10">SUM(AT5,AT12)</f>
        <v>2425</v>
      </c>
      <c r="AU3" s="279">
        <f t="shared" si="10"/>
        <v>2425</v>
      </c>
      <c r="AV3" s="279">
        <f t="shared" si="10"/>
        <v>0</v>
      </c>
      <c r="AW3" s="280">
        <f t="shared" si="10"/>
        <v>610</v>
      </c>
      <c r="AX3" s="280">
        <f t="shared" si="10"/>
        <v>610</v>
      </c>
      <c r="AY3" s="280">
        <f t="shared" si="10"/>
        <v>0</v>
      </c>
      <c r="AZ3" s="279">
        <f t="shared" ref="AZ3:BB3" si="11">AT3-AW3</f>
        <v>1815</v>
      </c>
      <c r="BA3" s="279">
        <f t="shared" si="11"/>
        <v>1815</v>
      </c>
      <c r="BB3" s="279">
        <f t="shared" si="11"/>
        <v>0</v>
      </c>
      <c r="BC3" s="281"/>
      <c r="BD3" s="279">
        <f t="shared" ref="BD3:BI3" si="12">SUM(BD5,BD12)</f>
        <v>2425</v>
      </c>
      <c r="BE3" s="279">
        <f t="shared" si="12"/>
        <v>2425</v>
      </c>
      <c r="BF3" s="279">
        <f t="shared" si="12"/>
        <v>0</v>
      </c>
      <c r="BG3" s="280">
        <f t="shared" si="12"/>
        <v>442</v>
      </c>
      <c r="BH3" s="280">
        <f t="shared" si="12"/>
        <v>442</v>
      </c>
      <c r="BI3" s="280">
        <f t="shared" si="12"/>
        <v>0</v>
      </c>
      <c r="BJ3" s="279">
        <f t="shared" ref="BJ3:BL3" si="13">BD3-BG3</f>
        <v>1983</v>
      </c>
      <c r="BK3" s="279">
        <f t="shared" si="13"/>
        <v>1983</v>
      </c>
      <c r="BL3" s="279">
        <f t="shared" si="13"/>
        <v>0</v>
      </c>
    </row>
    <row r="4">
      <c r="A4" s="282"/>
      <c r="B4" s="283"/>
      <c r="C4" s="283"/>
      <c r="D4" s="283"/>
      <c r="E4" s="282"/>
      <c r="F4" s="284"/>
      <c r="G4" s="284"/>
      <c r="H4" s="284"/>
      <c r="I4" s="285"/>
      <c r="J4" s="285"/>
      <c r="K4" s="285"/>
      <c r="L4" s="286"/>
      <c r="M4" s="286"/>
      <c r="N4" s="286"/>
      <c r="O4" s="287"/>
      <c r="P4" s="284"/>
      <c r="Q4" s="284"/>
      <c r="R4" s="284"/>
      <c r="S4" s="285"/>
      <c r="T4" s="285"/>
      <c r="U4" s="285"/>
      <c r="V4" s="286"/>
      <c r="W4" s="286"/>
      <c r="X4" s="286"/>
      <c r="Y4" s="287"/>
      <c r="Z4" s="284"/>
      <c r="AA4" s="284"/>
      <c r="AB4" s="284"/>
      <c r="AC4" s="285"/>
      <c r="AD4" s="285"/>
      <c r="AE4" s="285"/>
      <c r="AF4" s="286"/>
      <c r="AG4" s="286"/>
      <c r="AH4" s="286"/>
      <c r="AI4" s="287"/>
      <c r="AJ4" s="284"/>
      <c r="AK4" s="284"/>
      <c r="AL4" s="284"/>
      <c r="AM4" s="285"/>
      <c r="AN4" s="285"/>
      <c r="AO4" s="285"/>
      <c r="AP4" s="286"/>
      <c r="AQ4" s="286"/>
      <c r="AR4" s="286"/>
      <c r="AS4" s="287"/>
      <c r="AT4" s="284"/>
      <c r="AU4" s="284"/>
      <c r="AV4" s="284"/>
      <c r="AW4" s="285"/>
      <c r="AX4" s="285"/>
      <c r="AY4" s="285"/>
      <c r="AZ4" s="286"/>
      <c r="BA4" s="286"/>
      <c r="BB4" s="286"/>
      <c r="BC4" s="287"/>
      <c r="BD4" s="284"/>
      <c r="BE4" s="284"/>
      <c r="BF4" s="284"/>
      <c r="BG4" s="285"/>
      <c r="BH4" s="285"/>
      <c r="BI4" s="285"/>
      <c r="BJ4" s="286"/>
      <c r="BK4" s="286"/>
      <c r="BL4" s="286"/>
    </row>
    <row r="5">
      <c r="A5" s="253" t="s">
        <v>1226</v>
      </c>
      <c r="B5" s="288">
        <f t="shared" ref="B5:D5" si="14">SUM(B7:B10)</f>
        <v>245</v>
      </c>
      <c r="C5" s="288">
        <f t="shared" si="14"/>
        <v>209</v>
      </c>
      <c r="D5" s="288">
        <f t="shared" si="14"/>
        <v>36</v>
      </c>
      <c r="E5" s="282"/>
      <c r="F5" s="289">
        <f t="shared" ref="F5:K5" si="15">SUM(F7:F10)</f>
        <v>0</v>
      </c>
      <c r="G5" s="289">
        <f t="shared" si="15"/>
        <v>0</v>
      </c>
      <c r="H5" s="289">
        <f t="shared" si="15"/>
        <v>0</v>
      </c>
      <c r="I5" s="290">
        <f t="shared" si="15"/>
        <v>15082</v>
      </c>
      <c r="J5" s="290">
        <f t="shared" si="15"/>
        <v>14862</v>
      </c>
      <c r="K5" s="290">
        <f t="shared" si="15"/>
        <v>220</v>
      </c>
      <c r="L5" s="291">
        <f t="shared" ref="L5:N5" si="16">F5-I5</f>
        <v>-15082</v>
      </c>
      <c r="M5" s="291">
        <f t="shared" si="16"/>
        <v>-14862</v>
      </c>
      <c r="N5" s="291">
        <f t="shared" si="16"/>
        <v>-220</v>
      </c>
      <c r="O5" s="292"/>
      <c r="P5" s="289">
        <f t="shared" ref="P5:U5" si="17">SUM(P7:P10)</f>
        <v>0</v>
      </c>
      <c r="Q5" s="289">
        <f t="shared" si="17"/>
        <v>0</v>
      </c>
      <c r="R5" s="289">
        <f t="shared" si="17"/>
        <v>0</v>
      </c>
      <c r="S5" s="290">
        <f t="shared" si="17"/>
        <v>0</v>
      </c>
      <c r="T5" s="290">
        <f t="shared" si="17"/>
        <v>0</v>
      </c>
      <c r="U5" s="290">
        <f t="shared" si="17"/>
        <v>0</v>
      </c>
      <c r="V5" s="291">
        <f t="shared" ref="V5:X5" si="18">P5-S5</f>
        <v>0</v>
      </c>
      <c r="W5" s="291">
        <f t="shared" si="18"/>
        <v>0</v>
      </c>
      <c r="X5" s="291">
        <f t="shared" si="18"/>
        <v>0</v>
      </c>
      <c r="Y5" s="292"/>
      <c r="Z5" s="289">
        <f t="shared" ref="Z5:AE5" si="19">SUM(Z7:Z10)</f>
        <v>0</v>
      </c>
      <c r="AA5" s="289">
        <f t="shared" si="19"/>
        <v>0</v>
      </c>
      <c r="AB5" s="289">
        <f t="shared" si="19"/>
        <v>0</v>
      </c>
      <c r="AC5" s="290">
        <f t="shared" si="19"/>
        <v>0</v>
      </c>
      <c r="AD5" s="290">
        <f t="shared" si="19"/>
        <v>0</v>
      </c>
      <c r="AE5" s="290">
        <f t="shared" si="19"/>
        <v>0</v>
      </c>
      <c r="AF5" s="291">
        <f t="shared" ref="AF5:AH5" si="20">Z5-AC5</f>
        <v>0</v>
      </c>
      <c r="AG5" s="291">
        <f t="shared" si="20"/>
        <v>0</v>
      </c>
      <c r="AH5" s="291">
        <f t="shared" si="20"/>
        <v>0</v>
      </c>
      <c r="AI5" s="292"/>
      <c r="AJ5" s="289">
        <f t="shared" ref="AJ5:AO5" si="21">SUM(AJ7:AJ10)</f>
        <v>0</v>
      </c>
      <c r="AK5" s="289">
        <f t="shared" si="21"/>
        <v>0</v>
      </c>
      <c r="AL5" s="289">
        <f t="shared" si="21"/>
        <v>0</v>
      </c>
      <c r="AM5" s="290">
        <f t="shared" si="21"/>
        <v>900</v>
      </c>
      <c r="AN5" s="290">
        <f t="shared" si="21"/>
        <v>850</v>
      </c>
      <c r="AO5" s="290">
        <f t="shared" si="21"/>
        <v>50</v>
      </c>
      <c r="AP5" s="291">
        <f t="shared" ref="AP5:AR5" si="22">AJ5-AM5</f>
        <v>-900</v>
      </c>
      <c r="AQ5" s="291">
        <f t="shared" si="22"/>
        <v>-850</v>
      </c>
      <c r="AR5" s="291">
        <f t="shared" si="22"/>
        <v>-50</v>
      </c>
      <c r="AS5" s="292"/>
      <c r="AT5" s="289">
        <f t="shared" ref="AT5:AY5" si="23">SUM(AT7:AT10)</f>
        <v>0</v>
      </c>
      <c r="AU5" s="289">
        <f t="shared" si="23"/>
        <v>0</v>
      </c>
      <c r="AV5" s="289">
        <f t="shared" si="23"/>
        <v>0</v>
      </c>
      <c r="AW5" s="290">
        <f t="shared" si="23"/>
        <v>560</v>
      </c>
      <c r="AX5" s="290">
        <f t="shared" si="23"/>
        <v>560</v>
      </c>
      <c r="AY5" s="290">
        <f t="shared" si="23"/>
        <v>0</v>
      </c>
      <c r="AZ5" s="291">
        <f t="shared" ref="AZ5:BB5" si="24">AT5-AW5</f>
        <v>-560</v>
      </c>
      <c r="BA5" s="291">
        <f t="shared" si="24"/>
        <v>-560</v>
      </c>
      <c r="BB5" s="291">
        <f t="shared" si="24"/>
        <v>0</v>
      </c>
      <c r="BC5" s="292"/>
      <c r="BD5" s="289">
        <f t="shared" ref="BD5:BI5" si="25">SUM(BD7:BD10)</f>
        <v>0</v>
      </c>
      <c r="BE5" s="289">
        <f t="shared" si="25"/>
        <v>0</v>
      </c>
      <c r="BF5" s="289">
        <f t="shared" si="25"/>
        <v>0</v>
      </c>
      <c r="BG5" s="290">
        <f t="shared" si="25"/>
        <v>312</v>
      </c>
      <c r="BH5" s="290">
        <f t="shared" si="25"/>
        <v>312</v>
      </c>
      <c r="BI5" s="290">
        <f t="shared" si="25"/>
        <v>0</v>
      </c>
      <c r="BJ5" s="291">
        <f t="shared" ref="BJ5:BL5" si="26">BD5-BG5</f>
        <v>-312</v>
      </c>
      <c r="BK5" s="291">
        <f t="shared" si="26"/>
        <v>-312</v>
      </c>
      <c r="BL5" s="291">
        <f t="shared" si="26"/>
        <v>0</v>
      </c>
    </row>
    <row r="6">
      <c r="A6" s="282"/>
      <c r="B6" s="293"/>
      <c r="C6" s="293"/>
      <c r="D6" s="293"/>
      <c r="E6" s="282"/>
      <c r="F6" s="294"/>
      <c r="G6" s="294"/>
      <c r="H6" s="294"/>
      <c r="I6" s="295"/>
      <c r="J6" s="295"/>
      <c r="K6" s="295"/>
      <c r="L6" s="296"/>
      <c r="M6" s="296"/>
      <c r="N6" s="296"/>
      <c r="O6" s="292"/>
      <c r="P6" s="294"/>
      <c r="Q6" s="294"/>
      <c r="R6" s="294"/>
      <c r="S6" s="295"/>
      <c r="T6" s="295"/>
      <c r="U6" s="295"/>
      <c r="V6" s="296"/>
      <c r="W6" s="296"/>
      <c r="X6" s="296"/>
      <c r="Y6" s="292"/>
      <c r="Z6" s="294"/>
      <c r="AA6" s="294"/>
      <c r="AB6" s="294"/>
      <c r="AC6" s="295"/>
      <c r="AD6" s="295"/>
      <c r="AE6" s="295"/>
      <c r="AF6" s="296"/>
      <c r="AG6" s="296"/>
      <c r="AH6" s="296"/>
      <c r="AI6" s="292"/>
      <c r="AJ6" s="294"/>
      <c r="AK6" s="294"/>
      <c r="AL6" s="294"/>
      <c r="AM6" s="295"/>
      <c r="AN6" s="295"/>
      <c r="AO6" s="295"/>
      <c r="AP6" s="296"/>
      <c r="AQ6" s="296"/>
      <c r="AR6" s="296"/>
      <c r="AS6" s="292"/>
      <c r="AT6" s="294"/>
      <c r="AU6" s="294"/>
      <c r="AV6" s="294"/>
      <c r="AW6" s="295"/>
      <c r="AX6" s="295"/>
      <c r="AY6" s="295"/>
      <c r="AZ6" s="296"/>
      <c r="BA6" s="296"/>
      <c r="BB6" s="296"/>
      <c r="BC6" s="292"/>
      <c r="BD6" s="294"/>
      <c r="BE6" s="294"/>
      <c r="BF6" s="294"/>
      <c r="BG6" s="295"/>
      <c r="BH6" s="295"/>
      <c r="BI6" s="295"/>
      <c r="BJ6" s="296"/>
      <c r="BK6" s="296"/>
      <c r="BL6" s="296"/>
    </row>
    <row r="7">
      <c r="A7" s="297" t="s">
        <v>54</v>
      </c>
      <c r="B7" s="298">
        <f>COUNTIF(Hospitais_BD!E:E,A7)</f>
        <v>35</v>
      </c>
      <c r="C7" s="298">
        <f>COUNTIFS(Hospitais_BD!E:E,A7,Hospitais_BD!I:I,C2)</f>
        <v>28</v>
      </c>
      <c r="D7" s="298">
        <f>COUNTIFS(Hospitais_BD!E:E,A7,Hospitais_BD!I:I,D2)</f>
        <v>7</v>
      </c>
      <c r="E7" s="282"/>
      <c r="F7" s="299">
        <f>IFERROR(__xludf.DUMMYFUNCTION("SUM(QUERY(Hospitais_BD!E:Q,""select N where E='""&amp;A7&amp;""'"",1))"),0.0)</f>
        <v>0</v>
      </c>
      <c r="G7" s="299">
        <f>IFERROR(__xludf.DUMMYFUNCTION("SUM(QUERY(Hospitais_BD!E:Q,""select N where E='""&amp;A7&amp;""' and I = '""&amp;G2&amp;""'"",1))"),0.0)</f>
        <v>0</v>
      </c>
      <c r="H7" s="300">
        <f>IFERROR(__xludf.DUMMYFUNCTION("SUM(QUERY(Hospitais_BD!E:Q,""select N where E='""&amp;A7&amp;""' and I= '""&amp;H2&amp;""'"",1))"),0.0)</f>
        <v>0</v>
      </c>
      <c r="I7" s="301">
        <f>IFERROR(__xludf.DUMMYFUNCTION("SUM(QUERY(Hospitais_BD!E:Y,""select T where E='""&amp;A7&amp;""'"",1))"),2110.0)</f>
        <v>2110</v>
      </c>
      <c r="J7" s="301">
        <f>IFERROR(__xludf.DUMMYFUNCTION("SUM(QUERY(Hospitais_BD!E:W,""select T where E='""&amp;A7&amp;""' and I= '""&amp;J2&amp;""'"",1))"),2040.0)</f>
        <v>2040</v>
      </c>
      <c r="K7" s="301">
        <f>IFERROR(__xludf.DUMMYFUNCTION("SUM(QUERY(Hospitais_BD!E:W,""select T where E='""&amp;A7&amp;""' and I= '""&amp;K2&amp;""'"",1))"),70.0)</f>
        <v>70</v>
      </c>
      <c r="L7" s="296">
        <f t="shared" ref="L7:N7" si="27">F7-I7</f>
        <v>-2110</v>
      </c>
      <c r="M7" s="296">
        <f t="shared" si="27"/>
        <v>-2040</v>
      </c>
      <c r="N7" s="296">
        <f t="shared" si="27"/>
        <v>-70</v>
      </c>
      <c r="O7" s="292"/>
      <c r="P7" s="299">
        <f>IFERROR(__xludf.DUMMYFUNCTION("SUM(QUERY(Hospitais_BD!E:Q,""select O where E='""&amp;A7&amp;""'"",1))"),0.0)</f>
        <v>0</v>
      </c>
      <c r="Q7" s="299">
        <f>IFERROR(__xludf.DUMMYFUNCTION("SUM(QUERY(Hospitais_BD!E:Q,""select O where E='""&amp;A7&amp;""' and I = '""&amp;Q2&amp;""'"",1))"),0.0)</f>
        <v>0</v>
      </c>
      <c r="R7" s="300">
        <f>IFERROR(__xludf.DUMMYFUNCTION("SUM(QUERY(Hospitais_BD!E:Q,""select O where E='""&amp;A7&amp;""' and I = '""&amp;R2&amp;""'"",1))"),0.0)</f>
        <v>0</v>
      </c>
      <c r="S7" s="301">
        <f>IFERROR(__xludf.DUMMYFUNCTION("SUM(QUERY(Hospitais_BD!E:Y,""select U where E='""&amp;A7&amp;""'"",1))"),0.0)</f>
        <v>0</v>
      </c>
      <c r="T7" s="301">
        <f>IFERROR(__xludf.DUMMYFUNCTION("SUM(QUERY(Hospitais_BD!E:Y,""select U where E='""&amp;A7&amp;""' and I= '""&amp;T2&amp;""'"",1))"),0.0)</f>
        <v>0</v>
      </c>
      <c r="U7" s="301">
        <f>IFERROR(__xludf.DUMMYFUNCTION("SUM(QUERY(Hospitais_BD!E:Y,""select U where E='""&amp;A7&amp;""' and I= '""&amp;U2&amp;""'"",1))"),0.0)</f>
        <v>0</v>
      </c>
      <c r="V7" s="296">
        <f t="shared" ref="V7:X7" si="28">P7-S7</f>
        <v>0</v>
      </c>
      <c r="W7" s="296">
        <f t="shared" si="28"/>
        <v>0</v>
      </c>
      <c r="X7" s="296">
        <f t="shared" si="28"/>
        <v>0</v>
      </c>
      <c r="Y7" s="292"/>
      <c r="Z7" s="299">
        <f>IFERROR(__xludf.DUMMYFUNCTION("SUM(QUERY(Hospitais_BD!E:Q,""select P where E='""&amp;A7&amp;""'"",1))"),0.0)</f>
        <v>0</v>
      </c>
      <c r="AA7" s="300">
        <f>IFERROR(__xludf.DUMMYFUNCTION("SUM(QUERY(Hospitais_BD!E:Q,""select P where E='""&amp;A7&amp;""' and I = '""&amp;AA2&amp;""'"",1))"),0.0)</f>
        <v>0</v>
      </c>
      <c r="AB7" s="300">
        <f>IFERROR(__xludf.DUMMYFUNCTION("SUM(QUERY(Hospitais_BD!E:Q,""select P where E='""&amp;A14&amp;""' and I = '""&amp;AB2&amp;""'"",1))"),0.0)</f>
        <v>0</v>
      </c>
      <c r="AC7" s="301">
        <f>IFERROR(__xludf.DUMMYFUNCTION("SUM(QUERY(Hospitais_BD!E:Y,""select V where E='""&amp;A7&amp;""'"",1))"),0.0)</f>
        <v>0</v>
      </c>
      <c r="AD7" s="301">
        <f>IFERROR(__xludf.DUMMYFUNCTION("SUM(QUERY(Hospitais_BD!E:Y,""select V where E='""&amp;A7&amp;""' and I= '""&amp;AD2&amp;""'"",1))"),0.0)</f>
        <v>0</v>
      </c>
      <c r="AE7" s="301">
        <f>IFERROR(__xludf.DUMMYFUNCTION("SUM(QUERY(Hospitais_BD!E:Y,""select V where E='""&amp;A7&amp;""' and I= '""&amp;AE2&amp;""'"",1))"),0.0)</f>
        <v>0</v>
      </c>
      <c r="AF7" s="296">
        <f t="shared" ref="AF7:AH7" si="29">Z7-AC7</f>
        <v>0</v>
      </c>
      <c r="AG7" s="296">
        <f t="shared" si="29"/>
        <v>0</v>
      </c>
      <c r="AH7" s="296">
        <f t="shared" si="29"/>
        <v>0</v>
      </c>
      <c r="AI7" s="292"/>
      <c r="AJ7" s="299">
        <f>IFERROR(__xludf.DUMMYFUNCTION("SUM(QUERY(Hospitais_BD!E:Q,""select Q where E='""&amp;A7&amp;""'"",1))"),0.0)</f>
        <v>0</v>
      </c>
      <c r="AK7" s="299">
        <f>IFERROR(__xludf.DUMMYFUNCTION("SUM(QUERY(Hospitais_BD!E:Q,""select Q where E='""&amp;A7&amp;""' and I = '""&amp;AK2&amp;""'"",1))"),0.0)</f>
        <v>0</v>
      </c>
      <c r="AL7" s="300">
        <f>IFERROR(__xludf.DUMMYFUNCTION("SUM(QUERY(Hospitais_BD!E:Q,""select Q where E='""&amp;A7&amp;""' and I = '""&amp;AL2&amp;""'"",1))"),0.0)</f>
        <v>0</v>
      </c>
      <c r="AM7" s="301">
        <f>IFERROR(__xludf.DUMMYFUNCTION("SUM(QUERY(Hospitais_BD!E:Y,""select W where E='""&amp;A7&amp;""'"",1))"),0.0)</f>
        <v>0</v>
      </c>
      <c r="AN7" s="301">
        <f>IFERROR(__xludf.DUMMYFUNCTION("SUM(QUERY(Hospitais_BD!E:Y,""select W where E='""&amp;A7&amp;""' and I= '""&amp;AN2&amp;""'"",1))"),0.0)</f>
        <v>0</v>
      </c>
      <c r="AO7" s="301">
        <f>IFERROR(__xludf.DUMMYFUNCTION("SUM(QUERY(Hospitais_BD!E:Y,""select W where E='""&amp;A7&amp;""' and I= '""&amp;AO2&amp;""'"",1))"),0.0)</f>
        <v>0</v>
      </c>
      <c r="AP7" s="296">
        <f t="shared" ref="AP7:AR7" si="30">AJ7-AM7</f>
        <v>0</v>
      </c>
      <c r="AQ7" s="296">
        <f t="shared" si="30"/>
        <v>0</v>
      </c>
      <c r="AR7" s="296">
        <f t="shared" si="30"/>
        <v>0</v>
      </c>
      <c r="AS7" s="292"/>
      <c r="AT7" s="299">
        <f>IFERROR(__xludf.DUMMYFUNCTION("SUM(QUERY(Hospitais_BD!E:R,""select R where E='""&amp;A7&amp;""'"",1))"),0.0)</f>
        <v>0</v>
      </c>
      <c r="AU7" s="299">
        <f>IFERROR(__xludf.DUMMYFUNCTION("SUM(QUERY(Hospitais_BD!E:R,""select R where E='""&amp;A7&amp;""' and I = '""&amp;AU2&amp;""'"",1))"),0.0)</f>
        <v>0</v>
      </c>
      <c r="AV7" s="300">
        <f>IFERROR(__xludf.DUMMYFUNCTION("SUM(QUERY(Hospitais_BD!E:R,""select R where E='""&amp;A7&amp;""' and I = '""&amp;AV2&amp;""'"",1))"),0.0)</f>
        <v>0</v>
      </c>
      <c r="AW7" s="301">
        <f>IFERROR(__xludf.DUMMYFUNCTION("SUM(QUERY(Hospitais_BD!E:Y,""select X where E='""&amp;A7&amp;""'"",1))"),35.0)</f>
        <v>35</v>
      </c>
      <c r="AX7" s="301">
        <f>IFERROR(__xludf.DUMMYFUNCTION("SUM(QUERY(Hospitais_BD!E:Y,""select X where E='""&amp;A7&amp;""' and I = '""&amp;AX2&amp;""'"",1))"),35.0)</f>
        <v>35</v>
      </c>
      <c r="AY7" s="301">
        <f>IFERROR(__xludf.DUMMYFUNCTION("SUM(QUERY(Hospitais_BD!E:Y,""select X where E='""&amp;A7&amp;""' and I = '""&amp;AY2&amp;""'"",1))"),0.0)</f>
        <v>0</v>
      </c>
      <c r="AZ7" s="296">
        <f t="shared" ref="AZ7:BB7" si="31">AT7-AW7</f>
        <v>-35</v>
      </c>
      <c r="BA7" s="296">
        <f t="shared" si="31"/>
        <v>-35</v>
      </c>
      <c r="BB7" s="296">
        <f t="shared" si="31"/>
        <v>0</v>
      </c>
      <c r="BC7" s="292"/>
      <c r="BD7" s="299">
        <f>IFERROR(__xludf.DUMMYFUNCTION("SUM(QUERY(Hospitais_BD!E:S,""select S where E='""&amp;A7&amp;""'"",1))"),0.0)</f>
        <v>0</v>
      </c>
      <c r="BE7" s="299">
        <f>IFERROR(__xludf.DUMMYFUNCTION("SUM(QUERY(Hospitais_BD!E:S,""select S where E='""&amp;A7&amp;""' and I = '""&amp;BE2&amp;""'"",1))"),0.0)</f>
        <v>0</v>
      </c>
      <c r="BF7" s="300">
        <f>IFERROR(__xludf.DUMMYFUNCTION("SUM(QUERY(Hospitais_BD!E:S,""select S where E='""&amp;A7&amp;""' and I = '""&amp;BF2&amp;""'"",1))"),0.0)</f>
        <v>0</v>
      </c>
      <c r="BG7" s="301">
        <f>IFERROR(__xludf.DUMMYFUNCTION("SUM(QUERY(Hospitais_BD!E:Y,""select Y where E='""&amp;A7&amp;""'"",1))"),19.5)</f>
        <v>19.5</v>
      </c>
      <c r="BH7" s="301">
        <f>IFERROR(__xludf.DUMMYFUNCTION("SUM(QUERY(Hospitais_BD!E:Y,""select Y where E='""&amp;A7&amp;""' and I = '""&amp;BH2&amp;""'"",1))"),19.5)</f>
        <v>19.5</v>
      </c>
      <c r="BI7" s="301">
        <f>IFERROR(__xludf.DUMMYFUNCTION("SUM(QUERY(Hospitais_BD!E:Y,""select Y where E='""&amp;A7&amp;""' and I = '""&amp;BI2&amp;""'"",1))"),0.0)</f>
        <v>0</v>
      </c>
      <c r="BJ7" s="296">
        <f t="shared" ref="BJ7:BL7" si="32">BD7-BG7</f>
        <v>-19.5</v>
      </c>
      <c r="BK7" s="296">
        <f t="shared" si="32"/>
        <v>-19.5</v>
      </c>
      <c r="BL7" s="296">
        <f t="shared" si="32"/>
        <v>0</v>
      </c>
    </row>
    <row r="8">
      <c r="A8" s="297" t="s">
        <v>44</v>
      </c>
      <c r="B8" s="298">
        <f>COUNTIF(Hospitais_BD!E:E,A8)</f>
        <v>65</v>
      </c>
      <c r="C8" s="298">
        <f>COUNTIFS(Hospitais_BD!E:E,A8,Hospitais_BD!I:I,C2)</f>
        <v>55</v>
      </c>
      <c r="D8" s="298">
        <f>COUNTIFS(Hospitais_BD!E:E,A8,Hospitais_BD!I:I,D2)</f>
        <v>10</v>
      </c>
      <c r="E8" s="282"/>
      <c r="F8" s="299">
        <f>IFERROR(__xludf.DUMMYFUNCTION("SUM(QUERY(Hospitais_BD!E:Q,""select N where E='""&amp;A8&amp;""'"",1))"),0.0)</f>
        <v>0</v>
      </c>
      <c r="G8" s="299">
        <f>IFERROR(__xludf.DUMMYFUNCTION("SUM(QUERY(Hospitais_BD!E:Q,""select N where E='""&amp;A8&amp;""' and I = '""&amp;G2&amp;""'"",1))"),0.0)</f>
        <v>0</v>
      </c>
      <c r="H8" s="300">
        <f>IFERROR(__xludf.DUMMYFUNCTION("SUM(QUERY(Hospitais_BD!E:Q,""select N where E='""&amp;A8&amp;""' and I= '""&amp;H2&amp;""'"",1))"),0.0)</f>
        <v>0</v>
      </c>
      <c r="I8" s="301">
        <f>IFERROR(__xludf.DUMMYFUNCTION("SUM(QUERY(Hospitais_BD!E:Y,""select T where E='""&amp;A8&amp;""'"",1))"),5515.0)</f>
        <v>5515</v>
      </c>
      <c r="J8" s="301">
        <f>IFERROR(__xludf.DUMMYFUNCTION("SUM(QUERY(Hospitais_BD!E:W,""select T where E='""&amp;A8&amp;""' and I= '""&amp;J2&amp;""'"",1))"),5465.0)</f>
        <v>5465</v>
      </c>
      <c r="K8" s="301">
        <f>IFERROR(__xludf.DUMMYFUNCTION("SUM(QUERY(Hospitais_BD!E:W,""select T where E='""&amp;A8&amp;""' and I= '""&amp;K2&amp;""'"",1))"),50.0)</f>
        <v>50</v>
      </c>
      <c r="L8" s="296">
        <f t="shared" ref="L8:N8" si="33">F8-I8</f>
        <v>-5515</v>
      </c>
      <c r="M8" s="296">
        <f t="shared" si="33"/>
        <v>-5465</v>
      </c>
      <c r="N8" s="296">
        <f t="shared" si="33"/>
        <v>-50</v>
      </c>
      <c r="O8" s="292"/>
      <c r="P8" s="299">
        <f>IFERROR(__xludf.DUMMYFUNCTION("SUM(QUERY(Hospitais_BD!E:Q,""select O where E='""&amp;A8&amp;""'"",1))"),0.0)</f>
        <v>0</v>
      </c>
      <c r="Q8" s="299">
        <f>IFERROR(__xludf.DUMMYFUNCTION("SUM(QUERY(Hospitais_BD!E:Q,""select O where E='""&amp;A8&amp;""' and I = '""&amp;Q2&amp;""'"",1))"),0.0)</f>
        <v>0</v>
      </c>
      <c r="R8" s="300">
        <f>IFERROR(__xludf.DUMMYFUNCTION("SUM(QUERY(Hospitais_BD!E:Q,""select O where E='""&amp;A8&amp;""' and I = '""&amp;R2&amp;""'"",1))"),0.0)</f>
        <v>0</v>
      </c>
      <c r="S8" s="301">
        <f>IFERROR(__xludf.DUMMYFUNCTION("SUM(QUERY(Hospitais_BD!E:Y,""select U where E='""&amp;A8&amp;""'"",1))"),0.0)</f>
        <v>0</v>
      </c>
      <c r="T8" s="301">
        <f>IFERROR(__xludf.DUMMYFUNCTION("SUM(QUERY(Hospitais_BD!E:Y,""select U where E='""&amp;A8&amp;""' and I= '""&amp;T2&amp;""'"",1))"),0.0)</f>
        <v>0</v>
      </c>
      <c r="U8" s="301">
        <f>IFERROR(__xludf.DUMMYFUNCTION("SUM(QUERY(Hospitais_BD!E:Y,""select U where E='""&amp;A8&amp;""' and I= '""&amp;U2&amp;""'"",1))"),0.0)</f>
        <v>0</v>
      </c>
      <c r="V8" s="296">
        <f t="shared" ref="V8:X8" si="34">P8-S8</f>
        <v>0</v>
      </c>
      <c r="W8" s="296">
        <f t="shared" si="34"/>
        <v>0</v>
      </c>
      <c r="X8" s="296">
        <f t="shared" si="34"/>
        <v>0</v>
      </c>
      <c r="Y8" s="292"/>
      <c r="Z8" s="299">
        <f>IFERROR(__xludf.DUMMYFUNCTION("SUM(QUERY(Hospitais_BD!E:Q,""select P where E='""&amp;A8&amp;""'"",1))"),0.0)</f>
        <v>0</v>
      </c>
      <c r="AA8" s="300">
        <f>IFERROR(__xludf.DUMMYFUNCTION("SUM(QUERY(Hospitais_BD!E:Q,""select P where E='""&amp;A8&amp;""' and I = '""&amp;AA2&amp;""'"",1))"),0.0)</f>
        <v>0</v>
      </c>
      <c r="AB8" s="300">
        <f>IFERROR(__xludf.DUMMYFUNCTION("SUM(QUERY(Hospitais_BD!E:Q,""select P where E='""&amp;A15&amp;""' and I = '""&amp;AB2&amp;""'"",1))"),0.0)</f>
        <v>0</v>
      </c>
      <c r="AC8" s="301">
        <f>IFERROR(__xludf.DUMMYFUNCTION("SUM(QUERY(Hospitais_BD!E:Y,""select V where E='""&amp;A8&amp;""'"",1))"),0.0)</f>
        <v>0</v>
      </c>
      <c r="AD8" s="301">
        <f>IFERROR(__xludf.DUMMYFUNCTION("SUM(QUERY(Hospitais_BD!E:Y,""select V where E='""&amp;A8&amp;""' and I= '""&amp;AD2&amp;""'"",1))"),0.0)</f>
        <v>0</v>
      </c>
      <c r="AE8" s="301">
        <f>IFERROR(__xludf.DUMMYFUNCTION("SUM(QUERY(Hospitais_BD!E:Y,""select V where E='""&amp;A8&amp;""' and I= '""&amp;AE2&amp;""'"",1))"),0.0)</f>
        <v>0</v>
      </c>
      <c r="AF8" s="296">
        <f t="shared" ref="AF8:AH8" si="35">Z8-AC8</f>
        <v>0</v>
      </c>
      <c r="AG8" s="296">
        <f t="shared" si="35"/>
        <v>0</v>
      </c>
      <c r="AH8" s="296">
        <f t="shared" si="35"/>
        <v>0</v>
      </c>
      <c r="AI8" s="292"/>
      <c r="AJ8" s="299">
        <f>IFERROR(__xludf.DUMMYFUNCTION("SUM(QUERY(Hospitais_BD!E:Q,""select Q where E='""&amp;A8&amp;""'"",1))"),0.0)</f>
        <v>0</v>
      </c>
      <c r="AK8" s="299">
        <f>IFERROR(__xludf.DUMMYFUNCTION("SUM(QUERY(Hospitais_BD!E:Q,""select Q where E='""&amp;A8&amp;""' and I = '""&amp;AK2&amp;""'"",1))"),0.0)</f>
        <v>0</v>
      </c>
      <c r="AL8" s="300">
        <f>IFERROR(__xludf.DUMMYFUNCTION("SUM(QUERY(Hospitais_BD!E:Q,""select Q where E='""&amp;A8&amp;""' and I = '""&amp;AL2&amp;""'"",1))"),0.0)</f>
        <v>0</v>
      </c>
      <c r="AM8" s="301">
        <f>IFERROR(__xludf.DUMMYFUNCTION("SUM(QUERY(Hospitais_BD!E:Y,""select W where E='""&amp;A8&amp;""'"",1))"),175.0)</f>
        <v>175</v>
      </c>
      <c r="AN8" s="301">
        <f>IFERROR(__xludf.DUMMYFUNCTION("SUM(QUERY(Hospitais_BD!E:Y,""select W where E='""&amp;A8&amp;""' and I= '""&amp;AN2&amp;""'"",1))"),175.0)</f>
        <v>175</v>
      </c>
      <c r="AO8" s="301">
        <f>IFERROR(__xludf.DUMMYFUNCTION("SUM(QUERY(Hospitais_BD!E:Y,""select W where E='""&amp;A8&amp;""' and I= '""&amp;AO2&amp;""'"",1))"),0.0)</f>
        <v>0</v>
      </c>
      <c r="AP8" s="296">
        <f t="shared" ref="AP8:AR8" si="36">AJ8-AM8</f>
        <v>-175</v>
      </c>
      <c r="AQ8" s="296">
        <f t="shared" si="36"/>
        <v>-175</v>
      </c>
      <c r="AR8" s="296">
        <f t="shared" si="36"/>
        <v>0</v>
      </c>
      <c r="AS8" s="292"/>
      <c r="AT8" s="299">
        <f>IFERROR(__xludf.DUMMYFUNCTION("SUM(QUERY(Hospitais_BD!E:R,""select R where E='""&amp;A8&amp;""'"",1))"),0.0)</f>
        <v>0</v>
      </c>
      <c r="AU8" s="299">
        <f>IFERROR(__xludf.DUMMYFUNCTION("SUM(QUERY(Hospitais_BD!E:R,""select R where E='""&amp;A8&amp;""' and I = '""&amp;AU2&amp;""'"",1))"),0.0)</f>
        <v>0</v>
      </c>
      <c r="AV8" s="300">
        <f>IFERROR(__xludf.DUMMYFUNCTION("SUM(QUERY(Hospitais_BD!E:R,""select R where E='""&amp;A8&amp;""' and I = '""&amp;AV2&amp;""'"",1))"),0.0)</f>
        <v>0</v>
      </c>
      <c r="AW8" s="301">
        <f>IFERROR(__xludf.DUMMYFUNCTION("SUM(QUERY(Hospitais_BD!E:Y,""select X where E='""&amp;A8&amp;""'"",1))"),310.0)</f>
        <v>310</v>
      </c>
      <c r="AX8" s="301">
        <f>IFERROR(__xludf.DUMMYFUNCTION("SUM(QUERY(Hospitais_BD!E:Y,""select X where E='""&amp;A8&amp;""' and I = '""&amp;AX2&amp;""'"",1))"),310.0)</f>
        <v>310</v>
      </c>
      <c r="AY8" s="301">
        <f>IFERROR(__xludf.DUMMYFUNCTION("SUM(QUERY(Hospitais_BD!E:Y,""select X where E='""&amp;A8&amp;""' and I = '""&amp;AY2&amp;""'"",1))"),0.0)</f>
        <v>0</v>
      </c>
      <c r="AZ8" s="296">
        <f t="shared" ref="AZ8:BB8" si="37">AT8-AW8</f>
        <v>-310</v>
      </c>
      <c r="BA8" s="296">
        <f t="shared" si="37"/>
        <v>-310</v>
      </c>
      <c r="BB8" s="296">
        <f t="shared" si="37"/>
        <v>0</v>
      </c>
      <c r="BC8" s="292"/>
      <c r="BD8" s="299">
        <f>IFERROR(__xludf.DUMMYFUNCTION("SUM(QUERY(Hospitais_BD!E:S,""select S where E='""&amp;A8&amp;""'"",1))"),0.0)</f>
        <v>0</v>
      </c>
      <c r="BE8" s="299">
        <f>IFERROR(__xludf.DUMMYFUNCTION("SUM(QUERY(Hospitais_BD!E:S,""select S where E='""&amp;A8&amp;""' and I = '""&amp;BE2&amp;""'"",1))"),0.0)</f>
        <v>0</v>
      </c>
      <c r="BF8" s="300">
        <f>IFERROR(__xludf.DUMMYFUNCTION("SUM(QUERY(Hospitais_BD!E:S,""select S where E='""&amp;A8&amp;""' and I = '""&amp;BF2&amp;""'"",1))"),0.0)</f>
        <v>0</v>
      </c>
      <c r="BG8" s="301">
        <f>IFERROR(__xludf.DUMMYFUNCTION("SUM(QUERY(Hospitais_BD!E:Y,""select Y where E='""&amp;A8&amp;""'"",1))"),115.0)</f>
        <v>115</v>
      </c>
      <c r="BH8" s="301">
        <f>IFERROR(__xludf.DUMMYFUNCTION("SUM(QUERY(Hospitais_BD!E:Y,""select Y where E='""&amp;A8&amp;""' and I = '""&amp;BH2&amp;""'"",1))"),115.0)</f>
        <v>115</v>
      </c>
      <c r="BI8" s="301">
        <f>IFERROR(__xludf.DUMMYFUNCTION("SUM(QUERY(Hospitais_BD!E:Y,""select Y where E='""&amp;A8&amp;""' and I = '""&amp;BI2&amp;""'"",1))"),0.0)</f>
        <v>0</v>
      </c>
      <c r="BJ8" s="296">
        <f t="shared" ref="BJ8:BL8" si="38">BD8-BG8</f>
        <v>-115</v>
      </c>
      <c r="BK8" s="296">
        <f t="shared" si="38"/>
        <v>-115</v>
      </c>
      <c r="BL8" s="296">
        <f t="shared" si="38"/>
        <v>0</v>
      </c>
    </row>
    <row r="9">
      <c r="A9" s="297" t="s">
        <v>58</v>
      </c>
      <c r="B9" s="298">
        <f>COUNTIF(Hospitais_BD!E:E,A9)</f>
        <v>108</v>
      </c>
      <c r="C9" s="298">
        <f>COUNTIFS(Hospitais_BD!E:E,A9,Hospitais_BD!I:I,C2)</f>
        <v>91</v>
      </c>
      <c r="D9" s="298">
        <f>COUNTIFS(Hospitais_BD!E:E,A9,Hospitais_BD!I:I,D2)</f>
        <v>17</v>
      </c>
      <c r="E9" s="282"/>
      <c r="F9" s="299">
        <f>IFERROR(__xludf.DUMMYFUNCTION("SUM(QUERY(Hospitais_BD!E:Q,""select N where E='""&amp;A9&amp;""'"",1))"),0.0)</f>
        <v>0</v>
      </c>
      <c r="G9" s="299">
        <f>IFERROR(__xludf.DUMMYFUNCTION("SUM(QUERY(Hospitais_BD!E:Q,""select N where E='""&amp;A9&amp;""' and I = '""&amp;G2&amp;""'"",1))"),0.0)</f>
        <v>0</v>
      </c>
      <c r="H9" s="300">
        <f>IFERROR(__xludf.DUMMYFUNCTION("SUM(QUERY(Hospitais_BD!E:Q,""select N where E='""&amp;A9&amp;""' and I= '""&amp;H2&amp;""'"",1))"),0.0)</f>
        <v>0</v>
      </c>
      <c r="I9" s="301">
        <f>IFERROR(__xludf.DUMMYFUNCTION("SUM(QUERY(Hospitais_BD!E:Y,""select T where E='""&amp;A9&amp;""'"",1))"),5112.0)</f>
        <v>5112</v>
      </c>
      <c r="J9" s="301">
        <f>IFERROR(__xludf.DUMMYFUNCTION("SUM(QUERY(Hospitais_BD!E:W,""select T where E='""&amp;A9&amp;""' and I= '""&amp;J2&amp;""'"",1))"),5112.0)</f>
        <v>5112</v>
      </c>
      <c r="K9" s="301">
        <f>IFERROR(__xludf.DUMMYFUNCTION("SUM(QUERY(Hospitais_BD!E:W,""select T where E='""&amp;A9&amp;""' and I= '""&amp;K2&amp;""'"",1))"),0.0)</f>
        <v>0</v>
      </c>
      <c r="L9" s="296">
        <f t="shared" ref="L9:N9" si="39">F9-I9</f>
        <v>-5112</v>
      </c>
      <c r="M9" s="296">
        <f t="shared" si="39"/>
        <v>-5112</v>
      </c>
      <c r="N9" s="296">
        <f t="shared" si="39"/>
        <v>0</v>
      </c>
      <c r="O9" s="292"/>
      <c r="P9" s="299">
        <f>IFERROR(__xludf.DUMMYFUNCTION("SUM(QUERY(Hospitais_BD!E:Q,""select O where E='""&amp;A9&amp;""'"",1))"),0.0)</f>
        <v>0</v>
      </c>
      <c r="Q9" s="299">
        <f>IFERROR(__xludf.DUMMYFUNCTION("SUM(QUERY(Hospitais_BD!E:Q,""select O where E='""&amp;A9&amp;""' and I = '""&amp;Q2&amp;""'"",1))"),0.0)</f>
        <v>0</v>
      </c>
      <c r="R9" s="300">
        <f>IFERROR(__xludf.DUMMYFUNCTION("SUM(QUERY(Hospitais_BD!E:Q,""select O where E='""&amp;A9&amp;""' and I = '""&amp;R2&amp;""'"",1))"),0.0)</f>
        <v>0</v>
      </c>
      <c r="S9" s="301">
        <f>IFERROR(__xludf.DUMMYFUNCTION("SUM(QUERY(Hospitais_BD!E:Y,""select U where E='""&amp;A9&amp;""'"",1))"),0.0)</f>
        <v>0</v>
      </c>
      <c r="T9" s="301">
        <f>IFERROR(__xludf.DUMMYFUNCTION("SUM(QUERY(Hospitais_BD!E:Y,""select U where E='""&amp;A9&amp;""' and I= '""&amp;T2&amp;""'"",1))"),0.0)</f>
        <v>0</v>
      </c>
      <c r="U9" s="301">
        <f>IFERROR(__xludf.DUMMYFUNCTION("SUM(QUERY(Hospitais_BD!E:Y,""select U where E='""&amp;A9&amp;""' and I= '""&amp;U2&amp;""'"",1))"),0.0)</f>
        <v>0</v>
      </c>
      <c r="V9" s="296">
        <f t="shared" ref="V9:X9" si="40">P9-S9</f>
        <v>0</v>
      </c>
      <c r="W9" s="296">
        <f t="shared" si="40"/>
        <v>0</v>
      </c>
      <c r="X9" s="296">
        <f t="shared" si="40"/>
        <v>0</v>
      </c>
      <c r="Y9" s="292"/>
      <c r="Z9" s="299">
        <f>IFERROR(__xludf.DUMMYFUNCTION("SUM(QUERY(Hospitais_BD!E:Q,""select P where E='""&amp;A9&amp;""'"",1))"),0.0)</f>
        <v>0</v>
      </c>
      <c r="AA9" s="300">
        <f>IFERROR(__xludf.DUMMYFUNCTION("SUM(QUERY(Hospitais_BD!E:Q,""select P where E='""&amp;A9&amp;""' and I = '""&amp;AA2&amp;""'"",1))"),0.0)</f>
        <v>0</v>
      </c>
      <c r="AB9" s="300">
        <f>IFERROR(__xludf.DUMMYFUNCTION("SUM(QUERY(Hospitais_BD!E:Q,""select P where E='""&amp;A16&amp;""' and I = '""&amp;AB2&amp;""'"",1))"),0.0)</f>
        <v>0</v>
      </c>
      <c r="AC9" s="301">
        <f>IFERROR(__xludf.DUMMYFUNCTION("SUM(QUERY(Hospitais_BD!E:Y,""select V where E='""&amp;A9&amp;""'"",1))"),0.0)</f>
        <v>0</v>
      </c>
      <c r="AD9" s="301">
        <f>IFERROR(__xludf.DUMMYFUNCTION("SUM(QUERY(Hospitais_BD!E:Y,""select V where E='""&amp;A9&amp;""' and I= '""&amp;AD2&amp;""'"",1))"),0.0)</f>
        <v>0</v>
      </c>
      <c r="AE9" s="301">
        <f>IFERROR(__xludf.DUMMYFUNCTION("SUM(QUERY(Hospitais_BD!E:Y,""select V where E='""&amp;A9&amp;""' and I= '""&amp;AE2&amp;""'"",1))"),0.0)</f>
        <v>0</v>
      </c>
      <c r="AF9" s="296">
        <f t="shared" ref="AF9:AH9" si="41">Z9-AC9</f>
        <v>0</v>
      </c>
      <c r="AG9" s="296">
        <f t="shared" si="41"/>
        <v>0</v>
      </c>
      <c r="AH9" s="296">
        <f t="shared" si="41"/>
        <v>0</v>
      </c>
      <c r="AI9" s="292"/>
      <c r="AJ9" s="299">
        <f>IFERROR(__xludf.DUMMYFUNCTION("SUM(QUERY(Hospitais_BD!E:Q,""select Q where E='""&amp;A9&amp;""'"",1))"),0.0)</f>
        <v>0</v>
      </c>
      <c r="AK9" s="299">
        <f>IFERROR(__xludf.DUMMYFUNCTION("SUM(QUERY(Hospitais_BD!E:Q,""select Q where E='""&amp;A9&amp;""' and I = '""&amp;AK2&amp;""'"",1))"),0.0)</f>
        <v>0</v>
      </c>
      <c r="AL9" s="300">
        <f>IFERROR(__xludf.DUMMYFUNCTION("SUM(QUERY(Hospitais_BD!E:Q,""select Q where E='""&amp;A9&amp;""' and I = '""&amp;AL2&amp;""'"",1))"),0.0)</f>
        <v>0</v>
      </c>
      <c r="AM9" s="301">
        <f>IFERROR(__xludf.DUMMYFUNCTION("SUM(QUERY(Hospitais_BD!E:Y,""select W where E='""&amp;A9&amp;""'"",1))"),675.0)</f>
        <v>675</v>
      </c>
      <c r="AN9" s="301">
        <f>IFERROR(__xludf.DUMMYFUNCTION("SUM(QUERY(Hospitais_BD!E:Y,""select W where E='""&amp;A9&amp;""' and I= '""&amp;AN2&amp;""'"",1))"),675.0)</f>
        <v>675</v>
      </c>
      <c r="AO9" s="301">
        <f>IFERROR(__xludf.DUMMYFUNCTION("SUM(QUERY(Hospitais_BD!E:Y,""select W where E='""&amp;A9&amp;""' and I= '""&amp;AO2&amp;""'"",1))"),0.0)</f>
        <v>0</v>
      </c>
      <c r="AP9" s="296">
        <f t="shared" ref="AP9:AR9" si="42">AJ9-AM9</f>
        <v>-675</v>
      </c>
      <c r="AQ9" s="296">
        <f t="shared" si="42"/>
        <v>-675</v>
      </c>
      <c r="AR9" s="296">
        <f t="shared" si="42"/>
        <v>0</v>
      </c>
      <c r="AS9" s="292"/>
      <c r="AT9" s="299">
        <f>IFERROR(__xludf.DUMMYFUNCTION("SUM(QUERY(Hospitais_BD!E:R,""select R where E='""&amp;A9&amp;""'"",1))"),0.0)</f>
        <v>0</v>
      </c>
      <c r="AU9" s="299">
        <f>IFERROR(__xludf.DUMMYFUNCTION("SUM(QUERY(Hospitais_BD!E:R,""select R where E='""&amp;A9&amp;""' and I = '""&amp;AU2&amp;""'"",1))"),0.0)</f>
        <v>0</v>
      </c>
      <c r="AV9" s="300">
        <f>IFERROR(__xludf.DUMMYFUNCTION("SUM(QUERY(Hospitais_BD!E:R,""select R where E='""&amp;A9&amp;""' and I = '""&amp;AV2&amp;""'"",1))"),0.0)</f>
        <v>0</v>
      </c>
      <c r="AW9" s="301">
        <f>IFERROR(__xludf.DUMMYFUNCTION("SUM(QUERY(Hospitais_BD!E:Y,""select X where E='""&amp;A9&amp;""'"",1))"),205.0)</f>
        <v>205</v>
      </c>
      <c r="AX9" s="301">
        <f>IFERROR(__xludf.DUMMYFUNCTION("SUM(QUERY(Hospitais_BD!E:Y,""select X where E='""&amp;A9&amp;""' and I = '""&amp;AX2&amp;""'"",1))"),205.0)</f>
        <v>205</v>
      </c>
      <c r="AY9" s="301">
        <f>IFERROR(__xludf.DUMMYFUNCTION("SUM(QUERY(Hospitais_BD!E:Y,""select X where E='""&amp;A9&amp;""' and I = '""&amp;AY2&amp;""'"",1))"),0.0)</f>
        <v>0</v>
      </c>
      <c r="AZ9" s="296">
        <f t="shared" ref="AZ9:BB9" si="43">AT9-AW9</f>
        <v>-205</v>
      </c>
      <c r="BA9" s="296">
        <f t="shared" si="43"/>
        <v>-205</v>
      </c>
      <c r="BB9" s="296">
        <f t="shared" si="43"/>
        <v>0</v>
      </c>
      <c r="BC9" s="292"/>
      <c r="BD9" s="299">
        <f>IFERROR(__xludf.DUMMYFUNCTION("SUM(QUERY(Hospitais_BD!E:S,""select S where E='""&amp;A9&amp;""'"",1))"),0.0)</f>
        <v>0</v>
      </c>
      <c r="BE9" s="299">
        <f>IFERROR(__xludf.DUMMYFUNCTION("SUM(QUERY(Hospitais_BD!E:S,""select S where E='""&amp;A9&amp;""' and I = '""&amp;BE2&amp;""'"",1))"),0.0)</f>
        <v>0</v>
      </c>
      <c r="BF9" s="300">
        <f>IFERROR(__xludf.DUMMYFUNCTION("SUM(QUERY(Hospitais_BD!E:S,""select S where E='""&amp;A9&amp;""' and I = '""&amp;BF2&amp;""'"",1))"),0.0)</f>
        <v>0</v>
      </c>
      <c r="BG9" s="301">
        <f>IFERROR(__xludf.DUMMYFUNCTION("SUM(QUERY(Hospitais_BD!E:Y,""select Y where E='""&amp;A9&amp;""'"",1))"),145.5)</f>
        <v>145.5</v>
      </c>
      <c r="BH9" s="301">
        <f>IFERROR(__xludf.DUMMYFUNCTION("SUM(QUERY(Hospitais_BD!E:Y,""select Y where E='""&amp;A9&amp;""' and I = '""&amp;BH2&amp;""'"",1))"),145.5)</f>
        <v>145.5</v>
      </c>
      <c r="BI9" s="301">
        <f>IFERROR(__xludf.DUMMYFUNCTION("SUM(QUERY(Hospitais_BD!E:Y,""select Y where E='""&amp;A9&amp;""' and I = '""&amp;BI2&amp;""'"",1))"),0.0)</f>
        <v>0</v>
      </c>
      <c r="BJ9" s="296">
        <f t="shared" ref="BJ9:BL9" si="44">BD9-BG9</f>
        <v>-145.5</v>
      </c>
      <c r="BK9" s="296">
        <f t="shared" si="44"/>
        <v>-145.5</v>
      </c>
      <c r="BL9" s="296">
        <f t="shared" si="44"/>
        <v>0</v>
      </c>
    </row>
    <row r="10">
      <c r="A10" s="297" t="s">
        <v>72</v>
      </c>
      <c r="B10" s="298">
        <f>COUNTIF(Hospitais_BD!E:E,A10)</f>
        <v>37</v>
      </c>
      <c r="C10" s="298">
        <f>COUNTIFS(Hospitais_BD!E:E,A10,Hospitais_BD!I:I,C2)</f>
        <v>35</v>
      </c>
      <c r="D10" s="298">
        <f>COUNTIFS(Hospitais_BD!E:E,A10,Hospitais_BD!I:I,D2)</f>
        <v>2</v>
      </c>
      <c r="E10" s="282"/>
      <c r="F10" s="299">
        <f>IFERROR(__xludf.DUMMYFUNCTION("SUM(QUERY(Hospitais_BD!E:Q,""select N where E='""&amp;A10&amp;""'"",1))"),0.0)</f>
        <v>0</v>
      </c>
      <c r="G10" s="299">
        <f>IFERROR(__xludf.DUMMYFUNCTION("SUM(QUERY(Hospitais_BD!E:Q,""select N where E='""&amp;A10&amp;""' and I = '""&amp;G2&amp;""'"",1))"),0.0)</f>
        <v>0</v>
      </c>
      <c r="H10" s="300">
        <f>IFERROR(__xludf.DUMMYFUNCTION("SUM(QUERY(Hospitais_BD!E:Q,""select N where E='""&amp;A10&amp;""' and I= '""&amp;H2&amp;""'"",1))"),0.0)</f>
        <v>0</v>
      </c>
      <c r="I10" s="301">
        <f>IFERROR(__xludf.DUMMYFUNCTION("SUM(QUERY(Hospitais_BD!E:Y,""select T where E='""&amp;A10&amp;""'"",1))"),2345.0)</f>
        <v>2345</v>
      </c>
      <c r="J10" s="301">
        <f>IFERROR(__xludf.DUMMYFUNCTION("SUM(QUERY(Hospitais_BD!E:W,""select T where E='""&amp;A10&amp;""' and I= '""&amp;J2&amp;""'"",1))"),2245.0)</f>
        <v>2245</v>
      </c>
      <c r="K10" s="301">
        <f>IFERROR(__xludf.DUMMYFUNCTION("SUM(QUERY(Hospitais_BD!E:W,""select T where E='""&amp;A10&amp;""' and I= '""&amp;K2&amp;""'"",1))"),100.0)</f>
        <v>100</v>
      </c>
      <c r="L10" s="296">
        <f t="shared" ref="L10:N10" si="45">F10-I10</f>
        <v>-2345</v>
      </c>
      <c r="M10" s="296">
        <f t="shared" si="45"/>
        <v>-2245</v>
      </c>
      <c r="N10" s="296">
        <f t="shared" si="45"/>
        <v>-100</v>
      </c>
      <c r="O10" s="292"/>
      <c r="P10" s="299">
        <f>IFERROR(__xludf.DUMMYFUNCTION("SUM(QUERY(Hospitais_BD!E:Q,""select O where E='""&amp;A10&amp;""'"",1))"),0.0)</f>
        <v>0</v>
      </c>
      <c r="Q10" s="299">
        <f>IFERROR(__xludf.DUMMYFUNCTION("SUM(QUERY(Hospitais_BD!E:Q,""select O where E='""&amp;A10&amp;""' and I = '""&amp;Q2&amp;""'"",1))"),0.0)</f>
        <v>0</v>
      </c>
      <c r="R10" s="300">
        <f>IFERROR(__xludf.DUMMYFUNCTION("SUM(QUERY(Hospitais_BD!E:Q,""select O where E='""&amp;A10&amp;""' and I = '""&amp;R2&amp;""'"",1))"),0.0)</f>
        <v>0</v>
      </c>
      <c r="S10" s="301">
        <f>IFERROR(__xludf.DUMMYFUNCTION("SUM(QUERY(Hospitais_BD!E:Y,""select U where E='""&amp;A10&amp;""'"",1))"),0.0)</f>
        <v>0</v>
      </c>
      <c r="T10" s="301">
        <f>IFERROR(__xludf.DUMMYFUNCTION("SUM(QUERY(Hospitais_BD!E:Y,""select U where E='""&amp;A10&amp;""' and I= '""&amp;T2&amp;""'"",1))"),0.0)</f>
        <v>0</v>
      </c>
      <c r="U10" s="301">
        <f>IFERROR(__xludf.DUMMYFUNCTION("SUM(QUERY(Hospitais_BD!E:Y,""select U where E='""&amp;A10&amp;""' and I= '""&amp;U2&amp;""'"",1))"),0.0)</f>
        <v>0</v>
      </c>
      <c r="V10" s="296">
        <f t="shared" ref="V10:X10" si="46">P10-S10</f>
        <v>0</v>
      </c>
      <c r="W10" s="296">
        <f t="shared" si="46"/>
        <v>0</v>
      </c>
      <c r="X10" s="296">
        <f t="shared" si="46"/>
        <v>0</v>
      </c>
      <c r="Y10" s="292"/>
      <c r="Z10" s="299">
        <f>IFERROR(__xludf.DUMMYFUNCTION("SUM(QUERY(Hospitais_BD!E:Q,""select P where E='""&amp;A10&amp;""'"",1))"),0.0)</f>
        <v>0</v>
      </c>
      <c r="AA10" s="300">
        <f>IFERROR(__xludf.DUMMYFUNCTION("SUM(QUERY(Hospitais_BD!E:Q,""select P where E='""&amp;A10&amp;""' and I = '""&amp;AA2&amp;""'"",1))"),0.0)</f>
        <v>0</v>
      </c>
      <c r="AB10" s="300">
        <f>IFERROR(__xludf.DUMMYFUNCTION("SUM(QUERY(Hospitais_BD!E:Q,""select P where E='""&amp;A17&amp;""' and I = '""&amp;AB2&amp;""'"",1))"),0.0)</f>
        <v>0</v>
      </c>
      <c r="AC10" s="301">
        <f>IFERROR(__xludf.DUMMYFUNCTION("SUM(QUERY(Hospitais_BD!E:Y,""select V where E='""&amp;A10&amp;""'"",1))"),0.0)</f>
        <v>0</v>
      </c>
      <c r="AD10" s="301">
        <f>IFERROR(__xludf.DUMMYFUNCTION("SUM(QUERY(Hospitais_BD!E:Y,""select V where E='""&amp;A10&amp;""' and I= '""&amp;AD2&amp;""'"",1))"),0.0)</f>
        <v>0</v>
      </c>
      <c r="AE10" s="301">
        <f>IFERROR(__xludf.DUMMYFUNCTION("SUM(QUERY(Hospitais_BD!E:Y,""select V where E='""&amp;A10&amp;""' and I= '""&amp;AE2&amp;""'"",1))"),0.0)</f>
        <v>0</v>
      </c>
      <c r="AF10" s="296">
        <f t="shared" ref="AF10:AH10" si="47">Z10-AC10</f>
        <v>0</v>
      </c>
      <c r="AG10" s="296">
        <f t="shared" si="47"/>
        <v>0</v>
      </c>
      <c r="AH10" s="296">
        <f t="shared" si="47"/>
        <v>0</v>
      </c>
      <c r="AI10" s="292"/>
      <c r="AJ10" s="299">
        <f>IFERROR(__xludf.DUMMYFUNCTION("SUM(QUERY(Hospitais_BD!E:Q,""select Q where E='""&amp;A10&amp;""'"",1))"),0.0)</f>
        <v>0</v>
      </c>
      <c r="AK10" s="299">
        <f>IFERROR(__xludf.DUMMYFUNCTION("SUM(QUERY(Hospitais_BD!E:Q,""select Q where E='""&amp;A10&amp;""' and I = '""&amp;AK2&amp;""'"",1))"),0.0)</f>
        <v>0</v>
      </c>
      <c r="AL10" s="300">
        <f>IFERROR(__xludf.DUMMYFUNCTION("SUM(QUERY(Hospitais_BD!E:Q,""select Q where E='""&amp;A10&amp;""' and I = '""&amp;AL2&amp;""'"",1))"),0.0)</f>
        <v>0</v>
      </c>
      <c r="AM10" s="301">
        <f>IFERROR(__xludf.DUMMYFUNCTION("SUM(QUERY(Hospitais_BD!E:Y,""select W where E='""&amp;A10&amp;""'"",1))"),50.0)</f>
        <v>50</v>
      </c>
      <c r="AN10" s="301">
        <f>IFERROR(__xludf.DUMMYFUNCTION("SUM(QUERY(Hospitais_BD!E:Y,""select W where E='""&amp;A10&amp;""' and I= '""&amp;AN2&amp;""'"",1))"),0.0)</f>
        <v>0</v>
      </c>
      <c r="AO10" s="301">
        <f>IFERROR(__xludf.DUMMYFUNCTION("SUM(QUERY(Hospitais_BD!E:Y,""select W where E='""&amp;A10&amp;""' and I= '""&amp;AO2&amp;""'"",1))"),50.0)</f>
        <v>50</v>
      </c>
      <c r="AP10" s="296">
        <f t="shared" ref="AP10:AR10" si="48">AJ10-AM10</f>
        <v>-50</v>
      </c>
      <c r="AQ10" s="296">
        <f t="shared" si="48"/>
        <v>0</v>
      </c>
      <c r="AR10" s="296">
        <f t="shared" si="48"/>
        <v>-50</v>
      </c>
      <c r="AS10" s="292"/>
      <c r="AT10" s="299">
        <f>IFERROR(__xludf.DUMMYFUNCTION("SUM(QUERY(Hospitais_BD!E:R,""select R where E='""&amp;A10&amp;""'"",1))"),0.0)</f>
        <v>0</v>
      </c>
      <c r="AU10" s="299">
        <f>IFERROR(__xludf.DUMMYFUNCTION("SUM(QUERY(Hospitais_BD!E:R,""select R where E='""&amp;A10&amp;""' and I = '""&amp;AU2&amp;""'"",1))"),0.0)</f>
        <v>0</v>
      </c>
      <c r="AV10" s="300">
        <f>IFERROR(__xludf.DUMMYFUNCTION("SUM(QUERY(Hospitais_BD!E:R,""select R where E='""&amp;A10&amp;""' and I = '""&amp;AV2&amp;""'"",1))"),0.0)</f>
        <v>0</v>
      </c>
      <c r="AW10" s="301">
        <f>IFERROR(__xludf.DUMMYFUNCTION("SUM(QUERY(Hospitais_BD!E:Y,""select X where E='""&amp;A10&amp;""'"",1))"),10.0)</f>
        <v>10</v>
      </c>
      <c r="AX10" s="301">
        <f>IFERROR(__xludf.DUMMYFUNCTION("SUM(QUERY(Hospitais_BD!E:Y,""select X where E='""&amp;A10&amp;""' and I = '""&amp;AX2&amp;""'"",1))"),10.0)</f>
        <v>10</v>
      </c>
      <c r="AY10" s="301">
        <f>IFERROR(__xludf.DUMMYFUNCTION("SUM(QUERY(Hospitais_BD!E:Y,""select X where E='""&amp;A10&amp;""' and I = '""&amp;AY2&amp;""'"",1))"),0.0)</f>
        <v>0</v>
      </c>
      <c r="AZ10" s="296">
        <f t="shared" ref="AZ10:BB10" si="49">AT10-AW10</f>
        <v>-10</v>
      </c>
      <c r="BA10" s="296">
        <f t="shared" si="49"/>
        <v>-10</v>
      </c>
      <c r="BB10" s="296">
        <f t="shared" si="49"/>
        <v>0</v>
      </c>
      <c r="BC10" s="292"/>
      <c r="BD10" s="299">
        <f>IFERROR(__xludf.DUMMYFUNCTION("SUM(QUERY(Hospitais_BD!E:S,""select S where E='""&amp;A10&amp;""'"",1))"),0.0)</f>
        <v>0</v>
      </c>
      <c r="BE10" s="299">
        <f>IFERROR(__xludf.DUMMYFUNCTION("SUM(QUERY(Hospitais_BD!E:S,""select S where E='""&amp;A10&amp;""' and I = '""&amp;BE2&amp;""'"",1))"),0.0)</f>
        <v>0</v>
      </c>
      <c r="BF10" s="300">
        <f>IFERROR(__xludf.DUMMYFUNCTION("SUM(QUERY(Hospitais_BD!E:S,""select S where E='""&amp;A10&amp;""' and I = '""&amp;BF2&amp;""'"",1))"),0.0)</f>
        <v>0</v>
      </c>
      <c r="BG10" s="301">
        <f>IFERROR(__xludf.DUMMYFUNCTION("SUM(QUERY(Hospitais_BD!E:Y,""select Y where E='""&amp;A10&amp;""'"",1))"),32.0)</f>
        <v>32</v>
      </c>
      <c r="BH10" s="301">
        <f>IFERROR(__xludf.DUMMYFUNCTION("SUM(QUERY(Hospitais_BD!E:Y,""select Y where E='""&amp;A10&amp;""' and I = '""&amp;BH2&amp;""'"",1))"),32.0)</f>
        <v>32</v>
      </c>
      <c r="BI10" s="301">
        <f>IFERROR(__xludf.DUMMYFUNCTION("SUM(QUERY(Hospitais_BD!E:Y,""select Y where E='""&amp;A10&amp;""' and I = '""&amp;BI2&amp;""'"",1))"),0.0)</f>
        <v>0</v>
      </c>
      <c r="BJ10" s="296">
        <f t="shared" ref="BJ10:BL10" si="50">BD10-BG10</f>
        <v>-32</v>
      </c>
      <c r="BK10" s="296">
        <f t="shared" si="50"/>
        <v>-32</v>
      </c>
      <c r="BL10" s="296">
        <f t="shared" si="50"/>
        <v>0</v>
      </c>
    </row>
    <row r="11">
      <c r="A11" s="282"/>
      <c r="B11" s="302"/>
      <c r="C11" s="302"/>
      <c r="D11" s="302"/>
      <c r="E11" s="282"/>
      <c r="F11" s="299"/>
      <c r="G11" s="299"/>
      <c r="H11" s="299"/>
      <c r="I11" s="301"/>
      <c r="J11" s="301"/>
      <c r="K11" s="301"/>
      <c r="L11" s="296">
        <f t="shared" ref="L11:N11" si="51">F11-I11</f>
        <v>0</v>
      </c>
      <c r="M11" s="296">
        <f t="shared" si="51"/>
        <v>0</v>
      </c>
      <c r="N11" s="296">
        <f t="shared" si="51"/>
        <v>0</v>
      </c>
      <c r="O11" s="292"/>
      <c r="P11" s="299"/>
      <c r="Q11" s="299"/>
      <c r="R11" s="299"/>
      <c r="S11" s="303"/>
      <c r="T11" s="303"/>
      <c r="U11" s="303"/>
      <c r="V11" s="296">
        <f t="shared" ref="V11:X11" si="52">P11-S11</f>
        <v>0</v>
      </c>
      <c r="W11" s="296">
        <f t="shared" si="52"/>
        <v>0</v>
      </c>
      <c r="X11" s="296">
        <f t="shared" si="52"/>
        <v>0</v>
      </c>
      <c r="Y11" s="292"/>
      <c r="Z11" s="299"/>
      <c r="AA11" s="299"/>
      <c r="AB11" s="299"/>
      <c r="AC11" s="303"/>
      <c r="AD11" s="303"/>
      <c r="AE11" s="303"/>
      <c r="AF11" s="296">
        <f t="shared" ref="AF11:AH11" si="53">Z11-AC11</f>
        <v>0</v>
      </c>
      <c r="AG11" s="296">
        <f t="shared" si="53"/>
        <v>0</v>
      </c>
      <c r="AH11" s="296">
        <f t="shared" si="53"/>
        <v>0</v>
      </c>
      <c r="AI11" s="292"/>
      <c r="AJ11" s="299"/>
      <c r="AK11" s="299"/>
      <c r="AL11" s="299"/>
      <c r="AM11" s="303"/>
      <c r="AN11" s="303"/>
      <c r="AO11" s="303"/>
      <c r="AP11" s="296">
        <f t="shared" ref="AP11:AR11" si="54">AJ11-AM11</f>
        <v>0</v>
      </c>
      <c r="AQ11" s="296">
        <f t="shared" si="54"/>
        <v>0</v>
      </c>
      <c r="AR11" s="296">
        <f t="shared" si="54"/>
        <v>0</v>
      </c>
      <c r="AS11" s="292"/>
      <c r="AT11" s="299"/>
      <c r="AU11" s="299"/>
      <c r="AV11" s="299"/>
      <c r="AW11" s="303"/>
      <c r="AX11" s="303"/>
      <c r="AY11" s="303"/>
      <c r="AZ11" s="296">
        <f t="shared" ref="AZ11:BB11" si="55">AT11-AW11</f>
        <v>0</v>
      </c>
      <c r="BA11" s="296">
        <f t="shared" si="55"/>
        <v>0</v>
      </c>
      <c r="BB11" s="296">
        <f t="shared" si="55"/>
        <v>0</v>
      </c>
      <c r="BC11" s="292"/>
      <c r="BD11" s="299"/>
      <c r="BE11" s="299"/>
      <c r="BF11" s="299"/>
      <c r="BG11" s="301"/>
      <c r="BH11" s="301"/>
      <c r="BI11" s="301"/>
      <c r="BJ11" s="296">
        <f t="shared" ref="BJ11:BL11" si="56">BD11-BG11</f>
        <v>0</v>
      </c>
      <c r="BK11" s="296">
        <f t="shared" si="56"/>
        <v>0</v>
      </c>
      <c r="BL11" s="296">
        <f t="shared" si="56"/>
        <v>0</v>
      </c>
    </row>
    <row r="12">
      <c r="A12" s="253" t="s">
        <v>1227</v>
      </c>
      <c r="B12" s="304">
        <f t="shared" ref="B12:D12" si="57">SUM(B14:B21)</f>
        <v>146</v>
      </c>
      <c r="C12" s="304">
        <f t="shared" si="57"/>
        <v>127</v>
      </c>
      <c r="D12" s="304">
        <f t="shared" si="57"/>
        <v>19</v>
      </c>
      <c r="E12" s="282"/>
      <c r="F12" s="289">
        <f t="shared" ref="F12:K12" si="58">SUM(F14:F21,F22)</f>
        <v>0</v>
      </c>
      <c r="G12" s="289">
        <f t="shared" si="58"/>
        <v>0</v>
      </c>
      <c r="H12" s="289">
        <f t="shared" si="58"/>
        <v>0</v>
      </c>
      <c r="I12" s="290">
        <f t="shared" si="58"/>
        <v>6225</v>
      </c>
      <c r="J12" s="290">
        <f t="shared" si="58"/>
        <v>6125</v>
      </c>
      <c r="K12" s="290">
        <f t="shared" si="58"/>
        <v>100</v>
      </c>
      <c r="L12" s="291">
        <f t="shared" ref="L12:N12" si="59">F12-I12</f>
        <v>-6225</v>
      </c>
      <c r="M12" s="291">
        <f t="shared" si="59"/>
        <v>-6125</v>
      </c>
      <c r="N12" s="291">
        <f t="shared" si="59"/>
        <v>-100</v>
      </c>
      <c r="O12" s="292"/>
      <c r="P12" s="289">
        <f t="shared" ref="P12:U12" si="60">SUM(P14:P21,P22)</f>
        <v>0</v>
      </c>
      <c r="Q12" s="289">
        <f t="shared" si="60"/>
        <v>0</v>
      </c>
      <c r="R12" s="289">
        <f t="shared" si="60"/>
        <v>0</v>
      </c>
      <c r="S12" s="290">
        <f t="shared" si="60"/>
        <v>0</v>
      </c>
      <c r="T12" s="290">
        <f t="shared" si="60"/>
        <v>0</v>
      </c>
      <c r="U12" s="290">
        <f t="shared" si="60"/>
        <v>0</v>
      </c>
      <c r="V12" s="291">
        <f t="shared" ref="V12:X12" si="61">P12-S12</f>
        <v>0</v>
      </c>
      <c r="W12" s="291">
        <f t="shared" si="61"/>
        <v>0</v>
      </c>
      <c r="X12" s="291">
        <f t="shared" si="61"/>
        <v>0</v>
      </c>
      <c r="Y12" s="292"/>
      <c r="Z12" s="289">
        <f t="shared" ref="Z12:AE12" si="62">SUM(Z14:Z21,Z22)</f>
        <v>0</v>
      </c>
      <c r="AA12" s="289">
        <f t="shared" si="62"/>
        <v>0</v>
      </c>
      <c r="AB12" s="289">
        <f t="shared" si="62"/>
        <v>0</v>
      </c>
      <c r="AC12" s="290">
        <f t="shared" si="62"/>
        <v>0</v>
      </c>
      <c r="AD12" s="290">
        <f t="shared" si="62"/>
        <v>0</v>
      </c>
      <c r="AE12" s="290">
        <f t="shared" si="62"/>
        <v>0</v>
      </c>
      <c r="AF12" s="291">
        <f t="shared" ref="AF12:AH12" si="63">Z12-AC12</f>
        <v>0</v>
      </c>
      <c r="AG12" s="291">
        <f t="shared" si="63"/>
        <v>0</v>
      </c>
      <c r="AH12" s="291">
        <f t="shared" si="63"/>
        <v>0</v>
      </c>
      <c r="AI12" s="292"/>
      <c r="AJ12" s="289">
        <f t="shared" ref="AJ12:AO12" si="64">SUM(AJ14:AJ21,AJ22)</f>
        <v>0</v>
      </c>
      <c r="AK12" s="289">
        <f t="shared" si="64"/>
        <v>0</v>
      </c>
      <c r="AL12" s="289">
        <f t="shared" si="64"/>
        <v>0</v>
      </c>
      <c r="AM12" s="290">
        <f t="shared" si="64"/>
        <v>425</v>
      </c>
      <c r="AN12" s="290">
        <f t="shared" si="64"/>
        <v>425</v>
      </c>
      <c r="AO12" s="290">
        <f t="shared" si="64"/>
        <v>0</v>
      </c>
      <c r="AP12" s="291">
        <f t="shared" ref="AP12:AR12" si="65">AJ12-AM12</f>
        <v>-425</v>
      </c>
      <c r="AQ12" s="291">
        <f t="shared" si="65"/>
        <v>-425</v>
      </c>
      <c r="AR12" s="291">
        <f t="shared" si="65"/>
        <v>0</v>
      </c>
      <c r="AS12" s="292"/>
      <c r="AT12" s="289">
        <f t="shared" ref="AT12:AY12" si="66">SUM(AT14:AT21,AT22)</f>
        <v>2425</v>
      </c>
      <c r="AU12" s="289">
        <f t="shared" si="66"/>
        <v>2425</v>
      </c>
      <c r="AV12" s="289">
        <f t="shared" si="66"/>
        <v>0</v>
      </c>
      <c r="AW12" s="290">
        <f t="shared" si="66"/>
        <v>50</v>
      </c>
      <c r="AX12" s="290">
        <f t="shared" si="66"/>
        <v>50</v>
      </c>
      <c r="AY12" s="290">
        <f t="shared" si="66"/>
        <v>0</v>
      </c>
      <c r="AZ12" s="291">
        <f t="shared" ref="AZ12:BB12" si="67">AT12-AW12</f>
        <v>2375</v>
      </c>
      <c r="BA12" s="291">
        <f t="shared" si="67"/>
        <v>2375</v>
      </c>
      <c r="BB12" s="291">
        <f t="shared" si="67"/>
        <v>0</v>
      </c>
      <c r="BC12" s="292"/>
      <c r="BD12" s="289">
        <f t="shared" ref="BD12:BI12" si="68">SUM(BD14:BD21,BD22)</f>
        <v>2425</v>
      </c>
      <c r="BE12" s="289">
        <f t="shared" si="68"/>
        <v>2425</v>
      </c>
      <c r="BF12" s="289">
        <f t="shared" si="68"/>
        <v>0</v>
      </c>
      <c r="BG12" s="290">
        <f t="shared" si="68"/>
        <v>130</v>
      </c>
      <c r="BH12" s="290">
        <f t="shared" si="68"/>
        <v>130</v>
      </c>
      <c r="BI12" s="290">
        <f t="shared" si="68"/>
        <v>0</v>
      </c>
      <c r="BJ12" s="291">
        <f t="shared" ref="BJ12:BL12" si="69">BD12-BG12</f>
        <v>2295</v>
      </c>
      <c r="BK12" s="291">
        <f t="shared" si="69"/>
        <v>2295</v>
      </c>
      <c r="BL12" s="291">
        <f t="shared" si="69"/>
        <v>0</v>
      </c>
    </row>
    <row r="13">
      <c r="A13" s="297"/>
      <c r="B13" s="298"/>
      <c r="C13" s="302"/>
      <c r="D13" s="302"/>
      <c r="E13" s="282"/>
      <c r="F13" s="299"/>
      <c r="G13" s="299"/>
      <c r="H13" s="299"/>
      <c r="I13" s="301"/>
      <c r="J13" s="301"/>
      <c r="K13" s="301"/>
      <c r="L13" s="296">
        <f t="shared" ref="L13:N13" si="70">F13-I13</f>
        <v>0</v>
      </c>
      <c r="M13" s="296">
        <f t="shared" si="70"/>
        <v>0</v>
      </c>
      <c r="N13" s="296">
        <f t="shared" si="70"/>
        <v>0</v>
      </c>
      <c r="O13" s="292"/>
      <c r="P13" s="299"/>
      <c r="Q13" s="299"/>
      <c r="R13" s="299"/>
      <c r="S13" s="303"/>
      <c r="T13" s="303"/>
      <c r="U13" s="303"/>
      <c r="V13" s="296">
        <f t="shared" ref="V13:X13" si="71">P13-S13</f>
        <v>0</v>
      </c>
      <c r="W13" s="296">
        <f t="shared" si="71"/>
        <v>0</v>
      </c>
      <c r="X13" s="296">
        <f t="shared" si="71"/>
        <v>0</v>
      </c>
      <c r="Y13" s="292"/>
      <c r="Z13" s="299"/>
      <c r="AA13" s="299"/>
      <c r="AB13" s="299"/>
      <c r="AC13" s="303"/>
      <c r="AD13" s="303"/>
      <c r="AE13" s="303"/>
      <c r="AF13" s="296">
        <f t="shared" ref="AF13:AH13" si="72">Z13-AC13</f>
        <v>0</v>
      </c>
      <c r="AG13" s="296">
        <f t="shared" si="72"/>
        <v>0</v>
      </c>
      <c r="AH13" s="296">
        <f t="shared" si="72"/>
        <v>0</v>
      </c>
      <c r="AI13" s="292"/>
      <c r="AJ13" s="299"/>
      <c r="AK13" s="299"/>
      <c r="AL13" s="299"/>
      <c r="AM13" s="303"/>
      <c r="AN13" s="303"/>
      <c r="AO13" s="303"/>
      <c r="AP13" s="296">
        <f t="shared" ref="AP13:AR13" si="73">AJ13-AM13</f>
        <v>0</v>
      </c>
      <c r="AQ13" s="296">
        <f t="shared" si="73"/>
        <v>0</v>
      </c>
      <c r="AR13" s="296">
        <f t="shared" si="73"/>
        <v>0</v>
      </c>
      <c r="AS13" s="292"/>
      <c r="AT13" s="299"/>
      <c r="AU13" s="299"/>
      <c r="AV13" s="299"/>
      <c r="AW13" s="303"/>
      <c r="AX13" s="303"/>
      <c r="AY13" s="303"/>
      <c r="AZ13" s="296">
        <f t="shared" ref="AZ13:BB13" si="74">AT13-AW13</f>
        <v>0</v>
      </c>
      <c r="BA13" s="296">
        <f t="shared" si="74"/>
        <v>0</v>
      </c>
      <c r="BB13" s="296">
        <f t="shared" si="74"/>
        <v>0</v>
      </c>
      <c r="BC13" s="292"/>
      <c r="BD13" s="299"/>
      <c r="BE13" s="299"/>
      <c r="BF13" s="299"/>
      <c r="BG13" s="301"/>
      <c r="BH13" s="301"/>
      <c r="BI13" s="301"/>
      <c r="BJ13" s="296"/>
      <c r="BK13" s="296">
        <f t="shared" ref="BK13:BL13" si="75">BE13-BH13</f>
        <v>0</v>
      </c>
      <c r="BL13" s="296">
        <f t="shared" si="75"/>
        <v>0</v>
      </c>
    </row>
    <row r="14">
      <c r="A14" s="305" t="s">
        <v>197</v>
      </c>
      <c r="B14" s="306">
        <f>COUNTIF(Hospitais_BD!E:E,A14)</f>
        <v>69</v>
      </c>
      <c r="C14" s="298">
        <f>COUNTIFS(Hospitais_BD!E:E,A14,Hospitais_BD!I:I,C2)</f>
        <v>65</v>
      </c>
      <c r="D14" s="298">
        <f>COUNTIFS(Hospitais_BD!E:E,A14,Hospitais_BD!I:I,D2)</f>
        <v>4</v>
      </c>
      <c r="E14" s="282"/>
      <c r="F14" s="299">
        <f>IFERROR(__xludf.DUMMYFUNCTION("SUM(QUERY(Hospitais_BD!E:Q,""select N where E='""&amp;A14&amp;""'"",1))"),0.0)</f>
        <v>0</v>
      </c>
      <c r="G14" s="299">
        <f>IFERROR(__xludf.DUMMYFUNCTION("SUM(QUERY(Hospitais_BD!E:Q,""select N where E='""&amp;A14&amp;""' and I = '""&amp;G2&amp;""'"",1))"),0.0)</f>
        <v>0</v>
      </c>
      <c r="H14" s="300">
        <f>IFERROR(__xludf.DUMMYFUNCTION("SUM(QUERY(Hospitais_BD!E:Q,""select N where E='""&amp;A14&amp;""' and I= '""&amp;H2&amp;""'"",1))"),0.0)</f>
        <v>0</v>
      </c>
      <c r="I14" s="301">
        <f>IFERROR(__xludf.DUMMYFUNCTION("SUM(QUERY(Hospitais_BD!E:Y,""select T where E='""&amp;A14&amp;""'"",1))"),2095.0)</f>
        <v>2095</v>
      </c>
      <c r="J14" s="301">
        <f>IFERROR(__xludf.DUMMYFUNCTION("SUM(QUERY(Hospitais_BD!E:W,""select T where E='""&amp;A14&amp;""' and I= '""&amp;J2&amp;""'"",1))"),2095.0)</f>
        <v>2095</v>
      </c>
      <c r="K14" s="301">
        <f>IFERROR(__xludf.DUMMYFUNCTION("SUM(QUERY(Hospitais_BD!E:W,""select T where E='""&amp;A14&amp;""' and I= '""&amp;K2&amp;""'"",1))"),0.0)</f>
        <v>0</v>
      </c>
      <c r="L14" s="296">
        <f t="shared" ref="L14:N14" si="76">F14-I14</f>
        <v>-2095</v>
      </c>
      <c r="M14" s="296">
        <f t="shared" si="76"/>
        <v>-2095</v>
      </c>
      <c r="N14" s="296">
        <f t="shared" si="76"/>
        <v>0</v>
      </c>
      <c r="O14" s="292"/>
      <c r="P14" s="299">
        <f>IFERROR(__xludf.DUMMYFUNCTION("SUM(QUERY(Hospitais_BD!E:Q,""select O where E='""&amp;A14&amp;""'"",1))"),0.0)</f>
        <v>0</v>
      </c>
      <c r="Q14" s="299">
        <f>IFERROR(__xludf.DUMMYFUNCTION("SUM(QUERY(Hospitais_BD!E:Q,""select O where E='""&amp;A14&amp;""' and I = '""&amp;Q2&amp;""'"",1))"),0.0)</f>
        <v>0</v>
      </c>
      <c r="R14" s="300">
        <f>IFERROR(__xludf.DUMMYFUNCTION("SUM(QUERY(Hospitais_BD!E:Q,""select O where E='""&amp;A14&amp;""' and I = '""&amp;R2&amp;""'"",1))"),0.0)</f>
        <v>0</v>
      </c>
      <c r="S14" s="301">
        <f>IFERROR(__xludf.DUMMYFUNCTION("SUM(QUERY(Hospitais_BD!E:Y,""select U where E='""&amp;A14&amp;""'"",1))"),0.0)</f>
        <v>0</v>
      </c>
      <c r="T14" s="301">
        <f>IFERROR(__xludf.DUMMYFUNCTION("SUM(QUERY(Hospitais_BD!E:Y,""select U where E='""&amp;A14&amp;""' and I= '""&amp;T2&amp;""'"",1))"),0.0)</f>
        <v>0</v>
      </c>
      <c r="U14" s="301">
        <f>IFERROR(__xludf.DUMMYFUNCTION("SUM(QUERY(Hospitais_BD!E:Y,""select U where E='""&amp;A14&amp;""' and I= '""&amp;U2&amp;""'"",1))"),0.0)</f>
        <v>0</v>
      </c>
      <c r="V14" s="296">
        <f t="shared" ref="V14:X14" si="77">P14-S14</f>
        <v>0</v>
      </c>
      <c r="W14" s="296">
        <f t="shared" si="77"/>
        <v>0</v>
      </c>
      <c r="X14" s="296">
        <f t="shared" si="77"/>
        <v>0</v>
      </c>
      <c r="Y14" s="292"/>
      <c r="Z14" s="299">
        <f>IFERROR(__xludf.DUMMYFUNCTION("SUM(QUERY(Hospitais_BD!E:Q,""select P where E='""&amp;A14&amp;""'"",1))"),0.0)</f>
        <v>0</v>
      </c>
      <c r="AA14" s="299">
        <f>IFERROR(__xludf.DUMMYFUNCTION("SUM(QUERY(Hospitais_BD!E:Q,""select P where E='""&amp;A14&amp;""' and I = '""&amp;AA2&amp;""'"",1))"),0.0)</f>
        <v>0</v>
      </c>
      <c r="AB14" s="300">
        <f>IFERROR(__xludf.DUMMYFUNCTION("SUM(QUERY(Hospitais_BD!E:Q,""select P where E='""&amp;A14&amp;""' and I = '""&amp;AB2&amp;""'"",1))"),0.0)</f>
        <v>0</v>
      </c>
      <c r="AC14" s="301">
        <f>IFERROR(__xludf.DUMMYFUNCTION("SUM(QUERY(Hospitais_BD!E:Y,""select V where E='""&amp;A14&amp;""'"",1))"),0.0)</f>
        <v>0</v>
      </c>
      <c r="AD14" s="301">
        <f>IFERROR(__xludf.DUMMYFUNCTION("SUM(QUERY(Hospitais_BD!E:Y,""select V where E='""&amp;A14&amp;""' and I= '""&amp;AD2&amp;""'"",1))"),0.0)</f>
        <v>0</v>
      </c>
      <c r="AE14" s="301">
        <f>IFERROR(__xludf.DUMMYFUNCTION("SUM(QUERY(Hospitais_BD!E:Y,""select V where E='""&amp;A14&amp;""' and I= '""&amp;AE2&amp;""'"",1))"),0.0)</f>
        <v>0</v>
      </c>
      <c r="AF14" s="296">
        <f t="shared" ref="AF14:AH14" si="78">Z14-AC14</f>
        <v>0</v>
      </c>
      <c r="AG14" s="296">
        <f t="shared" si="78"/>
        <v>0</v>
      </c>
      <c r="AH14" s="296">
        <f t="shared" si="78"/>
        <v>0</v>
      </c>
      <c r="AI14" s="292"/>
      <c r="AJ14" s="299">
        <f>IFERROR(__xludf.DUMMYFUNCTION("SUM(QUERY(Hospitais_BD!E:Q,""select Q where E='""&amp;A14&amp;""'"",1))"),0.0)</f>
        <v>0</v>
      </c>
      <c r="AK14" s="299">
        <f>IFERROR(__xludf.DUMMYFUNCTION("SUM(QUERY(Hospitais_BD!E:Q,""select Q where E='""&amp;A14&amp;""' and I = '""&amp;AK2&amp;""'"",1))"),0.0)</f>
        <v>0</v>
      </c>
      <c r="AL14" s="300">
        <f>IFERROR(__xludf.DUMMYFUNCTION("SUM(QUERY(Hospitais_BD!E:Q,""select Q where E='""&amp;A14&amp;""' and I = '""&amp;AL2&amp;""'"",1))"),0.0)</f>
        <v>0</v>
      </c>
      <c r="AM14" s="301">
        <f>IFERROR(__xludf.DUMMYFUNCTION("SUM(QUERY(Hospitais_BD!E:Y,""select W where E='""&amp;A14&amp;""'"",1))"),150.0)</f>
        <v>150</v>
      </c>
      <c r="AN14" s="301">
        <f>IFERROR(__xludf.DUMMYFUNCTION("SUM(QUERY(Hospitais_BD!E:Y,""select W where E='""&amp;A14&amp;""' and I= '""&amp;AN2&amp;""'"",1))"),150.0)</f>
        <v>150</v>
      </c>
      <c r="AO14" s="301">
        <f>IFERROR(__xludf.DUMMYFUNCTION("SUM(QUERY(Hospitais_BD!E:Y,""select W where E='""&amp;A14&amp;""' and I= '""&amp;AO2&amp;""'"",1))"),0.0)</f>
        <v>0</v>
      </c>
      <c r="AP14" s="296">
        <f t="shared" ref="AP14:AR14" si="79">AJ14-AM14</f>
        <v>-150</v>
      </c>
      <c r="AQ14" s="296">
        <f t="shared" si="79"/>
        <v>-150</v>
      </c>
      <c r="AR14" s="296">
        <f t="shared" si="79"/>
        <v>0</v>
      </c>
      <c r="AS14" s="292"/>
      <c r="AT14" s="299">
        <f>IFERROR(__xludf.DUMMYFUNCTION("SUM(QUERY(Hospitais_BD!E:R,""select R where E='""&amp;A14&amp;""'"",1))"),25.0)</f>
        <v>25</v>
      </c>
      <c r="AU14" s="299">
        <f>IFERROR(__xludf.DUMMYFUNCTION("SUM(QUERY(Hospitais_BD!E:R,""select R where E='""&amp;A14&amp;""' and I = '""&amp;AU2&amp;""'"",1))"),25.0)</f>
        <v>25</v>
      </c>
      <c r="AV14" s="300">
        <f>IFERROR(__xludf.DUMMYFUNCTION("SUM(QUERY(Hospitais_BD!E:R,""select R where E='""&amp;A14&amp;""' and I = '""&amp;AV2&amp;""'"",1))"),0.0)</f>
        <v>0</v>
      </c>
      <c r="AW14" s="301">
        <f>IFERROR(__xludf.DUMMYFUNCTION("SUM(QUERY(Hospitais_BD!E:Y,""select X where E='""&amp;A14&amp;""'"",1))"),0.0)</f>
        <v>0</v>
      </c>
      <c r="AX14" s="301">
        <f>IFERROR(__xludf.DUMMYFUNCTION("SUM(QUERY(Hospitais_BD!E:Y,""select X where E='""&amp;A14&amp;""' and I = '""&amp;AX2&amp;""'"",1))"),0.0)</f>
        <v>0</v>
      </c>
      <c r="AY14" s="301">
        <f>IFERROR(__xludf.DUMMYFUNCTION("SUM(QUERY(Hospitais_BD!E:Y,""select X where E='""&amp;A14&amp;""' and I = '""&amp;AY2&amp;""'"",1))"),0.0)</f>
        <v>0</v>
      </c>
      <c r="AZ14" s="296">
        <f t="shared" ref="AZ14:BB14" si="80">AT14-AW14</f>
        <v>25</v>
      </c>
      <c r="BA14" s="296">
        <f t="shared" si="80"/>
        <v>25</v>
      </c>
      <c r="BB14" s="296">
        <f t="shared" si="80"/>
        <v>0</v>
      </c>
      <c r="BC14" s="292"/>
      <c r="BD14" s="299">
        <f>IFERROR(__xludf.DUMMYFUNCTION("SUM(QUERY(Hospitais_BD!E:S,""select S where E='""&amp;A14&amp;""'"",1))"),25.0)</f>
        <v>25</v>
      </c>
      <c r="BE14" s="299">
        <f>IFERROR(__xludf.DUMMYFUNCTION("SUM(QUERY(Hospitais_BD!E:S,""select S where E='""&amp;A14&amp;""' and I = '""&amp;BE2&amp;""'"",1))"),25.0)</f>
        <v>25</v>
      </c>
      <c r="BF14" s="300">
        <f>IFERROR(__xludf.DUMMYFUNCTION("SUM(QUERY(Hospitais_BD!E:S,""select S where E='""&amp;A14&amp;""' and I = '""&amp;BF2&amp;""'"",1))"),0.0)</f>
        <v>0</v>
      </c>
      <c r="BG14" s="301">
        <f>IFERROR(__xludf.DUMMYFUNCTION("SUM(QUERY(Hospitais_BD!E:Y,""select Y where E='""&amp;A14&amp;""'"",1))"),12.0)</f>
        <v>12</v>
      </c>
      <c r="BH14" s="301">
        <f>IFERROR(__xludf.DUMMYFUNCTION("SUM(QUERY(Hospitais_BD!E:Y,""select Y where E='""&amp;A14&amp;""' and I = '""&amp;BH2&amp;""'"",1))"),12.0)</f>
        <v>12</v>
      </c>
      <c r="BI14" s="301">
        <f>IFERROR(__xludf.DUMMYFUNCTION("SUM(QUERY(Hospitais_BD!E:Y,""select Y where E='""&amp;A14&amp;""' and I = '""&amp;BI2&amp;""'"",1))"),0.0)</f>
        <v>0</v>
      </c>
      <c r="BJ14" s="296">
        <f t="shared" ref="BJ14:BL14" si="81">BD14-BG14</f>
        <v>13</v>
      </c>
      <c r="BK14" s="296">
        <f t="shared" si="81"/>
        <v>13</v>
      </c>
      <c r="BL14" s="296">
        <f t="shared" si="81"/>
        <v>0</v>
      </c>
    </row>
    <row r="15">
      <c r="A15" s="297" t="s">
        <v>63</v>
      </c>
      <c r="B15" s="306">
        <f>COUNTIF(Hospitais_BD!E:E,A15)</f>
        <v>42</v>
      </c>
      <c r="C15" s="298">
        <f>COUNTIFS(Hospitais_BD!E:E,A15,Hospitais_BD!I:I,C2)</f>
        <v>33</v>
      </c>
      <c r="D15" s="298">
        <f>COUNTIFS(Hospitais_BD!E:E,A15,Hospitais_BD!I:I,D2)</f>
        <v>9</v>
      </c>
      <c r="E15" s="282"/>
      <c r="F15" s="299">
        <f>IFERROR(__xludf.DUMMYFUNCTION("SUM(QUERY(Hospitais_BD!E:Q,""select N where E='""&amp;A15&amp;""'"",1))"),0.0)</f>
        <v>0</v>
      </c>
      <c r="G15" s="299">
        <f>IFERROR(__xludf.DUMMYFUNCTION("SUM(QUERY(Hospitais_BD!E:Q,""select N where E='""&amp;A15&amp;""' and I = '""&amp;G2&amp;""'"",1))"),0.0)</f>
        <v>0</v>
      </c>
      <c r="H15" s="300">
        <f>IFERROR(__xludf.DUMMYFUNCTION("SUM(QUERY(Hospitais_BD!E:Q,""select N where E='""&amp;A15&amp;""' and I= '""&amp;H2&amp;""'"",1))"),0.0)</f>
        <v>0</v>
      </c>
      <c r="I15" s="301">
        <f>IFERROR(__xludf.DUMMYFUNCTION("SUM(QUERY(Hospitais_BD!E:Y,""select T where E='""&amp;A15&amp;""'"",1))"),2490.0)</f>
        <v>2490</v>
      </c>
      <c r="J15" s="301">
        <f>IFERROR(__xludf.DUMMYFUNCTION("SUM(QUERY(Hospitais_BD!E:W,""select T where E='""&amp;A15&amp;""' and I= '""&amp;J2&amp;""'"",1))"),2490.0)</f>
        <v>2490</v>
      </c>
      <c r="K15" s="301">
        <f>IFERROR(__xludf.DUMMYFUNCTION("SUM(QUERY(Hospitais_BD!E:W,""select T where E='""&amp;A15&amp;""' and I= '""&amp;K2&amp;""'"",1))"),0.0)</f>
        <v>0</v>
      </c>
      <c r="L15" s="296">
        <f t="shared" ref="L15:N15" si="82">F15-I15</f>
        <v>-2490</v>
      </c>
      <c r="M15" s="296">
        <f t="shared" si="82"/>
        <v>-2490</v>
      </c>
      <c r="N15" s="296">
        <f t="shared" si="82"/>
        <v>0</v>
      </c>
      <c r="O15" s="292"/>
      <c r="P15" s="299">
        <f>IFERROR(__xludf.DUMMYFUNCTION("SUM(QUERY(Hospitais_BD!E:Q,""select O where E='""&amp;A15&amp;""'"",1))"),0.0)</f>
        <v>0</v>
      </c>
      <c r="Q15" s="299">
        <f>IFERROR(__xludf.DUMMYFUNCTION("SUM(QUERY(Hospitais_BD!E:Q,""select O where E='""&amp;A15&amp;""' and I = '""&amp;Q2&amp;""'"",1))"),0.0)</f>
        <v>0</v>
      </c>
      <c r="R15" s="300">
        <f>IFERROR(__xludf.DUMMYFUNCTION("SUM(QUERY(Hospitais_BD!E:Q,""select O where E='""&amp;A15&amp;""' and I = '""&amp;R2&amp;""'"",1))"),0.0)</f>
        <v>0</v>
      </c>
      <c r="S15" s="301">
        <f>IFERROR(__xludf.DUMMYFUNCTION("SUM(QUERY(Hospitais_BD!E:Y,""select U where E='""&amp;A15&amp;""'"",1))"),0.0)</f>
        <v>0</v>
      </c>
      <c r="T15" s="301">
        <f>IFERROR(__xludf.DUMMYFUNCTION("SUM(QUERY(Hospitais_BD!E:Y,""select U where E='""&amp;A15&amp;""' and I= '""&amp;T2&amp;""'"",1))"),0.0)</f>
        <v>0</v>
      </c>
      <c r="U15" s="301">
        <f>IFERROR(__xludf.DUMMYFUNCTION("SUM(QUERY(Hospitais_BD!E:Y,""select U where E='""&amp;A15&amp;""' and I= '""&amp;U2&amp;""'"",1))"),0.0)</f>
        <v>0</v>
      </c>
      <c r="V15" s="296">
        <f t="shared" ref="V15:X15" si="83">P15-S15</f>
        <v>0</v>
      </c>
      <c r="W15" s="296">
        <f t="shared" si="83"/>
        <v>0</v>
      </c>
      <c r="X15" s="296">
        <f t="shared" si="83"/>
        <v>0</v>
      </c>
      <c r="Y15" s="292"/>
      <c r="Z15" s="299">
        <f>IFERROR(__xludf.DUMMYFUNCTION("SUM(QUERY(Hospitais_BD!E:Q,""select P where E='""&amp;A15&amp;""'"",1))"),0.0)</f>
        <v>0</v>
      </c>
      <c r="AA15" s="299">
        <f>IFERROR(__xludf.DUMMYFUNCTION("SUM(QUERY(Hospitais_BD!E:Q,""select P where E='""&amp;A15&amp;""' and I = '""&amp;AA2&amp;""'"",1))"),0.0)</f>
        <v>0</v>
      </c>
      <c r="AB15" s="300">
        <f>IFERROR(__xludf.DUMMYFUNCTION("SUM(QUERY(Hospitais_BD!E:Q,""select P where E='""&amp;A15&amp;""' and I = '""&amp;AB2&amp;""'"",1))"),0.0)</f>
        <v>0</v>
      </c>
      <c r="AC15" s="301">
        <f>IFERROR(__xludf.DUMMYFUNCTION("SUM(QUERY(Hospitais_BD!E:Y,""select V where E='""&amp;A15&amp;""'"",1))"),0.0)</f>
        <v>0</v>
      </c>
      <c r="AD15" s="301">
        <f>IFERROR(__xludf.DUMMYFUNCTION("SUM(QUERY(Hospitais_BD!E:Y,""select V where E='""&amp;A15&amp;""' and I= '""&amp;AD2&amp;""'"",1))"),0.0)</f>
        <v>0</v>
      </c>
      <c r="AE15" s="301">
        <f>IFERROR(__xludf.DUMMYFUNCTION("SUM(QUERY(Hospitais_BD!E:Y,""select V where E='""&amp;A15&amp;""' and I= '""&amp;AE2&amp;""'"",1))"),0.0)</f>
        <v>0</v>
      </c>
      <c r="AF15" s="296">
        <f t="shared" ref="AF15:AH15" si="84">Z15-AC15</f>
        <v>0</v>
      </c>
      <c r="AG15" s="296">
        <f t="shared" si="84"/>
        <v>0</v>
      </c>
      <c r="AH15" s="296">
        <f t="shared" si="84"/>
        <v>0</v>
      </c>
      <c r="AI15" s="292"/>
      <c r="AJ15" s="299">
        <f>IFERROR(__xludf.DUMMYFUNCTION("SUM(QUERY(Hospitais_BD!E:Q,""select Q where E='""&amp;A15&amp;""'"",1))"),0.0)</f>
        <v>0</v>
      </c>
      <c r="AK15" s="299">
        <f>IFERROR(__xludf.DUMMYFUNCTION("SUM(QUERY(Hospitais_BD!E:Q,""select Q where E='""&amp;A15&amp;""' and I = '""&amp;AK2&amp;""'"",1))"),0.0)</f>
        <v>0</v>
      </c>
      <c r="AL15" s="300">
        <f>IFERROR(__xludf.DUMMYFUNCTION("SUM(QUERY(Hospitais_BD!E:Q,""select Q where E='""&amp;A15&amp;""' and I = '""&amp;AL2&amp;""'"",1))"),0.0)</f>
        <v>0</v>
      </c>
      <c r="AM15" s="301">
        <f>IFERROR(__xludf.DUMMYFUNCTION("SUM(QUERY(Hospitais_BD!E:Y,""select W where E='""&amp;A15&amp;""'"",1))"),150.0)</f>
        <v>150</v>
      </c>
      <c r="AN15" s="301">
        <f>IFERROR(__xludf.DUMMYFUNCTION("SUM(QUERY(Hospitais_BD!E:Y,""select W where E='""&amp;A15&amp;""' and I= '""&amp;AN2&amp;""'"",1))"),150.0)</f>
        <v>150</v>
      </c>
      <c r="AO15" s="301">
        <f>IFERROR(__xludf.DUMMYFUNCTION("SUM(QUERY(Hospitais_BD!E:Y,""select W where E='""&amp;A15&amp;""' and I= '""&amp;AO2&amp;""'"",1))"),0.0)</f>
        <v>0</v>
      </c>
      <c r="AP15" s="296">
        <f t="shared" ref="AP15:AR15" si="85">AJ15-AM15</f>
        <v>-150</v>
      </c>
      <c r="AQ15" s="296">
        <f t="shared" si="85"/>
        <v>-150</v>
      </c>
      <c r="AR15" s="296">
        <f t="shared" si="85"/>
        <v>0</v>
      </c>
      <c r="AS15" s="292"/>
      <c r="AT15" s="299">
        <f>IFERROR(__xludf.DUMMYFUNCTION("SUM(QUERY(Hospitais_BD!E:R,""select R where E='""&amp;A15&amp;""'"",1))"),0.0)</f>
        <v>0</v>
      </c>
      <c r="AU15" s="299">
        <f>IFERROR(__xludf.DUMMYFUNCTION("SUM(QUERY(Hospitais_BD!E:R,""select R where E='""&amp;A15&amp;""' and I = '""&amp;AU2&amp;""'"",1))"),0.0)</f>
        <v>0</v>
      </c>
      <c r="AV15" s="300">
        <f>IFERROR(__xludf.DUMMYFUNCTION("SUM(QUERY(Hospitais_BD!E:R,""select R where E='""&amp;A15&amp;""' and I = '""&amp;AV2&amp;""'"",1))"),0.0)</f>
        <v>0</v>
      </c>
      <c r="AW15" s="301">
        <f>IFERROR(__xludf.DUMMYFUNCTION("SUM(QUERY(Hospitais_BD!E:Y,""select X where E='""&amp;A15&amp;""'"",1))"),50.0)</f>
        <v>50</v>
      </c>
      <c r="AX15" s="301">
        <f>IFERROR(__xludf.DUMMYFUNCTION("SUM(QUERY(Hospitais_BD!E:Y,""select X where E='""&amp;A15&amp;""' and I = '""&amp;AX2&amp;""'"",1))"),50.0)</f>
        <v>50</v>
      </c>
      <c r="AY15" s="301">
        <f>IFERROR(__xludf.DUMMYFUNCTION("SUM(QUERY(Hospitais_BD!E:Y,""select X where E='""&amp;A15&amp;""' and I = '""&amp;AY2&amp;""'"",1))"),0.0)</f>
        <v>0</v>
      </c>
      <c r="AZ15" s="296">
        <f t="shared" ref="AZ15:BB15" si="86">AT15-AW15</f>
        <v>-50</v>
      </c>
      <c r="BA15" s="296">
        <f t="shared" si="86"/>
        <v>-50</v>
      </c>
      <c r="BB15" s="296">
        <f t="shared" si="86"/>
        <v>0</v>
      </c>
      <c r="BC15" s="292"/>
      <c r="BD15" s="299">
        <f>IFERROR(__xludf.DUMMYFUNCTION("SUM(QUERY(Hospitais_BD!E:S,""select S where E='""&amp;A15&amp;""'"",1))"),0.0)</f>
        <v>0</v>
      </c>
      <c r="BE15" s="299">
        <f>IFERROR(__xludf.DUMMYFUNCTION("SUM(QUERY(Hospitais_BD!E:S,""select S where E='""&amp;A15&amp;""' and I = '""&amp;BE2&amp;""'"",1))"),0.0)</f>
        <v>0</v>
      </c>
      <c r="BF15" s="300">
        <f>IFERROR(__xludf.DUMMYFUNCTION("SUM(QUERY(Hospitais_BD!E:S,""select S where E='""&amp;A15&amp;""' and I = '""&amp;BF2&amp;""'"",1))"),0.0)</f>
        <v>0</v>
      </c>
      <c r="BG15" s="301">
        <f>IFERROR(__xludf.DUMMYFUNCTION("SUM(QUERY(Hospitais_BD!E:Y,""select Y where E='""&amp;A15&amp;""'"",1))"),68.0)</f>
        <v>68</v>
      </c>
      <c r="BH15" s="301">
        <f>IFERROR(__xludf.DUMMYFUNCTION("SUM(QUERY(Hospitais_BD!E:Y,""select Y where E='""&amp;A15&amp;""' and I = '""&amp;BH2&amp;""'"",1))"),68.0)</f>
        <v>68</v>
      </c>
      <c r="BI15" s="301">
        <f>IFERROR(__xludf.DUMMYFUNCTION("SUM(QUERY(Hospitais_BD!E:Y,""select Y where E='""&amp;A15&amp;""' and I = '""&amp;BI2&amp;""'"",1))"),0.0)</f>
        <v>0</v>
      </c>
      <c r="BJ15" s="296">
        <f t="shared" ref="BJ15:BL15" si="87">BD15-BG15</f>
        <v>-68</v>
      </c>
      <c r="BK15" s="296">
        <f t="shared" si="87"/>
        <v>-68</v>
      </c>
      <c r="BL15" s="296">
        <f t="shared" si="87"/>
        <v>0</v>
      </c>
    </row>
    <row r="16">
      <c r="A16" s="297" t="s">
        <v>324</v>
      </c>
      <c r="B16" s="306">
        <f>COUNTIF(Hospitais_BD!E:E,A16)</f>
        <v>9</v>
      </c>
      <c r="C16" s="298">
        <f>COUNTIFS(Hospitais_BD!E:E,A16,Hospitais_BD!I:I,C2)</f>
        <v>8</v>
      </c>
      <c r="D16" s="298">
        <f>COUNTIFS(Hospitais_BD!E:E,A16,Hospitais_BD!I:I,D2)</f>
        <v>1</v>
      </c>
      <c r="E16" s="282"/>
      <c r="F16" s="299">
        <f>IFERROR(__xludf.DUMMYFUNCTION("SUM(QUERY(Hospitais_BD!E:Q,""select N where E='""&amp;A16&amp;""'"",1))"),0.0)</f>
        <v>0</v>
      </c>
      <c r="G16" s="299">
        <f>IFERROR(__xludf.DUMMYFUNCTION("SUM(QUERY(Hospitais_BD!E:Q,""select N where E='""&amp;A16&amp;""' and I = '""&amp;G2&amp;""'"",1))"),0.0)</f>
        <v>0</v>
      </c>
      <c r="H16" s="300">
        <f>IFERROR(__xludf.DUMMYFUNCTION("SUM(QUERY(Hospitais_BD!E:Q,""select N where E='""&amp;A16&amp;""' and I= '""&amp;H2&amp;""'"",1))"),0.0)</f>
        <v>0</v>
      </c>
      <c r="I16" s="301">
        <f>IFERROR(__xludf.DUMMYFUNCTION("SUM(QUERY(Hospitais_BD!E:Y,""select T where E='""&amp;A16&amp;""'"",1))"),555.0)</f>
        <v>555</v>
      </c>
      <c r="J16" s="301">
        <f>IFERROR(__xludf.DUMMYFUNCTION("SUM(QUERY(Hospitais_BD!E:W,""select T where E='""&amp;A16&amp;""' and I= '""&amp;J2&amp;""'"",1))"),555.0)</f>
        <v>555</v>
      </c>
      <c r="K16" s="301">
        <f>IFERROR(__xludf.DUMMYFUNCTION("SUM(QUERY(Hospitais_BD!E:W,""select T where E='""&amp;A16&amp;""' and I= '""&amp;K2&amp;""'"",1))"),0.0)</f>
        <v>0</v>
      </c>
      <c r="L16" s="296">
        <f t="shared" ref="L16:N16" si="88">F16-I16</f>
        <v>-555</v>
      </c>
      <c r="M16" s="296">
        <f t="shared" si="88"/>
        <v>-555</v>
      </c>
      <c r="N16" s="296">
        <f t="shared" si="88"/>
        <v>0</v>
      </c>
      <c r="O16" s="292"/>
      <c r="P16" s="299">
        <f>IFERROR(__xludf.DUMMYFUNCTION("SUM(QUERY(Hospitais_BD!E:Q,""select O where E='""&amp;A16&amp;""'"",1))"),0.0)</f>
        <v>0</v>
      </c>
      <c r="Q16" s="299">
        <f>IFERROR(__xludf.DUMMYFUNCTION("SUM(QUERY(Hospitais_BD!E:Q,""select O where E='""&amp;A16&amp;""' and I = '""&amp;Q2&amp;""'"",1))"),0.0)</f>
        <v>0</v>
      </c>
      <c r="R16" s="300">
        <f>IFERROR(__xludf.DUMMYFUNCTION("SUM(QUERY(Hospitais_BD!E:Q,""select O where E='""&amp;A16&amp;""' and I = '""&amp;R2&amp;""'"",1))"),0.0)</f>
        <v>0</v>
      </c>
      <c r="S16" s="301">
        <f>IFERROR(__xludf.DUMMYFUNCTION("SUM(QUERY(Hospitais_BD!E:Y,""select U where E='""&amp;A16&amp;""'"",1))"),0.0)</f>
        <v>0</v>
      </c>
      <c r="T16" s="301">
        <f>IFERROR(__xludf.DUMMYFUNCTION("SUM(QUERY(Hospitais_BD!E:Y,""select U where E='""&amp;A16&amp;""' and I= '""&amp;T2&amp;""'"",1))"),0.0)</f>
        <v>0</v>
      </c>
      <c r="U16" s="301">
        <f>IFERROR(__xludf.DUMMYFUNCTION("SUM(QUERY(Hospitais_BD!E:Y,""select U where E='""&amp;A16&amp;""' and I= '""&amp;U2&amp;""'"",1))"),0.0)</f>
        <v>0</v>
      </c>
      <c r="V16" s="296">
        <f t="shared" ref="V16:X16" si="89">P16-S16</f>
        <v>0</v>
      </c>
      <c r="W16" s="296">
        <f t="shared" si="89"/>
        <v>0</v>
      </c>
      <c r="X16" s="296">
        <f t="shared" si="89"/>
        <v>0</v>
      </c>
      <c r="Y16" s="292"/>
      <c r="Z16" s="299">
        <f>IFERROR(__xludf.DUMMYFUNCTION("SUM(QUERY(Hospitais_BD!E:Q,""select P where E='""&amp;A16&amp;""'"",1))"),0.0)</f>
        <v>0</v>
      </c>
      <c r="AA16" s="299">
        <f>IFERROR(__xludf.DUMMYFUNCTION("SUM(QUERY(Hospitais_BD!E:Q,""select P where E='""&amp;A16&amp;""' and I = '""&amp;AA2&amp;""'"",1))"),0.0)</f>
        <v>0</v>
      </c>
      <c r="AB16" s="300">
        <f>IFERROR(__xludf.DUMMYFUNCTION("SUM(QUERY(Hospitais_BD!E:Q,""select P where E='""&amp;A16&amp;""' and I = '""&amp;AB2&amp;""'"",1))"),0.0)</f>
        <v>0</v>
      </c>
      <c r="AC16" s="301">
        <f>IFERROR(__xludf.DUMMYFUNCTION("SUM(QUERY(Hospitais_BD!E:Y,""select V where E='""&amp;A16&amp;""'"",1))"),0.0)</f>
        <v>0</v>
      </c>
      <c r="AD16" s="301">
        <f>IFERROR(__xludf.DUMMYFUNCTION("SUM(QUERY(Hospitais_BD!E:Y,""select V where E='""&amp;A16&amp;""' and I= '""&amp;AD2&amp;""'"",1))"),0.0)</f>
        <v>0</v>
      </c>
      <c r="AE16" s="301">
        <f>IFERROR(__xludf.DUMMYFUNCTION("SUM(QUERY(Hospitais_BD!E:Y,""select V where E='""&amp;A16&amp;""' and I= '""&amp;AE2&amp;""'"",1))"),0.0)</f>
        <v>0</v>
      </c>
      <c r="AF16" s="296">
        <f t="shared" ref="AF16:AH16" si="90">Z16-AC16</f>
        <v>0</v>
      </c>
      <c r="AG16" s="296">
        <f t="shared" si="90"/>
        <v>0</v>
      </c>
      <c r="AH16" s="296">
        <f t="shared" si="90"/>
        <v>0</v>
      </c>
      <c r="AI16" s="292"/>
      <c r="AJ16" s="299">
        <f>IFERROR(__xludf.DUMMYFUNCTION("SUM(QUERY(Hospitais_BD!E:Q,""select Q where E='""&amp;A16&amp;""'"",1))"),0.0)</f>
        <v>0</v>
      </c>
      <c r="AK16" s="299">
        <f>IFERROR(__xludf.DUMMYFUNCTION("SUM(QUERY(Hospitais_BD!E:Q,""select Q where E='""&amp;A16&amp;""' and I = '""&amp;AK2&amp;""'"",1))"),0.0)</f>
        <v>0</v>
      </c>
      <c r="AL16" s="300">
        <f>IFERROR(__xludf.DUMMYFUNCTION("SUM(QUERY(Hospitais_BD!E:Q,""select Q where E='""&amp;A16&amp;""' and I = '""&amp;AL2&amp;""'"",1))"),0.0)</f>
        <v>0</v>
      </c>
      <c r="AM16" s="301">
        <f>IFERROR(__xludf.DUMMYFUNCTION("SUM(QUERY(Hospitais_BD!E:Y,""select W where E='""&amp;A16&amp;""'"",1))"),0.0)</f>
        <v>0</v>
      </c>
      <c r="AN16" s="301">
        <f>IFERROR(__xludf.DUMMYFUNCTION("SUM(QUERY(Hospitais_BD!E:Y,""select W where E='""&amp;A16&amp;""' and I= '""&amp;AN2&amp;""'"",1))"),0.0)</f>
        <v>0</v>
      </c>
      <c r="AO16" s="301">
        <f>IFERROR(__xludf.DUMMYFUNCTION("SUM(QUERY(Hospitais_BD!E:Y,""select W where E='""&amp;A16&amp;""' and I= '""&amp;AO2&amp;""'"",1))"),0.0)</f>
        <v>0</v>
      </c>
      <c r="AP16" s="296">
        <f t="shared" ref="AP16:AR16" si="91">AJ16-AM16</f>
        <v>0</v>
      </c>
      <c r="AQ16" s="296">
        <f t="shared" si="91"/>
        <v>0</v>
      </c>
      <c r="AR16" s="296">
        <f t="shared" si="91"/>
        <v>0</v>
      </c>
      <c r="AS16" s="292"/>
      <c r="AT16" s="299">
        <f>IFERROR(__xludf.DUMMYFUNCTION("SUM(QUERY(Hospitais_BD!E:R,""select R where E='""&amp;A16&amp;""'"",1))"),2400.0)</f>
        <v>2400</v>
      </c>
      <c r="AU16" s="299">
        <f>IFERROR(__xludf.DUMMYFUNCTION("SUM(QUERY(Hospitais_BD!E:R,""select R where E='""&amp;A16&amp;""' and I = '""&amp;AU2&amp;""'"",1))"),2400.0)</f>
        <v>2400</v>
      </c>
      <c r="AV16" s="300">
        <f>IFERROR(__xludf.DUMMYFUNCTION("SUM(QUERY(Hospitais_BD!E:R,""select R where E='""&amp;A16&amp;""' and I = '""&amp;AV2&amp;""'"",1))"),0.0)</f>
        <v>0</v>
      </c>
      <c r="AW16" s="301">
        <f>IFERROR(__xludf.DUMMYFUNCTION("SUM(QUERY(Hospitais_BD!E:Y,""select X where E='""&amp;A16&amp;""'"",1))"),0.0)</f>
        <v>0</v>
      </c>
      <c r="AX16" s="301">
        <f>IFERROR(__xludf.DUMMYFUNCTION("SUM(QUERY(Hospitais_BD!E:Y,""select X where E='""&amp;A16&amp;""' and I = '""&amp;AX2&amp;""'"",1))"),0.0)</f>
        <v>0</v>
      </c>
      <c r="AY16" s="301">
        <f>IFERROR(__xludf.DUMMYFUNCTION("SUM(QUERY(Hospitais_BD!E:Y,""select X where E='""&amp;A16&amp;""' and I = '""&amp;AY2&amp;""'"",1))"),0.0)</f>
        <v>0</v>
      </c>
      <c r="AZ16" s="296">
        <f t="shared" ref="AZ16:BB16" si="92">AT16-AW16</f>
        <v>2400</v>
      </c>
      <c r="BA16" s="296">
        <f t="shared" si="92"/>
        <v>2400</v>
      </c>
      <c r="BB16" s="296">
        <f t="shared" si="92"/>
        <v>0</v>
      </c>
      <c r="BC16" s="292"/>
      <c r="BD16" s="299">
        <f>IFERROR(__xludf.DUMMYFUNCTION("SUM(QUERY(Hospitais_BD!E:S,""select S where E='""&amp;A16&amp;""'"",1))"),2400.0)</f>
        <v>2400</v>
      </c>
      <c r="BE16" s="299">
        <f>IFERROR(__xludf.DUMMYFUNCTION("SUM(QUERY(Hospitais_BD!E:S,""select S where E='""&amp;A16&amp;""' and I = '""&amp;BE2&amp;""'"",1))"),2400.0)</f>
        <v>2400</v>
      </c>
      <c r="BF16" s="300">
        <f>IFERROR(__xludf.DUMMYFUNCTION("SUM(QUERY(Hospitais_BD!E:S,""select S where E='""&amp;A16&amp;""' and I = '""&amp;BF2&amp;""'"",1))"),0.0)</f>
        <v>0</v>
      </c>
      <c r="BG16" s="301">
        <f>IFERROR(__xludf.DUMMYFUNCTION("SUM(QUERY(Hospitais_BD!E:Y,""select Y where E='""&amp;A16&amp;""'"",1))"),50.0)</f>
        <v>50</v>
      </c>
      <c r="BH16" s="301">
        <f>IFERROR(__xludf.DUMMYFUNCTION("SUM(QUERY(Hospitais_BD!E:Y,""select Y where E='""&amp;A16&amp;""' and I = '""&amp;BH2&amp;""'"",1))"),50.0)</f>
        <v>50</v>
      </c>
      <c r="BI16" s="301">
        <f>IFERROR(__xludf.DUMMYFUNCTION("SUM(QUERY(Hospitais_BD!E:Y,""select Y where E='""&amp;A16&amp;""' and I = '""&amp;BI2&amp;""'"",1))"),0.0)</f>
        <v>0</v>
      </c>
      <c r="BJ16" s="296">
        <f t="shared" ref="BJ16:BL16" si="93">BD16-BG16</f>
        <v>2350</v>
      </c>
      <c r="BK16" s="296">
        <f t="shared" si="93"/>
        <v>2350</v>
      </c>
      <c r="BL16" s="296">
        <f t="shared" si="93"/>
        <v>0</v>
      </c>
    </row>
    <row r="17">
      <c r="A17" s="297" t="s">
        <v>38</v>
      </c>
      <c r="B17" s="306">
        <f>COUNTIF(Hospitais_BD!E:E,A17)</f>
        <v>13</v>
      </c>
      <c r="C17" s="298">
        <f>COUNTIFS(Hospitais_BD!E:E,A17,Hospitais_BD!I:I,C2)</f>
        <v>10</v>
      </c>
      <c r="D17" s="298">
        <f>COUNTIFS(Hospitais_BD!E:E,A17,Hospitais_BD!I:I,D2)</f>
        <v>3</v>
      </c>
      <c r="E17" s="282"/>
      <c r="F17" s="299">
        <f>IFERROR(__xludf.DUMMYFUNCTION("SUM(QUERY(Hospitais_BD!E:Q,""select N where E='""&amp;A17&amp;""'"",1))"),0.0)</f>
        <v>0</v>
      </c>
      <c r="G17" s="299">
        <f>IFERROR(__xludf.DUMMYFUNCTION("SUM(QUERY(Hospitais_BD!E:Q,""select N where E='""&amp;A17&amp;""' and I = '""&amp;G2&amp;""'"",1))"),0.0)</f>
        <v>0</v>
      </c>
      <c r="H17" s="300">
        <f>IFERROR(__xludf.DUMMYFUNCTION("SUM(QUERY(Hospitais_BD!E:Q,""select N where E='""&amp;A17&amp;""' and I= '""&amp;H2&amp;""'"",1))"),0.0)</f>
        <v>0</v>
      </c>
      <c r="I17" s="301">
        <f>IFERROR(__xludf.DUMMYFUNCTION("SUM(QUERY(Hospitais_BD!E:Y,""select T where E='""&amp;A17&amp;""'"",1))"),500.0)</f>
        <v>500</v>
      </c>
      <c r="J17" s="301">
        <f>IFERROR(__xludf.DUMMYFUNCTION("SUM(QUERY(Hospitais_BD!E:W,""select T where E='""&amp;A17&amp;""' and I= '""&amp;J2&amp;""'"",1))"),500.0)</f>
        <v>500</v>
      </c>
      <c r="K17" s="301">
        <f>IFERROR(__xludf.DUMMYFUNCTION("SUM(QUERY(Hospitais_BD!E:W,""select T where E='""&amp;A17&amp;""' and I= '""&amp;K2&amp;""'"",1))"),0.0)</f>
        <v>0</v>
      </c>
      <c r="L17" s="296">
        <f t="shared" ref="L17:N17" si="94">F17-I17</f>
        <v>-500</v>
      </c>
      <c r="M17" s="296">
        <f t="shared" si="94"/>
        <v>-500</v>
      </c>
      <c r="N17" s="296">
        <f t="shared" si="94"/>
        <v>0</v>
      </c>
      <c r="O17" s="292"/>
      <c r="P17" s="299">
        <f>IFERROR(__xludf.DUMMYFUNCTION("SUM(QUERY(Hospitais_BD!E:Q,""select O where E='""&amp;A17&amp;""'"",1))"),0.0)</f>
        <v>0</v>
      </c>
      <c r="Q17" s="299">
        <f>IFERROR(__xludf.DUMMYFUNCTION("SUM(QUERY(Hospitais_BD!E:Q,""select O where E='""&amp;A17&amp;""' and I = '""&amp;Q2&amp;""'"",1))"),0.0)</f>
        <v>0</v>
      </c>
      <c r="R17" s="300">
        <f>IFERROR(__xludf.DUMMYFUNCTION("SUM(QUERY(Hospitais_BD!E:Q,""select O where E='""&amp;A17&amp;""' and I = '""&amp;R2&amp;""'"",1))"),0.0)</f>
        <v>0</v>
      </c>
      <c r="S17" s="301">
        <f>IFERROR(__xludf.DUMMYFUNCTION("SUM(QUERY(Hospitais_BD!E:Y,""select U where E='""&amp;A17&amp;""'"",1))"),0.0)</f>
        <v>0</v>
      </c>
      <c r="T17" s="301">
        <f>IFERROR(__xludf.DUMMYFUNCTION("SUM(QUERY(Hospitais_BD!E:Y,""select U where E='""&amp;A17&amp;""' and I= '""&amp;T2&amp;""'"",1))"),0.0)</f>
        <v>0</v>
      </c>
      <c r="U17" s="301">
        <f>IFERROR(__xludf.DUMMYFUNCTION("SUM(QUERY(Hospitais_BD!E:Y,""select U where E='""&amp;A17&amp;""' and I= '""&amp;U2&amp;""'"",1))"),0.0)</f>
        <v>0</v>
      </c>
      <c r="V17" s="296">
        <f t="shared" ref="V17:X17" si="95">P17-S17</f>
        <v>0</v>
      </c>
      <c r="W17" s="296">
        <f t="shared" si="95"/>
        <v>0</v>
      </c>
      <c r="X17" s="296">
        <f t="shared" si="95"/>
        <v>0</v>
      </c>
      <c r="Y17" s="292"/>
      <c r="Z17" s="299">
        <f>IFERROR(__xludf.DUMMYFUNCTION("SUM(QUERY(Hospitais_BD!E:Q,""select P where E='""&amp;A17&amp;""'"",1))"),0.0)</f>
        <v>0</v>
      </c>
      <c r="AA17" s="299">
        <f>IFERROR(__xludf.DUMMYFUNCTION("SUM(QUERY(Hospitais_BD!E:Q,""select P where E='""&amp;A17&amp;""' and I = '""&amp;AA2&amp;""'"",1))"),0.0)</f>
        <v>0</v>
      </c>
      <c r="AB17" s="300">
        <f>IFERROR(__xludf.DUMMYFUNCTION("SUM(QUERY(Hospitais_BD!E:Q,""select P where E='""&amp;A17&amp;""' and I = '""&amp;AB2&amp;""'"",1))"),0.0)</f>
        <v>0</v>
      </c>
      <c r="AC17" s="301">
        <f>IFERROR(__xludf.DUMMYFUNCTION("SUM(QUERY(Hospitais_BD!E:Y,""select V where E='""&amp;A17&amp;""'"",1))"),0.0)</f>
        <v>0</v>
      </c>
      <c r="AD17" s="301">
        <f>IFERROR(__xludf.DUMMYFUNCTION("SUM(QUERY(Hospitais_BD!E:Y,""select V where E='""&amp;A17&amp;""' and I= '""&amp;AD2&amp;""'"",1))"),0.0)</f>
        <v>0</v>
      </c>
      <c r="AE17" s="301">
        <f>IFERROR(__xludf.DUMMYFUNCTION("SUM(QUERY(Hospitais_BD!E:Y,""select V where E='""&amp;A17&amp;""' and I= '""&amp;AE2&amp;""'"",1))"),0.0)</f>
        <v>0</v>
      </c>
      <c r="AF17" s="296">
        <f t="shared" ref="AF17:AH17" si="96">Z17-AC17</f>
        <v>0</v>
      </c>
      <c r="AG17" s="296">
        <f t="shared" si="96"/>
        <v>0</v>
      </c>
      <c r="AH17" s="296">
        <f t="shared" si="96"/>
        <v>0</v>
      </c>
      <c r="AI17" s="292"/>
      <c r="AJ17" s="299">
        <f>IFERROR(__xludf.DUMMYFUNCTION("SUM(QUERY(Hospitais_BD!E:Q,""select Q where E='""&amp;A17&amp;""'"",1))"),0.0)</f>
        <v>0</v>
      </c>
      <c r="AK17" s="299">
        <f>IFERROR(__xludf.DUMMYFUNCTION("SUM(QUERY(Hospitais_BD!E:Q,""select Q where E='""&amp;A17&amp;""' and I = '""&amp;AK2&amp;""'"",1))"),0.0)</f>
        <v>0</v>
      </c>
      <c r="AL17" s="300">
        <f>IFERROR(__xludf.DUMMYFUNCTION("SUM(QUERY(Hospitais_BD!E:Q,""select Q where E='""&amp;A17&amp;""' and I = '""&amp;AL2&amp;""'"",1))"),0.0)</f>
        <v>0</v>
      </c>
      <c r="AM17" s="301">
        <f>IFERROR(__xludf.DUMMYFUNCTION("SUM(QUERY(Hospitais_BD!E:Y,""select W where E='""&amp;A17&amp;""'"",1))"),0.0)</f>
        <v>0</v>
      </c>
      <c r="AN17" s="301">
        <f>IFERROR(__xludf.DUMMYFUNCTION("SUM(QUERY(Hospitais_BD!E:Y,""select W where E='""&amp;A17&amp;""' and I= '""&amp;AN2&amp;""'"",1))"),0.0)</f>
        <v>0</v>
      </c>
      <c r="AO17" s="301">
        <f>IFERROR(__xludf.DUMMYFUNCTION("SUM(QUERY(Hospitais_BD!E:Y,""select W where E='""&amp;A17&amp;""' and I= '""&amp;AO2&amp;""'"",1))"),0.0)</f>
        <v>0</v>
      </c>
      <c r="AP17" s="296">
        <f t="shared" ref="AP17:AR17" si="97">AJ17-AM17</f>
        <v>0</v>
      </c>
      <c r="AQ17" s="296">
        <f t="shared" si="97"/>
        <v>0</v>
      </c>
      <c r="AR17" s="296">
        <f t="shared" si="97"/>
        <v>0</v>
      </c>
      <c r="AS17" s="292"/>
      <c r="AT17" s="299">
        <f>IFERROR(__xludf.DUMMYFUNCTION("SUM(QUERY(Hospitais_BD!E:R,""select R where E='""&amp;A17&amp;""'"",1))"),0.0)</f>
        <v>0</v>
      </c>
      <c r="AU17" s="299">
        <f>IFERROR(__xludf.DUMMYFUNCTION("SUM(QUERY(Hospitais_BD!E:R,""select R where E='""&amp;A17&amp;""' and I = '""&amp;AU2&amp;""'"",1))"),0.0)</f>
        <v>0</v>
      </c>
      <c r="AV17" s="300">
        <f>IFERROR(__xludf.DUMMYFUNCTION("SUM(QUERY(Hospitais_BD!E:R,""select R where E='""&amp;A17&amp;""' and I = '""&amp;AV2&amp;""'"",1))"),0.0)</f>
        <v>0</v>
      </c>
      <c r="AW17" s="301">
        <f>IFERROR(__xludf.DUMMYFUNCTION("SUM(QUERY(Hospitais_BD!E:Y,""select X where E='""&amp;A17&amp;""'"",1))"),0.0)</f>
        <v>0</v>
      </c>
      <c r="AX17" s="301">
        <f>IFERROR(__xludf.DUMMYFUNCTION("SUM(QUERY(Hospitais_BD!E:Y,""select X where E='""&amp;A17&amp;""' and I = '""&amp;AX2&amp;""'"",1))"),0.0)</f>
        <v>0</v>
      </c>
      <c r="AY17" s="301">
        <f>IFERROR(__xludf.DUMMYFUNCTION("SUM(QUERY(Hospitais_BD!E:Y,""select X where E='""&amp;A17&amp;""' and I = '""&amp;AY2&amp;""'"",1))"),0.0)</f>
        <v>0</v>
      </c>
      <c r="AZ17" s="296">
        <f t="shared" ref="AZ17:BB17" si="98">AT17-AW17</f>
        <v>0</v>
      </c>
      <c r="BA17" s="296">
        <f t="shared" si="98"/>
        <v>0</v>
      </c>
      <c r="BB17" s="296">
        <f t="shared" si="98"/>
        <v>0</v>
      </c>
      <c r="BC17" s="292"/>
      <c r="BD17" s="299">
        <f>IFERROR(__xludf.DUMMYFUNCTION("SUM(QUERY(Hospitais_BD!E:S,""select S where E='""&amp;A17&amp;""'"",1))"),0.0)</f>
        <v>0</v>
      </c>
      <c r="BE17" s="299">
        <f>IFERROR(__xludf.DUMMYFUNCTION("SUM(QUERY(Hospitais_BD!E:S,""select S where E='""&amp;A17&amp;""' and I = '""&amp;BE2&amp;""'"",1))"),0.0)</f>
        <v>0</v>
      </c>
      <c r="BF17" s="300">
        <f>IFERROR(__xludf.DUMMYFUNCTION("SUM(QUERY(Hospitais_BD!E:S,""select S where E='""&amp;A17&amp;""' and I = '""&amp;BF2&amp;""'"",1))"),0.0)</f>
        <v>0</v>
      </c>
      <c r="BG17" s="301">
        <f>IFERROR(__xludf.DUMMYFUNCTION("SUM(QUERY(Hospitais_BD!E:Y,""select Y where E='""&amp;A17&amp;""'"",1))"),0.0)</f>
        <v>0</v>
      </c>
      <c r="BH17" s="301">
        <f>IFERROR(__xludf.DUMMYFUNCTION("SUM(QUERY(Hospitais_BD!E:Y,""select Y where E='""&amp;A17&amp;""' and I = '""&amp;BH2&amp;""'"",1))"),0.0)</f>
        <v>0</v>
      </c>
      <c r="BI17" s="301">
        <f>IFERROR(__xludf.DUMMYFUNCTION("SUM(QUERY(Hospitais_BD!E:Y,""select Y where E='""&amp;A17&amp;""' and I = '""&amp;BI2&amp;""'"",1))"),0.0)</f>
        <v>0</v>
      </c>
      <c r="BJ17" s="296">
        <f t="shared" ref="BJ17:BL17" si="99">BD17-BG17</f>
        <v>0</v>
      </c>
      <c r="BK17" s="296">
        <f t="shared" si="99"/>
        <v>0</v>
      </c>
      <c r="BL17" s="296">
        <f t="shared" si="99"/>
        <v>0</v>
      </c>
    </row>
    <row r="18">
      <c r="A18" s="297" t="s">
        <v>235</v>
      </c>
      <c r="B18" s="306">
        <f>COUNTIF(Hospitais_BD!E:E,A18)</f>
        <v>2</v>
      </c>
      <c r="C18" s="298">
        <f>COUNTIFS(Hospitais_BD!E:E,A18,Hospitais_BD!I:I,C2)</f>
        <v>1</v>
      </c>
      <c r="D18" s="298">
        <f>COUNTIFS(Hospitais_BD!E:E,A18,Hospitais_BD!I:I,D2)</f>
        <v>1</v>
      </c>
      <c r="E18" s="282"/>
      <c r="F18" s="299">
        <f>IFERROR(__xludf.DUMMYFUNCTION("SUM(QUERY(Hospitais_BD!E:Q,""select N where E='""&amp;A18&amp;""'"",1))"),0.0)</f>
        <v>0</v>
      </c>
      <c r="G18" s="299">
        <f>IFERROR(__xludf.DUMMYFUNCTION("SUM(QUERY(Hospitais_BD!E:Q,""select N where E='""&amp;A18&amp;""' and I = '""&amp;G2&amp;""'"",1))"),0.0)</f>
        <v>0</v>
      </c>
      <c r="H18" s="300">
        <f>IFERROR(__xludf.DUMMYFUNCTION("SUM(QUERY(Hospitais_BD!E:Q,""select N where E='""&amp;A18&amp;""' and I= '""&amp;H2&amp;""'"",1))"),0.0)</f>
        <v>0</v>
      </c>
      <c r="I18" s="301">
        <f>IFERROR(__xludf.DUMMYFUNCTION("SUM(QUERY(Hospitais_BD!E:Y,""select T where E='""&amp;A18&amp;""'"",1))"),200.0)</f>
        <v>200</v>
      </c>
      <c r="J18" s="301">
        <f>IFERROR(__xludf.DUMMYFUNCTION("SUM(QUERY(Hospitais_BD!E:W,""select T where E='""&amp;A18&amp;""' and I= '""&amp;J2&amp;""'"",1))"),100.0)</f>
        <v>100</v>
      </c>
      <c r="K18" s="301">
        <f>IFERROR(__xludf.DUMMYFUNCTION("SUM(QUERY(Hospitais_BD!E:W,""select T where E='""&amp;A18&amp;""' and I= '""&amp;K2&amp;""'"",1))"),100.0)</f>
        <v>100</v>
      </c>
      <c r="L18" s="296">
        <f t="shared" ref="L18:N18" si="100">F18-I18</f>
        <v>-200</v>
      </c>
      <c r="M18" s="296">
        <f t="shared" si="100"/>
        <v>-100</v>
      </c>
      <c r="N18" s="296">
        <f t="shared" si="100"/>
        <v>-100</v>
      </c>
      <c r="O18" s="292"/>
      <c r="P18" s="299">
        <f>IFERROR(__xludf.DUMMYFUNCTION("SUM(QUERY(Hospitais_BD!E:Q,""select O where E='""&amp;A18&amp;""'"",1))"),0.0)</f>
        <v>0</v>
      </c>
      <c r="Q18" s="299">
        <f>IFERROR(__xludf.DUMMYFUNCTION("SUM(QUERY(Hospitais_BD!E:Q,""select O where E='""&amp;A18&amp;""' and I = '""&amp;Q2&amp;""'"",1))"),0.0)</f>
        <v>0</v>
      </c>
      <c r="R18" s="300">
        <f>IFERROR(__xludf.DUMMYFUNCTION("SUM(QUERY(Hospitais_BD!E:Q,""select O where E='""&amp;A18&amp;""' and I = '""&amp;R2&amp;""'"",1))"),0.0)</f>
        <v>0</v>
      </c>
      <c r="S18" s="301">
        <f>IFERROR(__xludf.DUMMYFUNCTION("SUM(QUERY(Hospitais_BD!E:Y,""select U where E='""&amp;A18&amp;""'"",1))"),0.0)</f>
        <v>0</v>
      </c>
      <c r="T18" s="301">
        <f>IFERROR(__xludf.DUMMYFUNCTION("SUM(QUERY(Hospitais_BD!E:Y,""select U where E='""&amp;A18&amp;""' and I= '""&amp;T2&amp;""'"",1))"),0.0)</f>
        <v>0</v>
      </c>
      <c r="U18" s="301">
        <f>IFERROR(__xludf.DUMMYFUNCTION("SUM(QUERY(Hospitais_BD!E:Y,""select U where E='""&amp;A18&amp;""' and I= '""&amp;U2&amp;""'"",1))"),0.0)</f>
        <v>0</v>
      </c>
      <c r="V18" s="296">
        <f t="shared" ref="V18:X18" si="101">P18-S18</f>
        <v>0</v>
      </c>
      <c r="W18" s="296">
        <f t="shared" si="101"/>
        <v>0</v>
      </c>
      <c r="X18" s="296">
        <f t="shared" si="101"/>
        <v>0</v>
      </c>
      <c r="Y18" s="292"/>
      <c r="Z18" s="299">
        <f>IFERROR(__xludf.DUMMYFUNCTION("SUM(QUERY(Hospitais_BD!E:Q,""select P where E='""&amp;A18&amp;""'"",1))"),0.0)</f>
        <v>0</v>
      </c>
      <c r="AA18" s="299">
        <f>IFERROR(__xludf.DUMMYFUNCTION("SUM(QUERY(Hospitais_BD!E:Q,""select P where E='""&amp;A18&amp;""' and I = '""&amp;AA2&amp;""'"",1))"),0.0)</f>
        <v>0</v>
      </c>
      <c r="AB18" s="300">
        <f>IFERROR(__xludf.DUMMYFUNCTION("SUM(QUERY(Hospitais_BD!E:Q,""select P where E='""&amp;A18&amp;""' and I = '""&amp;AB2&amp;""'"",1))"),0.0)</f>
        <v>0</v>
      </c>
      <c r="AC18" s="301">
        <f>IFERROR(__xludf.DUMMYFUNCTION("SUM(QUERY(Hospitais_BD!E:Y,""select V where E='""&amp;A18&amp;""'"",1))"),0.0)</f>
        <v>0</v>
      </c>
      <c r="AD18" s="301">
        <f>IFERROR(__xludf.DUMMYFUNCTION("SUM(QUERY(Hospitais_BD!E:Y,""select V where E='""&amp;A18&amp;""' and I= '""&amp;AD2&amp;""'"",1))"),0.0)</f>
        <v>0</v>
      </c>
      <c r="AE18" s="301">
        <f>IFERROR(__xludf.DUMMYFUNCTION("SUM(QUERY(Hospitais_BD!E:Y,""select V where E='""&amp;A18&amp;""' and I= '""&amp;AE2&amp;""'"",1))"),0.0)</f>
        <v>0</v>
      </c>
      <c r="AF18" s="296">
        <f t="shared" ref="AF18:AH18" si="102">Z18-AC18</f>
        <v>0</v>
      </c>
      <c r="AG18" s="296">
        <f t="shared" si="102"/>
        <v>0</v>
      </c>
      <c r="AH18" s="296">
        <f t="shared" si="102"/>
        <v>0</v>
      </c>
      <c r="AI18" s="292"/>
      <c r="AJ18" s="299">
        <f>IFERROR(__xludf.DUMMYFUNCTION("SUM(QUERY(Hospitais_BD!E:Q,""select Q where E='""&amp;A18&amp;""'"",1))"),0.0)</f>
        <v>0</v>
      </c>
      <c r="AK18" s="299">
        <f>IFERROR(__xludf.DUMMYFUNCTION("SUM(QUERY(Hospitais_BD!E:Q,""select Q where E='""&amp;A18&amp;""' and I = '""&amp;AK2&amp;""'"",1))"),0.0)</f>
        <v>0</v>
      </c>
      <c r="AL18" s="300">
        <f>IFERROR(__xludf.DUMMYFUNCTION("SUM(QUERY(Hospitais_BD!E:Q,""select Q where E='""&amp;A18&amp;""' and I = '""&amp;AL2&amp;""'"",1))"),0.0)</f>
        <v>0</v>
      </c>
      <c r="AM18" s="301">
        <f>IFERROR(__xludf.DUMMYFUNCTION("SUM(QUERY(Hospitais_BD!E:Y,""select W where E='""&amp;A18&amp;""'"",1))"),100.0)</f>
        <v>100</v>
      </c>
      <c r="AN18" s="301">
        <f>IFERROR(__xludf.DUMMYFUNCTION("SUM(QUERY(Hospitais_BD!E:Y,""select W where E='""&amp;A18&amp;""' and I= '""&amp;AN2&amp;""'"",1))"),100.0)</f>
        <v>100</v>
      </c>
      <c r="AO18" s="301">
        <f>IFERROR(__xludf.DUMMYFUNCTION("SUM(QUERY(Hospitais_BD!E:Y,""select W where E='""&amp;A18&amp;""' and I= '""&amp;AO2&amp;""'"",1))"),0.0)</f>
        <v>0</v>
      </c>
      <c r="AP18" s="296">
        <f t="shared" ref="AP18:AR18" si="103">AJ18-AM18</f>
        <v>-100</v>
      </c>
      <c r="AQ18" s="296">
        <f t="shared" si="103"/>
        <v>-100</v>
      </c>
      <c r="AR18" s="296">
        <f t="shared" si="103"/>
        <v>0</v>
      </c>
      <c r="AS18" s="292"/>
      <c r="AT18" s="299">
        <f>IFERROR(__xludf.DUMMYFUNCTION("SUM(QUERY(Hospitais_BD!E:R,""select R where E='""&amp;A18&amp;""'"",1))"),0.0)</f>
        <v>0</v>
      </c>
      <c r="AU18" s="299">
        <f>IFERROR(__xludf.DUMMYFUNCTION("SUM(QUERY(Hospitais_BD!E:R,""select R where E='""&amp;A18&amp;""' and I = '""&amp;AU2&amp;""'"",1))"),0.0)</f>
        <v>0</v>
      </c>
      <c r="AV18" s="300">
        <f>IFERROR(__xludf.DUMMYFUNCTION("SUM(QUERY(Hospitais_BD!E:R,""select R where E='""&amp;A18&amp;""' and I = '""&amp;AV2&amp;""'"",1))"),0.0)</f>
        <v>0</v>
      </c>
      <c r="AW18" s="301">
        <f>IFERROR(__xludf.DUMMYFUNCTION("SUM(QUERY(Hospitais_BD!E:Y,""select X where E='""&amp;A18&amp;""'"",1))"),0.0)</f>
        <v>0</v>
      </c>
      <c r="AX18" s="301">
        <f>IFERROR(__xludf.DUMMYFUNCTION("SUM(QUERY(Hospitais_BD!E:Y,""select X where E='""&amp;A18&amp;""' and I = '""&amp;AX2&amp;""'"",1))"),0.0)</f>
        <v>0</v>
      </c>
      <c r="AY18" s="301">
        <f>IFERROR(__xludf.DUMMYFUNCTION("SUM(QUERY(Hospitais_BD!E:Y,""select X where E='""&amp;A18&amp;""' and I = '""&amp;AY2&amp;""'"",1))"),0.0)</f>
        <v>0</v>
      </c>
      <c r="AZ18" s="296">
        <f t="shared" ref="AZ18:BB18" si="104">AT18-AW18</f>
        <v>0</v>
      </c>
      <c r="BA18" s="296">
        <f t="shared" si="104"/>
        <v>0</v>
      </c>
      <c r="BB18" s="296">
        <f t="shared" si="104"/>
        <v>0</v>
      </c>
      <c r="BC18" s="292"/>
      <c r="BD18" s="299">
        <f>IFERROR(__xludf.DUMMYFUNCTION("SUM(QUERY(Hospitais_BD!E:S,""select S where E='""&amp;A18&amp;""'"",1))"),0.0)</f>
        <v>0</v>
      </c>
      <c r="BE18" s="299">
        <f>IFERROR(__xludf.DUMMYFUNCTION("SUM(QUERY(Hospitais_BD!E:S,""select S where E='""&amp;A18&amp;""' and I = '""&amp;BE2&amp;""'"",1))"),0.0)</f>
        <v>0</v>
      </c>
      <c r="BF18" s="300">
        <f>IFERROR(__xludf.DUMMYFUNCTION("SUM(QUERY(Hospitais_BD!E:S,""select S where E='""&amp;A18&amp;""' and I = '""&amp;BF2&amp;""'"",1))"),0.0)</f>
        <v>0</v>
      </c>
      <c r="BG18" s="301">
        <f>IFERROR(__xludf.DUMMYFUNCTION("SUM(QUERY(Hospitais_BD!E:Y,""select Y where E='""&amp;A18&amp;""'"",1))"),0.0)</f>
        <v>0</v>
      </c>
      <c r="BH18" s="301">
        <f>IFERROR(__xludf.DUMMYFUNCTION("SUM(QUERY(Hospitais_BD!E:Y,""select Y where E='""&amp;A18&amp;""' and I = '""&amp;BH2&amp;""'"",1))"),0.0)</f>
        <v>0</v>
      </c>
      <c r="BI18" s="301">
        <f>IFERROR(__xludf.DUMMYFUNCTION("SUM(QUERY(Hospitais_BD!E:Y,""select Y where E='""&amp;A18&amp;""' and I = '""&amp;BI2&amp;""'"",1))"),0.0)</f>
        <v>0</v>
      </c>
      <c r="BJ18" s="296">
        <f t="shared" ref="BJ18:BL18" si="105">BD18-BG18</f>
        <v>0</v>
      </c>
      <c r="BK18" s="296">
        <f t="shared" si="105"/>
        <v>0</v>
      </c>
      <c r="BL18" s="296">
        <f t="shared" si="105"/>
        <v>0</v>
      </c>
    </row>
    <row r="19">
      <c r="A19" s="222" t="s">
        <v>838</v>
      </c>
      <c r="B19" s="306">
        <f>COUNTIF(Hospitais_BD!E:E,A19)</f>
        <v>1</v>
      </c>
      <c r="C19" s="298">
        <f>COUNTIFS(Hospitais_BD!E:E,A19,Hospitais_BD!I:I,C2)</f>
        <v>1</v>
      </c>
      <c r="D19" s="298">
        <f>COUNTIFS(Hospitais_BD!E:E,A19,Hospitais_BD!I:I,D7)</f>
        <v>0</v>
      </c>
      <c r="E19" s="282"/>
      <c r="F19" s="299">
        <f>IFERROR(__xludf.DUMMYFUNCTION("SUM(QUERY(Hospitais_BD!E:Q,""select N where E='""&amp;A19&amp;""'"",1))"),0.0)</f>
        <v>0</v>
      </c>
      <c r="G19" s="299">
        <f>IFERROR(__xludf.DUMMYFUNCTION("SUM(QUERY(Hospitais_BD!E:Q,""select N where E='""&amp;A19&amp;""' and I = '""&amp;G2&amp;""'"",1))"),0.0)</f>
        <v>0</v>
      </c>
      <c r="H19" s="300">
        <f>IFERROR(__xludf.DUMMYFUNCTION("SUM(QUERY(Hospitais_BD!E:Q,""select N where E='""&amp;A19&amp;""' and I= '""&amp;H2&amp;""'"",1))"),0.0)</f>
        <v>0</v>
      </c>
      <c r="I19" s="301">
        <f>IFERROR(__xludf.DUMMYFUNCTION("SUM(QUERY(Hospitais_BD!E:Y,""select T where E='""&amp;A19&amp;""'"",1))"),50.0)</f>
        <v>50</v>
      </c>
      <c r="J19" s="301">
        <f>IFERROR(__xludf.DUMMYFUNCTION("SUM(QUERY(Hospitais_BD!E:W,""select T where E='""&amp;A19&amp;""' and I= '""&amp;J2&amp;""'"",1))"),50.0)</f>
        <v>50</v>
      </c>
      <c r="K19" s="301">
        <f>IFERROR(__xludf.DUMMYFUNCTION("SUM(QUERY(Hospitais_BD!E:W,""select T where E='""&amp;A19&amp;""' and I= '""&amp;K2&amp;""'"",1))"),0.0)</f>
        <v>0</v>
      </c>
      <c r="L19" s="296">
        <f t="shared" ref="L19:N19" si="106">F19-I19</f>
        <v>-50</v>
      </c>
      <c r="M19" s="296">
        <f t="shared" si="106"/>
        <v>-50</v>
      </c>
      <c r="N19" s="296">
        <f t="shared" si="106"/>
        <v>0</v>
      </c>
      <c r="O19" s="292"/>
      <c r="P19" s="299">
        <f>IFERROR(__xludf.DUMMYFUNCTION("SUM(QUERY(Hospitais_BD!E:Q,""select O where E='""&amp;A19&amp;""'"",1))"),0.0)</f>
        <v>0</v>
      </c>
      <c r="Q19" s="299">
        <f>IFERROR(__xludf.DUMMYFUNCTION("SUM(QUERY(Hospitais_BD!E:Q,""select O where E='""&amp;A19&amp;""' and I = '""&amp;Q2&amp;""'"",1))"),0.0)</f>
        <v>0</v>
      </c>
      <c r="R19" s="300">
        <f>IFERROR(__xludf.DUMMYFUNCTION("SUM(QUERY(Hospitais_BD!E:Q,""select O where E='""&amp;A19&amp;""' and I = '""&amp;R2&amp;""'"",1))"),0.0)</f>
        <v>0</v>
      </c>
      <c r="S19" s="301">
        <f>IFERROR(__xludf.DUMMYFUNCTION("SUM(QUERY(Hospitais_BD!E:Y,""select U where E='""&amp;A19&amp;""'"",1))"),0.0)</f>
        <v>0</v>
      </c>
      <c r="T19" s="301">
        <f>IFERROR(__xludf.DUMMYFUNCTION("SUM(QUERY(Hospitais_BD!E:Y,""select U where E='""&amp;A19&amp;""' and I= '""&amp;T2&amp;""'"",1))"),0.0)</f>
        <v>0</v>
      </c>
      <c r="U19" s="301">
        <f>IFERROR(__xludf.DUMMYFUNCTION("SUM(QUERY(Hospitais_BD!E:Y,""select U where E='""&amp;A19&amp;""' and I= '""&amp;U2&amp;""'"",1))"),0.0)</f>
        <v>0</v>
      </c>
      <c r="V19" s="296">
        <f t="shared" ref="V19:X19" si="107">P19-S19</f>
        <v>0</v>
      </c>
      <c r="W19" s="296">
        <f t="shared" si="107"/>
        <v>0</v>
      </c>
      <c r="X19" s="296">
        <f t="shared" si="107"/>
        <v>0</v>
      </c>
      <c r="Y19" s="292"/>
      <c r="Z19" s="299">
        <f>IFERROR(__xludf.DUMMYFUNCTION("SUM(QUERY(Hospitais_BD!E:Q,""select P where E='""&amp;A19&amp;""'"",1))"),0.0)</f>
        <v>0</v>
      </c>
      <c r="AA19" s="299">
        <f>IFERROR(__xludf.DUMMYFUNCTION("SUM(QUERY(Hospitais_BD!E:Q,""select P where E='""&amp;A19&amp;""' and I = '""&amp;AA2&amp;""'"",1))"),0.0)</f>
        <v>0</v>
      </c>
      <c r="AB19" s="300">
        <f>IFERROR(__xludf.DUMMYFUNCTION("SUM(QUERY(Hospitais_BD!E:Q,""select P where E='""&amp;A19&amp;""' and I = '""&amp;AB2&amp;""'"",1))"),0.0)</f>
        <v>0</v>
      </c>
      <c r="AC19" s="301">
        <f>IFERROR(__xludf.DUMMYFUNCTION("SUM(QUERY(Hospitais_BD!E:Y,""select V where E='""&amp;A19&amp;""'"",1))"),0.0)</f>
        <v>0</v>
      </c>
      <c r="AD19" s="301">
        <f>IFERROR(__xludf.DUMMYFUNCTION("SUM(QUERY(Hospitais_BD!E:Y,""select V where E='""&amp;A19&amp;""' and I= '""&amp;AD2&amp;""'"",1))"),0.0)</f>
        <v>0</v>
      </c>
      <c r="AE19" s="301">
        <f>IFERROR(__xludf.DUMMYFUNCTION("SUM(QUERY(Hospitais_BD!E:Y,""select V where E='""&amp;A19&amp;""' and I= '""&amp;AE2&amp;""'"",1))"),0.0)</f>
        <v>0</v>
      </c>
      <c r="AF19" s="296">
        <f t="shared" ref="AF19:AH19" si="108">Z19-AC19</f>
        <v>0</v>
      </c>
      <c r="AG19" s="296">
        <f t="shared" si="108"/>
        <v>0</v>
      </c>
      <c r="AH19" s="296">
        <f t="shared" si="108"/>
        <v>0</v>
      </c>
      <c r="AI19" s="292"/>
      <c r="AJ19" s="299">
        <f>IFERROR(__xludf.DUMMYFUNCTION("SUM(QUERY(Hospitais_BD!E:Q,""select Q where E='""&amp;A19&amp;""'"",1))"),0.0)</f>
        <v>0</v>
      </c>
      <c r="AK19" s="299">
        <f>IFERROR(__xludf.DUMMYFUNCTION("SUM(QUERY(Hospitais_BD!E:Q,""select Q where E='""&amp;A19&amp;""' and I = '""&amp;AK2&amp;""'"",1))"),0.0)</f>
        <v>0</v>
      </c>
      <c r="AL19" s="300">
        <f>IFERROR(__xludf.DUMMYFUNCTION("SUM(QUERY(Hospitais_BD!E:Q,""select Q where E='""&amp;A19&amp;""' and I = '""&amp;AL2&amp;""'"",1))"),0.0)</f>
        <v>0</v>
      </c>
      <c r="AM19" s="301">
        <f>IFERROR(__xludf.DUMMYFUNCTION("SUM(QUERY(Hospitais_BD!E:Y,""select W where E='""&amp;A19&amp;""'"",1))"),0.0)</f>
        <v>0</v>
      </c>
      <c r="AN19" s="301">
        <f>IFERROR(__xludf.DUMMYFUNCTION("SUM(QUERY(Hospitais_BD!E:Y,""select W where E='""&amp;A19&amp;""' and I= '""&amp;AN2&amp;""'"",1))"),0.0)</f>
        <v>0</v>
      </c>
      <c r="AO19" s="301">
        <f>IFERROR(__xludf.DUMMYFUNCTION("SUM(QUERY(Hospitais_BD!E:Y,""select W where E='""&amp;A19&amp;""' and I= '""&amp;AO2&amp;""'"",1))"),0.0)</f>
        <v>0</v>
      </c>
      <c r="AP19" s="296">
        <f t="shared" ref="AP19:AR19" si="109">AJ19-AM19</f>
        <v>0</v>
      </c>
      <c r="AQ19" s="296">
        <f t="shared" si="109"/>
        <v>0</v>
      </c>
      <c r="AR19" s="296">
        <f t="shared" si="109"/>
        <v>0</v>
      </c>
      <c r="AS19" s="292"/>
      <c r="AT19" s="299">
        <f>IFERROR(__xludf.DUMMYFUNCTION("SUM(QUERY(Hospitais_BD!E:R,""select R where E='""&amp;A19&amp;""'"",1))"),0.0)</f>
        <v>0</v>
      </c>
      <c r="AU19" s="299">
        <f>IFERROR(__xludf.DUMMYFUNCTION("SUM(QUERY(Hospitais_BD!E:R,""select R where E='""&amp;A19&amp;""' and I = '""&amp;AU2&amp;""'"",1))"),0.0)</f>
        <v>0</v>
      </c>
      <c r="AV19" s="300">
        <f>IFERROR(__xludf.DUMMYFUNCTION("SUM(QUERY(Hospitais_BD!E:R,""select R where E='""&amp;A19&amp;""' and I = '""&amp;AV2&amp;""'"",1))"),0.0)</f>
        <v>0</v>
      </c>
      <c r="AW19" s="301">
        <f>IFERROR(__xludf.DUMMYFUNCTION("SUM(QUERY(Hospitais_BD!E:Y,""select X where E='""&amp;A19&amp;""'"",1))"),0.0)</f>
        <v>0</v>
      </c>
      <c r="AX19" s="301">
        <f>IFERROR(__xludf.DUMMYFUNCTION("SUM(QUERY(Hospitais_BD!E:Y,""select X where E='""&amp;A19&amp;""' and I = '""&amp;AX2&amp;""'"",1))"),0.0)</f>
        <v>0</v>
      </c>
      <c r="AY19" s="301">
        <f>IFERROR(__xludf.DUMMYFUNCTION("SUM(QUERY(Hospitais_BD!E:Y,""select X where E='""&amp;A19&amp;""' and I = '""&amp;AY2&amp;""'"",1))"),0.0)</f>
        <v>0</v>
      </c>
      <c r="AZ19" s="296">
        <f t="shared" ref="AZ19:BB19" si="110">AT19-AW19</f>
        <v>0</v>
      </c>
      <c r="BA19" s="296">
        <f t="shared" si="110"/>
        <v>0</v>
      </c>
      <c r="BB19" s="296">
        <f t="shared" si="110"/>
        <v>0</v>
      </c>
      <c r="BC19" s="292"/>
      <c r="BD19" s="299">
        <f>IFERROR(__xludf.DUMMYFUNCTION("SUM(QUERY(Hospitais_BD!E:S,""select S where E='""&amp;A19&amp;""'"",1))"),0.0)</f>
        <v>0</v>
      </c>
      <c r="BE19" s="299">
        <f>IFERROR(__xludf.DUMMYFUNCTION("SUM(QUERY(Hospitais_BD!E:S,""select S where E='""&amp;A19&amp;""' and I = '""&amp;BE2&amp;""'"",1))"),0.0)</f>
        <v>0</v>
      </c>
      <c r="BF19" s="300">
        <f>IFERROR(__xludf.DUMMYFUNCTION("SUM(QUERY(Hospitais_BD!E:S,""select S where E='""&amp;A19&amp;""' and I = '""&amp;BF2&amp;""'"",1))"),0.0)</f>
        <v>0</v>
      </c>
      <c r="BG19" s="301">
        <f>IFERROR(__xludf.DUMMYFUNCTION("SUM(QUERY(Hospitais_BD!E:Y,""select Y where E='""&amp;A19&amp;""'"",1))"),0.0)</f>
        <v>0</v>
      </c>
      <c r="BH19" s="301">
        <f>IFERROR(__xludf.DUMMYFUNCTION("SUM(QUERY(Hospitais_BD!E:Y,""select Y where E='""&amp;A19&amp;""' and I = '""&amp;BH2&amp;""'"",1))"),0.0)</f>
        <v>0</v>
      </c>
      <c r="BI19" s="301">
        <f>IFERROR(__xludf.DUMMYFUNCTION("SUM(QUERY(Hospitais_BD!E:Y,""select Y where E='""&amp;A19&amp;""' and I = '""&amp;BI2&amp;""'"",1))"),0.0)</f>
        <v>0</v>
      </c>
      <c r="BJ19" s="296">
        <f t="shared" ref="BJ19:BL19" si="111">BD19-BG19</f>
        <v>0</v>
      </c>
      <c r="BK19" s="296">
        <f t="shared" si="111"/>
        <v>0</v>
      </c>
      <c r="BL19" s="296">
        <f t="shared" si="111"/>
        <v>0</v>
      </c>
    </row>
    <row r="20">
      <c r="A20" s="297" t="s">
        <v>1228</v>
      </c>
      <c r="B20" s="306">
        <f>COUNTIF(Hospitais_BD!E:E,A20)</f>
        <v>0</v>
      </c>
      <c r="C20" s="298">
        <f>COUNTIFS(Hospitais_BD!E:E,A20,Hospitais_BD!I:I,C2)</f>
        <v>0</v>
      </c>
      <c r="D20" s="298">
        <f>COUNTIFS(Hospitais_BD!E:E,A20,Hospitais_BD!I:I,D2)</f>
        <v>0</v>
      </c>
      <c r="E20" s="282"/>
      <c r="F20" s="299">
        <f>IFERROR(__xludf.DUMMYFUNCTION("SUM(QUERY(Hospitais_BD!E:Q,""select N where E='""&amp;A20&amp;""'"",1))"),0.0)</f>
        <v>0</v>
      </c>
      <c r="G20" s="299">
        <f>IFERROR(__xludf.DUMMYFUNCTION("SUM(QUERY(Hospitais_BD!E:Q,""select N where E='""&amp;A20&amp;""' and I = '""&amp;G2&amp;""'"",1))"),0.0)</f>
        <v>0</v>
      </c>
      <c r="H20" s="300">
        <f>IFERROR(__xludf.DUMMYFUNCTION("SUM(QUERY(Hospitais_BD!E:Q,""select N where E='""&amp;A20&amp;""' and I= '""&amp;H2&amp;""'"",1))"),0.0)</f>
        <v>0</v>
      </c>
      <c r="I20" s="301">
        <f>IFERROR(__xludf.DUMMYFUNCTION("SUM(QUERY(Hospitais_BD!E:Y,""select T where E='""&amp;A20&amp;""'"",1))"),0.0)</f>
        <v>0</v>
      </c>
      <c r="J20" s="301">
        <f>IFERROR(__xludf.DUMMYFUNCTION("SUM(QUERY(Hospitais_BD!E:W,""select T where E='""&amp;A20&amp;""' and I= '""&amp;J2&amp;""'"",1))"),0.0)</f>
        <v>0</v>
      </c>
      <c r="K20" s="301">
        <f>IFERROR(__xludf.DUMMYFUNCTION("SUM(QUERY(Hospitais_BD!E:W,""select T where E='""&amp;A20&amp;""' and I= '""&amp;K2&amp;""'"",1))"),0.0)</f>
        <v>0</v>
      </c>
      <c r="L20" s="296">
        <f t="shared" ref="L20:N20" si="112">F20-I20</f>
        <v>0</v>
      </c>
      <c r="M20" s="296">
        <f t="shared" si="112"/>
        <v>0</v>
      </c>
      <c r="N20" s="296">
        <f t="shared" si="112"/>
        <v>0</v>
      </c>
      <c r="O20" s="292"/>
      <c r="P20" s="299">
        <f>IFERROR(__xludf.DUMMYFUNCTION("SUM(QUERY(Hospitais_BD!E:Q,""select O where E='""&amp;A20&amp;""'"",1))"),0.0)</f>
        <v>0</v>
      </c>
      <c r="Q20" s="299">
        <f>IFERROR(__xludf.DUMMYFUNCTION("SUM(QUERY(Hospitais_BD!E:Q,""select O where E='""&amp;A20&amp;""' and I = '""&amp;Q2&amp;""'"",1))"),0.0)</f>
        <v>0</v>
      </c>
      <c r="R20" s="300">
        <f>IFERROR(__xludf.DUMMYFUNCTION("SUM(QUERY(Hospitais_BD!E:Q,""select O where E='""&amp;A20&amp;""' and I = '""&amp;R2&amp;""'"",1))"),0.0)</f>
        <v>0</v>
      </c>
      <c r="S20" s="301">
        <f>IFERROR(__xludf.DUMMYFUNCTION("SUM(QUERY(Hospitais_BD!E:Y,""select U where E='""&amp;A20&amp;""'"",1))"),0.0)</f>
        <v>0</v>
      </c>
      <c r="T20" s="301">
        <f>IFERROR(__xludf.DUMMYFUNCTION("SUM(QUERY(Hospitais_BD!E:Y,""select U where E='""&amp;A20&amp;""' and I= '""&amp;T2&amp;""'"",1))"),0.0)</f>
        <v>0</v>
      </c>
      <c r="U20" s="301">
        <f>IFERROR(__xludf.DUMMYFUNCTION("SUM(QUERY(Hospitais_BD!E:Y,""select U where E='""&amp;A20&amp;""' and I= '""&amp;U2&amp;""'"",1))"),0.0)</f>
        <v>0</v>
      </c>
      <c r="V20" s="296">
        <f t="shared" ref="V20:X20" si="113">P20-S20</f>
        <v>0</v>
      </c>
      <c r="W20" s="296">
        <f t="shared" si="113"/>
        <v>0</v>
      </c>
      <c r="X20" s="296">
        <f t="shared" si="113"/>
        <v>0</v>
      </c>
      <c r="Y20" s="292"/>
      <c r="Z20" s="299">
        <f>IFERROR(__xludf.DUMMYFUNCTION("SUM(QUERY(Hospitais_BD!E:Q,""select P where E='""&amp;A20&amp;""'"",1))"),0.0)</f>
        <v>0</v>
      </c>
      <c r="AA20" s="299">
        <f>IFERROR(__xludf.DUMMYFUNCTION("SUM(QUERY(Hospitais_BD!E:Q,""select P where E='""&amp;A20&amp;""' and I = '""&amp;AA2&amp;""'"",1))"),0.0)</f>
        <v>0</v>
      </c>
      <c r="AB20" s="300">
        <f>IFERROR(__xludf.DUMMYFUNCTION("SUM(QUERY(Hospitais_BD!E:Q,""select P where E='""&amp;A20&amp;""' and I = '""&amp;AB2&amp;""'"",1))"),0.0)</f>
        <v>0</v>
      </c>
      <c r="AC20" s="301">
        <f>IFERROR(__xludf.DUMMYFUNCTION("SUM(QUERY(Hospitais_BD!E:Y,""select V where E='""&amp;A20&amp;""'"",1))"),0.0)</f>
        <v>0</v>
      </c>
      <c r="AD20" s="301">
        <f>IFERROR(__xludf.DUMMYFUNCTION("SUM(QUERY(Hospitais_BD!E:Y,""select V where E='""&amp;A20&amp;""' and I= '""&amp;AD2&amp;""'"",1))"),0.0)</f>
        <v>0</v>
      </c>
      <c r="AE20" s="301">
        <f>IFERROR(__xludf.DUMMYFUNCTION("SUM(QUERY(Hospitais_BD!E:Y,""select V where E='""&amp;A20&amp;""' and I= '""&amp;AE2&amp;""'"",1))"),0.0)</f>
        <v>0</v>
      </c>
      <c r="AF20" s="296">
        <f t="shared" ref="AF20:AH20" si="114">Z20-AC20</f>
        <v>0</v>
      </c>
      <c r="AG20" s="296">
        <f t="shared" si="114"/>
        <v>0</v>
      </c>
      <c r="AH20" s="296">
        <f t="shared" si="114"/>
        <v>0</v>
      </c>
      <c r="AI20" s="292"/>
      <c r="AJ20" s="299">
        <f>IFERROR(__xludf.DUMMYFUNCTION("SUM(QUERY(Hospitais_BD!E:Q,""select Q where E='""&amp;A20&amp;""'"",1))"),0.0)</f>
        <v>0</v>
      </c>
      <c r="AK20" s="299">
        <f>IFERROR(__xludf.DUMMYFUNCTION("SUM(QUERY(Hospitais_BD!E:Q,""select Q where E='""&amp;A20&amp;""' and I = '""&amp;AK2&amp;""'"",1))"),0.0)</f>
        <v>0</v>
      </c>
      <c r="AL20" s="300">
        <f>IFERROR(__xludf.DUMMYFUNCTION("SUM(QUERY(Hospitais_BD!E:Q,""select Q where E='""&amp;A20&amp;""' and I = '""&amp;AL2&amp;""'"",1))"),0.0)</f>
        <v>0</v>
      </c>
      <c r="AM20" s="301">
        <f>IFERROR(__xludf.DUMMYFUNCTION("SUM(QUERY(Hospitais_BD!E:Y,""select W where E='""&amp;A20&amp;""'"",1))"),0.0)</f>
        <v>0</v>
      </c>
      <c r="AN20" s="301">
        <f>IFERROR(__xludf.DUMMYFUNCTION("SUM(QUERY(Hospitais_BD!E:Y,""select W where E='""&amp;A20&amp;""' and I= '""&amp;AN2&amp;""'"",1))"),0.0)</f>
        <v>0</v>
      </c>
      <c r="AO20" s="301">
        <f>IFERROR(__xludf.DUMMYFUNCTION("SUM(QUERY(Hospitais_BD!E:Y,""select W where E='""&amp;A20&amp;""' and I= '""&amp;AO2&amp;""'"",1))"),0.0)</f>
        <v>0</v>
      </c>
      <c r="AP20" s="296">
        <f t="shared" ref="AP20:AR20" si="115">AJ20-AM20</f>
        <v>0</v>
      </c>
      <c r="AQ20" s="296">
        <f t="shared" si="115"/>
        <v>0</v>
      </c>
      <c r="AR20" s="296">
        <f t="shared" si="115"/>
        <v>0</v>
      </c>
      <c r="AS20" s="292"/>
      <c r="AT20" s="299">
        <f>IFERROR(__xludf.DUMMYFUNCTION("SUM(QUERY(Hospitais_BD!E:R,""select R where E='""&amp;A20&amp;""'"",1))"),0.0)</f>
        <v>0</v>
      </c>
      <c r="AU20" s="299">
        <f>IFERROR(__xludf.DUMMYFUNCTION("SUM(QUERY(Hospitais_BD!E:R,""select R where E='""&amp;A20&amp;""' and I = '""&amp;AU2&amp;""'"",1))"),0.0)</f>
        <v>0</v>
      </c>
      <c r="AV20" s="300">
        <f>IFERROR(__xludf.DUMMYFUNCTION("SUM(QUERY(Hospitais_BD!E:R,""select R where E='""&amp;A20&amp;""' and I = '""&amp;AV2&amp;""'"",1))"),0.0)</f>
        <v>0</v>
      </c>
      <c r="AW20" s="301">
        <f>IFERROR(__xludf.DUMMYFUNCTION("SUM(QUERY(Hospitais_BD!E:Y,""select X where E='""&amp;A20&amp;""'"",1))"),0.0)</f>
        <v>0</v>
      </c>
      <c r="AX20" s="301">
        <f>IFERROR(__xludf.DUMMYFUNCTION("SUM(QUERY(Hospitais_BD!E:Y,""select X where E='""&amp;A20&amp;""' and I = '""&amp;AX2&amp;""'"",1))"),0.0)</f>
        <v>0</v>
      </c>
      <c r="AY20" s="301">
        <f>IFERROR(__xludf.DUMMYFUNCTION("SUM(QUERY(Hospitais_BD!E:Y,""select X where E='""&amp;A20&amp;""' and I = '""&amp;AY2&amp;""'"",1))"),0.0)</f>
        <v>0</v>
      </c>
      <c r="AZ20" s="296">
        <f t="shared" ref="AZ20:BB20" si="116">AT20-AW20</f>
        <v>0</v>
      </c>
      <c r="BA20" s="296">
        <f t="shared" si="116"/>
        <v>0</v>
      </c>
      <c r="BB20" s="296">
        <f t="shared" si="116"/>
        <v>0</v>
      </c>
      <c r="BC20" s="292"/>
      <c r="BD20" s="299">
        <f>IFERROR(__xludf.DUMMYFUNCTION("SUM(QUERY(Hospitais_BD!E:S,""select S where E='""&amp;A20&amp;""'"",1))"),0.0)</f>
        <v>0</v>
      </c>
      <c r="BE20" s="299">
        <f>IFERROR(__xludf.DUMMYFUNCTION("SUM(QUERY(Hospitais_BD!E:S,""select S where E='""&amp;A20&amp;""' and I = '""&amp;BE2&amp;""'"",1))"),0.0)</f>
        <v>0</v>
      </c>
      <c r="BF20" s="300">
        <f>IFERROR(__xludf.DUMMYFUNCTION("SUM(QUERY(Hospitais_BD!E:S,""select S where E='""&amp;A20&amp;""' and I = '""&amp;BF2&amp;""'"",1))"),0.0)</f>
        <v>0</v>
      </c>
      <c r="BG20" s="301">
        <f>IFERROR(__xludf.DUMMYFUNCTION("SUM(QUERY(Hospitais_BD!E:Y,""select Y where E='""&amp;A20&amp;""'"",1))"),0.0)</f>
        <v>0</v>
      </c>
      <c r="BH20" s="301">
        <f>IFERROR(__xludf.DUMMYFUNCTION("SUM(QUERY(Hospitais_BD!E:Y,""select Y where E='""&amp;A20&amp;""' and I = '""&amp;BH2&amp;""'"",1))"),0.0)</f>
        <v>0</v>
      </c>
      <c r="BI20" s="301">
        <f>IFERROR(__xludf.DUMMYFUNCTION("SUM(QUERY(Hospitais_BD!E:Y,""select Y where E='""&amp;A20&amp;""' and I = '""&amp;BI2&amp;""'"",1))"),0.0)</f>
        <v>0</v>
      </c>
      <c r="BJ20" s="296">
        <f t="shared" ref="BJ20:BL20" si="117">BD20-BG20</f>
        <v>0</v>
      </c>
      <c r="BK20" s="296">
        <f t="shared" si="117"/>
        <v>0</v>
      </c>
      <c r="BL20" s="296">
        <f t="shared" si="117"/>
        <v>0</v>
      </c>
    </row>
    <row r="21">
      <c r="A21" s="297" t="s">
        <v>479</v>
      </c>
      <c r="B21" s="306">
        <f>COUNTIF(Hospitais_BD!E:E,A21)</f>
        <v>10</v>
      </c>
      <c r="C21" s="298">
        <f>COUNTIFS(Hospitais_BD!E:E,A21,Hospitais_BD!I:I,C2)</f>
        <v>9</v>
      </c>
      <c r="D21" s="298">
        <f>COUNTIFS(Hospitais_BD!E:E,A21,Hospitais_BD!I:I,D2)</f>
        <v>1</v>
      </c>
      <c r="E21" s="282"/>
      <c r="F21" s="299">
        <f>IFERROR(__xludf.DUMMYFUNCTION("SUM(QUERY(Hospitais_BD!E:Q,""select N where E='""&amp;A21&amp;""'"",1))"),0.0)</f>
        <v>0</v>
      </c>
      <c r="G21" s="299">
        <f>IFERROR(__xludf.DUMMYFUNCTION("SUM(QUERY(Hospitais_BD!E:Q,""select N where E='""&amp;A21&amp;""' and I = '""&amp;G2&amp;""'"",1))"),0.0)</f>
        <v>0</v>
      </c>
      <c r="H21" s="300">
        <f>IFERROR(__xludf.DUMMYFUNCTION("SUM(QUERY(Hospitais_BD!E:Q,""select N where E='""&amp;A21&amp;""' and I= '""&amp;H2&amp;""'"",1))"),0.0)</f>
        <v>0</v>
      </c>
      <c r="I21" s="301">
        <f>IFERROR(__xludf.DUMMYFUNCTION("SUM(QUERY(Hospitais_BD!E:Y,""select T where E='""&amp;A21&amp;""'"",1))"),300.0)</f>
        <v>300</v>
      </c>
      <c r="J21" s="301">
        <f>IFERROR(__xludf.DUMMYFUNCTION("SUM(QUERY(Hospitais_BD!E:W,""select T where E='""&amp;A21&amp;""' and I= '""&amp;J2&amp;""'"",1))"),300.0)</f>
        <v>300</v>
      </c>
      <c r="K21" s="301">
        <f>IFERROR(__xludf.DUMMYFUNCTION("SUM(QUERY(Hospitais_BD!E:W,""select T where E='""&amp;A21&amp;""' and I= '""&amp;K2&amp;""'"",1))"),0.0)</f>
        <v>0</v>
      </c>
      <c r="L21" s="296">
        <f t="shared" ref="L21:N21" si="118">F21-I21</f>
        <v>-300</v>
      </c>
      <c r="M21" s="296">
        <f t="shared" si="118"/>
        <v>-300</v>
      </c>
      <c r="N21" s="296">
        <f t="shared" si="118"/>
        <v>0</v>
      </c>
      <c r="O21" s="292"/>
      <c r="P21" s="299">
        <f>IFERROR(__xludf.DUMMYFUNCTION("SUM(QUERY(Hospitais_BD!E:Q,""select O where E='""&amp;A21&amp;""'"",1))"),0.0)</f>
        <v>0</v>
      </c>
      <c r="Q21" s="299">
        <f>IFERROR(__xludf.DUMMYFUNCTION("SUM(QUERY(Hospitais_BD!E:Q,""select O where E='""&amp;A21&amp;""' and I = '""&amp;Q2&amp;""'"",1))"),0.0)</f>
        <v>0</v>
      </c>
      <c r="R21" s="300">
        <f>IFERROR(__xludf.DUMMYFUNCTION("SUM(QUERY(Hospitais_BD!E:Q,""select O where E='""&amp;A21&amp;""' and I = '""&amp;R2&amp;""'"",1))"),0.0)</f>
        <v>0</v>
      </c>
      <c r="S21" s="301">
        <f>IFERROR(__xludf.DUMMYFUNCTION("SUM(QUERY(Hospitais_BD!E:Y,""select U where E='""&amp;A21&amp;""'"",1))"),0.0)</f>
        <v>0</v>
      </c>
      <c r="T21" s="301">
        <f>IFERROR(__xludf.DUMMYFUNCTION("SUM(QUERY(Hospitais_BD!E:Y,""select U where E='""&amp;A21&amp;""' and I= '""&amp;T2&amp;""'"",1))"),0.0)</f>
        <v>0</v>
      </c>
      <c r="U21" s="301">
        <f>IFERROR(__xludf.DUMMYFUNCTION("SUM(QUERY(Hospitais_BD!E:Y,""select U where E='""&amp;A21&amp;""' and I= '""&amp;U2&amp;""'"",1))"),0.0)</f>
        <v>0</v>
      </c>
      <c r="V21" s="296">
        <f t="shared" ref="V21:X21" si="119">P21-S21</f>
        <v>0</v>
      </c>
      <c r="W21" s="296">
        <f t="shared" si="119"/>
        <v>0</v>
      </c>
      <c r="X21" s="296">
        <f t="shared" si="119"/>
        <v>0</v>
      </c>
      <c r="Y21" s="292"/>
      <c r="Z21" s="299">
        <f>IFERROR(__xludf.DUMMYFUNCTION("SUM(QUERY(Hospitais_BD!E:Q,""select P where E='""&amp;A21&amp;""'"",1))"),0.0)</f>
        <v>0</v>
      </c>
      <c r="AA21" s="299">
        <f>IFERROR(__xludf.DUMMYFUNCTION("SUM(QUERY(Hospitais_BD!E:Q,""select P where E='""&amp;A21&amp;""' and I = '""&amp;AA2&amp;""'"",1))"),0.0)</f>
        <v>0</v>
      </c>
      <c r="AB21" s="300">
        <f>IFERROR(__xludf.DUMMYFUNCTION("SUM(QUERY(Hospitais_BD!E:Q,""select P where E='""&amp;A21&amp;""' and I = '""&amp;AB2&amp;""'"",1))"),0.0)</f>
        <v>0</v>
      </c>
      <c r="AC21" s="301">
        <f>IFERROR(__xludf.DUMMYFUNCTION("SUM(QUERY(Hospitais_BD!E:Y,""select V where E='""&amp;A21&amp;""'"",1))"),0.0)</f>
        <v>0</v>
      </c>
      <c r="AD21" s="301">
        <f>IFERROR(__xludf.DUMMYFUNCTION("SUM(QUERY(Hospitais_BD!E:Y,""select V where E='""&amp;A21&amp;""' and I= '""&amp;AD2&amp;""'"",1))"),0.0)</f>
        <v>0</v>
      </c>
      <c r="AE21" s="301">
        <f>IFERROR(__xludf.DUMMYFUNCTION("SUM(QUERY(Hospitais_BD!E:Y,""select V where E='""&amp;A21&amp;""' and I= '""&amp;AE2&amp;""'"",1))"),0.0)</f>
        <v>0</v>
      </c>
      <c r="AF21" s="296">
        <f t="shared" ref="AF21:AH21" si="120">Z21-AC21</f>
        <v>0</v>
      </c>
      <c r="AG21" s="296">
        <f t="shared" si="120"/>
        <v>0</v>
      </c>
      <c r="AH21" s="296">
        <f t="shared" si="120"/>
        <v>0</v>
      </c>
      <c r="AI21" s="292"/>
      <c r="AJ21" s="299">
        <f>IFERROR(__xludf.DUMMYFUNCTION("SUM(QUERY(Hospitais_BD!E:Q,""select Q where E='""&amp;A21&amp;""'"",1))"),0.0)</f>
        <v>0</v>
      </c>
      <c r="AK21" s="299">
        <f>IFERROR(__xludf.DUMMYFUNCTION("SUM(QUERY(Hospitais_BD!E:Q,""select Q where E='""&amp;A21&amp;""' and I = '""&amp;AK2&amp;""'"",1))"),0.0)</f>
        <v>0</v>
      </c>
      <c r="AL21" s="300">
        <f>IFERROR(__xludf.DUMMYFUNCTION("SUM(QUERY(Hospitais_BD!E:Q,""select Q where E='""&amp;A21&amp;""' and I = '""&amp;AL2&amp;""'"",1))"),0.0)</f>
        <v>0</v>
      </c>
      <c r="AM21" s="301">
        <f>IFERROR(__xludf.DUMMYFUNCTION("SUM(QUERY(Hospitais_BD!E:Y,""select W where E='""&amp;A21&amp;""'"",1))"),25.0)</f>
        <v>25</v>
      </c>
      <c r="AN21" s="301">
        <f>IFERROR(__xludf.DUMMYFUNCTION("SUM(QUERY(Hospitais_BD!E:Y,""select W where E='""&amp;A21&amp;""' and I= '""&amp;AN2&amp;""'"",1))"),25.0)</f>
        <v>25</v>
      </c>
      <c r="AO21" s="301">
        <f>IFERROR(__xludf.DUMMYFUNCTION("SUM(QUERY(Hospitais_BD!E:Y,""select W where E='""&amp;A21&amp;""' and I= '""&amp;AO2&amp;""'"",1))"),0.0)</f>
        <v>0</v>
      </c>
      <c r="AP21" s="296">
        <f t="shared" ref="AP21:AR21" si="121">AJ21-AM21</f>
        <v>-25</v>
      </c>
      <c r="AQ21" s="296">
        <f t="shared" si="121"/>
        <v>-25</v>
      </c>
      <c r="AR21" s="296">
        <f t="shared" si="121"/>
        <v>0</v>
      </c>
      <c r="AS21" s="292"/>
      <c r="AT21" s="299">
        <f>IFERROR(__xludf.DUMMYFUNCTION("SUM(QUERY(Hospitais_BD!E:R,""select R where E='""&amp;A21&amp;""'"",1))"),0.0)</f>
        <v>0</v>
      </c>
      <c r="AU21" s="299">
        <f>IFERROR(__xludf.DUMMYFUNCTION("SUM(QUERY(Hospitais_BD!E:R,""select R where E='""&amp;A21&amp;""' and I = '""&amp;AU2&amp;""'"",1))"),0.0)</f>
        <v>0</v>
      </c>
      <c r="AV21" s="300">
        <f>IFERROR(__xludf.DUMMYFUNCTION("SUM(QUERY(Hospitais_BD!E:R,""select R where E='""&amp;A21&amp;""' and I = '""&amp;AV2&amp;""'"",1))"),0.0)</f>
        <v>0</v>
      </c>
      <c r="AW21" s="301">
        <f>IFERROR(__xludf.DUMMYFUNCTION("SUM(QUERY(Hospitais_BD!E:Y,""select X where E='""&amp;A21&amp;""'"",1))"),0.0)</f>
        <v>0</v>
      </c>
      <c r="AX21" s="301">
        <f>IFERROR(__xludf.DUMMYFUNCTION("SUM(QUERY(Hospitais_BD!E:Y,""select X where E='""&amp;A21&amp;""' and I = '""&amp;AX2&amp;""'"",1))"),0.0)</f>
        <v>0</v>
      </c>
      <c r="AY21" s="301">
        <f>IFERROR(__xludf.DUMMYFUNCTION("SUM(QUERY(Hospitais_BD!E:Y,""select X where E='""&amp;A21&amp;""' and I = '""&amp;AY2&amp;""'"",1))"),0.0)</f>
        <v>0</v>
      </c>
      <c r="AZ21" s="296">
        <f t="shared" ref="AZ21:BB21" si="122">AT21-AW21</f>
        <v>0</v>
      </c>
      <c r="BA21" s="296">
        <f t="shared" si="122"/>
        <v>0</v>
      </c>
      <c r="BB21" s="296">
        <f t="shared" si="122"/>
        <v>0</v>
      </c>
      <c r="BC21" s="292"/>
      <c r="BD21" s="299">
        <f>IFERROR(__xludf.DUMMYFUNCTION("SUM(QUERY(Hospitais_BD!E:S,""select S where E='""&amp;A21&amp;""'"",1))"),0.0)</f>
        <v>0</v>
      </c>
      <c r="BE21" s="299">
        <f>IFERROR(__xludf.DUMMYFUNCTION("SUM(QUERY(Hospitais_BD!E:S,""select S where E='""&amp;A21&amp;""' and I = '""&amp;BE2&amp;""'"",1))"),0.0)</f>
        <v>0</v>
      </c>
      <c r="BF21" s="300">
        <f>IFERROR(__xludf.DUMMYFUNCTION("SUM(QUERY(Hospitais_BD!E:S,""select S where E='""&amp;A21&amp;""' and I = '""&amp;BF2&amp;""'"",1))"),0.0)</f>
        <v>0</v>
      </c>
      <c r="BG21" s="301">
        <f>IFERROR(__xludf.DUMMYFUNCTION("SUM(QUERY(Hospitais_BD!E:Y,""select Y where E='""&amp;A21&amp;""'"",1))"),0.0)</f>
        <v>0</v>
      </c>
      <c r="BH21" s="301">
        <f>IFERROR(__xludf.DUMMYFUNCTION("SUM(QUERY(Hospitais_BD!E:Y,""select Y where E='""&amp;A21&amp;""' and I = '""&amp;BH2&amp;""'"",1))"),0.0)</f>
        <v>0</v>
      </c>
      <c r="BI21" s="301">
        <f>IFERROR(__xludf.DUMMYFUNCTION("SUM(QUERY(Hospitais_BD!E:Y,""select Y where E='""&amp;A21&amp;""' and I = '""&amp;BI2&amp;""'"",1))"),0.0)</f>
        <v>0</v>
      </c>
      <c r="BJ21" s="296">
        <f t="shared" ref="BJ21:BL21" si="123">BD21-BG21</f>
        <v>0</v>
      </c>
      <c r="BK21" s="296">
        <f t="shared" si="123"/>
        <v>0</v>
      </c>
      <c r="BL21" s="296">
        <f t="shared" si="123"/>
        <v>0</v>
      </c>
    </row>
    <row r="22">
      <c r="A22" s="307" t="s">
        <v>153</v>
      </c>
      <c r="B22" s="306">
        <f>COUNTIF(Hospitais_BD!E:E,A22)</f>
        <v>29</v>
      </c>
      <c r="C22" s="302">
        <f>COUNTIFS(Hospitais_BD!E:E,A22,Hospitais_BD!I:I,C2)</f>
        <v>24</v>
      </c>
      <c r="D22" s="302">
        <f>COUNTIFS(Hospitais_BD!E:E,A22,Hospitais_BD!I:I,D2)</f>
        <v>5</v>
      </c>
      <c r="E22" s="282"/>
      <c r="F22" s="299">
        <f>IFERROR(__xludf.DUMMYFUNCTION("SUM(QUERY(Hospitais_BD!E:Q,""select N where E='""&amp;A22&amp;""'"",1))"),0.0)</f>
        <v>0</v>
      </c>
      <c r="G22" s="299">
        <f>IFERROR(__xludf.DUMMYFUNCTION("SUM(QUERY(Hospitais_BD!E:Q,""select N where E='""&amp;A22&amp;""' and I = '""&amp;G2&amp;""'"",1))"),0.0)</f>
        <v>0</v>
      </c>
      <c r="H22" s="300">
        <f>IFERROR(__xludf.DUMMYFUNCTION("SUM(QUERY(Hospitais_BD!E:Q,""select N where E='""&amp;A22&amp;""' and I= '""&amp;H2&amp;""'"",1))"),0.0)</f>
        <v>0</v>
      </c>
      <c r="I22" s="301">
        <f>IFERROR(__xludf.DUMMYFUNCTION("SUM(QUERY(Hospitais_BD!E:Y,""select T where E='""&amp;A22&amp;""'"",1))"),35.0)</f>
        <v>35</v>
      </c>
      <c r="J22" s="301">
        <f>IFERROR(__xludf.DUMMYFUNCTION("SUM(QUERY(Hospitais_BD!E:W,""select T where E='""&amp;A22&amp;""' and I= '""&amp;J2&amp;""'"",1))"),35.0)</f>
        <v>35</v>
      </c>
      <c r="K22" s="301">
        <f>IFERROR(__xludf.DUMMYFUNCTION("SUM(QUERY(Hospitais_BD!E:W,""select T where E='""&amp;A22&amp;""' and I= '""&amp;K2&amp;""'"",1))"),0.0)</f>
        <v>0</v>
      </c>
      <c r="L22" s="296">
        <f t="shared" ref="L22:N22" si="124">F22-I22</f>
        <v>-35</v>
      </c>
      <c r="M22" s="296">
        <f t="shared" si="124"/>
        <v>-35</v>
      </c>
      <c r="N22" s="296">
        <f t="shared" si="124"/>
        <v>0</v>
      </c>
      <c r="O22" s="292"/>
      <c r="P22" s="299">
        <f>IFERROR(__xludf.DUMMYFUNCTION("SUM(QUERY(Hospitais_BD!E:Q,""select O where E='""&amp;A22&amp;""'"",1))"),0.0)</f>
        <v>0</v>
      </c>
      <c r="Q22" s="299">
        <f>IFERROR(__xludf.DUMMYFUNCTION("SUM(QUERY(Hospitais_BD!E:Q,""select O where E='""&amp;A22&amp;""' and I = '""&amp;Q2&amp;""'"",1))"),0.0)</f>
        <v>0</v>
      </c>
      <c r="R22" s="300">
        <f>IFERROR(__xludf.DUMMYFUNCTION("SUM(QUERY(Hospitais_BD!E:Q,""select O where E='""&amp;A22&amp;""' and I = '""&amp;R2&amp;""'"",1))"),0.0)</f>
        <v>0</v>
      </c>
      <c r="S22" s="301">
        <f>IFERROR(__xludf.DUMMYFUNCTION("SUM(QUERY(Hospitais_BD!E:Y,""select U where E='""&amp;A22&amp;""'"",1))"),0.0)</f>
        <v>0</v>
      </c>
      <c r="T22" s="301">
        <f>IFERROR(__xludf.DUMMYFUNCTION("SUM(QUERY(Hospitais_BD!E:Y,""select U where E='""&amp;A22&amp;""' and I= '""&amp;T2&amp;""'"",1))"),0.0)</f>
        <v>0</v>
      </c>
      <c r="U22" s="301">
        <f>IFERROR(__xludf.DUMMYFUNCTION("SUM(QUERY(Hospitais_BD!E:Y,""select U where E='""&amp;A22&amp;""' and I= '""&amp;U2&amp;""'"",1))"),0.0)</f>
        <v>0</v>
      </c>
      <c r="V22" s="296">
        <f t="shared" ref="V22:X22" si="125">P22-S22</f>
        <v>0</v>
      </c>
      <c r="W22" s="296">
        <f t="shared" si="125"/>
        <v>0</v>
      </c>
      <c r="X22" s="296">
        <f t="shared" si="125"/>
        <v>0</v>
      </c>
      <c r="Y22" s="292"/>
      <c r="Z22" s="299">
        <f>IFERROR(__xludf.DUMMYFUNCTION("SUM(QUERY(Hospitais_BD!E:Q,""select P where E='""&amp;A22&amp;""'"",1))"),0.0)</f>
        <v>0</v>
      </c>
      <c r="AA22" s="299">
        <f>IFERROR(__xludf.DUMMYFUNCTION("SUM(QUERY(Hospitais_BD!E:Q,""select P where E='""&amp;A22&amp;""' and I = '""&amp;AA2&amp;""'"",1))"),0.0)</f>
        <v>0</v>
      </c>
      <c r="AB22" s="300">
        <f>IFERROR(__xludf.DUMMYFUNCTION("SUM(QUERY(Hospitais_BD!E:Q,""select P where E='""&amp;A22&amp;""' and I = '""&amp;AB2&amp;""'"",1))"),0.0)</f>
        <v>0</v>
      </c>
      <c r="AC22" s="301">
        <f>IFERROR(__xludf.DUMMYFUNCTION("SUM(QUERY(Hospitais_BD!E:Y,""select V where E='""&amp;A22&amp;""'"",1))"),0.0)</f>
        <v>0</v>
      </c>
      <c r="AD22" s="301">
        <f>IFERROR(__xludf.DUMMYFUNCTION("SUM(QUERY(Hospitais_BD!E:Y,""select V where E='""&amp;A22&amp;""' and I= '""&amp;AD2&amp;""'"",1))"),0.0)</f>
        <v>0</v>
      </c>
      <c r="AE22" s="301">
        <f>IFERROR(__xludf.DUMMYFUNCTION("SUM(QUERY(Hospitais_BD!E:Y,""select V where E='""&amp;A22&amp;""' and I= '""&amp;AE2&amp;""'"",1))"),0.0)</f>
        <v>0</v>
      </c>
      <c r="AF22" s="296">
        <f t="shared" ref="AF22:AH22" si="126">Z22-AC22</f>
        <v>0</v>
      </c>
      <c r="AG22" s="296">
        <f t="shared" si="126"/>
        <v>0</v>
      </c>
      <c r="AH22" s="296">
        <f t="shared" si="126"/>
        <v>0</v>
      </c>
      <c r="AI22" s="292"/>
      <c r="AJ22" s="299">
        <f>IFERROR(__xludf.DUMMYFUNCTION("SUM(QUERY(Hospitais_BD!E:Q,""select Q where E='""&amp;A22&amp;""'"",1))"),0.0)</f>
        <v>0</v>
      </c>
      <c r="AK22" s="299">
        <f>IFERROR(__xludf.DUMMYFUNCTION("SUM(QUERY(Hospitais_BD!E:Q,""select Q where E='""&amp;A22&amp;""' and I = '""&amp;AK2&amp;""'"",1))"),0.0)</f>
        <v>0</v>
      </c>
      <c r="AL22" s="300">
        <f>IFERROR(__xludf.DUMMYFUNCTION("SUM(QUERY(Hospitais_BD!E:Q,""select Q where E='""&amp;A22&amp;""' and I = '""&amp;AL2&amp;""'"",1))"),0.0)</f>
        <v>0</v>
      </c>
      <c r="AM22" s="301">
        <f>IFERROR(__xludf.DUMMYFUNCTION("SUM(QUERY(Hospitais_BD!E:Y,""select W where E='""&amp;A22&amp;""'"",1))"),0.0)</f>
        <v>0</v>
      </c>
      <c r="AN22" s="301">
        <f>IFERROR(__xludf.DUMMYFUNCTION("SUM(QUERY(Hospitais_BD!E:Y,""select W where E='""&amp;A22&amp;""' and I= '""&amp;AN2&amp;""'"",1))"),0.0)</f>
        <v>0</v>
      </c>
      <c r="AO22" s="301">
        <f>IFERROR(__xludf.DUMMYFUNCTION("SUM(QUERY(Hospitais_BD!E:Y,""select W where E='""&amp;A22&amp;""' and I= '""&amp;AO2&amp;""'"",1))"),0.0)</f>
        <v>0</v>
      </c>
      <c r="AP22" s="296">
        <f t="shared" ref="AP22:AR22" si="127">AJ22-AM22</f>
        <v>0</v>
      </c>
      <c r="AQ22" s="296">
        <f t="shared" si="127"/>
        <v>0</v>
      </c>
      <c r="AR22" s="296">
        <f t="shared" si="127"/>
        <v>0</v>
      </c>
      <c r="AS22" s="292"/>
      <c r="AT22" s="299">
        <f>IFERROR(__xludf.DUMMYFUNCTION("SUM(QUERY(Hospitais_BD!E:R,""select R where E='""&amp;A22&amp;""'"",1))"),0.0)</f>
        <v>0</v>
      </c>
      <c r="AU22" s="299">
        <f>IFERROR(__xludf.DUMMYFUNCTION("SUM(QUERY(Hospitais_BD!E:R,""select R where E='""&amp;A22&amp;""' and I = '""&amp;AU2&amp;""'"",1))"),0.0)</f>
        <v>0</v>
      </c>
      <c r="AV22" s="300">
        <f>IFERROR(__xludf.DUMMYFUNCTION("SUM(QUERY(Hospitais_BD!E:R,""select R where E='""&amp;A22&amp;""' and I = '""&amp;AV2&amp;""'"",1))"),0.0)</f>
        <v>0</v>
      </c>
      <c r="AW22" s="301">
        <f>IFERROR(__xludf.DUMMYFUNCTION("SUM(QUERY(Hospitais_BD!E:Y,""select X where E='""&amp;A22&amp;""'"",1))"),0.0)</f>
        <v>0</v>
      </c>
      <c r="AX22" s="301">
        <f>IFERROR(__xludf.DUMMYFUNCTION("SUM(QUERY(Hospitais_BD!E:Y,""select X where E='""&amp;A22&amp;""' and I = '""&amp;AX2&amp;""'"",1))"),0.0)</f>
        <v>0</v>
      </c>
      <c r="AY22" s="301">
        <f>IFERROR(__xludf.DUMMYFUNCTION("SUM(QUERY(Hospitais_BD!E:Y,""select X where E='""&amp;A22&amp;""' and I = '""&amp;AY2&amp;""'"",1))"),0.0)</f>
        <v>0</v>
      </c>
      <c r="AZ22" s="296">
        <f t="shared" ref="AZ22:BB22" si="128">AT22-AW22</f>
        <v>0</v>
      </c>
      <c r="BA22" s="296">
        <f t="shared" si="128"/>
        <v>0</v>
      </c>
      <c r="BB22" s="296">
        <f t="shared" si="128"/>
        <v>0</v>
      </c>
      <c r="BC22" s="292"/>
      <c r="BD22" s="299">
        <f>IFERROR(__xludf.DUMMYFUNCTION("SUM(QUERY(Hospitais_BD!E:S,""select S where E='""&amp;A22&amp;""'"",1))"),0.0)</f>
        <v>0</v>
      </c>
      <c r="BE22" s="299">
        <f>IFERROR(__xludf.DUMMYFUNCTION("SUM(QUERY(Hospitais_BD!E:S,""select S where E='""&amp;A22&amp;""' and I = '""&amp;BE2&amp;""'"",1))"),0.0)</f>
        <v>0</v>
      </c>
      <c r="BF22" s="300">
        <f>IFERROR(__xludf.DUMMYFUNCTION("SUM(QUERY(Hospitais_BD!E:S,""select S where E='""&amp;A22&amp;""' and I = '""&amp;BF2&amp;""'"",1))"),0.0)</f>
        <v>0</v>
      </c>
      <c r="BG22" s="301">
        <f>IFERROR(__xludf.DUMMYFUNCTION("SUM(QUERY(Hospitais_BD!E:Y,""select Y where E='""&amp;A22&amp;""'"",1))"),0.0)</f>
        <v>0</v>
      </c>
      <c r="BH22" s="301">
        <f>IFERROR(__xludf.DUMMYFUNCTION("SUM(QUERY(Hospitais_BD!E:Y,""select Y where E='""&amp;A22&amp;""' and I = '""&amp;BH2&amp;""'"",1))"),0.0)</f>
        <v>0</v>
      </c>
      <c r="BI22" s="301">
        <f>IFERROR(__xludf.DUMMYFUNCTION("SUM(QUERY(Hospitais_BD!E:Y,""select Y where E='""&amp;A22&amp;""' and I = '""&amp;BI2&amp;""'"",1))"),0.0)</f>
        <v>0</v>
      </c>
      <c r="BJ22" s="296">
        <f t="shared" ref="BJ22:BL22" si="129">BD22-BG22</f>
        <v>0</v>
      </c>
      <c r="BK22" s="296">
        <f t="shared" si="129"/>
        <v>0</v>
      </c>
      <c r="BL22" s="296">
        <f t="shared" si="129"/>
        <v>0</v>
      </c>
    </row>
  </sheetData>
  <mergeCells count="6">
    <mergeCell ref="F1:N1"/>
    <mergeCell ref="P1:X1"/>
    <mergeCell ref="Z1:AH1"/>
    <mergeCell ref="AJ1:AR1"/>
    <mergeCell ref="AT1:BB1"/>
    <mergeCell ref="BD1:B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75" customHeight="1">
      <c r="A1" s="308" t="str">
        <f>IFERROR(__xludf.DUMMYFUNCTION("QUERY(Hospitais_BD!A:AI,""select * where T+U+V+W+X+Y &gt; 0"",1)"),"Data")</f>
        <v>Data</v>
      </c>
      <c r="B1" s="308" t="str">
        <f>IFERROR(__xludf.DUMMYFUNCTION("""COMPUTED_VALUE"""),"Hora")</f>
        <v>Hora</v>
      </c>
      <c r="C1" s="308" t="str">
        <f>IFERROR(__xludf.DUMMYFUNCTION("""COMPUTED_VALUE"""),"Hospital nº")</f>
        <v>Hospital nº</v>
      </c>
      <c r="D1" s="308" t="str">
        <f>IFERROR(__xludf.DUMMYFUNCTION("""COMPUTED_VALUE"""),"Hospital")</f>
        <v>Hospital</v>
      </c>
      <c r="E1" s="308" t="str">
        <f>IFERROR(__xludf.DUMMYFUNCTION("""COMPUTED_VALUE"""),"Regiao")</f>
        <v>Regiao</v>
      </c>
      <c r="F1" s="308" t="str">
        <f>IFERROR(__xludf.DUMMYFUNCTION("""COMPUTED_VALUE"""),"Municipio")</f>
        <v>Municipio</v>
      </c>
      <c r="G1" s="308" t="str">
        <f>IFERROR(__xludf.DUMMYFUNCTION("""COMPUTED_VALUE"""),"Bairro")</f>
        <v>Bairro</v>
      </c>
      <c r="H1" s="308" t="str">
        <f>IFERROR(__xludf.DUMMYFUNCTION("""COMPUTED_VALUE"""),"Nivel")</f>
        <v>Nivel</v>
      </c>
      <c r="I1" s="308" t="str">
        <f>IFERROR(__xludf.DUMMYFUNCTION("""COMPUTED_VALUE"""),"Tipo")</f>
        <v>Tipo</v>
      </c>
      <c r="J1" s="308" t="str">
        <f>IFERROR(__xludf.DUMMYFUNCTION("""COMPUTED_VALUE"""),"Observacoes")</f>
        <v>Observacoes</v>
      </c>
      <c r="K1" s="308" t="str">
        <f>IFERROR(__xludf.DUMMYFUNCTION("""COMPUTED_VALUE"""),"Nome contato")</f>
        <v>Nome contato</v>
      </c>
      <c r="L1" s="308" t="str">
        <f>IFERROR(__xludf.DUMMYFUNCTION("""COMPUTED_VALUE"""),"Telefone contato")</f>
        <v>Telefone contato</v>
      </c>
      <c r="M1" s="308" t="str">
        <f>IFERROR(__xludf.DUMMYFUNCTION("""COMPUTED_VALUE"""),"E-mail")</f>
        <v>E-mail</v>
      </c>
      <c r="N1" s="308" t="str">
        <f>IFERROR(__xludf.DUMMYFUNCTION("""COMPUTED_VALUE"""),"Demanda 
Face Shields")</f>
        <v>Demanda 
Face Shields</v>
      </c>
      <c r="O1" s="308" t="str">
        <f>IFERROR(__xludf.DUMMYFUNCTION("""COMPUTED_VALUE"""),"Demanda
N-95")</f>
        <v>Demanda
N-95</v>
      </c>
      <c r="P1" s="308" t="str">
        <f>IFERROR(__xludf.DUMMYFUNCTION("""COMPUTED_VALUE"""),"Demanda
Suporte")</f>
        <v>Demanda
Suporte</v>
      </c>
      <c r="Q1" s="308" t="str">
        <f>IFERROR(__xludf.DUMMYFUNCTION("""COMPUTED_VALUE"""),"Demanda
Oculos ")</f>
        <v>Demanda
Oculos </v>
      </c>
      <c r="R1" s="308" t="str">
        <f>IFERROR(__xludf.DUMMYFUNCTION("""COMPUTED_VALUE"""),"Demanda 
Alcool Gel(L)")</f>
        <v>Demanda 
Alcool Gel(L)</v>
      </c>
      <c r="S1" s="308" t="str">
        <f>IFERROR(__xludf.DUMMYFUNCTION("""COMPUTED_VALUE"""),"Demanda
Alcool Líq(L)")</f>
        <v>Demanda
Alcool Líq(L)</v>
      </c>
      <c r="T1" s="308" t="str">
        <f>IFERROR(__xludf.DUMMYFUNCTION("""COMPUTED_VALUE"""),"Entregues
Face Shields")</f>
        <v>Entregues
Face Shields</v>
      </c>
      <c r="U1" s="308" t="str">
        <f>IFERROR(__xludf.DUMMYFUNCTION("""COMPUTED_VALUE"""),"Entregues
N-95")</f>
        <v>Entregues
N-95</v>
      </c>
      <c r="V1" s="308" t="str">
        <f>IFERROR(__xludf.DUMMYFUNCTION("""COMPUTED_VALUE"""),"Entregues
Suporte")</f>
        <v>Entregues
Suporte</v>
      </c>
      <c r="W1" s="308" t="str">
        <f>IFERROR(__xludf.DUMMYFUNCTION("""COMPUTED_VALUE"""),"Entregues
Oculos")</f>
        <v>Entregues
Oculos</v>
      </c>
      <c r="X1" s="308" t="str">
        <f>IFERROR(__xludf.DUMMYFUNCTION("""COMPUTED_VALUE"""),"Entrega 
Alcool Líq")</f>
        <v>Entrega 
Alcool Líq</v>
      </c>
      <c r="Y1" s="308" t="str">
        <f>IFERROR(__xludf.DUMMYFUNCTION("""COMPUTED_VALUE"""),"Entrega 
Alcool Líq.")</f>
        <v>Entrega 
Alcool Líq.</v>
      </c>
      <c r="Z1" s="308" t="str">
        <f>IFERROR(__xludf.DUMMYFUNCTION("""COMPUTED_VALUE"""),"Falta
Face Shields")</f>
        <v>Falta
Face Shields</v>
      </c>
      <c r="AA1" s="308" t="str">
        <f>IFERROR(__xludf.DUMMYFUNCTION("""COMPUTED_VALUE"""),"Falta
N-95")</f>
        <v>Falta
N-95</v>
      </c>
      <c r="AB1" s="308" t="str">
        <f>IFERROR(__xludf.DUMMYFUNCTION("""COMPUTED_VALUE"""),"Falta
Suporte")</f>
        <v>Falta
Suporte</v>
      </c>
      <c r="AC1" s="308" t="str">
        <f>IFERROR(__xludf.DUMMYFUNCTION("""COMPUTED_VALUE"""),"Falta
Oculos")</f>
        <v>Falta
Oculos</v>
      </c>
      <c r="AD1" s="309" t="str">
        <f>IFERROR(__xludf.DUMMYFUNCTION("""COMPUTED_VALUE"""),"Falta Alcool
Gel(L)")</f>
        <v>Falta Alcool
Gel(L)</v>
      </c>
      <c r="AE1" s="309" t="str">
        <f>IFERROR(__xludf.DUMMYFUNCTION("""COMPUTED_VALUE"""),"Falta Alcool
Líq.(L)")</f>
        <v>Falta Alcool
Líq.(L)</v>
      </c>
      <c r="AF1" s="309" t="str">
        <f>IFERROR(__xludf.DUMMYFUNCTION("""COMPUTED_VALUE"""),"LAT/LON")</f>
        <v>LAT/LON</v>
      </c>
      <c r="AG1" s="309" t="str">
        <f>IFERROR(__xludf.DUMMYFUNCTION("""COMPUTED_VALUE"""),"Numero 
de Casos")</f>
        <v>Numero 
de Casos</v>
      </c>
      <c r="AH1" s="309" t="str">
        <f>IFERROR(__xludf.DUMMYFUNCTION("""COMPUTED_VALUE"""),"Leitos 
de Uti")</f>
        <v>Leitos 
de Uti</v>
      </c>
      <c r="AI1" s="309" t="str">
        <f>IFERROR(__xludf.DUMMYFUNCTION("""COMPUTED_VALUE"""),"Leitos de 
Campanha")</f>
        <v>Leitos de 
Campanha</v>
      </c>
      <c r="AJ1" s="309" t="s">
        <v>1229</v>
      </c>
    </row>
    <row r="2" ht="22.5" customHeight="1">
      <c r="A2" s="310" t="str">
        <f>IFERROR(__xludf.DUMMYFUNCTION("""COMPUTED_VALUE"""),"")</f>
        <v/>
      </c>
      <c r="B2" s="310" t="str">
        <f>IFERROR(__xludf.DUMMYFUNCTION("""COMPUTED_VALUE"""),"")</f>
        <v/>
      </c>
      <c r="C2" s="310">
        <f>IFERROR(__xludf.DUMMYFUNCTION("""COMPUTED_VALUE"""),4.0)</f>
        <v>4</v>
      </c>
      <c r="D2" s="310" t="str">
        <f>IFERROR(__xludf.DUMMYFUNCTION("""COMPUTED_VALUE"""),"Casa de Saúde São José")</f>
        <v>Casa de Saúde São José</v>
      </c>
      <c r="E2" s="310" t="str">
        <f>IFERROR(__xludf.DUMMYFUNCTION("""COMPUTED_VALUE"""),"ZONA SUL")</f>
        <v>ZONA SUL</v>
      </c>
      <c r="F2" s="310" t="str">
        <f>IFERROR(__xludf.DUMMYFUNCTION("""COMPUTED_VALUE"""),"Rio de Janeiro")</f>
        <v>Rio de Janeiro</v>
      </c>
      <c r="G2" s="310" t="str">
        <f>IFERROR(__xludf.DUMMYFUNCTION("""COMPUTED_VALUE"""),"Humaita")</f>
        <v>Humaita</v>
      </c>
      <c r="H2" s="310" t="str">
        <f>IFERROR(__xludf.DUMMYFUNCTION("""COMPUTED_VALUE"""),"Unidade básica - BAIXA COMPLEXIDADE")</f>
        <v>Unidade básica - BAIXA COMPLEXIDADE</v>
      </c>
      <c r="I2" s="310" t="str">
        <f>IFERROR(__xludf.DUMMYFUNCTION("""COMPUTED_VALUE"""),"Privado")</f>
        <v>Privado</v>
      </c>
      <c r="J2" s="310" t="str">
        <f>IFERROR(__xludf.DUMMYFUNCTION("""COMPUTED_VALUE"""),"")</f>
        <v/>
      </c>
      <c r="K2" s="310" t="str">
        <f>IFERROR(__xludf.DUMMYFUNCTION("""COMPUTED_VALUE"""),"")</f>
        <v/>
      </c>
      <c r="L2" s="310" t="str">
        <f>IFERROR(__xludf.DUMMYFUNCTION("""COMPUTED_VALUE"""),"")</f>
        <v/>
      </c>
      <c r="M2" s="310" t="str">
        <f>IFERROR(__xludf.DUMMYFUNCTION("""COMPUTED_VALUE"""),"")</f>
        <v/>
      </c>
      <c r="N2" s="310">
        <f>IFERROR(__xludf.DUMMYFUNCTION("""COMPUTED_VALUE"""),0.0)</f>
        <v>0</v>
      </c>
      <c r="O2" s="310">
        <f>IFERROR(__xludf.DUMMYFUNCTION("""COMPUTED_VALUE"""),0.0)</f>
        <v>0</v>
      </c>
      <c r="P2" s="310">
        <f>IFERROR(__xludf.DUMMYFUNCTION("""COMPUTED_VALUE"""),0.0)</f>
        <v>0</v>
      </c>
      <c r="Q2" s="310">
        <f>IFERROR(__xludf.DUMMYFUNCTION("""COMPUTED_VALUE"""),0.0)</f>
        <v>0</v>
      </c>
      <c r="R2" s="310">
        <f>IFERROR(__xludf.DUMMYFUNCTION("""COMPUTED_VALUE"""),0.0)</f>
        <v>0</v>
      </c>
      <c r="S2" s="310">
        <f>IFERROR(__xludf.DUMMYFUNCTION("""COMPUTED_VALUE"""),0.0)</f>
        <v>0</v>
      </c>
      <c r="T2" s="310">
        <f>IFERROR(__xludf.DUMMYFUNCTION("""COMPUTED_VALUE"""),20.0)</f>
        <v>20</v>
      </c>
      <c r="U2" s="310">
        <f>IFERROR(__xludf.DUMMYFUNCTION("""COMPUTED_VALUE"""),0.0)</f>
        <v>0</v>
      </c>
      <c r="V2" s="310">
        <f>IFERROR(__xludf.DUMMYFUNCTION("""COMPUTED_VALUE"""),0.0)</f>
        <v>0</v>
      </c>
      <c r="W2" s="310">
        <f>IFERROR(__xludf.DUMMYFUNCTION("""COMPUTED_VALUE"""),0.0)</f>
        <v>0</v>
      </c>
      <c r="X2" s="310">
        <f>IFERROR(__xludf.DUMMYFUNCTION("""COMPUTED_VALUE"""),0.0)</f>
        <v>0</v>
      </c>
      <c r="Y2" s="310">
        <f>IFERROR(__xludf.DUMMYFUNCTION("""COMPUTED_VALUE"""),0.0)</f>
        <v>0</v>
      </c>
      <c r="Z2" s="310">
        <f>IFERROR(__xludf.DUMMYFUNCTION("""COMPUTED_VALUE"""),-20.0)</f>
        <v>-20</v>
      </c>
      <c r="AA2" s="310">
        <f>IFERROR(__xludf.DUMMYFUNCTION("""COMPUTED_VALUE"""),0.0)</f>
        <v>0</v>
      </c>
      <c r="AB2" s="310">
        <f>IFERROR(__xludf.DUMMYFUNCTION("""COMPUTED_VALUE"""),0.0)</f>
        <v>0</v>
      </c>
      <c r="AC2" s="310">
        <f>IFERROR(__xludf.DUMMYFUNCTION("""COMPUTED_VALUE"""),0.0)</f>
        <v>0</v>
      </c>
      <c r="AD2" s="310">
        <f>IFERROR(__xludf.DUMMYFUNCTION("""COMPUTED_VALUE"""),0.0)</f>
        <v>0</v>
      </c>
      <c r="AE2" s="310">
        <f>IFERROR(__xludf.DUMMYFUNCTION("""COMPUTED_VALUE"""),0.0)</f>
        <v>0</v>
      </c>
      <c r="AF2" s="310" t="str">
        <f>IFERROR(__xludf.DUMMYFUNCTION("""COMPUTED_VALUE"""),"-22.957929,-43.1983377")</f>
        <v>-22.957929,-43.1983377</v>
      </c>
      <c r="AG2" s="310">
        <f>IFERROR(__xludf.DUMMYFUNCTION("""COMPUTED_VALUE"""),0.0)</f>
        <v>0</v>
      </c>
      <c r="AH2" s="310">
        <f>IFERROR(__xludf.DUMMYFUNCTION("""COMPUTED_VALUE"""),0.0)</f>
        <v>0</v>
      </c>
      <c r="AI2" s="310">
        <f>IFERROR(__xludf.DUMMYFUNCTION("""COMPUTED_VALUE"""),0.0)</f>
        <v>0</v>
      </c>
      <c r="AJ2" s="310">
        <f>IFERROR(__xludf.DUMMYFUNCTION("ROWS(QUERY(Entregas_BD!D:AM,""select D where D ='""&amp;D2&amp;""'"",1))-1"),1.0)</f>
        <v>1</v>
      </c>
    </row>
    <row r="3" ht="22.5" customHeight="1">
      <c r="A3" s="311" t="str">
        <f>IFERROR(__xludf.DUMMYFUNCTION("""COMPUTED_VALUE"""),"")</f>
        <v/>
      </c>
      <c r="B3" s="311" t="str">
        <f>IFERROR(__xludf.DUMMYFUNCTION("""COMPUTED_VALUE"""),"")</f>
        <v/>
      </c>
      <c r="C3" s="311">
        <f>IFERROR(__xludf.DUMMYFUNCTION("""COMPUTED_VALUE"""),8.0)</f>
        <v>8</v>
      </c>
      <c r="D3" s="311" t="str">
        <f>IFERROR(__xludf.DUMMYFUNCTION("""COMPUTED_VALUE"""),"CER Leblon")</f>
        <v>CER Leblon</v>
      </c>
      <c r="E3" s="311" t="str">
        <f>IFERROR(__xludf.DUMMYFUNCTION("""COMPUTED_VALUE"""),"ZONA SUL")</f>
        <v>ZONA SUL</v>
      </c>
      <c r="F3" s="311" t="str">
        <f>IFERROR(__xludf.DUMMYFUNCTION("""COMPUTED_VALUE"""),"Rio de Janeiro")</f>
        <v>Rio de Janeiro</v>
      </c>
      <c r="G3" s="311" t="str">
        <f>IFERROR(__xludf.DUMMYFUNCTION("""COMPUTED_VALUE"""),"Leblon")</f>
        <v>Leblon</v>
      </c>
      <c r="H3" s="311" t="str">
        <f>IFERROR(__xludf.DUMMYFUNCTION("""COMPUTED_VALUE"""),"Grande emergência - MÉDIA COMPLEXIDADE")</f>
        <v>Grande emergência - MÉDIA COMPLEXIDADE</v>
      </c>
      <c r="I3" s="311" t="str">
        <f>IFERROR(__xludf.DUMMYFUNCTION("""COMPUTED_VALUE"""),"Público")</f>
        <v>Público</v>
      </c>
      <c r="J3" s="311" t="str">
        <f>IFERROR(__xludf.DUMMYFUNCTION("""COMPUTED_VALUE"""),"")</f>
        <v/>
      </c>
      <c r="K3" s="311" t="str">
        <f>IFERROR(__xludf.DUMMYFUNCTION("""COMPUTED_VALUE"""),"")</f>
        <v/>
      </c>
      <c r="L3" s="311" t="str">
        <f>IFERROR(__xludf.DUMMYFUNCTION("""COMPUTED_VALUE"""),"")</f>
        <v/>
      </c>
      <c r="M3" s="311" t="str">
        <f>IFERROR(__xludf.DUMMYFUNCTION("""COMPUTED_VALUE"""),"")</f>
        <v/>
      </c>
      <c r="N3" s="311">
        <f>IFERROR(__xludf.DUMMYFUNCTION("""COMPUTED_VALUE"""),0.0)</f>
        <v>0</v>
      </c>
      <c r="O3" s="311">
        <f>IFERROR(__xludf.DUMMYFUNCTION("""COMPUTED_VALUE"""),0.0)</f>
        <v>0</v>
      </c>
      <c r="P3" s="311">
        <f>IFERROR(__xludf.DUMMYFUNCTION("""COMPUTED_VALUE"""),0.0)</f>
        <v>0</v>
      </c>
      <c r="Q3" s="311">
        <f>IFERROR(__xludf.DUMMYFUNCTION("""COMPUTED_VALUE"""),0.0)</f>
        <v>0</v>
      </c>
      <c r="R3" s="311">
        <f>IFERROR(__xludf.DUMMYFUNCTION("""COMPUTED_VALUE"""),0.0)</f>
        <v>0</v>
      </c>
      <c r="S3" s="311">
        <f>IFERROR(__xludf.DUMMYFUNCTION("""COMPUTED_VALUE"""),0.0)</f>
        <v>0</v>
      </c>
      <c r="T3" s="311">
        <f>IFERROR(__xludf.DUMMYFUNCTION("""COMPUTED_VALUE"""),250.0)</f>
        <v>250</v>
      </c>
      <c r="U3" s="311">
        <f>IFERROR(__xludf.DUMMYFUNCTION("""COMPUTED_VALUE"""),0.0)</f>
        <v>0</v>
      </c>
      <c r="V3" s="311">
        <f>IFERROR(__xludf.DUMMYFUNCTION("""COMPUTED_VALUE"""),0.0)</f>
        <v>0</v>
      </c>
      <c r="W3" s="311">
        <f>IFERROR(__xludf.DUMMYFUNCTION("""COMPUTED_VALUE"""),0.0)</f>
        <v>0</v>
      </c>
      <c r="X3" s="311">
        <f>IFERROR(__xludf.DUMMYFUNCTION("""COMPUTED_VALUE"""),0.0)</f>
        <v>0</v>
      </c>
      <c r="Y3" s="311">
        <f>IFERROR(__xludf.DUMMYFUNCTION("""COMPUTED_VALUE"""),0.0)</f>
        <v>0</v>
      </c>
      <c r="Z3" s="311">
        <f>IFERROR(__xludf.DUMMYFUNCTION("""COMPUTED_VALUE"""),-250.0)</f>
        <v>-250</v>
      </c>
      <c r="AA3" s="311">
        <f>IFERROR(__xludf.DUMMYFUNCTION("""COMPUTED_VALUE"""),0.0)</f>
        <v>0</v>
      </c>
      <c r="AB3" s="311">
        <f>IFERROR(__xludf.DUMMYFUNCTION("""COMPUTED_VALUE"""),0.0)</f>
        <v>0</v>
      </c>
      <c r="AC3" s="311">
        <f>IFERROR(__xludf.DUMMYFUNCTION("""COMPUTED_VALUE"""),0.0)</f>
        <v>0</v>
      </c>
      <c r="AD3" s="311">
        <f>IFERROR(__xludf.DUMMYFUNCTION("""COMPUTED_VALUE"""),0.0)</f>
        <v>0</v>
      </c>
      <c r="AE3" s="311">
        <f>IFERROR(__xludf.DUMMYFUNCTION("""COMPUTED_VALUE"""),0.0)</f>
        <v>0</v>
      </c>
      <c r="AF3" s="311" t="str">
        <f>IFERROR(__xludf.DUMMYFUNCTION("""COMPUTED_VALUE"""),"-22.9771638,-43.2235966")</f>
        <v>-22.9771638,-43.2235966</v>
      </c>
      <c r="AG3" s="311">
        <f>IFERROR(__xludf.DUMMYFUNCTION("""COMPUTED_VALUE"""),0.0)</f>
        <v>0</v>
      </c>
      <c r="AH3" s="311">
        <f>IFERROR(__xludf.DUMMYFUNCTION("""COMPUTED_VALUE"""),0.0)</f>
        <v>0</v>
      </c>
      <c r="AI3" s="311">
        <f>IFERROR(__xludf.DUMMYFUNCTION("""COMPUTED_VALUE"""),0.0)</f>
        <v>0</v>
      </c>
      <c r="AJ3" s="311">
        <f>IFERROR(__xludf.DUMMYFUNCTION("ROWS(QUERY(Entregas_BD!D:AM,""select D where D ='""&amp;D3&amp;""'"",1))-1"),2.0)</f>
        <v>2</v>
      </c>
    </row>
    <row r="4" ht="22.5" customHeight="1">
      <c r="A4" s="310" t="str">
        <f>IFERROR(__xludf.DUMMYFUNCTION("""COMPUTED_VALUE"""),"")</f>
        <v/>
      </c>
      <c r="B4" s="310" t="str">
        <f>IFERROR(__xludf.DUMMYFUNCTION("""COMPUTED_VALUE"""),"")</f>
        <v/>
      </c>
      <c r="C4" s="310">
        <f>IFERROR(__xludf.DUMMYFUNCTION("""COMPUTED_VALUE"""),14.0)</f>
        <v>14</v>
      </c>
      <c r="D4" s="310" t="str">
        <f>IFERROR(__xludf.DUMMYFUNCTION("""COMPUTED_VALUE"""),"Clinica da Familia Felippe Cardoso")</f>
        <v>Clinica da Familia Felippe Cardoso</v>
      </c>
      <c r="E4" s="310" t="str">
        <f>IFERROR(__xludf.DUMMYFUNCTION("""COMPUTED_VALUE"""),"ZONA NORTE")</f>
        <v>ZONA NORTE</v>
      </c>
      <c r="F4" s="310" t="str">
        <f>IFERROR(__xludf.DUMMYFUNCTION("""COMPUTED_VALUE"""),"Rio de Janeiro")</f>
        <v>Rio de Janeiro</v>
      </c>
      <c r="G4" s="310" t="str">
        <f>IFERROR(__xludf.DUMMYFUNCTION("""COMPUTED_VALUE"""),"Penha")</f>
        <v>Penha</v>
      </c>
      <c r="H4" s="310" t="str">
        <f>IFERROR(__xludf.DUMMYFUNCTION("""COMPUTED_VALUE"""),"Unidade básica - BAIXA COMPLEXIDADE")</f>
        <v>Unidade básica - BAIXA COMPLEXIDADE</v>
      </c>
      <c r="I4" s="310" t="str">
        <f>IFERROR(__xludf.DUMMYFUNCTION("""COMPUTED_VALUE"""),"Público")</f>
        <v>Público</v>
      </c>
      <c r="J4" s="310" t="str">
        <f>IFERROR(__xludf.DUMMYFUNCTION("""COMPUTED_VALUE"""),"")</f>
        <v/>
      </c>
      <c r="K4" s="310" t="str">
        <f>IFERROR(__xludf.DUMMYFUNCTION("""COMPUTED_VALUE"""),"")</f>
        <v/>
      </c>
      <c r="L4" s="310" t="str">
        <f>IFERROR(__xludf.DUMMYFUNCTION("""COMPUTED_VALUE"""),"")</f>
        <v/>
      </c>
      <c r="M4" s="310" t="str">
        <f>IFERROR(__xludf.DUMMYFUNCTION("""COMPUTED_VALUE"""),"")</f>
        <v/>
      </c>
      <c r="N4" s="310">
        <f>IFERROR(__xludf.DUMMYFUNCTION("""COMPUTED_VALUE"""),0.0)</f>
        <v>0</v>
      </c>
      <c r="O4" s="310">
        <f>IFERROR(__xludf.DUMMYFUNCTION("""COMPUTED_VALUE"""),0.0)</f>
        <v>0</v>
      </c>
      <c r="P4" s="310">
        <f>IFERROR(__xludf.DUMMYFUNCTION("""COMPUTED_VALUE"""),0.0)</f>
        <v>0</v>
      </c>
      <c r="Q4" s="310">
        <f>IFERROR(__xludf.DUMMYFUNCTION("""COMPUTED_VALUE"""),0.0)</f>
        <v>0</v>
      </c>
      <c r="R4" s="310">
        <f>IFERROR(__xludf.DUMMYFUNCTION("""COMPUTED_VALUE"""),0.0)</f>
        <v>0</v>
      </c>
      <c r="S4" s="310">
        <f>IFERROR(__xludf.DUMMYFUNCTION("""COMPUTED_VALUE"""),0.0)</f>
        <v>0</v>
      </c>
      <c r="T4" s="310">
        <f>IFERROR(__xludf.DUMMYFUNCTION("""COMPUTED_VALUE"""),50.0)</f>
        <v>50</v>
      </c>
      <c r="U4" s="310">
        <f>IFERROR(__xludf.DUMMYFUNCTION("""COMPUTED_VALUE"""),0.0)</f>
        <v>0</v>
      </c>
      <c r="V4" s="310">
        <f>IFERROR(__xludf.DUMMYFUNCTION("""COMPUTED_VALUE"""),0.0)</f>
        <v>0</v>
      </c>
      <c r="W4" s="310">
        <f>IFERROR(__xludf.DUMMYFUNCTION("""COMPUTED_VALUE"""),0.0)</f>
        <v>0</v>
      </c>
      <c r="X4" s="310">
        <f>IFERROR(__xludf.DUMMYFUNCTION("""COMPUTED_VALUE"""),30.0)</f>
        <v>30</v>
      </c>
      <c r="Y4" s="310">
        <f>IFERROR(__xludf.DUMMYFUNCTION("""COMPUTED_VALUE"""),0.0)</f>
        <v>0</v>
      </c>
      <c r="Z4" s="310">
        <f>IFERROR(__xludf.DUMMYFUNCTION("""COMPUTED_VALUE"""),-50.0)</f>
        <v>-50</v>
      </c>
      <c r="AA4" s="310">
        <f>IFERROR(__xludf.DUMMYFUNCTION("""COMPUTED_VALUE"""),0.0)</f>
        <v>0</v>
      </c>
      <c r="AB4" s="310">
        <f>IFERROR(__xludf.DUMMYFUNCTION("""COMPUTED_VALUE"""),0.0)</f>
        <v>0</v>
      </c>
      <c r="AC4" s="310">
        <f>IFERROR(__xludf.DUMMYFUNCTION("""COMPUTED_VALUE"""),0.0)</f>
        <v>0</v>
      </c>
      <c r="AD4" s="310">
        <f>IFERROR(__xludf.DUMMYFUNCTION("""COMPUTED_VALUE"""),0.0)</f>
        <v>0</v>
      </c>
      <c r="AE4" s="310">
        <f>IFERROR(__xludf.DUMMYFUNCTION("""COMPUTED_VALUE"""),-30.0)</f>
        <v>-30</v>
      </c>
      <c r="AF4" s="310" t="str">
        <f>IFERROR(__xludf.DUMMYFUNCTION("""COMPUTED_VALUE"""),"-22.8427552,-43.2789656")</f>
        <v>-22.8427552,-43.2789656</v>
      </c>
      <c r="AG4" s="310">
        <f>IFERROR(__xludf.DUMMYFUNCTION("""COMPUTED_VALUE"""),0.0)</f>
        <v>0</v>
      </c>
      <c r="AH4" s="310">
        <f>IFERROR(__xludf.DUMMYFUNCTION("""COMPUTED_VALUE"""),0.0)</f>
        <v>0</v>
      </c>
      <c r="AI4" s="310">
        <f>IFERROR(__xludf.DUMMYFUNCTION("""COMPUTED_VALUE"""),0.0)</f>
        <v>0</v>
      </c>
      <c r="AJ4" s="310">
        <f>IFERROR(__xludf.DUMMYFUNCTION("ROWS(QUERY(Entregas_BD!D:AM,""select D where D ='""&amp;D4&amp;""'"",1))-1"),1.0)</f>
        <v>1</v>
      </c>
    </row>
    <row r="5" ht="22.5" customHeight="1">
      <c r="A5" s="311" t="str">
        <f>IFERROR(__xludf.DUMMYFUNCTION("""COMPUTED_VALUE"""),"")</f>
        <v/>
      </c>
      <c r="B5" s="311" t="str">
        <f>IFERROR(__xludf.DUMMYFUNCTION("""COMPUTED_VALUE"""),"")</f>
        <v/>
      </c>
      <c r="C5" s="311">
        <f>IFERROR(__xludf.DUMMYFUNCTION("""COMPUTED_VALUE"""),15.0)</f>
        <v>15</v>
      </c>
      <c r="D5" s="311" t="str">
        <f>IFERROR(__xludf.DUMMYFUNCTION("""COMPUTED_VALUE"""),"Clínica Da família João Batista Chagas")</f>
        <v>Clínica Da família João Batista Chagas</v>
      </c>
      <c r="E5" s="311" t="str">
        <f>IFERROR(__xludf.DUMMYFUNCTION("""COMPUTED_VALUE"""),"ZONA OESTE")</f>
        <v>ZONA OESTE</v>
      </c>
      <c r="F5" s="311" t="str">
        <f>IFERROR(__xludf.DUMMYFUNCTION("""COMPUTED_VALUE"""),"Rio de Janeiro")</f>
        <v>Rio de Janeiro</v>
      </c>
      <c r="G5" s="311" t="str">
        <f>IFERROR(__xludf.DUMMYFUNCTION("""COMPUTED_VALUE"""),"Paciência proximo a Santa Cruz")</f>
        <v>Paciência proximo a Santa Cruz</v>
      </c>
      <c r="H5" s="311" t="str">
        <f>IFERROR(__xludf.DUMMYFUNCTION("""COMPUTED_VALUE"""),"Unidade básica - BAIXA COMPLEXIDADE")</f>
        <v>Unidade básica - BAIXA COMPLEXIDADE</v>
      </c>
      <c r="I5" s="311" t="str">
        <f>IFERROR(__xludf.DUMMYFUNCTION("""COMPUTED_VALUE"""),"Público")</f>
        <v>Público</v>
      </c>
      <c r="J5" s="311" t="str">
        <f>IFERROR(__xludf.DUMMYFUNCTION("""COMPUTED_VALUE"""),"")</f>
        <v/>
      </c>
      <c r="K5" s="311" t="str">
        <f>IFERROR(__xludf.DUMMYFUNCTION("""COMPUTED_VALUE"""),"")</f>
        <v/>
      </c>
      <c r="L5" s="311" t="str">
        <f>IFERROR(__xludf.DUMMYFUNCTION("""COMPUTED_VALUE"""),"")</f>
        <v/>
      </c>
      <c r="M5" s="311" t="str">
        <f>IFERROR(__xludf.DUMMYFUNCTION("""COMPUTED_VALUE"""),"")</f>
        <v/>
      </c>
      <c r="N5" s="311">
        <f>IFERROR(__xludf.DUMMYFUNCTION("""COMPUTED_VALUE"""),0.0)</f>
        <v>0</v>
      </c>
      <c r="O5" s="311">
        <f>IFERROR(__xludf.DUMMYFUNCTION("""COMPUTED_VALUE"""),0.0)</f>
        <v>0</v>
      </c>
      <c r="P5" s="311">
        <f>IFERROR(__xludf.DUMMYFUNCTION("""COMPUTED_VALUE"""),0.0)</f>
        <v>0</v>
      </c>
      <c r="Q5" s="311">
        <f>IFERROR(__xludf.DUMMYFUNCTION("""COMPUTED_VALUE"""),0.0)</f>
        <v>0</v>
      </c>
      <c r="R5" s="311">
        <f>IFERROR(__xludf.DUMMYFUNCTION("""COMPUTED_VALUE"""),0.0)</f>
        <v>0</v>
      </c>
      <c r="S5" s="311">
        <f>IFERROR(__xludf.DUMMYFUNCTION("""COMPUTED_VALUE"""),0.0)</f>
        <v>0</v>
      </c>
      <c r="T5" s="311">
        <f>IFERROR(__xludf.DUMMYFUNCTION("""COMPUTED_VALUE"""),25.0)</f>
        <v>25</v>
      </c>
      <c r="U5" s="311">
        <f>IFERROR(__xludf.DUMMYFUNCTION("""COMPUTED_VALUE"""),0.0)</f>
        <v>0</v>
      </c>
      <c r="V5" s="311">
        <f>IFERROR(__xludf.DUMMYFUNCTION("""COMPUTED_VALUE"""),0.0)</f>
        <v>0</v>
      </c>
      <c r="W5" s="311">
        <f>IFERROR(__xludf.DUMMYFUNCTION("""COMPUTED_VALUE"""),0.0)</f>
        <v>0</v>
      </c>
      <c r="X5" s="311">
        <f>IFERROR(__xludf.DUMMYFUNCTION("""COMPUTED_VALUE"""),50.0)</f>
        <v>50</v>
      </c>
      <c r="Y5" s="311">
        <f>IFERROR(__xludf.DUMMYFUNCTION("""COMPUTED_VALUE"""),0.0)</f>
        <v>0</v>
      </c>
      <c r="Z5" s="311">
        <f>IFERROR(__xludf.DUMMYFUNCTION("""COMPUTED_VALUE"""),-25.0)</f>
        <v>-25</v>
      </c>
      <c r="AA5" s="311">
        <f>IFERROR(__xludf.DUMMYFUNCTION("""COMPUTED_VALUE"""),0.0)</f>
        <v>0</v>
      </c>
      <c r="AB5" s="311">
        <f>IFERROR(__xludf.DUMMYFUNCTION("""COMPUTED_VALUE"""),0.0)</f>
        <v>0</v>
      </c>
      <c r="AC5" s="311">
        <f>IFERROR(__xludf.DUMMYFUNCTION("""COMPUTED_VALUE"""),0.0)</f>
        <v>0</v>
      </c>
      <c r="AD5" s="311">
        <f>IFERROR(__xludf.DUMMYFUNCTION("""COMPUTED_VALUE"""),0.0)</f>
        <v>0</v>
      </c>
      <c r="AE5" s="311">
        <f>IFERROR(__xludf.DUMMYFUNCTION("""COMPUTED_VALUE"""),-50.0)</f>
        <v>-50</v>
      </c>
      <c r="AF5" s="311" t="str">
        <f>IFERROR(__xludf.DUMMYFUNCTION("""COMPUTED_VALUE"""),"-22.9328133,-43.6368045")</f>
        <v>-22.9328133,-43.6368045</v>
      </c>
      <c r="AG5" s="311">
        <f>IFERROR(__xludf.DUMMYFUNCTION("""COMPUTED_VALUE"""),0.0)</f>
        <v>0</v>
      </c>
      <c r="AH5" s="311">
        <f>IFERROR(__xludf.DUMMYFUNCTION("""COMPUTED_VALUE"""),0.0)</f>
        <v>0</v>
      </c>
      <c r="AI5" s="311">
        <f>IFERROR(__xludf.DUMMYFUNCTION("""COMPUTED_VALUE"""),0.0)</f>
        <v>0</v>
      </c>
      <c r="AJ5" s="311">
        <f>IFERROR(__xludf.DUMMYFUNCTION("ROWS(QUERY(Entregas_BD!D:AM,""select D where D ='""&amp;D5&amp;""'"",1))-1"),1.0)</f>
        <v>1</v>
      </c>
    </row>
    <row r="6" ht="22.5" customHeight="1">
      <c r="A6" s="310" t="str">
        <f>IFERROR(__xludf.DUMMYFUNCTION("""COMPUTED_VALUE"""),"")</f>
        <v/>
      </c>
      <c r="B6" s="310" t="str">
        <f>IFERROR(__xludf.DUMMYFUNCTION("""COMPUTED_VALUE"""),"")</f>
        <v/>
      </c>
      <c r="C6" s="310">
        <f>IFERROR(__xludf.DUMMYFUNCTION("""COMPUTED_VALUE"""),16.0)</f>
        <v>16</v>
      </c>
      <c r="D6" s="310" t="str">
        <f>IFERROR(__xludf.DUMMYFUNCTION("""COMPUTED_VALUE"""),"Clínica da Família Mário Dias de Alencar")</f>
        <v>Clínica da Família Mário Dias de Alencar</v>
      </c>
      <c r="E6" s="310" t="str">
        <f>IFERROR(__xludf.DUMMYFUNCTION("""COMPUTED_VALUE"""),"ZONA OESTE")</f>
        <v>ZONA OESTE</v>
      </c>
      <c r="F6" s="310" t="str">
        <f>IFERROR(__xludf.DUMMYFUNCTION("""COMPUTED_VALUE"""),"Rio de Janeiro")</f>
        <v>Rio de Janeiro</v>
      </c>
      <c r="G6" s="310" t="str">
        <f>IFERROR(__xludf.DUMMYFUNCTION("""COMPUTED_VALUE"""),"Senador Camara")</f>
        <v>Senador Camara</v>
      </c>
      <c r="H6" s="310" t="str">
        <f>IFERROR(__xludf.DUMMYFUNCTION("""COMPUTED_VALUE"""),"Unidade básica - BAIXA COMPLEXIDADE")</f>
        <v>Unidade básica - BAIXA COMPLEXIDADE</v>
      </c>
      <c r="I6" s="310" t="str">
        <f>IFERROR(__xludf.DUMMYFUNCTION("""COMPUTED_VALUE"""),"Público")</f>
        <v>Público</v>
      </c>
      <c r="J6" s="310" t="str">
        <f>IFERROR(__xludf.DUMMYFUNCTION("""COMPUTED_VALUE"""),"")</f>
        <v/>
      </c>
      <c r="K6" s="310" t="str">
        <f>IFERROR(__xludf.DUMMYFUNCTION("""COMPUTED_VALUE"""),"")</f>
        <v/>
      </c>
      <c r="L6" s="310" t="str">
        <f>IFERROR(__xludf.DUMMYFUNCTION("""COMPUTED_VALUE"""),"")</f>
        <v/>
      </c>
      <c r="M6" s="310" t="str">
        <f>IFERROR(__xludf.DUMMYFUNCTION("""COMPUTED_VALUE"""),"")</f>
        <v/>
      </c>
      <c r="N6" s="310">
        <f>IFERROR(__xludf.DUMMYFUNCTION("""COMPUTED_VALUE"""),0.0)</f>
        <v>0</v>
      </c>
      <c r="O6" s="310">
        <f>IFERROR(__xludf.DUMMYFUNCTION("""COMPUTED_VALUE"""),0.0)</f>
        <v>0</v>
      </c>
      <c r="P6" s="310">
        <f>IFERROR(__xludf.DUMMYFUNCTION("""COMPUTED_VALUE"""),0.0)</f>
        <v>0</v>
      </c>
      <c r="Q6" s="310">
        <f>IFERROR(__xludf.DUMMYFUNCTION("""COMPUTED_VALUE"""),0.0)</f>
        <v>0</v>
      </c>
      <c r="R6" s="310">
        <f>IFERROR(__xludf.DUMMYFUNCTION("""COMPUTED_VALUE"""),0.0)</f>
        <v>0</v>
      </c>
      <c r="S6" s="310">
        <f>IFERROR(__xludf.DUMMYFUNCTION("""COMPUTED_VALUE"""),0.0)</f>
        <v>0</v>
      </c>
      <c r="T6" s="310">
        <f>IFERROR(__xludf.DUMMYFUNCTION("""COMPUTED_VALUE"""),25.0)</f>
        <v>25</v>
      </c>
      <c r="U6" s="310">
        <f>IFERROR(__xludf.DUMMYFUNCTION("""COMPUTED_VALUE"""),0.0)</f>
        <v>0</v>
      </c>
      <c r="V6" s="310">
        <f>IFERROR(__xludf.DUMMYFUNCTION("""COMPUTED_VALUE"""),0.0)</f>
        <v>0</v>
      </c>
      <c r="W6" s="310">
        <f>IFERROR(__xludf.DUMMYFUNCTION("""COMPUTED_VALUE"""),0.0)</f>
        <v>0</v>
      </c>
      <c r="X6" s="310">
        <f>IFERROR(__xludf.DUMMYFUNCTION("""COMPUTED_VALUE"""),50.0)</f>
        <v>50</v>
      </c>
      <c r="Y6" s="310">
        <f>IFERROR(__xludf.DUMMYFUNCTION("""COMPUTED_VALUE"""),0.0)</f>
        <v>0</v>
      </c>
      <c r="Z6" s="310">
        <f>IFERROR(__xludf.DUMMYFUNCTION("""COMPUTED_VALUE"""),-25.0)</f>
        <v>-25</v>
      </c>
      <c r="AA6" s="310">
        <f>IFERROR(__xludf.DUMMYFUNCTION("""COMPUTED_VALUE"""),0.0)</f>
        <v>0</v>
      </c>
      <c r="AB6" s="310">
        <f>IFERROR(__xludf.DUMMYFUNCTION("""COMPUTED_VALUE"""),0.0)</f>
        <v>0</v>
      </c>
      <c r="AC6" s="310">
        <f>IFERROR(__xludf.DUMMYFUNCTION("""COMPUTED_VALUE"""),0.0)</f>
        <v>0</v>
      </c>
      <c r="AD6" s="310">
        <f>IFERROR(__xludf.DUMMYFUNCTION("""COMPUTED_VALUE"""),0.0)</f>
        <v>0</v>
      </c>
      <c r="AE6" s="310">
        <f>IFERROR(__xludf.DUMMYFUNCTION("""COMPUTED_VALUE"""),-50.0)</f>
        <v>-50</v>
      </c>
      <c r="AF6" s="310" t="str">
        <f>IFERROR(__xludf.DUMMYFUNCTION("""COMPUTED_VALUE"""),"-22.8942385,-43.4884003")</f>
        <v>-22.8942385,-43.4884003</v>
      </c>
      <c r="AG6" s="310">
        <f>IFERROR(__xludf.DUMMYFUNCTION("""COMPUTED_VALUE"""),0.0)</f>
        <v>0</v>
      </c>
      <c r="AH6" s="310">
        <f>IFERROR(__xludf.DUMMYFUNCTION("""COMPUTED_VALUE"""),0.0)</f>
        <v>0</v>
      </c>
      <c r="AI6" s="310">
        <f>IFERROR(__xludf.DUMMYFUNCTION("""COMPUTED_VALUE"""),0.0)</f>
        <v>0</v>
      </c>
      <c r="AJ6" s="310">
        <f>IFERROR(__xludf.DUMMYFUNCTION("ROWS(QUERY(Entregas_BD!D:AM,""select D where D ='""&amp;D6&amp;""'"",1))-1"),1.0)</f>
        <v>1</v>
      </c>
    </row>
    <row r="7" ht="22.5" customHeight="1">
      <c r="A7" s="311" t="str">
        <f>IFERROR(__xludf.DUMMYFUNCTION("""COMPUTED_VALUE"""),"")</f>
        <v/>
      </c>
      <c r="B7" s="311" t="str">
        <f>IFERROR(__xludf.DUMMYFUNCTION("""COMPUTED_VALUE"""),"")</f>
        <v/>
      </c>
      <c r="C7" s="311">
        <f>IFERROR(__xludf.DUMMYFUNCTION("""COMPUTED_VALUE"""),17.0)</f>
        <v>17</v>
      </c>
      <c r="D7" s="311" t="str">
        <f>IFERROR(__xludf.DUMMYFUNCTION("""COMPUTED_VALUE"""),"Clínica da Família Nélio de Oliveira")</f>
        <v>Clínica da Família Nélio de Oliveira</v>
      </c>
      <c r="E7" s="311" t="str">
        <f>IFERROR(__xludf.DUMMYFUNCTION("""COMPUTED_VALUE"""),"CENTRO")</f>
        <v>CENTRO</v>
      </c>
      <c r="F7" s="311" t="str">
        <f>IFERROR(__xludf.DUMMYFUNCTION("""COMPUTED_VALUE"""),"Rio de Janeiro")</f>
        <v>Rio de Janeiro</v>
      </c>
      <c r="G7" s="311" t="str">
        <f>IFERROR(__xludf.DUMMYFUNCTION("""COMPUTED_VALUE"""),"Gamboa")</f>
        <v>Gamboa</v>
      </c>
      <c r="H7" s="311" t="str">
        <f>IFERROR(__xludf.DUMMYFUNCTION("""COMPUTED_VALUE"""),"Unidade básica - BAIXA COMPLEXIDADE")</f>
        <v>Unidade básica - BAIXA COMPLEXIDADE</v>
      </c>
      <c r="I7" s="311" t="str">
        <f>IFERROR(__xludf.DUMMYFUNCTION("""COMPUTED_VALUE"""),"Público")</f>
        <v>Público</v>
      </c>
      <c r="J7" s="311" t="str">
        <f>IFERROR(__xludf.DUMMYFUNCTION("""COMPUTED_VALUE"""),"")</f>
        <v/>
      </c>
      <c r="K7" s="311" t="str">
        <f>IFERROR(__xludf.DUMMYFUNCTION("""COMPUTED_VALUE"""),"")</f>
        <v/>
      </c>
      <c r="L7" s="311" t="str">
        <f>IFERROR(__xludf.DUMMYFUNCTION("""COMPUTED_VALUE"""),"")</f>
        <v/>
      </c>
      <c r="M7" s="311" t="str">
        <f>IFERROR(__xludf.DUMMYFUNCTION("""COMPUTED_VALUE"""),"")</f>
        <v/>
      </c>
      <c r="N7" s="311">
        <f>IFERROR(__xludf.DUMMYFUNCTION("""COMPUTED_VALUE"""),0.0)</f>
        <v>0</v>
      </c>
      <c r="O7" s="311">
        <f>IFERROR(__xludf.DUMMYFUNCTION("""COMPUTED_VALUE"""),0.0)</f>
        <v>0</v>
      </c>
      <c r="P7" s="311">
        <f>IFERROR(__xludf.DUMMYFUNCTION("""COMPUTED_VALUE"""),0.0)</f>
        <v>0</v>
      </c>
      <c r="Q7" s="311">
        <f>IFERROR(__xludf.DUMMYFUNCTION("""COMPUTED_VALUE"""),0.0)</f>
        <v>0</v>
      </c>
      <c r="R7" s="311">
        <f>IFERROR(__xludf.DUMMYFUNCTION("""COMPUTED_VALUE"""),0.0)</f>
        <v>0</v>
      </c>
      <c r="S7" s="311">
        <f>IFERROR(__xludf.DUMMYFUNCTION("""COMPUTED_VALUE"""),0.0)</f>
        <v>0</v>
      </c>
      <c r="T7" s="311">
        <f>IFERROR(__xludf.DUMMYFUNCTION("""COMPUTED_VALUE"""),25.0)</f>
        <v>25</v>
      </c>
      <c r="U7" s="311">
        <f>IFERROR(__xludf.DUMMYFUNCTION("""COMPUTED_VALUE"""),0.0)</f>
        <v>0</v>
      </c>
      <c r="V7" s="311">
        <f>IFERROR(__xludf.DUMMYFUNCTION("""COMPUTED_VALUE"""),0.0)</f>
        <v>0</v>
      </c>
      <c r="W7" s="311">
        <f>IFERROR(__xludf.DUMMYFUNCTION("""COMPUTED_VALUE"""),0.0)</f>
        <v>0</v>
      </c>
      <c r="X7" s="311">
        <f>IFERROR(__xludf.DUMMYFUNCTION("""COMPUTED_VALUE"""),0.0)</f>
        <v>0</v>
      </c>
      <c r="Y7" s="311">
        <f>IFERROR(__xludf.DUMMYFUNCTION("""COMPUTED_VALUE"""),0.0)</f>
        <v>0</v>
      </c>
      <c r="Z7" s="311">
        <f>IFERROR(__xludf.DUMMYFUNCTION("""COMPUTED_VALUE"""),-25.0)</f>
        <v>-25</v>
      </c>
      <c r="AA7" s="311">
        <f>IFERROR(__xludf.DUMMYFUNCTION("""COMPUTED_VALUE"""),0.0)</f>
        <v>0</v>
      </c>
      <c r="AB7" s="311">
        <f>IFERROR(__xludf.DUMMYFUNCTION("""COMPUTED_VALUE"""),0.0)</f>
        <v>0</v>
      </c>
      <c r="AC7" s="311">
        <f>IFERROR(__xludf.DUMMYFUNCTION("""COMPUTED_VALUE"""),0.0)</f>
        <v>0</v>
      </c>
      <c r="AD7" s="311">
        <f>IFERROR(__xludf.DUMMYFUNCTION("""COMPUTED_VALUE"""),0.0)</f>
        <v>0</v>
      </c>
      <c r="AE7" s="311">
        <f>IFERROR(__xludf.DUMMYFUNCTION("""COMPUTED_VALUE"""),0.0)</f>
        <v>0</v>
      </c>
      <c r="AF7" s="311" t="str">
        <f>IFERROR(__xludf.DUMMYFUNCTION("""COMPUTED_VALUE"""),"-22.8974365,-43.1961145")</f>
        <v>-22.8974365,-43.1961145</v>
      </c>
      <c r="AG7" s="311">
        <f>IFERROR(__xludf.DUMMYFUNCTION("""COMPUTED_VALUE"""),0.0)</f>
        <v>0</v>
      </c>
      <c r="AH7" s="311">
        <f>IFERROR(__xludf.DUMMYFUNCTION("""COMPUTED_VALUE"""),0.0)</f>
        <v>0</v>
      </c>
      <c r="AI7" s="311">
        <f>IFERROR(__xludf.DUMMYFUNCTION("""COMPUTED_VALUE"""),0.0)</f>
        <v>0</v>
      </c>
      <c r="AJ7" s="311">
        <f>IFERROR(__xludf.DUMMYFUNCTION("ROWS(QUERY(Entregas_BD!D:AM,""select D where D ='""&amp;D7&amp;""'"",1))-1"),1.0)</f>
        <v>1</v>
      </c>
    </row>
    <row r="8" ht="22.5" customHeight="1">
      <c r="A8" s="310" t="str">
        <f>IFERROR(__xludf.DUMMYFUNCTION("""COMPUTED_VALUE"""),"")</f>
        <v/>
      </c>
      <c r="B8" s="310" t="str">
        <f>IFERROR(__xludf.DUMMYFUNCTION("""COMPUTED_VALUE"""),"")</f>
        <v/>
      </c>
      <c r="C8" s="310">
        <f>IFERROR(__xludf.DUMMYFUNCTION("""COMPUTED_VALUE"""),21.0)</f>
        <v>21</v>
      </c>
      <c r="D8" s="310" t="str">
        <f>IFERROR(__xludf.DUMMYFUNCTION("""COMPUTED_VALUE"""),"CMS Albert Sabin")</f>
        <v>CMS Albert Sabin</v>
      </c>
      <c r="E8" s="310" t="str">
        <f>IFERROR(__xludf.DUMMYFUNCTION("""COMPUTED_VALUE"""),"ZONA SUL")</f>
        <v>ZONA SUL</v>
      </c>
      <c r="F8" s="310" t="str">
        <f>IFERROR(__xludf.DUMMYFUNCTION("""COMPUTED_VALUE"""),"Rio de Janeiro")</f>
        <v>Rio de Janeiro</v>
      </c>
      <c r="G8" s="310" t="str">
        <f>IFERROR(__xludf.DUMMYFUNCTION("""COMPUTED_VALUE"""),"Rocinha")</f>
        <v>Rocinha</v>
      </c>
      <c r="H8" s="310" t="str">
        <f>IFERROR(__xludf.DUMMYFUNCTION("""COMPUTED_VALUE"""),"Unidade básica - BAIXA COMPLEXIDADE")</f>
        <v>Unidade básica - BAIXA COMPLEXIDADE</v>
      </c>
      <c r="I8" s="310" t="str">
        <f>IFERROR(__xludf.DUMMYFUNCTION("""COMPUTED_VALUE"""),"Público")</f>
        <v>Público</v>
      </c>
      <c r="J8" s="310" t="str">
        <f>IFERROR(__xludf.DUMMYFUNCTION("""COMPUTED_VALUE"""),"")</f>
        <v/>
      </c>
      <c r="K8" s="310" t="str">
        <f>IFERROR(__xludf.DUMMYFUNCTION("""COMPUTED_VALUE"""),"")</f>
        <v/>
      </c>
      <c r="L8" s="310" t="str">
        <f>IFERROR(__xludf.DUMMYFUNCTION("""COMPUTED_VALUE"""),"")</f>
        <v/>
      </c>
      <c r="M8" s="310" t="str">
        <f>IFERROR(__xludf.DUMMYFUNCTION("""COMPUTED_VALUE"""),"")</f>
        <v/>
      </c>
      <c r="N8" s="310">
        <f>IFERROR(__xludf.DUMMYFUNCTION("""COMPUTED_VALUE"""),0.0)</f>
        <v>0</v>
      </c>
      <c r="O8" s="310">
        <f>IFERROR(__xludf.DUMMYFUNCTION("""COMPUTED_VALUE"""),0.0)</f>
        <v>0</v>
      </c>
      <c r="P8" s="310">
        <f>IFERROR(__xludf.DUMMYFUNCTION("""COMPUTED_VALUE"""),0.0)</f>
        <v>0</v>
      </c>
      <c r="Q8" s="310">
        <f>IFERROR(__xludf.DUMMYFUNCTION("""COMPUTED_VALUE"""),0.0)</f>
        <v>0</v>
      </c>
      <c r="R8" s="310">
        <f>IFERROR(__xludf.DUMMYFUNCTION("""COMPUTED_VALUE"""),0.0)</f>
        <v>0</v>
      </c>
      <c r="S8" s="310">
        <f>IFERROR(__xludf.DUMMYFUNCTION("""COMPUTED_VALUE"""),0.0)</f>
        <v>0</v>
      </c>
      <c r="T8" s="310">
        <f>IFERROR(__xludf.DUMMYFUNCTION("""COMPUTED_VALUE"""),20.0)</f>
        <v>20</v>
      </c>
      <c r="U8" s="310">
        <f>IFERROR(__xludf.DUMMYFUNCTION("""COMPUTED_VALUE"""),0.0)</f>
        <v>0</v>
      </c>
      <c r="V8" s="310">
        <f>IFERROR(__xludf.DUMMYFUNCTION("""COMPUTED_VALUE"""),0.0)</f>
        <v>0</v>
      </c>
      <c r="W8" s="310">
        <f>IFERROR(__xludf.DUMMYFUNCTION("""COMPUTED_VALUE"""),0.0)</f>
        <v>0</v>
      </c>
      <c r="X8" s="310">
        <f>IFERROR(__xludf.DUMMYFUNCTION("""COMPUTED_VALUE"""),0.0)</f>
        <v>0</v>
      </c>
      <c r="Y8" s="310">
        <f>IFERROR(__xludf.DUMMYFUNCTION("""COMPUTED_VALUE"""),0.0)</f>
        <v>0</v>
      </c>
      <c r="Z8" s="310">
        <f>IFERROR(__xludf.DUMMYFUNCTION("""COMPUTED_VALUE"""),-20.0)</f>
        <v>-20</v>
      </c>
      <c r="AA8" s="310">
        <f>IFERROR(__xludf.DUMMYFUNCTION("""COMPUTED_VALUE"""),0.0)</f>
        <v>0</v>
      </c>
      <c r="AB8" s="310">
        <f>IFERROR(__xludf.DUMMYFUNCTION("""COMPUTED_VALUE"""),0.0)</f>
        <v>0</v>
      </c>
      <c r="AC8" s="310">
        <f>IFERROR(__xludf.DUMMYFUNCTION("""COMPUTED_VALUE"""),0.0)</f>
        <v>0</v>
      </c>
      <c r="AD8" s="310">
        <f>IFERROR(__xludf.DUMMYFUNCTION("""COMPUTED_VALUE"""),0.0)</f>
        <v>0</v>
      </c>
      <c r="AE8" s="310">
        <f>IFERROR(__xludf.DUMMYFUNCTION("""COMPUTED_VALUE"""),0.0)</f>
        <v>0</v>
      </c>
      <c r="AF8" s="310" t="str">
        <f>IFERROR(__xludf.DUMMYFUNCTION("""COMPUTED_VALUE"""),"-22.9858747,-43.2452175")</f>
        <v>-22.9858747,-43.2452175</v>
      </c>
      <c r="AG8" s="310">
        <f>IFERROR(__xludf.DUMMYFUNCTION("""COMPUTED_VALUE"""),0.0)</f>
        <v>0</v>
      </c>
      <c r="AH8" s="310">
        <f>IFERROR(__xludf.DUMMYFUNCTION("""COMPUTED_VALUE"""),0.0)</f>
        <v>0</v>
      </c>
      <c r="AI8" s="310">
        <f>IFERROR(__xludf.DUMMYFUNCTION("""COMPUTED_VALUE"""),0.0)</f>
        <v>0</v>
      </c>
      <c r="AJ8" s="310">
        <f>IFERROR(__xludf.DUMMYFUNCTION("ROWS(QUERY(Entregas_BD!D:AM,""select D where D ='""&amp;D8&amp;""'"",1))-1"),1.0)</f>
        <v>1</v>
      </c>
    </row>
    <row r="9" ht="22.5" customHeight="1">
      <c r="A9" s="311" t="str">
        <f>IFERROR(__xludf.DUMMYFUNCTION("""COMPUTED_VALUE"""),"")</f>
        <v/>
      </c>
      <c r="B9" s="311" t="str">
        <f>IFERROR(__xludf.DUMMYFUNCTION("""COMPUTED_VALUE"""),"")</f>
        <v/>
      </c>
      <c r="C9" s="311">
        <f>IFERROR(__xludf.DUMMYFUNCTION("""COMPUTED_VALUE"""),22.0)</f>
        <v>22</v>
      </c>
      <c r="D9" s="311" t="str">
        <f>IFERROR(__xludf.DUMMYFUNCTION("""COMPUTED_VALUE"""),"CMS Alice Toledo Tibiriçá")</f>
        <v>CMS Alice Toledo Tibiriçá</v>
      </c>
      <c r="E9" s="311" t="str">
        <f>IFERROR(__xludf.DUMMYFUNCTION("""COMPUTED_VALUE"""),"ZONA NORTE")</f>
        <v>ZONA NORTE</v>
      </c>
      <c r="F9" s="311" t="str">
        <f>IFERROR(__xludf.DUMMYFUNCTION("""COMPUTED_VALUE"""),"Rio de Janeiro")</f>
        <v>Rio de Janeiro</v>
      </c>
      <c r="G9" s="311" t="str">
        <f>IFERROR(__xludf.DUMMYFUNCTION("""COMPUTED_VALUE"""),"Iraja")</f>
        <v>Iraja</v>
      </c>
      <c r="H9" s="311" t="str">
        <f>IFERROR(__xludf.DUMMYFUNCTION("""COMPUTED_VALUE"""),"Unidade básica - BAIXA COMPLEXIDADE")</f>
        <v>Unidade básica - BAIXA COMPLEXIDADE</v>
      </c>
      <c r="I9" s="311" t="str">
        <f>IFERROR(__xludf.DUMMYFUNCTION("""COMPUTED_VALUE"""),"Público")</f>
        <v>Público</v>
      </c>
      <c r="J9" s="311" t="str">
        <f>IFERROR(__xludf.DUMMYFUNCTION("""COMPUTED_VALUE"""),"")</f>
        <v/>
      </c>
      <c r="K9" s="311" t="str">
        <f>IFERROR(__xludf.DUMMYFUNCTION("""COMPUTED_VALUE"""),"")</f>
        <v/>
      </c>
      <c r="L9" s="311" t="str">
        <f>IFERROR(__xludf.DUMMYFUNCTION("""COMPUTED_VALUE"""),"")</f>
        <v/>
      </c>
      <c r="M9" s="311" t="str">
        <f>IFERROR(__xludf.DUMMYFUNCTION("""COMPUTED_VALUE"""),"")</f>
        <v/>
      </c>
      <c r="N9" s="311">
        <f>IFERROR(__xludf.DUMMYFUNCTION("""COMPUTED_VALUE"""),0.0)</f>
        <v>0</v>
      </c>
      <c r="O9" s="311">
        <f>IFERROR(__xludf.DUMMYFUNCTION("""COMPUTED_VALUE"""),0.0)</f>
        <v>0</v>
      </c>
      <c r="P9" s="311">
        <f>IFERROR(__xludf.DUMMYFUNCTION("""COMPUTED_VALUE"""),0.0)</f>
        <v>0</v>
      </c>
      <c r="Q9" s="311">
        <f>IFERROR(__xludf.DUMMYFUNCTION("""COMPUTED_VALUE"""),0.0)</f>
        <v>0</v>
      </c>
      <c r="R9" s="311">
        <f>IFERROR(__xludf.DUMMYFUNCTION("""COMPUTED_VALUE"""),0.0)</f>
        <v>0</v>
      </c>
      <c r="S9" s="311">
        <f>IFERROR(__xludf.DUMMYFUNCTION("""COMPUTED_VALUE"""),0.0)</f>
        <v>0</v>
      </c>
      <c r="T9" s="311">
        <f>IFERROR(__xludf.DUMMYFUNCTION("""COMPUTED_VALUE"""),20.0)</f>
        <v>20</v>
      </c>
      <c r="U9" s="311">
        <f>IFERROR(__xludf.DUMMYFUNCTION("""COMPUTED_VALUE"""),0.0)</f>
        <v>0</v>
      </c>
      <c r="V9" s="311">
        <f>IFERROR(__xludf.DUMMYFUNCTION("""COMPUTED_VALUE"""),0.0)</f>
        <v>0</v>
      </c>
      <c r="W9" s="311">
        <f>IFERROR(__xludf.DUMMYFUNCTION("""COMPUTED_VALUE"""),0.0)</f>
        <v>0</v>
      </c>
      <c r="X9" s="311">
        <f>IFERROR(__xludf.DUMMYFUNCTION("""COMPUTED_VALUE"""),0.0)</f>
        <v>0</v>
      </c>
      <c r="Y9" s="311">
        <f>IFERROR(__xludf.DUMMYFUNCTION("""COMPUTED_VALUE"""),0.0)</f>
        <v>0</v>
      </c>
      <c r="Z9" s="311">
        <f>IFERROR(__xludf.DUMMYFUNCTION("""COMPUTED_VALUE"""),-20.0)</f>
        <v>-20</v>
      </c>
      <c r="AA9" s="311">
        <f>IFERROR(__xludf.DUMMYFUNCTION("""COMPUTED_VALUE"""),0.0)</f>
        <v>0</v>
      </c>
      <c r="AB9" s="311">
        <f>IFERROR(__xludf.DUMMYFUNCTION("""COMPUTED_VALUE"""),0.0)</f>
        <v>0</v>
      </c>
      <c r="AC9" s="311">
        <f>IFERROR(__xludf.DUMMYFUNCTION("""COMPUTED_VALUE"""),0.0)</f>
        <v>0</v>
      </c>
      <c r="AD9" s="311">
        <f>IFERROR(__xludf.DUMMYFUNCTION("""COMPUTED_VALUE"""),0.0)</f>
        <v>0</v>
      </c>
      <c r="AE9" s="311">
        <f>IFERROR(__xludf.DUMMYFUNCTION("""COMPUTED_VALUE"""),0.0)</f>
        <v>0</v>
      </c>
      <c r="AF9" s="311" t="str">
        <f>IFERROR(__xludf.DUMMYFUNCTION("""COMPUTED_VALUE"""),"-22.8304095,-43.32879")</f>
        <v>-22.8304095,-43.32879</v>
      </c>
      <c r="AG9" s="311">
        <f>IFERROR(__xludf.DUMMYFUNCTION("""COMPUTED_VALUE"""),0.0)</f>
        <v>0</v>
      </c>
      <c r="AH9" s="311">
        <f>IFERROR(__xludf.DUMMYFUNCTION("""COMPUTED_VALUE"""),0.0)</f>
        <v>0</v>
      </c>
      <c r="AI9" s="311">
        <f>IFERROR(__xludf.DUMMYFUNCTION("""COMPUTED_VALUE"""),0.0)</f>
        <v>0</v>
      </c>
      <c r="AJ9" s="311">
        <f>IFERROR(__xludf.DUMMYFUNCTION("ROWS(QUERY(Entregas_BD!D:AM,""select D where D ='""&amp;D9&amp;""'"",1))-1"),1.0)</f>
        <v>1</v>
      </c>
    </row>
    <row r="10" ht="22.5" customHeight="1">
      <c r="A10" s="310" t="str">
        <f>IFERROR(__xludf.DUMMYFUNCTION("""COMPUTED_VALUE"""),"")</f>
        <v/>
      </c>
      <c r="B10" s="310" t="str">
        <f>IFERROR(__xludf.DUMMYFUNCTION("""COMPUTED_VALUE"""),"")</f>
        <v/>
      </c>
      <c r="C10" s="310">
        <f>IFERROR(__xludf.DUMMYFUNCTION("""COMPUTED_VALUE"""),24.0)</f>
        <v>24</v>
      </c>
      <c r="D10" s="310" t="str">
        <f>IFERROR(__xludf.DUMMYFUNCTION("""COMPUTED_VALUE"""),"CMS Cecília Donnangelo")</f>
        <v>CMS Cecília Donnangelo</v>
      </c>
      <c r="E10" s="310" t="str">
        <f>IFERROR(__xludf.DUMMYFUNCTION("""COMPUTED_VALUE"""),"ZONA OESTE")</f>
        <v>ZONA OESTE</v>
      </c>
      <c r="F10" s="310" t="str">
        <f>IFERROR(__xludf.DUMMYFUNCTION("""COMPUTED_VALUE"""),"Rio de Janeiro")</f>
        <v>Rio de Janeiro</v>
      </c>
      <c r="G10" s="310" t="str">
        <f>IFERROR(__xludf.DUMMYFUNCTION("""COMPUTED_VALUE"""),"Vargem grande")</f>
        <v>Vargem grande</v>
      </c>
      <c r="H10" s="310" t="str">
        <f>IFERROR(__xludf.DUMMYFUNCTION("""COMPUTED_VALUE"""),"Unidade básica - BAIXA COMPLEXIDADE")</f>
        <v>Unidade básica - BAIXA COMPLEXIDADE</v>
      </c>
      <c r="I10" s="310" t="str">
        <f>IFERROR(__xludf.DUMMYFUNCTION("""COMPUTED_VALUE"""),"Público")</f>
        <v>Público</v>
      </c>
      <c r="J10" s="310" t="str">
        <f>IFERROR(__xludf.DUMMYFUNCTION("""COMPUTED_VALUE"""),"")</f>
        <v/>
      </c>
      <c r="K10" s="310" t="str">
        <f>IFERROR(__xludf.DUMMYFUNCTION("""COMPUTED_VALUE"""),"")</f>
        <v/>
      </c>
      <c r="L10" s="310" t="str">
        <f>IFERROR(__xludf.DUMMYFUNCTION("""COMPUTED_VALUE"""),"")</f>
        <v/>
      </c>
      <c r="M10" s="310" t="str">
        <f>IFERROR(__xludf.DUMMYFUNCTION("""COMPUTED_VALUE"""),"")</f>
        <v/>
      </c>
      <c r="N10" s="310">
        <f>IFERROR(__xludf.DUMMYFUNCTION("""COMPUTED_VALUE"""),0.0)</f>
        <v>0</v>
      </c>
      <c r="O10" s="310">
        <f>IFERROR(__xludf.DUMMYFUNCTION("""COMPUTED_VALUE"""),0.0)</f>
        <v>0</v>
      </c>
      <c r="P10" s="310">
        <f>IFERROR(__xludf.DUMMYFUNCTION("""COMPUTED_VALUE"""),0.0)</f>
        <v>0</v>
      </c>
      <c r="Q10" s="310">
        <f>IFERROR(__xludf.DUMMYFUNCTION("""COMPUTED_VALUE"""),0.0)</f>
        <v>0</v>
      </c>
      <c r="R10" s="310">
        <f>IFERROR(__xludf.DUMMYFUNCTION("""COMPUTED_VALUE"""),0.0)</f>
        <v>0</v>
      </c>
      <c r="S10" s="310">
        <f>IFERROR(__xludf.DUMMYFUNCTION("""COMPUTED_VALUE"""),0.0)</f>
        <v>0</v>
      </c>
      <c r="T10" s="310">
        <f>IFERROR(__xludf.DUMMYFUNCTION("""COMPUTED_VALUE"""),20.0)</f>
        <v>20</v>
      </c>
      <c r="U10" s="310">
        <f>IFERROR(__xludf.DUMMYFUNCTION("""COMPUTED_VALUE"""),0.0)</f>
        <v>0</v>
      </c>
      <c r="V10" s="310">
        <f>IFERROR(__xludf.DUMMYFUNCTION("""COMPUTED_VALUE"""),0.0)</f>
        <v>0</v>
      </c>
      <c r="W10" s="310">
        <f>IFERROR(__xludf.DUMMYFUNCTION("""COMPUTED_VALUE"""),0.0)</f>
        <v>0</v>
      </c>
      <c r="X10" s="310">
        <f>IFERROR(__xludf.DUMMYFUNCTION("""COMPUTED_VALUE"""),0.0)</f>
        <v>0</v>
      </c>
      <c r="Y10" s="310">
        <f>IFERROR(__xludf.DUMMYFUNCTION("""COMPUTED_VALUE"""),0.0)</f>
        <v>0</v>
      </c>
      <c r="Z10" s="310">
        <f>IFERROR(__xludf.DUMMYFUNCTION("""COMPUTED_VALUE"""),-20.0)</f>
        <v>-20</v>
      </c>
      <c r="AA10" s="310">
        <f>IFERROR(__xludf.DUMMYFUNCTION("""COMPUTED_VALUE"""),0.0)</f>
        <v>0</v>
      </c>
      <c r="AB10" s="310">
        <f>IFERROR(__xludf.DUMMYFUNCTION("""COMPUTED_VALUE"""),0.0)</f>
        <v>0</v>
      </c>
      <c r="AC10" s="310">
        <f>IFERROR(__xludf.DUMMYFUNCTION("""COMPUTED_VALUE"""),0.0)</f>
        <v>0</v>
      </c>
      <c r="AD10" s="310">
        <f>IFERROR(__xludf.DUMMYFUNCTION("""COMPUTED_VALUE"""),0.0)</f>
        <v>0</v>
      </c>
      <c r="AE10" s="310">
        <f>IFERROR(__xludf.DUMMYFUNCTION("""COMPUTED_VALUE"""),0.0)</f>
        <v>0</v>
      </c>
      <c r="AF10" s="310" t="str">
        <f>IFERROR(__xludf.DUMMYFUNCTION("""COMPUTED_VALUE"""),"-22.986818,-43.477035")</f>
        <v>-22.986818,-43.477035</v>
      </c>
      <c r="AG10" s="310">
        <f>IFERROR(__xludf.DUMMYFUNCTION("""COMPUTED_VALUE"""),0.0)</f>
        <v>0</v>
      </c>
      <c r="AH10" s="310">
        <f>IFERROR(__xludf.DUMMYFUNCTION("""COMPUTED_VALUE"""),0.0)</f>
        <v>0</v>
      </c>
      <c r="AI10" s="310">
        <f>IFERROR(__xludf.DUMMYFUNCTION("""COMPUTED_VALUE"""),0.0)</f>
        <v>0</v>
      </c>
      <c r="AJ10" s="310">
        <f>IFERROR(__xludf.DUMMYFUNCTION("ROWS(QUERY(Entregas_BD!D:AM,""select D where D ='""&amp;D10&amp;""'"",1))-1"),1.0)</f>
        <v>1</v>
      </c>
    </row>
    <row r="11" ht="22.5" customHeight="1">
      <c r="A11" s="311" t="str">
        <f>IFERROR(__xludf.DUMMYFUNCTION("""COMPUTED_VALUE"""),"")</f>
        <v/>
      </c>
      <c r="B11" s="311" t="str">
        <f>IFERROR(__xludf.DUMMYFUNCTION("""COMPUTED_VALUE"""),"")</f>
        <v/>
      </c>
      <c r="C11" s="311">
        <f>IFERROR(__xludf.DUMMYFUNCTION("""COMPUTED_VALUE"""),25.0)</f>
        <v>25</v>
      </c>
      <c r="D11" s="311" t="str">
        <f>IFERROR(__xludf.DUMMYFUNCTION("""COMPUTED_VALUE"""),"CMS Harvey Ribeiro de Souza Filho")</f>
        <v>CMS Harvey Ribeiro de Souza Filho</v>
      </c>
      <c r="E11" s="311" t="str">
        <f>IFERROR(__xludf.DUMMYFUNCTION("""COMPUTED_VALUE"""),"ZONA OESTE")</f>
        <v>ZONA OESTE</v>
      </c>
      <c r="F11" s="311" t="str">
        <f>IFERROR(__xludf.DUMMYFUNCTION("""COMPUTED_VALUE"""),"Rio de Janeiro")</f>
        <v>Rio de Janeiro</v>
      </c>
      <c r="G11" s="311" t="str">
        <f>IFERROR(__xludf.DUMMYFUNCTION("""COMPUTED_VALUE"""),"Recreio dos Bandeirantes")</f>
        <v>Recreio dos Bandeirantes</v>
      </c>
      <c r="H11" s="311" t="str">
        <f>IFERROR(__xludf.DUMMYFUNCTION("""COMPUTED_VALUE"""),"Grande emergência - MÉDIA COMPLEXIDADE")</f>
        <v>Grande emergência - MÉDIA COMPLEXIDADE</v>
      </c>
      <c r="I11" s="311" t="str">
        <f>IFERROR(__xludf.DUMMYFUNCTION("""COMPUTED_VALUE"""),"Público")</f>
        <v>Público</v>
      </c>
      <c r="J11" s="311" t="str">
        <f>IFERROR(__xludf.DUMMYFUNCTION("""COMPUTED_VALUE"""),"")</f>
        <v/>
      </c>
      <c r="K11" s="311" t="str">
        <f>IFERROR(__xludf.DUMMYFUNCTION("""COMPUTED_VALUE"""),"")</f>
        <v/>
      </c>
      <c r="L11" s="311" t="str">
        <f>IFERROR(__xludf.DUMMYFUNCTION("""COMPUTED_VALUE"""),"")</f>
        <v/>
      </c>
      <c r="M11" s="311" t="str">
        <f>IFERROR(__xludf.DUMMYFUNCTION("""COMPUTED_VALUE"""),"")</f>
        <v/>
      </c>
      <c r="N11" s="311">
        <f>IFERROR(__xludf.DUMMYFUNCTION("""COMPUTED_VALUE"""),0.0)</f>
        <v>0</v>
      </c>
      <c r="O11" s="311">
        <f>IFERROR(__xludf.DUMMYFUNCTION("""COMPUTED_VALUE"""),0.0)</f>
        <v>0</v>
      </c>
      <c r="P11" s="311">
        <f>IFERROR(__xludf.DUMMYFUNCTION("""COMPUTED_VALUE"""),0.0)</f>
        <v>0</v>
      </c>
      <c r="Q11" s="311">
        <f>IFERROR(__xludf.DUMMYFUNCTION("""COMPUTED_VALUE"""),0.0)</f>
        <v>0</v>
      </c>
      <c r="R11" s="311">
        <f>IFERROR(__xludf.DUMMYFUNCTION("""COMPUTED_VALUE"""),0.0)</f>
        <v>0</v>
      </c>
      <c r="S11" s="311">
        <f>IFERROR(__xludf.DUMMYFUNCTION("""COMPUTED_VALUE"""),0.0)</f>
        <v>0</v>
      </c>
      <c r="T11" s="311">
        <f>IFERROR(__xludf.DUMMYFUNCTION("""COMPUTED_VALUE"""),25.0)</f>
        <v>25</v>
      </c>
      <c r="U11" s="311">
        <f>IFERROR(__xludf.DUMMYFUNCTION("""COMPUTED_VALUE"""),0.0)</f>
        <v>0</v>
      </c>
      <c r="V11" s="311">
        <f>IFERROR(__xludf.DUMMYFUNCTION("""COMPUTED_VALUE"""),0.0)</f>
        <v>0</v>
      </c>
      <c r="W11" s="311">
        <f>IFERROR(__xludf.DUMMYFUNCTION("""COMPUTED_VALUE"""),0.0)</f>
        <v>0</v>
      </c>
      <c r="X11" s="311">
        <f>IFERROR(__xludf.DUMMYFUNCTION("""COMPUTED_VALUE"""),0.0)</f>
        <v>0</v>
      </c>
      <c r="Y11" s="311">
        <f>IFERROR(__xludf.DUMMYFUNCTION("""COMPUTED_VALUE"""),0.0)</f>
        <v>0</v>
      </c>
      <c r="Z11" s="311">
        <f>IFERROR(__xludf.DUMMYFUNCTION("""COMPUTED_VALUE"""),-25.0)</f>
        <v>-25</v>
      </c>
      <c r="AA11" s="311">
        <f>IFERROR(__xludf.DUMMYFUNCTION("""COMPUTED_VALUE"""),0.0)</f>
        <v>0</v>
      </c>
      <c r="AB11" s="311">
        <f>IFERROR(__xludf.DUMMYFUNCTION("""COMPUTED_VALUE"""),0.0)</f>
        <v>0</v>
      </c>
      <c r="AC11" s="311">
        <f>IFERROR(__xludf.DUMMYFUNCTION("""COMPUTED_VALUE"""),0.0)</f>
        <v>0</v>
      </c>
      <c r="AD11" s="311">
        <f>IFERROR(__xludf.DUMMYFUNCTION("""COMPUTED_VALUE"""),0.0)</f>
        <v>0</v>
      </c>
      <c r="AE11" s="311">
        <f>IFERROR(__xludf.DUMMYFUNCTION("""COMPUTED_VALUE"""),0.0)</f>
        <v>0</v>
      </c>
      <c r="AF11" s="311" t="str">
        <f>IFERROR(__xludf.DUMMYFUNCTION("""COMPUTED_VALUE"""),"-23.0201619,-43.4826765")</f>
        <v>-23.0201619,-43.4826765</v>
      </c>
      <c r="AG11" s="311">
        <f>IFERROR(__xludf.DUMMYFUNCTION("""COMPUTED_VALUE"""),0.0)</f>
        <v>0</v>
      </c>
      <c r="AH11" s="311">
        <f>IFERROR(__xludf.DUMMYFUNCTION("""COMPUTED_VALUE"""),0.0)</f>
        <v>0</v>
      </c>
      <c r="AI11" s="311">
        <f>IFERROR(__xludf.DUMMYFUNCTION("""COMPUTED_VALUE"""),0.0)</f>
        <v>0</v>
      </c>
      <c r="AJ11" s="311">
        <f>IFERROR(__xludf.DUMMYFUNCTION("ROWS(QUERY(Entregas_BD!D:AM,""select D where D ='""&amp;D11&amp;""'"",1))-1"),1.0)</f>
        <v>1</v>
      </c>
    </row>
    <row r="12" ht="22.5" customHeight="1">
      <c r="A12" s="310" t="str">
        <f>IFERROR(__xludf.DUMMYFUNCTION("""COMPUTED_VALUE"""),"")</f>
        <v/>
      </c>
      <c r="B12" s="310" t="str">
        <f>IFERROR(__xludf.DUMMYFUNCTION("""COMPUTED_VALUE"""),"")</f>
        <v/>
      </c>
      <c r="C12" s="310">
        <f>IFERROR(__xludf.DUMMYFUNCTION("""COMPUTED_VALUE"""),26.0)</f>
        <v>26</v>
      </c>
      <c r="D12" s="310" t="str">
        <f>IFERROR(__xludf.DUMMYFUNCTION("""COMPUTED_VALUE"""),"CMS Jose Breves dos Santos")</f>
        <v>CMS Jose Breves dos Santos</v>
      </c>
      <c r="E12" s="310" t="str">
        <f>IFERROR(__xludf.DUMMYFUNCTION("""COMPUTED_VALUE"""),"ZONA NORTE")</f>
        <v>ZONA NORTE</v>
      </c>
      <c r="F12" s="310" t="str">
        <f>IFERROR(__xludf.DUMMYFUNCTION("""COMPUTED_VALUE"""),"Rio de Janeiro")</f>
        <v>Rio de Janeiro</v>
      </c>
      <c r="G12" s="310" t="str">
        <f>IFERROR(__xludf.DUMMYFUNCTION("""COMPUTED_VALUE"""),"Cordovil")</f>
        <v>Cordovil</v>
      </c>
      <c r="H12" s="310" t="str">
        <f>IFERROR(__xludf.DUMMYFUNCTION("""COMPUTED_VALUE"""),"Unidade básica - BAIXA COMPLEXIDADE")</f>
        <v>Unidade básica - BAIXA COMPLEXIDADE</v>
      </c>
      <c r="I12" s="310" t="str">
        <f>IFERROR(__xludf.DUMMYFUNCTION("""COMPUTED_VALUE"""),"Público")</f>
        <v>Público</v>
      </c>
      <c r="J12" s="310" t="str">
        <f>IFERROR(__xludf.DUMMYFUNCTION("""COMPUTED_VALUE"""),"")</f>
        <v/>
      </c>
      <c r="K12" s="310" t="str">
        <f>IFERROR(__xludf.DUMMYFUNCTION("""COMPUTED_VALUE"""),"")</f>
        <v/>
      </c>
      <c r="L12" s="310" t="str">
        <f>IFERROR(__xludf.DUMMYFUNCTION("""COMPUTED_VALUE"""),"")</f>
        <v/>
      </c>
      <c r="M12" s="310" t="str">
        <f>IFERROR(__xludf.DUMMYFUNCTION("""COMPUTED_VALUE"""),"")</f>
        <v/>
      </c>
      <c r="N12" s="310">
        <f>IFERROR(__xludf.DUMMYFUNCTION("""COMPUTED_VALUE"""),0.0)</f>
        <v>0</v>
      </c>
      <c r="O12" s="310">
        <f>IFERROR(__xludf.DUMMYFUNCTION("""COMPUTED_VALUE"""),0.0)</f>
        <v>0</v>
      </c>
      <c r="P12" s="310">
        <f>IFERROR(__xludf.DUMMYFUNCTION("""COMPUTED_VALUE"""),0.0)</f>
        <v>0</v>
      </c>
      <c r="Q12" s="310">
        <f>IFERROR(__xludf.DUMMYFUNCTION("""COMPUTED_VALUE"""),0.0)</f>
        <v>0</v>
      </c>
      <c r="R12" s="310">
        <f>IFERROR(__xludf.DUMMYFUNCTION("""COMPUTED_VALUE"""),0.0)</f>
        <v>0</v>
      </c>
      <c r="S12" s="310">
        <f>IFERROR(__xludf.DUMMYFUNCTION("""COMPUTED_VALUE"""),0.0)</f>
        <v>0</v>
      </c>
      <c r="T12" s="310">
        <f>IFERROR(__xludf.DUMMYFUNCTION("""COMPUTED_VALUE"""),20.0)</f>
        <v>20</v>
      </c>
      <c r="U12" s="310">
        <f>IFERROR(__xludf.DUMMYFUNCTION("""COMPUTED_VALUE"""),0.0)</f>
        <v>0</v>
      </c>
      <c r="V12" s="310">
        <f>IFERROR(__xludf.DUMMYFUNCTION("""COMPUTED_VALUE"""),0.0)</f>
        <v>0</v>
      </c>
      <c r="W12" s="310">
        <f>IFERROR(__xludf.DUMMYFUNCTION("""COMPUTED_VALUE"""),0.0)</f>
        <v>0</v>
      </c>
      <c r="X12" s="310">
        <f>IFERROR(__xludf.DUMMYFUNCTION("""COMPUTED_VALUE"""),0.0)</f>
        <v>0</v>
      </c>
      <c r="Y12" s="310">
        <f>IFERROR(__xludf.DUMMYFUNCTION("""COMPUTED_VALUE"""),0.0)</f>
        <v>0</v>
      </c>
      <c r="Z12" s="310">
        <f>IFERROR(__xludf.DUMMYFUNCTION("""COMPUTED_VALUE"""),-20.0)</f>
        <v>-20</v>
      </c>
      <c r="AA12" s="310">
        <f>IFERROR(__xludf.DUMMYFUNCTION("""COMPUTED_VALUE"""),0.0)</f>
        <v>0</v>
      </c>
      <c r="AB12" s="310">
        <f>IFERROR(__xludf.DUMMYFUNCTION("""COMPUTED_VALUE"""),0.0)</f>
        <v>0</v>
      </c>
      <c r="AC12" s="310">
        <f>IFERROR(__xludf.DUMMYFUNCTION("""COMPUTED_VALUE"""),0.0)</f>
        <v>0</v>
      </c>
      <c r="AD12" s="310">
        <f>IFERROR(__xludf.DUMMYFUNCTION("""COMPUTED_VALUE"""),0.0)</f>
        <v>0</v>
      </c>
      <c r="AE12" s="310">
        <f>IFERROR(__xludf.DUMMYFUNCTION("""COMPUTED_VALUE"""),0.0)</f>
        <v>0</v>
      </c>
      <c r="AF12" s="310" t="str">
        <f>IFERROR(__xludf.DUMMYFUNCTION("""COMPUTED_VALUE"""),"-22.8170123,-43.2895397")</f>
        <v>-22.8170123,-43.2895397</v>
      </c>
      <c r="AG12" s="310">
        <f>IFERROR(__xludf.DUMMYFUNCTION("""COMPUTED_VALUE"""),0.0)</f>
        <v>0</v>
      </c>
      <c r="AH12" s="310">
        <f>IFERROR(__xludf.DUMMYFUNCTION("""COMPUTED_VALUE"""),0.0)</f>
        <v>0</v>
      </c>
      <c r="AI12" s="310">
        <f>IFERROR(__xludf.DUMMYFUNCTION("""COMPUTED_VALUE"""),0.0)</f>
        <v>0</v>
      </c>
      <c r="AJ12" s="310">
        <f>IFERROR(__xludf.DUMMYFUNCTION("ROWS(QUERY(Entregas_BD!D:AM,""select D where D ='""&amp;D12&amp;""'"",1))-1"),1.0)</f>
        <v>1</v>
      </c>
    </row>
    <row r="13" ht="22.5" customHeight="1">
      <c r="A13" s="311" t="str">
        <f>IFERROR(__xludf.DUMMYFUNCTION("""COMPUTED_VALUE"""),"")</f>
        <v/>
      </c>
      <c r="B13" s="311" t="str">
        <f>IFERROR(__xludf.DUMMYFUNCTION("""COMPUTED_VALUE"""),"")</f>
        <v/>
      </c>
      <c r="C13" s="311">
        <f>IFERROR(__xludf.DUMMYFUNCTION("""COMPUTED_VALUE"""),27.0)</f>
        <v>27</v>
      </c>
      <c r="D13" s="311" t="str">
        <f>IFERROR(__xludf.DUMMYFUNCTION("""COMPUTED_VALUE"""),"CMS Manoel José Ferreira")</f>
        <v>CMS Manoel José Ferreira</v>
      </c>
      <c r="E13" s="311" t="str">
        <f>IFERROR(__xludf.DUMMYFUNCTION("""COMPUTED_VALUE"""),"ZONA SUL")</f>
        <v>ZONA SUL</v>
      </c>
      <c r="F13" s="311" t="str">
        <f>IFERROR(__xludf.DUMMYFUNCTION("""COMPUTED_VALUE"""),"Rio de Janeiro")</f>
        <v>Rio de Janeiro</v>
      </c>
      <c r="G13" s="311" t="str">
        <f>IFERROR(__xludf.DUMMYFUNCTION("""COMPUTED_VALUE"""),"Catete")</f>
        <v>Catete</v>
      </c>
      <c r="H13" s="311" t="str">
        <f>IFERROR(__xludf.DUMMYFUNCTION("""COMPUTED_VALUE"""),"Unidade básica - BAIXA COMPLEXIDADE")</f>
        <v>Unidade básica - BAIXA COMPLEXIDADE</v>
      </c>
      <c r="I13" s="311" t="str">
        <f>IFERROR(__xludf.DUMMYFUNCTION("""COMPUTED_VALUE"""),"Público")</f>
        <v>Público</v>
      </c>
      <c r="J13" s="311" t="str">
        <f>IFERROR(__xludf.DUMMYFUNCTION("""COMPUTED_VALUE"""),"")</f>
        <v/>
      </c>
      <c r="K13" s="311" t="str">
        <f>IFERROR(__xludf.DUMMYFUNCTION("""COMPUTED_VALUE"""),"")</f>
        <v/>
      </c>
      <c r="L13" s="311" t="str">
        <f>IFERROR(__xludf.DUMMYFUNCTION("""COMPUTED_VALUE"""),"")</f>
        <v/>
      </c>
      <c r="M13" s="311" t="str">
        <f>IFERROR(__xludf.DUMMYFUNCTION("""COMPUTED_VALUE"""),"")</f>
        <v/>
      </c>
      <c r="N13" s="311">
        <f>IFERROR(__xludf.DUMMYFUNCTION("""COMPUTED_VALUE"""),0.0)</f>
        <v>0</v>
      </c>
      <c r="O13" s="311">
        <f>IFERROR(__xludf.DUMMYFUNCTION("""COMPUTED_VALUE"""),0.0)</f>
        <v>0</v>
      </c>
      <c r="P13" s="311">
        <f>IFERROR(__xludf.DUMMYFUNCTION("""COMPUTED_VALUE"""),0.0)</f>
        <v>0</v>
      </c>
      <c r="Q13" s="311">
        <f>IFERROR(__xludf.DUMMYFUNCTION("""COMPUTED_VALUE"""),0.0)</f>
        <v>0</v>
      </c>
      <c r="R13" s="311">
        <f>IFERROR(__xludf.DUMMYFUNCTION("""COMPUTED_VALUE"""),0.0)</f>
        <v>0</v>
      </c>
      <c r="S13" s="311">
        <f>IFERROR(__xludf.DUMMYFUNCTION("""COMPUTED_VALUE"""),0.0)</f>
        <v>0</v>
      </c>
      <c r="T13" s="311">
        <f>IFERROR(__xludf.DUMMYFUNCTION("""COMPUTED_VALUE"""),20.0)</f>
        <v>20</v>
      </c>
      <c r="U13" s="311">
        <f>IFERROR(__xludf.DUMMYFUNCTION("""COMPUTED_VALUE"""),0.0)</f>
        <v>0</v>
      </c>
      <c r="V13" s="311">
        <f>IFERROR(__xludf.DUMMYFUNCTION("""COMPUTED_VALUE"""),0.0)</f>
        <v>0</v>
      </c>
      <c r="W13" s="311">
        <f>IFERROR(__xludf.DUMMYFUNCTION("""COMPUTED_VALUE"""),0.0)</f>
        <v>0</v>
      </c>
      <c r="X13" s="311">
        <f>IFERROR(__xludf.DUMMYFUNCTION("""COMPUTED_VALUE"""),0.0)</f>
        <v>0</v>
      </c>
      <c r="Y13" s="311">
        <f>IFERROR(__xludf.DUMMYFUNCTION("""COMPUTED_VALUE"""),0.0)</f>
        <v>0</v>
      </c>
      <c r="Z13" s="311">
        <f>IFERROR(__xludf.DUMMYFUNCTION("""COMPUTED_VALUE"""),-20.0)</f>
        <v>-20</v>
      </c>
      <c r="AA13" s="311">
        <f>IFERROR(__xludf.DUMMYFUNCTION("""COMPUTED_VALUE"""),0.0)</f>
        <v>0</v>
      </c>
      <c r="AB13" s="311">
        <f>IFERROR(__xludf.DUMMYFUNCTION("""COMPUTED_VALUE"""),0.0)</f>
        <v>0</v>
      </c>
      <c r="AC13" s="311">
        <f>IFERROR(__xludf.DUMMYFUNCTION("""COMPUTED_VALUE"""),0.0)</f>
        <v>0</v>
      </c>
      <c r="AD13" s="311">
        <f>IFERROR(__xludf.DUMMYFUNCTION("""COMPUTED_VALUE"""),0.0)</f>
        <v>0</v>
      </c>
      <c r="AE13" s="311">
        <f>IFERROR(__xludf.DUMMYFUNCTION("""COMPUTED_VALUE"""),0.0)</f>
        <v>0</v>
      </c>
      <c r="AF13" s="311" t="str">
        <f>IFERROR(__xludf.DUMMYFUNCTION("""COMPUTED_VALUE"""),"-22.9260359,-43.1786045")</f>
        <v>-22.9260359,-43.1786045</v>
      </c>
      <c r="AG13" s="311">
        <f>IFERROR(__xludf.DUMMYFUNCTION("""COMPUTED_VALUE"""),0.0)</f>
        <v>0</v>
      </c>
      <c r="AH13" s="311">
        <f>IFERROR(__xludf.DUMMYFUNCTION("""COMPUTED_VALUE"""),0.0)</f>
        <v>0</v>
      </c>
      <c r="AI13" s="311">
        <f>IFERROR(__xludf.DUMMYFUNCTION("""COMPUTED_VALUE"""),0.0)</f>
        <v>0</v>
      </c>
      <c r="AJ13" s="311">
        <f>IFERROR(__xludf.DUMMYFUNCTION("ROWS(QUERY(Entregas_BD!D:AM,""select D where D ='""&amp;D13&amp;""'"",1))-1"),1.0)</f>
        <v>1</v>
      </c>
    </row>
    <row r="14" ht="22.5" customHeight="1">
      <c r="A14" s="310" t="str">
        <f>IFERROR(__xludf.DUMMYFUNCTION("""COMPUTED_VALUE"""),"")</f>
        <v/>
      </c>
      <c r="B14" s="310" t="str">
        <f>IFERROR(__xludf.DUMMYFUNCTION("""COMPUTED_VALUE"""),"")</f>
        <v/>
      </c>
      <c r="C14" s="310">
        <f>IFERROR(__xludf.DUMMYFUNCTION("""COMPUTED_VALUE"""),28.0)</f>
        <v>28</v>
      </c>
      <c r="D14" s="310" t="str">
        <f>IFERROR(__xludf.DUMMYFUNCTION("""COMPUTED_VALUE"""),"CMS Padre Miguel ")</f>
        <v>CMS Padre Miguel </v>
      </c>
      <c r="E14" s="310" t="str">
        <f>IFERROR(__xludf.DUMMYFUNCTION("""COMPUTED_VALUE"""),"ZONA OESTE")</f>
        <v>ZONA OESTE</v>
      </c>
      <c r="F14" s="310" t="str">
        <f>IFERROR(__xludf.DUMMYFUNCTION("""COMPUTED_VALUE"""),"Rio de Janeiro")</f>
        <v>Rio de Janeiro</v>
      </c>
      <c r="G14" s="310" t="str">
        <f>IFERROR(__xludf.DUMMYFUNCTION("""COMPUTED_VALUE"""),"Padre Miguel")</f>
        <v>Padre Miguel</v>
      </c>
      <c r="H14" s="310" t="str">
        <f>IFERROR(__xludf.DUMMYFUNCTION("""COMPUTED_VALUE"""),"Unidade básica - BAIXA COMPLEXIDADE")</f>
        <v>Unidade básica - BAIXA COMPLEXIDADE</v>
      </c>
      <c r="I14" s="310" t="str">
        <f>IFERROR(__xludf.DUMMYFUNCTION("""COMPUTED_VALUE"""),"Público")</f>
        <v>Público</v>
      </c>
      <c r="J14" s="310" t="str">
        <f>IFERROR(__xludf.DUMMYFUNCTION("""COMPUTED_VALUE"""),"")</f>
        <v/>
      </c>
      <c r="K14" s="310" t="str">
        <f>IFERROR(__xludf.DUMMYFUNCTION("""COMPUTED_VALUE"""),"")</f>
        <v/>
      </c>
      <c r="L14" s="310" t="str">
        <f>IFERROR(__xludf.DUMMYFUNCTION("""COMPUTED_VALUE"""),"")</f>
        <v/>
      </c>
      <c r="M14" s="310" t="str">
        <f>IFERROR(__xludf.DUMMYFUNCTION("""COMPUTED_VALUE"""),"")</f>
        <v/>
      </c>
      <c r="N14" s="310">
        <f>IFERROR(__xludf.DUMMYFUNCTION("""COMPUTED_VALUE"""),0.0)</f>
        <v>0</v>
      </c>
      <c r="O14" s="310">
        <f>IFERROR(__xludf.DUMMYFUNCTION("""COMPUTED_VALUE"""),0.0)</f>
        <v>0</v>
      </c>
      <c r="P14" s="310">
        <f>IFERROR(__xludf.DUMMYFUNCTION("""COMPUTED_VALUE"""),0.0)</f>
        <v>0</v>
      </c>
      <c r="Q14" s="310">
        <f>IFERROR(__xludf.DUMMYFUNCTION("""COMPUTED_VALUE"""),0.0)</f>
        <v>0</v>
      </c>
      <c r="R14" s="310">
        <f>IFERROR(__xludf.DUMMYFUNCTION("""COMPUTED_VALUE"""),0.0)</f>
        <v>0</v>
      </c>
      <c r="S14" s="310">
        <f>IFERROR(__xludf.DUMMYFUNCTION("""COMPUTED_VALUE"""),0.0)</f>
        <v>0</v>
      </c>
      <c r="T14" s="310">
        <f>IFERROR(__xludf.DUMMYFUNCTION("""COMPUTED_VALUE"""),20.0)</f>
        <v>20</v>
      </c>
      <c r="U14" s="310">
        <f>IFERROR(__xludf.DUMMYFUNCTION("""COMPUTED_VALUE"""),0.0)</f>
        <v>0</v>
      </c>
      <c r="V14" s="310">
        <f>IFERROR(__xludf.DUMMYFUNCTION("""COMPUTED_VALUE"""),0.0)</f>
        <v>0</v>
      </c>
      <c r="W14" s="310">
        <f>IFERROR(__xludf.DUMMYFUNCTION("""COMPUTED_VALUE"""),0.0)</f>
        <v>0</v>
      </c>
      <c r="X14" s="310">
        <f>IFERROR(__xludf.DUMMYFUNCTION("""COMPUTED_VALUE"""),0.0)</f>
        <v>0</v>
      </c>
      <c r="Y14" s="310">
        <f>IFERROR(__xludf.DUMMYFUNCTION("""COMPUTED_VALUE"""),0.0)</f>
        <v>0</v>
      </c>
      <c r="Z14" s="310">
        <f>IFERROR(__xludf.DUMMYFUNCTION("""COMPUTED_VALUE"""),-20.0)</f>
        <v>-20</v>
      </c>
      <c r="AA14" s="310">
        <f>IFERROR(__xludf.DUMMYFUNCTION("""COMPUTED_VALUE"""),0.0)</f>
        <v>0</v>
      </c>
      <c r="AB14" s="310">
        <f>IFERROR(__xludf.DUMMYFUNCTION("""COMPUTED_VALUE"""),0.0)</f>
        <v>0</v>
      </c>
      <c r="AC14" s="310">
        <f>IFERROR(__xludf.DUMMYFUNCTION("""COMPUTED_VALUE"""),0.0)</f>
        <v>0</v>
      </c>
      <c r="AD14" s="310">
        <f>IFERROR(__xludf.DUMMYFUNCTION("""COMPUTED_VALUE"""),0.0)</f>
        <v>0</v>
      </c>
      <c r="AE14" s="310">
        <f>IFERROR(__xludf.DUMMYFUNCTION("""COMPUTED_VALUE"""),0.0)</f>
        <v>0</v>
      </c>
      <c r="AF14" s="310" t="str">
        <f>IFERROR(__xludf.DUMMYFUNCTION("""COMPUTED_VALUE"""),"-22.8729377,-43.4486948")</f>
        <v>-22.8729377,-43.4486948</v>
      </c>
      <c r="AG14" s="310">
        <f>IFERROR(__xludf.DUMMYFUNCTION("""COMPUTED_VALUE"""),0.0)</f>
        <v>0</v>
      </c>
      <c r="AH14" s="310">
        <f>IFERROR(__xludf.DUMMYFUNCTION("""COMPUTED_VALUE"""),0.0)</f>
        <v>0</v>
      </c>
      <c r="AI14" s="310">
        <f>IFERROR(__xludf.DUMMYFUNCTION("""COMPUTED_VALUE"""),0.0)</f>
        <v>0</v>
      </c>
      <c r="AJ14" s="310">
        <f>IFERROR(__xludf.DUMMYFUNCTION("ROWS(QUERY(Entregas_BD!D:AM,""select D where D ='""&amp;D14&amp;""'"",1))-1"),1.0)</f>
        <v>1</v>
      </c>
    </row>
    <row r="15" ht="22.5" customHeight="1">
      <c r="A15" s="311" t="str">
        <f>IFERROR(__xludf.DUMMYFUNCTION("""COMPUTED_VALUE"""),"")</f>
        <v/>
      </c>
      <c r="B15" s="311" t="str">
        <f>IFERROR(__xludf.DUMMYFUNCTION("""COMPUTED_VALUE"""),"")</f>
        <v/>
      </c>
      <c r="C15" s="311">
        <f>IFERROR(__xludf.DUMMYFUNCTION("""COMPUTED_VALUE"""),29.0)</f>
        <v>29</v>
      </c>
      <c r="D15" s="311" t="str">
        <f>IFERROR(__xludf.DUMMYFUNCTION("""COMPUTED_VALUE"""),"CMS PINDARO DE CARVALHO RODRIGUES")</f>
        <v>CMS PINDARO DE CARVALHO RODRIGUES</v>
      </c>
      <c r="E15" s="311" t="str">
        <f>IFERROR(__xludf.DUMMYFUNCTION("""COMPUTED_VALUE"""),"ZONA SUL")</f>
        <v>ZONA SUL</v>
      </c>
      <c r="F15" s="311" t="str">
        <f>IFERROR(__xludf.DUMMYFUNCTION("""COMPUTED_VALUE"""),"Rio de Janeiro")</f>
        <v>Rio de Janeiro</v>
      </c>
      <c r="G15" s="311" t="str">
        <f>IFERROR(__xludf.DUMMYFUNCTION("""COMPUTED_VALUE"""),"GAVEA")</f>
        <v>GAVEA</v>
      </c>
      <c r="H15" s="311" t="str">
        <f>IFERROR(__xludf.DUMMYFUNCTION("""COMPUTED_VALUE"""),"Unidade básica - BAIXA COMPLEXIDADE")</f>
        <v>Unidade básica - BAIXA COMPLEXIDADE</v>
      </c>
      <c r="I15" s="311" t="str">
        <f>IFERROR(__xludf.DUMMYFUNCTION("""COMPUTED_VALUE"""),"Público")</f>
        <v>Público</v>
      </c>
      <c r="J15" s="311" t="str">
        <f>IFERROR(__xludf.DUMMYFUNCTION("""COMPUTED_VALUE"""),"")</f>
        <v/>
      </c>
      <c r="K15" s="311" t="str">
        <f>IFERROR(__xludf.DUMMYFUNCTION("""COMPUTED_VALUE"""),"")</f>
        <v/>
      </c>
      <c r="L15" s="311" t="str">
        <f>IFERROR(__xludf.DUMMYFUNCTION("""COMPUTED_VALUE"""),"")</f>
        <v/>
      </c>
      <c r="M15" s="311" t="str">
        <f>IFERROR(__xludf.DUMMYFUNCTION("""COMPUTED_VALUE"""),"")</f>
        <v/>
      </c>
      <c r="N15" s="311">
        <f>IFERROR(__xludf.DUMMYFUNCTION("""COMPUTED_VALUE"""),0.0)</f>
        <v>0</v>
      </c>
      <c r="O15" s="311">
        <f>IFERROR(__xludf.DUMMYFUNCTION("""COMPUTED_VALUE"""),0.0)</f>
        <v>0</v>
      </c>
      <c r="P15" s="311">
        <f>IFERROR(__xludf.DUMMYFUNCTION("""COMPUTED_VALUE"""),0.0)</f>
        <v>0</v>
      </c>
      <c r="Q15" s="311">
        <f>IFERROR(__xludf.DUMMYFUNCTION("""COMPUTED_VALUE"""),0.0)</f>
        <v>0</v>
      </c>
      <c r="R15" s="311">
        <f>IFERROR(__xludf.DUMMYFUNCTION("""COMPUTED_VALUE"""),0.0)</f>
        <v>0</v>
      </c>
      <c r="S15" s="311">
        <f>IFERROR(__xludf.DUMMYFUNCTION("""COMPUTED_VALUE"""),0.0)</f>
        <v>0</v>
      </c>
      <c r="T15" s="311">
        <f>IFERROR(__xludf.DUMMYFUNCTION("""COMPUTED_VALUE"""),20.0)</f>
        <v>20</v>
      </c>
      <c r="U15" s="311">
        <f>IFERROR(__xludf.DUMMYFUNCTION("""COMPUTED_VALUE"""),0.0)</f>
        <v>0</v>
      </c>
      <c r="V15" s="311">
        <f>IFERROR(__xludf.DUMMYFUNCTION("""COMPUTED_VALUE"""),0.0)</f>
        <v>0</v>
      </c>
      <c r="W15" s="311">
        <f>IFERROR(__xludf.DUMMYFUNCTION("""COMPUTED_VALUE"""),0.0)</f>
        <v>0</v>
      </c>
      <c r="X15" s="311">
        <f>IFERROR(__xludf.DUMMYFUNCTION("""COMPUTED_VALUE"""),0.0)</f>
        <v>0</v>
      </c>
      <c r="Y15" s="311">
        <f>IFERROR(__xludf.DUMMYFUNCTION("""COMPUTED_VALUE"""),0.0)</f>
        <v>0</v>
      </c>
      <c r="Z15" s="311">
        <f>IFERROR(__xludf.DUMMYFUNCTION("""COMPUTED_VALUE"""),-20.0)</f>
        <v>-20</v>
      </c>
      <c r="AA15" s="311">
        <f>IFERROR(__xludf.DUMMYFUNCTION("""COMPUTED_VALUE"""),0.0)</f>
        <v>0</v>
      </c>
      <c r="AB15" s="311">
        <f>IFERROR(__xludf.DUMMYFUNCTION("""COMPUTED_VALUE"""),0.0)</f>
        <v>0</v>
      </c>
      <c r="AC15" s="311">
        <f>IFERROR(__xludf.DUMMYFUNCTION("""COMPUTED_VALUE"""),0.0)</f>
        <v>0</v>
      </c>
      <c r="AD15" s="311">
        <f>IFERROR(__xludf.DUMMYFUNCTION("""COMPUTED_VALUE"""),0.0)</f>
        <v>0</v>
      </c>
      <c r="AE15" s="311">
        <f>IFERROR(__xludf.DUMMYFUNCTION("""COMPUTED_VALUE"""),0.0)</f>
        <v>0</v>
      </c>
      <c r="AF15" s="311" t="str">
        <f>IFERROR(__xludf.DUMMYFUNCTION("""COMPUTED_VALUE"""),"-22.9796829,-43.2295469")</f>
        <v>-22.9796829,-43.2295469</v>
      </c>
      <c r="AG15" s="311">
        <f>IFERROR(__xludf.DUMMYFUNCTION("""COMPUTED_VALUE"""),0.0)</f>
        <v>0</v>
      </c>
      <c r="AH15" s="311">
        <f>IFERROR(__xludf.DUMMYFUNCTION("""COMPUTED_VALUE"""),0.0)</f>
        <v>0</v>
      </c>
      <c r="AI15" s="311">
        <f>IFERROR(__xludf.DUMMYFUNCTION("""COMPUTED_VALUE"""),0.0)</f>
        <v>0</v>
      </c>
      <c r="AJ15" s="311">
        <f>IFERROR(__xludf.DUMMYFUNCTION("ROWS(QUERY(Entregas_BD!D:AM,""select D where D ='""&amp;D15&amp;""'"",1))-1"),1.0)</f>
        <v>1</v>
      </c>
    </row>
    <row r="16" ht="22.5" customHeight="1">
      <c r="A16" s="310" t="str">
        <f>IFERROR(__xludf.DUMMYFUNCTION("""COMPUTED_VALUE"""),"")</f>
        <v/>
      </c>
      <c r="B16" s="310" t="str">
        <f>IFERROR(__xludf.DUMMYFUNCTION("""COMPUTED_VALUE"""),"")</f>
        <v/>
      </c>
      <c r="C16" s="310">
        <f>IFERROR(__xludf.DUMMYFUNCTION("""COMPUTED_VALUE"""),30.0)</f>
        <v>30</v>
      </c>
      <c r="D16" s="310" t="str">
        <f>IFERROR(__xludf.DUMMYFUNCTION("""COMPUTED_VALUE"""),"CMS Salles Netto")</f>
        <v>CMS Salles Netto</v>
      </c>
      <c r="E16" s="310" t="str">
        <f>IFERROR(__xludf.DUMMYFUNCTION("""COMPUTED_VALUE"""),"ZONA NORTE")</f>
        <v>ZONA NORTE</v>
      </c>
      <c r="F16" s="310" t="str">
        <f>IFERROR(__xludf.DUMMYFUNCTION("""COMPUTED_VALUE"""),"Rio de Janeiro")</f>
        <v>Rio de Janeiro</v>
      </c>
      <c r="G16" s="310" t="str">
        <f>IFERROR(__xludf.DUMMYFUNCTION("""COMPUTED_VALUE"""),"Rio Comprido")</f>
        <v>Rio Comprido</v>
      </c>
      <c r="H16" s="310" t="str">
        <f>IFERROR(__xludf.DUMMYFUNCTION("""COMPUTED_VALUE"""),"Unidade básica - BAIXA COMPLEXIDADE")</f>
        <v>Unidade básica - BAIXA COMPLEXIDADE</v>
      </c>
      <c r="I16" s="310" t="str">
        <f>IFERROR(__xludf.DUMMYFUNCTION("""COMPUTED_VALUE"""),"Público")</f>
        <v>Público</v>
      </c>
      <c r="J16" s="310" t="str">
        <f>IFERROR(__xludf.DUMMYFUNCTION("""COMPUTED_VALUE"""),"")</f>
        <v/>
      </c>
      <c r="K16" s="310" t="str">
        <f>IFERROR(__xludf.DUMMYFUNCTION("""COMPUTED_VALUE"""),"")</f>
        <v/>
      </c>
      <c r="L16" s="310" t="str">
        <f>IFERROR(__xludf.DUMMYFUNCTION("""COMPUTED_VALUE"""),"")</f>
        <v/>
      </c>
      <c r="M16" s="310" t="str">
        <f>IFERROR(__xludf.DUMMYFUNCTION("""COMPUTED_VALUE"""),"")</f>
        <v/>
      </c>
      <c r="N16" s="310">
        <f>IFERROR(__xludf.DUMMYFUNCTION("""COMPUTED_VALUE"""),0.0)</f>
        <v>0</v>
      </c>
      <c r="O16" s="310">
        <f>IFERROR(__xludf.DUMMYFUNCTION("""COMPUTED_VALUE"""),0.0)</f>
        <v>0</v>
      </c>
      <c r="P16" s="310">
        <f>IFERROR(__xludf.DUMMYFUNCTION("""COMPUTED_VALUE"""),0.0)</f>
        <v>0</v>
      </c>
      <c r="Q16" s="310">
        <f>IFERROR(__xludf.DUMMYFUNCTION("""COMPUTED_VALUE"""),0.0)</f>
        <v>0</v>
      </c>
      <c r="R16" s="310">
        <f>IFERROR(__xludf.DUMMYFUNCTION("""COMPUTED_VALUE"""),0.0)</f>
        <v>0</v>
      </c>
      <c r="S16" s="310">
        <f>IFERROR(__xludf.DUMMYFUNCTION("""COMPUTED_VALUE"""),0.0)</f>
        <v>0</v>
      </c>
      <c r="T16" s="310">
        <f>IFERROR(__xludf.DUMMYFUNCTION("""COMPUTED_VALUE"""),20.0)</f>
        <v>20</v>
      </c>
      <c r="U16" s="310">
        <f>IFERROR(__xludf.DUMMYFUNCTION("""COMPUTED_VALUE"""),0.0)</f>
        <v>0</v>
      </c>
      <c r="V16" s="310">
        <f>IFERROR(__xludf.DUMMYFUNCTION("""COMPUTED_VALUE"""),0.0)</f>
        <v>0</v>
      </c>
      <c r="W16" s="310">
        <f>IFERROR(__xludf.DUMMYFUNCTION("""COMPUTED_VALUE"""),0.0)</f>
        <v>0</v>
      </c>
      <c r="X16" s="310">
        <f>IFERROR(__xludf.DUMMYFUNCTION("""COMPUTED_VALUE"""),0.0)</f>
        <v>0</v>
      </c>
      <c r="Y16" s="310">
        <f>IFERROR(__xludf.DUMMYFUNCTION("""COMPUTED_VALUE"""),0.0)</f>
        <v>0</v>
      </c>
      <c r="Z16" s="310">
        <f>IFERROR(__xludf.DUMMYFUNCTION("""COMPUTED_VALUE"""),-20.0)</f>
        <v>-20</v>
      </c>
      <c r="AA16" s="310">
        <f>IFERROR(__xludf.DUMMYFUNCTION("""COMPUTED_VALUE"""),0.0)</f>
        <v>0</v>
      </c>
      <c r="AB16" s="310">
        <f>IFERROR(__xludf.DUMMYFUNCTION("""COMPUTED_VALUE"""),0.0)</f>
        <v>0</v>
      </c>
      <c r="AC16" s="310">
        <f>IFERROR(__xludf.DUMMYFUNCTION("""COMPUTED_VALUE"""),0.0)</f>
        <v>0</v>
      </c>
      <c r="AD16" s="310">
        <f>IFERROR(__xludf.DUMMYFUNCTION("""COMPUTED_VALUE"""),0.0)</f>
        <v>0</v>
      </c>
      <c r="AE16" s="310">
        <f>IFERROR(__xludf.DUMMYFUNCTION("""COMPUTED_VALUE"""),0.0)</f>
        <v>0</v>
      </c>
      <c r="AF16" s="310" t="str">
        <f>IFERROR(__xludf.DUMMYFUNCTION("""COMPUTED_VALUE"""),"-22.9249739,-43.2089467")</f>
        <v>-22.9249739,-43.2089467</v>
      </c>
      <c r="AG16" s="310">
        <f>IFERROR(__xludf.DUMMYFUNCTION("""COMPUTED_VALUE"""),0.0)</f>
        <v>0</v>
      </c>
      <c r="AH16" s="310">
        <f>IFERROR(__xludf.DUMMYFUNCTION("""COMPUTED_VALUE"""),0.0)</f>
        <v>0</v>
      </c>
      <c r="AI16" s="310">
        <f>IFERROR(__xludf.DUMMYFUNCTION("""COMPUTED_VALUE"""),0.0)</f>
        <v>0</v>
      </c>
      <c r="AJ16" s="310">
        <f>IFERROR(__xludf.DUMMYFUNCTION("ROWS(QUERY(Entregas_BD!D:AM,""select D where D ='""&amp;D16&amp;""'"",1))-1"),1.0)</f>
        <v>1</v>
      </c>
    </row>
    <row r="17" ht="22.5" customHeight="1">
      <c r="A17" s="311" t="str">
        <f>IFERROR(__xludf.DUMMYFUNCTION("""COMPUTED_VALUE"""),"")</f>
        <v/>
      </c>
      <c r="B17" s="311" t="str">
        <f>IFERROR(__xludf.DUMMYFUNCTION("""COMPUTED_VALUE"""),"")</f>
        <v/>
      </c>
      <c r="C17" s="311">
        <f>IFERROR(__xludf.DUMMYFUNCTION("""COMPUTED_VALUE"""),34.0)</f>
        <v>34</v>
      </c>
      <c r="D17" s="311" t="str">
        <f>IFERROR(__xludf.DUMMYFUNCTION("""COMPUTED_VALUE"""),"Corpo de Bombeiros - DSE")</f>
        <v>Corpo de Bombeiros - DSE</v>
      </c>
      <c r="E17" s="311" t="str">
        <f>IFERROR(__xludf.DUMMYFUNCTION("""COMPUTED_VALUE"""),"ZONA SUL")</f>
        <v>ZONA SUL</v>
      </c>
      <c r="F17" s="311" t="str">
        <f>IFERROR(__xludf.DUMMYFUNCTION("""COMPUTED_VALUE"""),"Rio de Janeiro")</f>
        <v>Rio de Janeiro</v>
      </c>
      <c r="G17" s="311" t="str">
        <f>IFERROR(__xludf.DUMMYFUNCTION("""COMPUTED_VALUE"""),"Catete")</f>
        <v>Catete</v>
      </c>
      <c r="H17" s="311" t="str">
        <f>IFERROR(__xludf.DUMMYFUNCTION("""COMPUTED_VALUE"""),"Unidade básica - BAIXA COMPLEXIDADE")</f>
        <v>Unidade básica - BAIXA COMPLEXIDADE</v>
      </c>
      <c r="I17" s="311" t="str">
        <f>IFERROR(__xludf.DUMMYFUNCTION("""COMPUTED_VALUE"""),"Público")</f>
        <v>Público</v>
      </c>
      <c r="J17" s="311" t="str">
        <f>IFERROR(__xludf.DUMMYFUNCTION("""COMPUTED_VALUE"""),"")</f>
        <v/>
      </c>
      <c r="K17" s="311" t="str">
        <f>IFERROR(__xludf.DUMMYFUNCTION("""COMPUTED_VALUE"""),"")</f>
        <v/>
      </c>
      <c r="L17" s="311" t="str">
        <f>IFERROR(__xludf.DUMMYFUNCTION("""COMPUTED_VALUE"""),"")</f>
        <v/>
      </c>
      <c r="M17" s="311" t="str">
        <f>IFERROR(__xludf.DUMMYFUNCTION("""COMPUTED_VALUE"""),"")</f>
        <v/>
      </c>
      <c r="N17" s="311">
        <f>IFERROR(__xludf.DUMMYFUNCTION("""COMPUTED_VALUE"""),0.0)</f>
        <v>0</v>
      </c>
      <c r="O17" s="311">
        <f>IFERROR(__xludf.DUMMYFUNCTION("""COMPUTED_VALUE"""),0.0)</f>
        <v>0</v>
      </c>
      <c r="P17" s="311">
        <f>IFERROR(__xludf.DUMMYFUNCTION("""COMPUTED_VALUE"""),0.0)</f>
        <v>0</v>
      </c>
      <c r="Q17" s="311">
        <f>IFERROR(__xludf.DUMMYFUNCTION("""COMPUTED_VALUE"""),0.0)</f>
        <v>0</v>
      </c>
      <c r="R17" s="311">
        <f>IFERROR(__xludf.DUMMYFUNCTION("""COMPUTED_VALUE"""),0.0)</f>
        <v>0</v>
      </c>
      <c r="S17" s="311">
        <f>IFERROR(__xludf.DUMMYFUNCTION("""COMPUTED_VALUE"""),0.0)</f>
        <v>0</v>
      </c>
      <c r="T17" s="311">
        <f>IFERROR(__xludf.DUMMYFUNCTION("""COMPUTED_VALUE"""),100.0)</f>
        <v>100</v>
      </c>
      <c r="U17" s="311">
        <f>IFERROR(__xludf.DUMMYFUNCTION("""COMPUTED_VALUE"""),0.0)</f>
        <v>0</v>
      </c>
      <c r="V17" s="311">
        <f>IFERROR(__xludf.DUMMYFUNCTION("""COMPUTED_VALUE"""),0.0)</f>
        <v>0</v>
      </c>
      <c r="W17" s="311">
        <f>IFERROR(__xludf.DUMMYFUNCTION("""COMPUTED_VALUE"""),0.0)</f>
        <v>0</v>
      </c>
      <c r="X17" s="311">
        <f>IFERROR(__xludf.DUMMYFUNCTION("""COMPUTED_VALUE"""),0.0)</f>
        <v>0</v>
      </c>
      <c r="Y17" s="311">
        <f>IFERROR(__xludf.DUMMYFUNCTION("""COMPUTED_VALUE"""),0.0)</f>
        <v>0</v>
      </c>
      <c r="Z17" s="311">
        <f>IFERROR(__xludf.DUMMYFUNCTION("""COMPUTED_VALUE"""),-100.0)</f>
        <v>-100</v>
      </c>
      <c r="AA17" s="311">
        <f>IFERROR(__xludf.DUMMYFUNCTION("""COMPUTED_VALUE"""),0.0)</f>
        <v>0</v>
      </c>
      <c r="AB17" s="311">
        <f>IFERROR(__xludf.DUMMYFUNCTION("""COMPUTED_VALUE"""),0.0)</f>
        <v>0</v>
      </c>
      <c r="AC17" s="311">
        <f>IFERROR(__xludf.DUMMYFUNCTION("""COMPUTED_VALUE"""),0.0)</f>
        <v>0</v>
      </c>
      <c r="AD17" s="311">
        <f>IFERROR(__xludf.DUMMYFUNCTION("""COMPUTED_VALUE"""),0.0)</f>
        <v>0</v>
      </c>
      <c r="AE17" s="311">
        <f>IFERROR(__xludf.DUMMYFUNCTION("""COMPUTED_VALUE"""),0.0)</f>
        <v>0</v>
      </c>
      <c r="AF17" s="311" t="str">
        <f>IFERROR(__xludf.DUMMYFUNCTION("""COMPUTED_VALUE"""),"-22.9337418,-43.1798339")</f>
        <v>-22.9337418,-43.1798339</v>
      </c>
      <c r="AG17" s="311">
        <f>IFERROR(__xludf.DUMMYFUNCTION("""COMPUTED_VALUE"""),0.0)</f>
        <v>0</v>
      </c>
      <c r="AH17" s="311">
        <f>IFERROR(__xludf.DUMMYFUNCTION("""COMPUTED_VALUE"""),0.0)</f>
        <v>0</v>
      </c>
      <c r="AI17" s="311">
        <f>IFERROR(__xludf.DUMMYFUNCTION("""COMPUTED_VALUE"""),0.0)</f>
        <v>0</v>
      </c>
      <c r="AJ17" s="311">
        <f>IFERROR(__xludf.DUMMYFUNCTION("ROWS(QUERY(Entregas_BD!D:AM,""select D where D ='""&amp;D17&amp;""'"",1))-1"),1.0)</f>
        <v>1</v>
      </c>
    </row>
    <row r="18" ht="22.5" customHeight="1">
      <c r="A18" s="310" t="str">
        <f>IFERROR(__xludf.DUMMYFUNCTION("""COMPUTED_VALUE"""),"")</f>
        <v/>
      </c>
      <c r="B18" s="310" t="str">
        <f>IFERROR(__xludf.DUMMYFUNCTION("""COMPUTED_VALUE"""),"")</f>
        <v/>
      </c>
      <c r="C18" s="310">
        <f>IFERROR(__xludf.DUMMYFUNCTION("""COMPUTED_VALUE"""),36.0)</f>
        <v>36</v>
      </c>
      <c r="D18" s="310" t="str">
        <f>IFERROR(__xludf.DUMMYFUNCTION("""COMPUTED_VALUE"""),"Cruz Vermelha Brasileira Filial Rio de Janeiro")</f>
        <v>Cruz Vermelha Brasileira Filial Rio de Janeiro</v>
      </c>
      <c r="E18" s="310" t="str">
        <f>IFERROR(__xludf.DUMMYFUNCTION("""COMPUTED_VALUE"""),"CENTRO")</f>
        <v>CENTRO</v>
      </c>
      <c r="F18" s="310" t="str">
        <f>IFERROR(__xludf.DUMMYFUNCTION("""COMPUTED_VALUE"""),"Rio de Janeiro")</f>
        <v>Rio de Janeiro</v>
      </c>
      <c r="G18" s="310" t="str">
        <f>IFERROR(__xludf.DUMMYFUNCTION("""COMPUTED_VALUE"""),"Centro")</f>
        <v>Centro</v>
      </c>
      <c r="H18" s="310" t="str">
        <f>IFERROR(__xludf.DUMMYFUNCTION("""COMPUTED_VALUE"""),"Referência - ALTA COMPLEXIDADE")</f>
        <v>Referência - ALTA COMPLEXIDADE</v>
      </c>
      <c r="I18" s="310" t="str">
        <f>IFERROR(__xludf.DUMMYFUNCTION("""COMPUTED_VALUE"""),"Público")</f>
        <v>Público</v>
      </c>
      <c r="J18" s="310" t="str">
        <f>IFERROR(__xludf.DUMMYFUNCTION("""COMPUTED_VALUE"""),"")</f>
        <v/>
      </c>
      <c r="K18" s="310" t="str">
        <f>IFERROR(__xludf.DUMMYFUNCTION("""COMPUTED_VALUE"""),"")</f>
        <v/>
      </c>
      <c r="L18" s="310" t="str">
        <f>IFERROR(__xludf.DUMMYFUNCTION("""COMPUTED_VALUE"""),"")</f>
        <v/>
      </c>
      <c r="M18" s="310" t="str">
        <f>IFERROR(__xludf.DUMMYFUNCTION("""COMPUTED_VALUE"""),"")</f>
        <v/>
      </c>
      <c r="N18" s="310">
        <f>IFERROR(__xludf.DUMMYFUNCTION("""COMPUTED_VALUE"""),0.0)</f>
        <v>0</v>
      </c>
      <c r="O18" s="310">
        <f>IFERROR(__xludf.DUMMYFUNCTION("""COMPUTED_VALUE"""),0.0)</f>
        <v>0</v>
      </c>
      <c r="P18" s="310">
        <f>IFERROR(__xludf.DUMMYFUNCTION("""COMPUTED_VALUE"""),0.0)</f>
        <v>0</v>
      </c>
      <c r="Q18" s="310">
        <f>IFERROR(__xludf.DUMMYFUNCTION("""COMPUTED_VALUE"""),0.0)</f>
        <v>0</v>
      </c>
      <c r="R18" s="310">
        <f>IFERROR(__xludf.DUMMYFUNCTION("""COMPUTED_VALUE"""),0.0)</f>
        <v>0</v>
      </c>
      <c r="S18" s="310">
        <f>IFERROR(__xludf.DUMMYFUNCTION("""COMPUTED_VALUE"""),0.0)</f>
        <v>0</v>
      </c>
      <c r="T18" s="310">
        <f>IFERROR(__xludf.DUMMYFUNCTION("""COMPUTED_VALUE"""),70.0)</f>
        <v>70</v>
      </c>
      <c r="U18" s="310">
        <f>IFERROR(__xludf.DUMMYFUNCTION("""COMPUTED_VALUE"""),0.0)</f>
        <v>0</v>
      </c>
      <c r="V18" s="310">
        <f>IFERROR(__xludf.DUMMYFUNCTION("""COMPUTED_VALUE"""),0.0)</f>
        <v>0</v>
      </c>
      <c r="W18" s="310">
        <f>IFERROR(__xludf.DUMMYFUNCTION("""COMPUTED_VALUE"""),0.0)</f>
        <v>0</v>
      </c>
      <c r="X18" s="310">
        <f>IFERROR(__xludf.DUMMYFUNCTION("""COMPUTED_VALUE"""),0.0)</f>
        <v>0</v>
      </c>
      <c r="Y18" s="310">
        <f>IFERROR(__xludf.DUMMYFUNCTION("""COMPUTED_VALUE"""),0.0)</f>
        <v>0</v>
      </c>
      <c r="Z18" s="310">
        <f>IFERROR(__xludf.DUMMYFUNCTION("""COMPUTED_VALUE"""),-70.0)</f>
        <v>-70</v>
      </c>
      <c r="AA18" s="310">
        <f>IFERROR(__xludf.DUMMYFUNCTION("""COMPUTED_VALUE"""),0.0)</f>
        <v>0</v>
      </c>
      <c r="AB18" s="310">
        <f>IFERROR(__xludf.DUMMYFUNCTION("""COMPUTED_VALUE"""),0.0)</f>
        <v>0</v>
      </c>
      <c r="AC18" s="310">
        <f>IFERROR(__xludf.DUMMYFUNCTION("""COMPUTED_VALUE"""),0.0)</f>
        <v>0</v>
      </c>
      <c r="AD18" s="310">
        <f>IFERROR(__xludf.DUMMYFUNCTION("""COMPUTED_VALUE"""),0.0)</f>
        <v>0</v>
      </c>
      <c r="AE18" s="310">
        <f>IFERROR(__xludf.DUMMYFUNCTION("""COMPUTED_VALUE"""),0.0)</f>
        <v>0</v>
      </c>
      <c r="AF18" s="310" t="str">
        <f>IFERROR(__xludf.DUMMYFUNCTION("""COMPUTED_VALUE"""),"-22.9114807,-43.1879897")</f>
        <v>-22.9114807,-43.1879897</v>
      </c>
      <c r="AG18" s="310">
        <f>IFERROR(__xludf.DUMMYFUNCTION("""COMPUTED_VALUE"""),0.0)</f>
        <v>0</v>
      </c>
      <c r="AH18" s="310">
        <f>IFERROR(__xludf.DUMMYFUNCTION("""COMPUTED_VALUE"""),0.0)</f>
        <v>0</v>
      </c>
      <c r="AI18" s="310">
        <f>IFERROR(__xludf.DUMMYFUNCTION("""COMPUTED_VALUE"""),0.0)</f>
        <v>0</v>
      </c>
      <c r="AJ18" s="310">
        <f>IFERROR(__xludf.DUMMYFUNCTION("ROWS(QUERY(Entregas_BD!D:AM,""select D where D ='""&amp;D18&amp;""'"",1))-1"),1.0)</f>
        <v>1</v>
      </c>
    </row>
    <row r="19" ht="22.5" customHeight="1">
      <c r="A19" s="311" t="str">
        <f>IFERROR(__xludf.DUMMYFUNCTION("""COMPUTED_VALUE"""),"")</f>
        <v/>
      </c>
      <c r="B19" s="311" t="str">
        <f>IFERROR(__xludf.DUMMYFUNCTION("""COMPUTED_VALUE"""),"")</f>
        <v/>
      </c>
      <c r="C19" s="311">
        <f>IFERROR(__xludf.DUMMYFUNCTION("""COMPUTED_VALUE"""),42.0)</f>
        <v>42</v>
      </c>
      <c r="D19" s="311" t="str">
        <f>IFERROR(__xludf.DUMMYFUNCTION("""COMPUTED_VALUE"""),"Hemorio")</f>
        <v>Hemorio</v>
      </c>
      <c r="E19" s="311" t="str">
        <f>IFERROR(__xludf.DUMMYFUNCTION("""COMPUTED_VALUE"""),"CENTRO")</f>
        <v>CENTRO</v>
      </c>
      <c r="F19" s="311" t="str">
        <f>IFERROR(__xludf.DUMMYFUNCTION("""COMPUTED_VALUE"""),"Rio de Janeiro")</f>
        <v>Rio de Janeiro</v>
      </c>
      <c r="G19" s="311" t="str">
        <f>IFERROR(__xludf.DUMMYFUNCTION("""COMPUTED_VALUE"""),"Centro")</f>
        <v>Centro</v>
      </c>
      <c r="H19" s="311" t="str">
        <f>IFERROR(__xludf.DUMMYFUNCTION("""COMPUTED_VALUE"""),"Grande emergência - MÉDIA COMPLEXIDADE")</f>
        <v>Grande emergência - MÉDIA COMPLEXIDADE</v>
      </c>
      <c r="I19" s="311" t="str">
        <f>IFERROR(__xludf.DUMMYFUNCTION("""COMPUTED_VALUE"""),"Público")</f>
        <v>Público</v>
      </c>
      <c r="J19" s="311" t="str">
        <f>IFERROR(__xludf.DUMMYFUNCTION("""COMPUTED_VALUE"""),"")</f>
        <v/>
      </c>
      <c r="K19" s="311" t="str">
        <f>IFERROR(__xludf.DUMMYFUNCTION("""COMPUTED_VALUE"""),"")</f>
        <v/>
      </c>
      <c r="L19" s="311" t="str">
        <f>IFERROR(__xludf.DUMMYFUNCTION("""COMPUTED_VALUE"""),"")</f>
        <v/>
      </c>
      <c r="M19" s="311" t="str">
        <f>IFERROR(__xludf.DUMMYFUNCTION("""COMPUTED_VALUE"""),"")</f>
        <v/>
      </c>
      <c r="N19" s="311">
        <f>IFERROR(__xludf.DUMMYFUNCTION("""COMPUTED_VALUE"""),0.0)</f>
        <v>0</v>
      </c>
      <c r="O19" s="311">
        <f>IFERROR(__xludf.DUMMYFUNCTION("""COMPUTED_VALUE"""),0.0)</f>
        <v>0</v>
      </c>
      <c r="P19" s="311">
        <f>IFERROR(__xludf.DUMMYFUNCTION("""COMPUTED_VALUE"""),0.0)</f>
        <v>0</v>
      </c>
      <c r="Q19" s="311">
        <f>IFERROR(__xludf.DUMMYFUNCTION("""COMPUTED_VALUE"""),0.0)</f>
        <v>0</v>
      </c>
      <c r="R19" s="311">
        <f>IFERROR(__xludf.DUMMYFUNCTION("""COMPUTED_VALUE"""),0.0)</f>
        <v>0</v>
      </c>
      <c r="S19" s="311">
        <f>IFERROR(__xludf.DUMMYFUNCTION("""COMPUTED_VALUE"""),0.0)</f>
        <v>0</v>
      </c>
      <c r="T19" s="311">
        <f>IFERROR(__xludf.DUMMYFUNCTION("""COMPUTED_VALUE"""),100.0)</f>
        <v>100</v>
      </c>
      <c r="U19" s="311">
        <f>IFERROR(__xludf.DUMMYFUNCTION("""COMPUTED_VALUE"""),0.0)</f>
        <v>0</v>
      </c>
      <c r="V19" s="311">
        <f>IFERROR(__xludf.DUMMYFUNCTION("""COMPUTED_VALUE"""),0.0)</f>
        <v>0</v>
      </c>
      <c r="W19" s="311">
        <f>IFERROR(__xludf.DUMMYFUNCTION("""COMPUTED_VALUE"""),0.0)</f>
        <v>0</v>
      </c>
      <c r="X19" s="311">
        <f>IFERROR(__xludf.DUMMYFUNCTION("""COMPUTED_VALUE"""),0.0)</f>
        <v>0</v>
      </c>
      <c r="Y19" s="311">
        <f>IFERROR(__xludf.DUMMYFUNCTION("""COMPUTED_VALUE"""),0.0)</f>
        <v>0</v>
      </c>
      <c r="Z19" s="311">
        <f>IFERROR(__xludf.DUMMYFUNCTION("""COMPUTED_VALUE"""),-100.0)</f>
        <v>-100</v>
      </c>
      <c r="AA19" s="311">
        <f>IFERROR(__xludf.DUMMYFUNCTION("""COMPUTED_VALUE"""),0.0)</f>
        <v>0</v>
      </c>
      <c r="AB19" s="311">
        <f>IFERROR(__xludf.DUMMYFUNCTION("""COMPUTED_VALUE"""),0.0)</f>
        <v>0</v>
      </c>
      <c r="AC19" s="311">
        <f>IFERROR(__xludf.DUMMYFUNCTION("""COMPUTED_VALUE"""),0.0)</f>
        <v>0</v>
      </c>
      <c r="AD19" s="311">
        <f>IFERROR(__xludf.DUMMYFUNCTION("""COMPUTED_VALUE"""),0.0)</f>
        <v>0</v>
      </c>
      <c r="AE19" s="311">
        <f>IFERROR(__xludf.DUMMYFUNCTION("""COMPUTED_VALUE"""),0.0)</f>
        <v>0</v>
      </c>
      <c r="AF19" s="311" t="str">
        <f>IFERROR(__xludf.DUMMYFUNCTION("""COMPUTED_VALUE"""),"-22.90891,-43.189642")</f>
        <v>-22.90891,-43.189642</v>
      </c>
      <c r="AG19" s="311">
        <f>IFERROR(__xludf.DUMMYFUNCTION("""COMPUTED_VALUE"""),0.0)</f>
        <v>0</v>
      </c>
      <c r="AH19" s="311">
        <f>IFERROR(__xludf.DUMMYFUNCTION("""COMPUTED_VALUE"""),0.0)</f>
        <v>0</v>
      </c>
      <c r="AI19" s="311">
        <f>IFERROR(__xludf.DUMMYFUNCTION("""COMPUTED_VALUE"""),0.0)</f>
        <v>0</v>
      </c>
      <c r="AJ19" s="311">
        <f>IFERROR(__xludf.DUMMYFUNCTION("ROWS(QUERY(Entregas_BD!D:AM,""select D where D ='""&amp;D19&amp;""'"",1))-1"),1.0)</f>
        <v>1</v>
      </c>
    </row>
    <row r="20" ht="22.5" customHeight="1">
      <c r="A20" s="310" t="str">
        <f>IFERROR(__xludf.DUMMYFUNCTION("""COMPUTED_VALUE"""),"")</f>
        <v/>
      </c>
      <c r="B20" s="310" t="str">
        <f>IFERROR(__xludf.DUMMYFUNCTION("""COMPUTED_VALUE"""),"")</f>
        <v/>
      </c>
      <c r="C20" s="310">
        <f>IFERROR(__xludf.DUMMYFUNCTION("""COMPUTED_VALUE"""),43.0)</f>
        <v>43</v>
      </c>
      <c r="D20" s="310" t="str">
        <f>IFERROR(__xludf.DUMMYFUNCTION("""COMPUTED_VALUE"""),"Hospital Federal de Bonsucesso")</f>
        <v>Hospital Federal de Bonsucesso</v>
      </c>
      <c r="E20" s="310" t="str">
        <f>IFERROR(__xludf.DUMMYFUNCTION("""COMPUTED_VALUE"""),"ZONA NORTE")</f>
        <v>ZONA NORTE</v>
      </c>
      <c r="F20" s="310" t="str">
        <f>IFERROR(__xludf.DUMMYFUNCTION("""COMPUTED_VALUE"""),"Rio de Janeiro")</f>
        <v>Rio de Janeiro</v>
      </c>
      <c r="G20" s="310" t="str">
        <f>IFERROR(__xludf.DUMMYFUNCTION("""COMPUTED_VALUE"""),"Bonsucesso")</f>
        <v>Bonsucesso</v>
      </c>
      <c r="H20" s="310" t="str">
        <f>IFERROR(__xludf.DUMMYFUNCTION("""COMPUTED_VALUE"""),"Referência - ALTA COMPLEXIDADE")</f>
        <v>Referência - ALTA COMPLEXIDADE</v>
      </c>
      <c r="I20" s="310" t="str">
        <f>IFERROR(__xludf.DUMMYFUNCTION("""COMPUTED_VALUE"""),"Público")</f>
        <v>Público</v>
      </c>
      <c r="J20" s="310" t="str">
        <f>IFERROR(__xludf.DUMMYFUNCTION("""COMPUTED_VALUE"""),"")</f>
        <v/>
      </c>
      <c r="K20" s="310" t="str">
        <f>IFERROR(__xludf.DUMMYFUNCTION("""COMPUTED_VALUE"""),"")</f>
        <v/>
      </c>
      <c r="L20" s="310" t="str">
        <f>IFERROR(__xludf.DUMMYFUNCTION("""COMPUTED_VALUE"""),"")</f>
        <v/>
      </c>
      <c r="M20" s="310" t="str">
        <f>IFERROR(__xludf.DUMMYFUNCTION("""COMPUTED_VALUE"""),"")</f>
        <v/>
      </c>
      <c r="N20" s="310">
        <f>IFERROR(__xludf.DUMMYFUNCTION("""COMPUTED_VALUE"""),0.0)</f>
        <v>0</v>
      </c>
      <c r="O20" s="310">
        <f>IFERROR(__xludf.DUMMYFUNCTION("""COMPUTED_VALUE"""),0.0)</f>
        <v>0</v>
      </c>
      <c r="P20" s="310">
        <f>IFERROR(__xludf.DUMMYFUNCTION("""COMPUTED_VALUE"""),0.0)</f>
        <v>0</v>
      </c>
      <c r="Q20" s="310">
        <f>IFERROR(__xludf.DUMMYFUNCTION("""COMPUTED_VALUE"""),0.0)</f>
        <v>0</v>
      </c>
      <c r="R20" s="310">
        <f>IFERROR(__xludf.DUMMYFUNCTION("""COMPUTED_VALUE"""),0.0)</f>
        <v>0</v>
      </c>
      <c r="S20" s="310">
        <f>IFERROR(__xludf.DUMMYFUNCTION("""COMPUTED_VALUE"""),0.0)</f>
        <v>0</v>
      </c>
      <c r="T20" s="310">
        <f>IFERROR(__xludf.DUMMYFUNCTION("""COMPUTED_VALUE"""),220.0)</f>
        <v>220</v>
      </c>
      <c r="U20" s="310">
        <f>IFERROR(__xludf.DUMMYFUNCTION("""COMPUTED_VALUE"""),0.0)</f>
        <v>0</v>
      </c>
      <c r="V20" s="310">
        <f>IFERROR(__xludf.DUMMYFUNCTION("""COMPUTED_VALUE"""),0.0)</f>
        <v>0</v>
      </c>
      <c r="W20" s="310">
        <f>IFERROR(__xludf.DUMMYFUNCTION("""COMPUTED_VALUE"""),100.0)</f>
        <v>100</v>
      </c>
      <c r="X20" s="310">
        <f>IFERROR(__xludf.DUMMYFUNCTION("""COMPUTED_VALUE"""),0.0)</f>
        <v>0</v>
      </c>
      <c r="Y20" s="310">
        <f>IFERROR(__xludf.DUMMYFUNCTION("""COMPUTED_VALUE"""),0.0)</f>
        <v>0</v>
      </c>
      <c r="Z20" s="310">
        <f>IFERROR(__xludf.DUMMYFUNCTION("""COMPUTED_VALUE"""),-220.0)</f>
        <v>-220</v>
      </c>
      <c r="AA20" s="310">
        <f>IFERROR(__xludf.DUMMYFUNCTION("""COMPUTED_VALUE"""),0.0)</f>
        <v>0</v>
      </c>
      <c r="AB20" s="310">
        <f>IFERROR(__xludf.DUMMYFUNCTION("""COMPUTED_VALUE"""),0.0)</f>
        <v>0</v>
      </c>
      <c r="AC20" s="310">
        <f>IFERROR(__xludf.DUMMYFUNCTION("""COMPUTED_VALUE"""),-100.0)</f>
        <v>-100</v>
      </c>
      <c r="AD20" s="310">
        <f>IFERROR(__xludf.DUMMYFUNCTION("""COMPUTED_VALUE"""),0.0)</f>
        <v>0</v>
      </c>
      <c r="AE20" s="310">
        <f>IFERROR(__xludf.DUMMYFUNCTION("""COMPUTED_VALUE"""),0.0)</f>
        <v>0</v>
      </c>
      <c r="AF20" s="310" t="str">
        <f>IFERROR(__xludf.DUMMYFUNCTION("""COMPUTED_VALUE"""),"-22.8671366,-43.2483857")</f>
        <v>-22.8671366,-43.2483857</v>
      </c>
      <c r="AG20" s="310">
        <f>IFERROR(__xludf.DUMMYFUNCTION("""COMPUTED_VALUE"""),0.0)</f>
        <v>0</v>
      </c>
      <c r="AH20" s="310">
        <f>IFERROR(__xludf.DUMMYFUNCTION("""COMPUTED_VALUE"""),0.0)</f>
        <v>0</v>
      </c>
      <c r="AI20" s="310">
        <f>IFERROR(__xludf.DUMMYFUNCTION("""COMPUTED_VALUE"""),0.0)</f>
        <v>0</v>
      </c>
      <c r="AJ20" s="310">
        <f>IFERROR(__xludf.DUMMYFUNCTION("ROWS(QUERY(Entregas_BD!D:AM,""select D where D ='""&amp;D20&amp;""'"",1))-1"),2.0)</f>
        <v>2</v>
      </c>
    </row>
    <row r="21" ht="22.5" customHeight="1">
      <c r="A21" s="311" t="str">
        <f>IFERROR(__xludf.DUMMYFUNCTION("""COMPUTED_VALUE"""),"")</f>
        <v/>
      </c>
      <c r="B21" s="311" t="str">
        <f>IFERROR(__xludf.DUMMYFUNCTION("""COMPUTED_VALUE"""),"")</f>
        <v/>
      </c>
      <c r="C21" s="311">
        <f>IFERROR(__xludf.DUMMYFUNCTION("""COMPUTED_VALUE"""),45.0)</f>
        <v>45</v>
      </c>
      <c r="D21" s="311" t="str">
        <f>IFERROR(__xludf.DUMMYFUNCTION("""COMPUTED_VALUE"""),"Hospital Central Aristarcho Pessoa")</f>
        <v>Hospital Central Aristarcho Pessoa</v>
      </c>
      <c r="E21" s="311" t="str">
        <f>IFERROR(__xludf.DUMMYFUNCTION("""COMPUTED_VALUE"""),"CENTRO")</f>
        <v>CENTRO</v>
      </c>
      <c r="F21" s="311" t="str">
        <f>IFERROR(__xludf.DUMMYFUNCTION("""COMPUTED_VALUE"""),"Rio de Janeiro")</f>
        <v>Rio de Janeiro</v>
      </c>
      <c r="G21" s="311" t="str">
        <f>IFERROR(__xludf.DUMMYFUNCTION("""COMPUTED_VALUE"""),"Rio Comprido")</f>
        <v>Rio Comprido</v>
      </c>
      <c r="H21" s="311" t="str">
        <f>IFERROR(__xludf.DUMMYFUNCTION("""COMPUTED_VALUE"""),"Referência - ALTA COMPLEXIDADE")</f>
        <v>Referência - ALTA COMPLEXIDADE</v>
      </c>
      <c r="I21" s="311" t="str">
        <f>IFERROR(__xludf.DUMMYFUNCTION("""COMPUTED_VALUE"""),"Público")</f>
        <v>Público</v>
      </c>
      <c r="J21" s="311" t="str">
        <f>IFERROR(__xludf.DUMMYFUNCTION("""COMPUTED_VALUE"""),"")</f>
        <v/>
      </c>
      <c r="K21" s="311" t="str">
        <f>IFERROR(__xludf.DUMMYFUNCTION("""COMPUTED_VALUE"""),"")</f>
        <v/>
      </c>
      <c r="L21" s="311" t="str">
        <f>IFERROR(__xludf.DUMMYFUNCTION("""COMPUTED_VALUE"""),"")</f>
        <v/>
      </c>
      <c r="M21" s="311" t="str">
        <f>IFERROR(__xludf.DUMMYFUNCTION("""COMPUTED_VALUE"""),"")</f>
        <v/>
      </c>
      <c r="N21" s="311">
        <f>IFERROR(__xludf.DUMMYFUNCTION("""COMPUTED_VALUE"""),0.0)</f>
        <v>0</v>
      </c>
      <c r="O21" s="311">
        <f>IFERROR(__xludf.DUMMYFUNCTION("""COMPUTED_VALUE"""),0.0)</f>
        <v>0</v>
      </c>
      <c r="P21" s="311">
        <f>IFERROR(__xludf.DUMMYFUNCTION("""COMPUTED_VALUE"""),0.0)</f>
        <v>0</v>
      </c>
      <c r="Q21" s="311">
        <f>IFERROR(__xludf.DUMMYFUNCTION("""COMPUTED_VALUE"""),0.0)</f>
        <v>0</v>
      </c>
      <c r="R21" s="311">
        <f>IFERROR(__xludf.DUMMYFUNCTION("""COMPUTED_VALUE"""),0.0)</f>
        <v>0</v>
      </c>
      <c r="S21" s="311">
        <f>IFERROR(__xludf.DUMMYFUNCTION("""COMPUTED_VALUE"""),0.0)</f>
        <v>0</v>
      </c>
      <c r="T21" s="311">
        <f>IFERROR(__xludf.DUMMYFUNCTION("""COMPUTED_VALUE"""),100.0)</f>
        <v>100</v>
      </c>
      <c r="U21" s="311">
        <f>IFERROR(__xludf.DUMMYFUNCTION("""COMPUTED_VALUE"""),0.0)</f>
        <v>0</v>
      </c>
      <c r="V21" s="311">
        <f>IFERROR(__xludf.DUMMYFUNCTION("""COMPUTED_VALUE"""),0.0)</f>
        <v>0</v>
      </c>
      <c r="W21" s="311">
        <f>IFERROR(__xludf.DUMMYFUNCTION("""COMPUTED_VALUE"""),0.0)</f>
        <v>0</v>
      </c>
      <c r="X21" s="311">
        <f>IFERROR(__xludf.DUMMYFUNCTION("""COMPUTED_VALUE"""),0.0)</f>
        <v>0</v>
      </c>
      <c r="Y21" s="311">
        <f>IFERROR(__xludf.DUMMYFUNCTION("""COMPUTED_VALUE"""),0.0)</f>
        <v>0</v>
      </c>
      <c r="Z21" s="311">
        <f>IFERROR(__xludf.DUMMYFUNCTION("""COMPUTED_VALUE"""),-100.0)</f>
        <v>-100</v>
      </c>
      <c r="AA21" s="311">
        <f>IFERROR(__xludf.DUMMYFUNCTION("""COMPUTED_VALUE"""),0.0)</f>
        <v>0</v>
      </c>
      <c r="AB21" s="311">
        <f>IFERROR(__xludf.DUMMYFUNCTION("""COMPUTED_VALUE"""),0.0)</f>
        <v>0</v>
      </c>
      <c r="AC21" s="311">
        <f>IFERROR(__xludf.DUMMYFUNCTION("""COMPUTED_VALUE"""),0.0)</f>
        <v>0</v>
      </c>
      <c r="AD21" s="311">
        <f>IFERROR(__xludf.DUMMYFUNCTION("""COMPUTED_VALUE"""),0.0)</f>
        <v>0</v>
      </c>
      <c r="AE21" s="311">
        <f>IFERROR(__xludf.DUMMYFUNCTION("""COMPUTED_VALUE"""),0.0)</f>
        <v>0</v>
      </c>
      <c r="AF21" s="311" t="str">
        <f>IFERROR(__xludf.DUMMYFUNCTION("""COMPUTED_VALUE"""),"-22.931474,-43.2097388")</f>
        <v>-22.931474,-43.2097388</v>
      </c>
      <c r="AG21" s="311">
        <f>IFERROR(__xludf.DUMMYFUNCTION("""COMPUTED_VALUE"""),0.0)</f>
        <v>0</v>
      </c>
      <c r="AH21" s="311">
        <f>IFERROR(__xludf.DUMMYFUNCTION("""COMPUTED_VALUE"""),0.0)</f>
        <v>0</v>
      </c>
      <c r="AI21" s="311">
        <f>IFERROR(__xludf.DUMMYFUNCTION("""COMPUTED_VALUE"""),0.0)</f>
        <v>0</v>
      </c>
      <c r="AJ21" s="311">
        <f>IFERROR(__xludf.DUMMYFUNCTION("ROWS(QUERY(Entregas_BD!D:AM,""select D where D ='""&amp;D21&amp;""'"",1))-1"),1.0)</f>
        <v>1</v>
      </c>
    </row>
    <row r="22" ht="22.5" customHeight="1">
      <c r="A22" s="310" t="str">
        <f>IFERROR(__xludf.DUMMYFUNCTION("""COMPUTED_VALUE"""),"")</f>
        <v/>
      </c>
      <c r="B22" s="310" t="str">
        <f>IFERROR(__xludf.DUMMYFUNCTION("""COMPUTED_VALUE"""),"")</f>
        <v/>
      </c>
      <c r="C22" s="310">
        <f>IFERROR(__xludf.DUMMYFUNCTION("""COMPUTED_VALUE"""),46.0)</f>
        <v>46</v>
      </c>
      <c r="D22" s="310" t="str">
        <f>IFERROR(__xludf.DUMMYFUNCTION("""COMPUTED_VALUE"""),"Hospital Central da Polícia Militar do Estado do Rio de Janeiro")</f>
        <v>Hospital Central da Polícia Militar do Estado do Rio de Janeiro</v>
      </c>
      <c r="E22" s="310" t="str">
        <f>IFERROR(__xludf.DUMMYFUNCTION("""COMPUTED_VALUE"""),"CENTRO")</f>
        <v>CENTRO</v>
      </c>
      <c r="F22" s="310" t="str">
        <f>IFERROR(__xludf.DUMMYFUNCTION("""COMPUTED_VALUE"""),"Rio de Janeiro")</f>
        <v>Rio de Janeiro</v>
      </c>
      <c r="G22" s="310" t="str">
        <f>IFERROR(__xludf.DUMMYFUNCTION("""COMPUTED_VALUE"""),"Estacio")</f>
        <v>Estacio</v>
      </c>
      <c r="H22" s="310" t="str">
        <f>IFERROR(__xludf.DUMMYFUNCTION("""COMPUTED_VALUE"""),"Unidade básica - BAIXA COMPLEXIDADE")</f>
        <v>Unidade básica - BAIXA COMPLEXIDADE</v>
      </c>
      <c r="I22" s="310" t="str">
        <f>IFERROR(__xludf.DUMMYFUNCTION("""COMPUTED_VALUE"""),"Público")</f>
        <v>Público</v>
      </c>
      <c r="J22" s="310" t="str">
        <f>IFERROR(__xludf.DUMMYFUNCTION("""COMPUTED_VALUE"""),"")</f>
        <v/>
      </c>
      <c r="K22" s="310" t="str">
        <f>IFERROR(__xludf.DUMMYFUNCTION("""COMPUTED_VALUE"""),"")</f>
        <v/>
      </c>
      <c r="L22" s="310" t="str">
        <f>IFERROR(__xludf.DUMMYFUNCTION("""COMPUTED_VALUE"""),"")</f>
        <v/>
      </c>
      <c r="M22" s="310" t="str">
        <f>IFERROR(__xludf.DUMMYFUNCTION("""COMPUTED_VALUE"""),"")</f>
        <v/>
      </c>
      <c r="N22" s="310">
        <f>IFERROR(__xludf.DUMMYFUNCTION("""COMPUTED_VALUE"""),0.0)</f>
        <v>0</v>
      </c>
      <c r="O22" s="310">
        <f>IFERROR(__xludf.DUMMYFUNCTION("""COMPUTED_VALUE"""),0.0)</f>
        <v>0</v>
      </c>
      <c r="P22" s="310">
        <f>IFERROR(__xludf.DUMMYFUNCTION("""COMPUTED_VALUE"""),0.0)</f>
        <v>0</v>
      </c>
      <c r="Q22" s="310">
        <f>IFERROR(__xludf.DUMMYFUNCTION("""COMPUTED_VALUE"""),0.0)</f>
        <v>0</v>
      </c>
      <c r="R22" s="310">
        <f>IFERROR(__xludf.DUMMYFUNCTION("""COMPUTED_VALUE"""),0.0)</f>
        <v>0</v>
      </c>
      <c r="S22" s="310">
        <f>IFERROR(__xludf.DUMMYFUNCTION("""COMPUTED_VALUE"""),0.0)</f>
        <v>0</v>
      </c>
      <c r="T22" s="310">
        <f>IFERROR(__xludf.DUMMYFUNCTION("""COMPUTED_VALUE"""),100.0)</f>
        <v>100</v>
      </c>
      <c r="U22" s="310">
        <f>IFERROR(__xludf.DUMMYFUNCTION("""COMPUTED_VALUE"""),0.0)</f>
        <v>0</v>
      </c>
      <c r="V22" s="310">
        <f>IFERROR(__xludf.DUMMYFUNCTION("""COMPUTED_VALUE"""),0.0)</f>
        <v>0</v>
      </c>
      <c r="W22" s="310">
        <f>IFERROR(__xludf.DUMMYFUNCTION("""COMPUTED_VALUE"""),0.0)</f>
        <v>0</v>
      </c>
      <c r="X22" s="310">
        <f>IFERROR(__xludf.DUMMYFUNCTION("""COMPUTED_VALUE"""),0.0)</f>
        <v>0</v>
      </c>
      <c r="Y22" s="310">
        <f>IFERROR(__xludf.DUMMYFUNCTION("""COMPUTED_VALUE"""),0.0)</f>
        <v>0</v>
      </c>
      <c r="Z22" s="310">
        <f>IFERROR(__xludf.DUMMYFUNCTION("""COMPUTED_VALUE"""),-100.0)</f>
        <v>-100</v>
      </c>
      <c r="AA22" s="310">
        <f>IFERROR(__xludf.DUMMYFUNCTION("""COMPUTED_VALUE"""),0.0)</f>
        <v>0</v>
      </c>
      <c r="AB22" s="310">
        <f>IFERROR(__xludf.DUMMYFUNCTION("""COMPUTED_VALUE"""),0.0)</f>
        <v>0</v>
      </c>
      <c r="AC22" s="310">
        <f>IFERROR(__xludf.DUMMYFUNCTION("""COMPUTED_VALUE"""),0.0)</f>
        <v>0</v>
      </c>
      <c r="AD22" s="310">
        <f>IFERROR(__xludf.DUMMYFUNCTION("""COMPUTED_VALUE"""),0.0)</f>
        <v>0</v>
      </c>
      <c r="AE22" s="310">
        <f>IFERROR(__xludf.DUMMYFUNCTION("""COMPUTED_VALUE"""),0.0)</f>
        <v>0</v>
      </c>
      <c r="AF22" s="310" t="str">
        <f>IFERROR(__xludf.DUMMYFUNCTION("""COMPUTED_VALUE"""),"-22.9130065,-43.2038426")</f>
        <v>-22.9130065,-43.2038426</v>
      </c>
      <c r="AG22" s="310">
        <f>IFERROR(__xludf.DUMMYFUNCTION("""COMPUTED_VALUE"""),0.0)</f>
        <v>0</v>
      </c>
      <c r="AH22" s="310">
        <f>IFERROR(__xludf.DUMMYFUNCTION("""COMPUTED_VALUE"""),0.0)</f>
        <v>0</v>
      </c>
      <c r="AI22" s="310">
        <f>IFERROR(__xludf.DUMMYFUNCTION("""COMPUTED_VALUE"""),0.0)</f>
        <v>0</v>
      </c>
      <c r="AJ22" s="310">
        <f>IFERROR(__xludf.DUMMYFUNCTION("ROWS(QUERY(Entregas_BD!D:AM,""select D where D ='""&amp;D22&amp;""'"",1))-1"),1.0)</f>
        <v>1</v>
      </c>
    </row>
    <row r="23" ht="22.5" customHeight="1">
      <c r="A23" s="311" t="str">
        <f>IFERROR(__xludf.DUMMYFUNCTION("""COMPUTED_VALUE"""),"")</f>
        <v/>
      </c>
      <c r="B23" s="311" t="str">
        <f>IFERROR(__xludf.DUMMYFUNCTION("""COMPUTED_VALUE"""),"")</f>
        <v/>
      </c>
      <c r="C23" s="311">
        <f>IFERROR(__xludf.DUMMYFUNCTION("""COMPUTED_VALUE"""),50.0)</f>
        <v>50</v>
      </c>
      <c r="D23" s="311" t="str">
        <f>IFERROR(__xludf.DUMMYFUNCTION("""COMPUTED_VALUE"""),"Hospital da Gamboa")</f>
        <v>Hospital da Gamboa</v>
      </c>
      <c r="E23" s="311" t="str">
        <f>IFERROR(__xludf.DUMMYFUNCTION("""COMPUTED_VALUE"""),"CENTRO")</f>
        <v>CENTRO</v>
      </c>
      <c r="F23" s="311" t="str">
        <f>IFERROR(__xludf.DUMMYFUNCTION("""COMPUTED_VALUE"""),"Rio de Janeiro")</f>
        <v>Rio de Janeiro</v>
      </c>
      <c r="G23" s="311" t="str">
        <f>IFERROR(__xludf.DUMMYFUNCTION("""COMPUTED_VALUE"""),"Gamboa")</f>
        <v>Gamboa</v>
      </c>
      <c r="H23" s="311" t="str">
        <f>IFERROR(__xludf.DUMMYFUNCTION("""COMPUTED_VALUE"""),"Unidade básica - BAIXA COMPLEXIDADE")</f>
        <v>Unidade básica - BAIXA COMPLEXIDADE</v>
      </c>
      <c r="I23" s="311" t="str">
        <f>IFERROR(__xludf.DUMMYFUNCTION("""COMPUTED_VALUE"""),"Privado")</f>
        <v>Privado</v>
      </c>
      <c r="J23" s="311" t="str">
        <f>IFERROR(__xludf.DUMMYFUNCTION("""COMPUTED_VALUE"""),"")</f>
        <v/>
      </c>
      <c r="K23" s="311" t="str">
        <f>IFERROR(__xludf.DUMMYFUNCTION("""COMPUTED_VALUE"""),"")</f>
        <v/>
      </c>
      <c r="L23" s="311" t="str">
        <f>IFERROR(__xludf.DUMMYFUNCTION("""COMPUTED_VALUE"""),"")</f>
        <v/>
      </c>
      <c r="M23" s="311" t="str">
        <f>IFERROR(__xludf.DUMMYFUNCTION("""COMPUTED_VALUE"""),"")</f>
        <v/>
      </c>
      <c r="N23" s="311">
        <f>IFERROR(__xludf.DUMMYFUNCTION("""COMPUTED_VALUE"""),0.0)</f>
        <v>0</v>
      </c>
      <c r="O23" s="311">
        <f>IFERROR(__xludf.DUMMYFUNCTION("""COMPUTED_VALUE"""),0.0)</f>
        <v>0</v>
      </c>
      <c r="P23" s="311">
        <f>IFERROR(__xludf.DUMMYFUNCTION("""COMPUTED_VALUE"""),0.0)</f>
        <v>0</v>
      </c>
      <c r="Q23" s="311">
        <f>IFERROR(__xludf.DUMMYFUNCTION("""COMPUTED_VALUE"""),0.0)</f>
        <v>0</v>
      </c>
      <c r="R23" s="311">
        <f>IFERROR(__xludf.DUMMYFUNCTION("""COMPUTED_VALUE"""),0.0)</f>
        <v>0</v>
      </c>
      <c r="S23" s="311">
        <f>IFERROR(__xludf.DUMMYFUNCTION("""COMPUTED_VALUE"""),0.0)</f>
        <v>0</v>
      </c>
      <c r="T23" s="311">
        <f>IFERROR(__xludf.DUMMYFUNCTION("""COMPUTED_VALUE"""),100.0)</f>
        <v>100</v>
      </c>
      <c r="U23" s="311">
        <f>IFERROR(__xludf.DUMMYFUNCTION("""COMPUTED_VALUE"""),0.0)</f>
        <v>0</v>
      </c>
      <c r="V23" s="311">
        <f>IFERROR(__xludf.DUMMYFUNCTION("""COMPUTED_VALUE"""),0.0)</f>
        <v>0</v>
      </c>
      <c r="W23" s="311">
        <f>IFERROR(__xludf.DUMMYFUNCTION("""COMPUTED_VALUE"""),50.0)</f>
        <v>50</v>
      </c>
      <c r="X23" s="311">
        <f>IFERROR(__xludf.DUMMYFUNCTION("""COMPUTED_VALUE"""),0.0)</f>
        <v>0</v>
      </c>
      <c r="Y23" s="311">
        <f>IFERROR(__xludf.DUMMYFUNCTION("""COMPUTED_VALUE"""),0.0)</f>
        <v>0</v>
      </c>
      <c r="Z23" s="311">
        <f>IFERROR(__xludf.DUMMYFUNCTION("""COMPUTED_VALUE"""),-100.0)</f>
        <v>-100</v>
      </c>
      <c r="AA23" s="311">
        <f>IFERROR(__xludf.DUMMYFUNCTION("""COMPUTED_VALUE"""),0.0)</f>
        <v>0</v>
      </c>
      <c r="AB23" s="311">
        <f>IFERROR(__xludf.DUMMYFUNCTION("""COMPUTED_VALUE"""),0.0)</f>
        <v>0</v>
      </c>
      <c r="AC23" s="311">
        <f>IFERROR(__xludf.DUMMYFUNCTION("""COMPUTED_VALUE"""),-50.0)</f>
        <v>-50</v>
      </c>
      <c r="AD23" s="311">
        <f>IFERROR(__xludf.DUMMYFUNCTION("""COMPUTED_VALUE"""),0.0)</f>
        <v>0</v>
      </c>
      <c r="AE23" s="311">
        <f>IFERROR(__xludf.DUMMYFUNCTION("""COMPUTED_VALUE"""),0.0)</f>
        <v>0</v>
      </c>
      <c r="AF23" s="311" t="str">
        <f>IFERROR(__xludf.DUMMYFUNCTION("""COMPUTED_VALUE"""),"-22.8959723,-43.20011340000001")</f>
        <v>-22.8959723,-43.20011340000001</v>
      </c>
      <c r="AG23" s="311">
        <f>IFERROR(__xludf.DUMMYFUNCTION("""COMPUTED_VALUE"""),0.0)</f>
        <v>0</v>
      </c>
      <c r="AH23" s="311">
        <f>IFERROR(__xludf.DUMMYFUNCTION("""COMPUTED_VALUE"""),0.0)</f>
        <v>0</v>
      </c>
      <c r="AI23" s="311">
        <f>IFERROR(__xludf.DUMMYFUNCTION("""COMPUTED_VALUE"""),0.0)</f>
        <v>0</v>
      </c>
      <c r="AJ23" s="311">
        <f>IFERROR(__xludf.DUMMYFUNCTION("ROWS(QUERY(Entregas_BD!D:AM,""select D where D ='""&amp;D23&amp;""'"",1))-1"),1.0)</f>
        <v>1</v>
      </c>
    </row>
    <row r="24" ht="22.5" customHeight="1">
      <c r="A24" s="310" t="str">
        <f>IFERROR(__xludf.DUMMYFUNCTION("""COMPUTED_VALUE"""),"")</f>
        <v/>
      </c>
      <c r="B24" s="310" t="str">
        <f>IFERROR(__xludf.DUMMYFUNCTION("""COMPUTED_VALUE"""),"")</f>
        <v/>
      </c>
      <c r="C24" s="310">
        <f>IFERROR(__xludf.DUMMYFUNCTION("""COMPUTED_VALUE"""),52.0)</f>
        <v>52</v>
      </c>
      <c r="D24" s="310" t="str">
        <f>IFERROR(__xludf.DUMMYFUNCTION("""COMPUTED_VALUE"""),"Hospital da Mulher Mariska Ribeiro")</f>
        <v>Hospital da Mulher Mariska Ribeiro</v>
      </c>
      <c r="E24" s="310" t="str">
        <f>IFERROR(__xludf.DUMMYFUNCTION("""COMPUTED_VALUE"""),"ZONA OESTE")</f>
        <v>ZONA OESTE</v>
      </c>
      <c r="F24" s="310" t="str">
        <f>IFERROR(__xludf.DUMMYFUNCTION("""COMPUTED_VALUE"""),"Rio de Janeiro")</f>
        <v>Rio de Janeiro</v>
      </c>
      <c r="G24" s="310" t="str">
        <f>IFERROR(__xludf.DUMMYFUNCTION("""COMPUTED_VALUE"""),"Bangu")</f>
        <v>Bangu</v>
      </c>
      <c r="H24" s="310" t="str">
        <f>IFERROR(__xludf.DUMMYFUNCTION("""COMPUTED_VALUE"""),"Grande emergência - MÉDIA COMPLEXIDADE")</f>
        <v>Grande emergência - MÉDIA COMPLEXIDADE</v>
      </c>
      <c r="I24" s="310" t="str">
        <f>IFERROR(__xludf.DUMMYFUNCTION("""COMPUTED_VALUE"""),"Público")</f>
        <v>Público</v>
      </c>
      <c r="J24" s="310" t="str">
        <f>IFERROR(__xludf.DUMMYFUNCTION("""COMPUTED_VALUE"""),"")</f>
        <v/>
      </c>
      <c r="K24" s="310" t="str">
        <f>IFERROR(__xludf.DUMMYFUNCTION("""COMPUTED_VALUE"""),"")</f>
        <v/>
      </c>
      <c r="L24" s="310" t="str">
        <f>IFERROR(__xludf.DUMMYFUNCTION("""COMPUTED_VALUE"""),"")</f>
        <v/>
      </c>
      <c r="M24" s="310" t="str">
        <f>IFERROR(__xludf.DUMMYFUNCTION("""COMPUTED_VALUE"""),"")</f>
        <v/>
      </c>
      <c r="N24" s="310">
        <f>IFERROR(__xludf.DUMMYFUNCTION("""COMPUTED_VALUE"""),0.0)</f>
        <v>0</v>
      </c>
      <c r="O24" s="310">
        <f>IFERROR(__xludf.DUMMYFUNCTION("""COMPUTED_VALUE"""),0.0)</f>
        <v>0</v>
      </c>
      <c r="P24" s="310">
        <f>IFERROR(__xludf.DUMMYFUNCTION("""COMPUTED_VALUE"""),0.0)</f>
        <v>0</v>
      </c>
      <c r="Q24" s="310">
        <f>IFERROR(__xludf.DUMMYFUNCTION("""COMPUTED_VALUE"""),0.0)</f>
        <v>0</v>
      </c>
      <c r="R24" s="310">
        <f>IFERROR(__xludf.DUMMYFUNCTION("""COMPUTED_VALUE"""),0.0)</f>
        <v>0</v>
      </c>
      <c r="S24" s="310">
        <f>IFERROR(__xludf.DUMMYFUNCTION("""COMPUTED_VALUE"""),0.0)</f>
        <v>0</v>
      </c>
      <c r="T24" s="310">
        <f>IFERROR(__xludf.DUMMYFUNCTION("""COMPUTED_VALUE"""),20.0)</f>
        <v>20</v>
      </c>
      <c r="U24" s="310">
        <f>IFERROR(__xludf.DUMMYFUNCTION("""COMPUTED_VALUE"""),0.0)</f>
        <v>0</v>
      </c>
      <c r="V24" s="310">
        <f>IFERROR(__xludf.DUMMYFUNCTION("""COMPUTED_VALUE"""),0.0)</f>
        <v>0</v>
      </c>
      <c r="W24" s="310">
        <f>IFERROR(__xludf.DUMMYFUNCTION("""COMPUTED_VALUE"""),0.0)</f>
        <v>0</v>
      </c>
      <c r="X24" s="310">
        <f>IFERROR(__xludf.DUMMYFUNCTION("""COMPUTED_VALUE"""),0.0)</f>
        <v>0</v>
      </c>
      <c r="Y24" s="310">
        <f>IFERROR(__xludf.DUMMYFUNCTION("""COMPUTED_VALUE"""),0.0)</f>
        <v>0</v>
      </c>
      <c r="Z24" s="310">
        <f>IFERROR(__xludf.DUMMYFUNCTION("""COMPUTED_VALUE"""),-20.0)</f>
        <v>-20</v>
      </c>
      <c r="AA24" s="310">
        <f>IFERROR(__xludf.DUMMYFUNCTION("""COMPUTED_VALUE"""),0.0)</f>
        <v>0</v>
      </c>
      <c r="AB24" s="310">
        <f>IFERROR(__xludf.DUMMYFUNCTION("""COMPUTED_VALUE"""),0.0)</f>
        <v>0</v>
      </c>
      <c r="AC24" s="310">
        <f>IFERROR(__xludf.DUMMYFUNCTION("""COMPUTED_VALUE"""),0.0)</f>
        <v>0</v>
      </c>
      <c r="AD24" s="310">
        <f>IFERROR(__xludf.DUMMYFUNCTION("""COMPUTED_VALUE"""),0.0)</f>
        <v>0</v>
      </c>
      <c r="AE24" s="310">
        <f>IFERROR(__xludf.DUMMYFUNCTION("""COMPUTED_VALUE"""),0.0)</f>
        <v>0</v>
      </c>
      <c r="AF24" s="310" t="str">
        <f>IFERROR(__xludf.DUMMYFUNCTION("""COMPUTED_VALUE"""),"-22.876212,-43.472908")</f>
        <v>-22.876212,-43.472908</v>
      </c>
      <c r="AG24" s="310">
        <f>IFERROR(__xludf.DUMMYFUNCTION("""COMPUTED_VALUE"""),0.0)</f>
        <v>0</v>
      </c>
      <c r="AH24" s="310">
        <f>IFERROR(__xludf.DUMMYFUNCTION("""COMPUTED_VALUE"""),0.0)</f>
        <v>0</v>
      </c>
      <c r="AI24" s="310">
        <f>IFERROR(__xludf.DUMMYFUNCTION("""COMPUTED_VALUE"""),0.0)</f>
        <v>0</v>
      </c>
      <c r="AJ24" s="310">
        <f>IFERROR(__xludf.DUMMYFUNCTION("ROWS(QUERY(Entregas_BD!D:AM,""select D where D ='""&amp;D24&amp;""'"",1))-1"),1.0)</f>
        <v>1</v>
      </c>
    </row>
    <row r="25" ht="22.5" customHeight="1">
      <c r="A25" s="311" t="str">
        <f>IFERROR(__xludf.DUMMYFUNCTION("""COMPUTED_VALUE"""),"")</f>
        <v/>
      </c>
      <c r="B25" s="311" t="str">
        <f>IFERROR(__xludf.DUMMYFUNCTION("""COMPUTED_VALUE"""),"")</f>
        <v/>
      </c>
      <c r="C25" s="311">
        <f>IFERROR(__xludf.DUMMYFUNCTION("""COMPUTED_VALUE"""),53.0)</f>
        <v>53</v>
      </c>
      <c r="D25" s="311" t="str">
        <f>IFERROR(__xludf.DUMMYFUNCTION("""COMPUTED_VALUE"""),"Hospital da Policia Militar de Niteroi")</f>
        <v>Hospital da Policia Militar de Niteroi</v>
      </c>
      <c r="E25" s="311" t="str">
        <f>IFERROR(__xludf.DUMMYFUNCTION("""COMPUTED_VALUE"""),"REGIAO METROPOLITANA")</f>
        <v>REGIAO METROPOLITANA</v>
      </c>
      <c r="F25" s="311" t="str">
        <f>IFERROR(__xludf.DUMMYFUNCTION("""COMPUTED_VALUE"""),"Niterói")</f>
        <v>Niterói</v>
      </c>
      <c r="G25" s="311" t="str">
        <f>IFERROR(__xludf.DUMMYFUNCTION("""COMPUTED_VALUE"""),"Santa Rosa")</f>
        <v>Santa Rosa</v>
      </c>
      <c r="H25" s="311" t="str">
        <f>IFERROR(__xludf.DUMMYFUNCTION("""COMPUTED_VALUE"""),"Unidade básica - BAIXA COMPLEXIDADE")</f>
        <v>Unidade básica - BAIXA COMPLEXIDADE</v>
      </c>
      <c r="I25" s="311" t="str">
        <f>IFERROR(__xludf.DUMMYFUNCTION("""COMPUTED_VALUE"""),"Público")</f>
        <v>Público</v>
      </c>
      <c r="J25" s="311" t="str">
        <f>IFERROR(__xludf.DUMMYFUNCTION("""COMPUTED_VALUE"""),"")</f>
        <v/>
      </c>
      <c r="K25" s="311" t="str">
        <f>IFERROR(__xludf.DUMMYFUNCTION("""COMPUTED_VALUE"""),"")</f>
        <v/>
      </c>
      <c r="L25" s="311" t="str">
        <f>IFERROR(__xludf.DUMMYFUNCTION("""COMPUTED_VALUE"""),"")</f>
        <v/>
      </c>
      <c r="M25" s="311" t="str">
        <f>IFERROR(__xludf.DUMMYFUNCTION("""COMPUTED_VALUE"""),"")</f>
        <v/>
      </c>
      <c r="N25" s="311">
        <f>IFERROR(__xludf.DUMMYFUNCTION("""COMPUTED_VALUE"""),0.0)</f>
        <v>0</v>
      </c>
      <c r="O25" s="311">
        <f>IFERROR(__xludf.DUMMYFUNCTION("""COMPUTED_VALUE"""),0.0)</f>
        <v>0</v>
      </c>
      <c r="P25" s="311">
        <f>IFERROR(__xludf.DUMMYFUNCTION("""COMPUTED_VALUE"""),0.0)</f>
        <v>0</v>
      </c>
      <c r="Q25" s="311">
        <f>IFERROR(__xludf.DUMMYFUNCTION("""COMPUTED_VALUE"""),0.0)</f>
        <v>0</v>
      </c>
      <c r="R25" s="311">
        <f>IFERROR(__xludf.DUMMYFUNCTION("""COMPUTED_VALUE"""),0.0)</f>
        <v>0</v>
      </c>
      <c r="S25" s="311">
        <f>IFERROR(__xludf.DUMMYFUNCTION("""COMPUTED_VALUE"""),0.0)</f>
        <v>0</v>
      </c>
      <c r="T25" s="311">
        <f>IFERROR(__xludf.DUMMYFUNCTION("""COMPUTED_VALUE"""),100.0)</f>
        <v>100</v>
      </c>
      <c r="U25" s="311">
        <f>IFERROR(__xludf.DUMMYFUNCTION("""COMPUTED_VALUE"""),0.0)</f>
        <v>0</v>
      </c>
      <c r="V25" s="311">
        <f>IFERROR(__xludf.DUMMYFUNCTION("""COMPUTED_VALUE"""),0.0)</f>
        <v>0</v>
      </c>
      <c r="W25" s="311">
        <f>IFERROR(__xludf.DUMMYFUNCTION("""COMPUTED_VALUE"""),0.0)</f>
        <v>0</v>
      </c>
      <c r="X25" s="311">
        <f>IFERROR(__xludf.DUMMYFUNCTION("""COMPUTED_VALUE"""),0.0)</f>
        <v>0</v>
      </c>
      <c r="Y25" s="311">
        <f>IFERROR(__xludf.DUMMYFUNCTION("""COMPUTED_VALUE"""),0.0)</f>
        <v>0</v>
      </c>
      <c r="Z25" s="311">
        <f>IFERROR(__xludf.DUMMYFUNCTION("""COMPUTED_VALUE"""),-100.0)</f>
        <v>-100</v>
      </c>
      <c r="AA25" s="311">
        <f>IFERROR(__xludf.DUMMYFUNCTION("""COMPUTED_VALUE"""),0.0)</f>
        <v>0</v>
      </c>
      <c r="AB25" s="311">
        <f>IFERROR(__xludf.DUMMYFUNCTION("""COMPUTED_VALUE"""),0.0)</f>
        <v>0</v>
      </c>
      <c r="AC25" s="311">
        <f>IFERROR(__xludf.DUMMYFUNCTION("""COMPUTED_VALUE"""),0.0)</f>
        <v>0</v>
      </c>
      <c r="AD25" s="311">
        <f>IFERROR(__xludf.DUMMYFUNCTION("""COMPUTED_VALUE"""),0.0)</f>
        <v>0</v>
      </c>
      <c r="AE25" s="311">
        <f>IFERROR(__xludf.DUMMYFUNCTION("""COMPUTED_VALUE"""),0.0)</f>
        <v>0</v>
      </c>
      <c r="AF25" s="311" t="str">
        <f>IFERROR(__xludf.DUMMYFUNCTION("""COMPUTED_VALUE"""),"-22.89845,-43.092113")</f>
        <v>-22.89845,-43.092113</v>
      </c>
      <c r="AG25" s="311">
        <f>IFERROR(__xludf.DUMMYFUNCTION("""COMPUTED_VALUE"""),0.0)</f>
        <v>0</v>
      </c>
      <c r="AH25" s="311">
        <f>IFERROR(__xludf.DUMMYFUNCTION("""COMPUTED_VALUE"""),0.0)</f>
        <v>0</v>
      </c>
      <c r="AI25" s="311">
        <f>IFERROR(__xludf.DUMMYFUNCTION("""COMPUTED_VALUE"""),0.0)</f>
        <v>0</v>
      </c>
      <c r="AJ25" s="311">
        <f>IFERROR(__xludf.DUMMYFUNCTION("ROWS(QUERY(Entregas_BD!D:AM,""select D where D ='""&amp;D25&amp;""'"",1))-1"),1.0)</f>
        <v>1</v>
      </c>
    </row>
    <row r="26" ht="22.5" customHeight="1">
      <c r="A26" s="310" t="str">
        <f>IFERROR(__xludf.DUMMYFUNCTION("""COMPUTED_VALUE"""),"")</f>
        <v/>
      </c>
      <c r="B26" s="310" t="str">
        <f>IFERROR(__xludf.DUMMYFUNCTION("""COMPUTED_VALUE"""),"")</f>
        <v/>
      </c>
      <c r="C26" s="310">
        <f>IFERROR(__xludf.DUMMYFUNCTION("""COMPUTED_VALUE"""),56.0)</f>
        <v>56</v>
      </c>
      <c r="D26" s="310" t="str">
        <f>IFERROR(__xludf.DUMMYFUNCTION("""COMPUTED_VALUE"""),"Hospital do Câncer 1 - INCA")</f>
        <v>Hospital do Câncer 1 - INCA</v>
      </c>
      <c r="E26" s="310" t="str">
        <f>IFERROR(__xludf.DUMMYFUNCTION("""COMPUTED_VALUE"""),"CENTRO")</f>
        <v>CENTRO</v>
      </c>
      <c r="F26" s="310" t="str">
        <f>IFERROR(__xludf.DUMMYFUNCTION("""COMPUTED_VALUE"""),"Rio de Janeiro")</f>
        <v>Rio de Janeiro</v>
      </c>
      <c r="G26" s="310" t="str">
        <f>IFERROR(__xludf.DUMMYFUNCTION("""COMPUTED_VALUE"""),"centro")</f>
        <v>centro</v>
      </c>
      <c r="H26" s="310" t="str">
        <f>IFERROR(__xludf.DUMMYFUNCTION("""COMPUTED_VALUE"""),"Unidade básica - BAIXA COMPLEXIDADE")</f>
        <v>Unidade básica - BAIXA COMPLEXIDADE</v>
      </c>
      <c r="I26" s="310" t="str">
        <f>IFERROR(__xludf.DUMMYFUNCTION("""COMPUTED_VALUE"""),"Público")</f>
        <v>Público</v>
      </c>
      <c r="J26" s="310" t="str">
        <f>IFERROR(__xludf.DUMMYFUNCTION("""COMPUTED_VALUE"""),"")</f>
        <v/>
      </c>
      <c r="K26" s="310" t="str">
        <f>IFERROR(__xludf.DUMMYFUNCTION("""COMPUTED_VALUE"""),"")</f>
        <v/>
      </c>
      <c r="L26" s="310" t="str">
        <f>IFERROR(__xludf.DUMMYFUNCTION("""COMPUTED_VALUE"""),"")</f>
        <v/>
      </c>
      <c r="M26" s="310" t="str">
        <f>IFERROR(__xludf.DUMMYFUNCTION("""COMPUTED_VALUE"""),"")</f>
        <v/>
      </c>
      <c r="N26" s="310">
        <f>IFERROR(__xludf.DUMMYFUNCTION("""COMPUTED_VALUE"""),0.0)</f>
        <v>0</v>
      </c>
      <c r="O26" s="310">
        <f>IFERROR(__xludf.DUMMYFUNCTION("""COMPUTED_VALUE"""),0.0)</f>
        <v>0</v>
      </c>
      <c r="P26" s="310">
        <f>IFERROR(__xludf.DUMMYFUNCTION("""COMPUTED_VALUE"""),0.0)</f>
        <v>0</v>
      </c>
      <c r="Q26" s="310">
        <f>IFERROR(__xludf.DUMMYFUNCTION("""COMPUTED_VALUE"""),0.0)</f>
        <v>0</v>
      </c>
      <c r="R26" s="310">
        <f>IFERROR(__xludf.DUMMYFUNCTION("""COMPUTED_VALUE"""),0.0)</f>
        <v>0</v>
      </c>
      <c r="S26" s="310">
        <f>IFERROR(__xludf.DUMMYFUNCTION("""COMPUTED_VALUE"""),0.0)</f>
        <v>0</v>
      </c>
      <c r="T26" s="310">
        <f>IFERROR(__xludf.DUMMYFUNCTION("""COMPUTED_VALUE"""),100.0)</f>
        <v>100</v>
      </c>
      <c r="U26" s="310">
        <f>IFERROR(__xludf.DUMMYFUNCTION("""COMPUTED_VALUE"""),0.0)</f>
        <v>0</v>
      </c>
      <c r="V26" s="310">
        <f>IFERROR(__xludf.DUMMYFUNCTION("""COMPUTED_VALUE"""),0.0)</f>
        <v>0</v>
      </c>
      <c r="W26" s="310">
        <f>IFERROR(__xludf.DUMMYFUNCTION("""COMPUTED_VALUE"""),0.0)</f>
        <v>0</v>
      </c>
      <c r="X26" s="310">
        <f>IFERROR(__xludf.DUMMYFUNCTION("""COMPUTED_VALUE"""),0.0)</f>
        <v>0</v>
      </c>
      <c r="Y26" s="310">
        <f>IFERROR(__xludf.DUMMYFUNCTION("""COMPUTED_VALUE"""),0.0)</f>
        <v>0</v>
      </c>
      <c r="Z26" s="310">
        <f>IFERROR(__xludf.DUMMYFUNCTION("""COMPUTED_VALUE"""),-100.0)</f>
        <v>-100</v>
      </c>
      <c r="AA26" s="310">
        <f>IFERROR(__xludf.DUMMYFUNCTION("""COMPUTED_VALUE"""),0.0)</f>
        <v>0</v>
      </c>
      <c r="AB26" s="310">
        <f>IFERROR(__xludf.DUMMYFUNCTION("""COMPUTED_VALUE"""),0.0)</f>
        <v>0</v>
      </c>
      <c r="AC26" s="310">
        <f>IFERROR(__xludf.DUMMYFUNCTION("""COMPUTED_VALUE"""),0.0)</f>
        <v>0</v>
      </c>
      <c r="AD26" s="310">
        <f>IFERROR(__xludf.DUMMYFUNCTION("""COMPUTED_VALUE"""),0.0)</f>
        <v>0</v>
      </c>
      <c r="AE26" s="310">
        <f>IFERROR(__xludf.DUMMYFUNCTION("""COMPUTED_VALUE"""),0.0)</f>
        <v>0</v>
      </c>
      <c r="AF26" s="310" t="str">
        <f>IFERROR(__xludf.DUMMYFUNCTION("""COMPUTED_VALUE"""),"-22.9123649,-43.1885825")</f>
        <v>-22.9123649,-43.1885825</v>
      </c>
      <c r="AG26" s="310">
        <f>IFERROR(__xludf.DUMMYFUNCTION("""COMPUTED_VALUE"""),0.0)</f>
        <v>0</v>
      </c>
      <c r="AH26" s="310">
        <f>IFERROR(__xludf.DUMMYFUNCTION("""COMPUTED_VALUE"""),0.0)</f>
        <v>0</v>
      </c>
      <c r="AI26" s="310">
        <f>IFERROR(__xludf.DUMMYFUNCTION("""COMPUTED_VALUE"""),0.0)</f>
        <v>0</v>
      </c>
      <c r="AJ26" s="310">
        <f>IFERROR(__xludf.DUMMYFUNCTION("ROWS(QUERY(Entregas_BD!D:AM,""select D where D ='""&amp;D26&amp;""'"",1))-1"),2.0)</f>
        <v>2</v>
      </c>
    </row>
    <row r="27" ht="22.5" customHeight="1">
      <c r="A27" s="311" t="str">
        <f>IFERROR(__xludf.DUMMYFUNCTION("""COMPUTED_VALUE"""),"")</f>
        <v/>
      </c>
      <c r="B27" s="311" t="str">
        <f>IFERROR(__xludf.DUMMYFUNCTION("""COMPUTED_VALUE"""),"")</f>
        <v/>
      </c>
      <c r="C27" s="311">
        <f>IFERROR(__xludf.DUMMYFUNCTION("""COMPUTED_VALUE"""),57.0)</f>
        <v>57</v>
      </c>
      <c r="D27" s="311" t="str">
        <f>IFERROR(__xludf.DUMMYFUNCTION("""COMPUTED_VALUE"""),"Hospital do Câncer 2 - INCA")</f>
        <v>Hospital do Câncer 2 - INCA</v>
      </c>
      <c r="E27" s="311" t="str">
        <f>IFERROR(__xludf.DUMMYFUNCTION("""COMPUTED_VALUE"""),"CENTRO")</f>
        <v>CENTRO</v>
      </c>
      <c r="F27" s="311" t="str">
        <f>IFERROR(__xludf.DUMMYFUNCTION("""COMPUTED_VALUE"""),"Rio de Janeiro")</f>
        <v>Rio de Janeiro</v>
      </c>
      <c r="G27" s="311" t="str">
        <f>IFERROR(__xludf.DUMMYFUNCTION("""COMPUTED_VALUE"""),"Santo Cristo")</f>
        <v>Santo Cristo</v>
      </c>
      <c r="H27" s="311" t="str">
        <f>IFERROR(__xludf.DUMMYFUNCTION("""COMPUTED_VALUE"""),"Unidade básica - BAIXA COMPLEXIDADE")</f>
        <v>Unidade básica - BAIXA COMPLEXIDADE</v>
      </c>
      <c r="I27" s="311" t="str">
        <f>IFERROR(__xludf.DUMMYFUNCTION("""COMPUTED_VALUE"""),"Público")</f>
        <v>Público</v>
      </c>
      <c r="J27" s="311" t="str">
        <f>IFERROR(__xludf.DUMMYFUNCTION("""COMPUTED_VALUE"""),"")</f>
        <v/>
      </c>
      <c r="K27" s="311" t="str">
        <f>IFERROR(__xludf.DUMMYFUNCTION("""COMPUTED_VALUE"""),"")</f>
        <v/>
      </c>
      <c r="L27" s="311" t="str">
        <f>IFERROR(__xludf.DUMMYFUNCTION("""COMPUTED_VALUE"""),"")</f>
        <v/>
      </c>
      <c r="M27" s="311" t="str">
        <f>IFERROR(__xludf.DUMMYFUNCTION("""COMPUTED_VALUE"""),"")</f>
        <v/>
      </c>
      <c r="N27" s="311">
        <f>IFERROR(__xludf.DUMMYFUNCTION("""COMPUTED_VALUE"""),0.0)</f>
        <v>0</v>
      </c>
      <c r="O27" s="311">
        <f>IFERROR(__xludf.DUMMYFUNCTION("""COMPUTED_VALUE"""),0.0)</f>
        <v>0</v>
      </c>
      <c r="P27" s="311">
        <f>IFERROR(__xludf.DUMMYFUNCTION("""COMPUTED_VALUE"""),0.0)</f>
        <v>0</v>
      </c>
      <c r="Q27" s="311">
        <f>IFERROR(__xludf.DUMMYFUNCTION("""COMPUTED_VALUE"""),0.0)</f>
        <v>0</v>
      </c>
      <c r="R27" s="311">
        <f>IFERROR(__xludf.DUMMYFUNCTION("""COMPUTED_VALUE"""),0.0)</f>
        <v>0</v>
      </c>
      <c r="S27" s="311">
        <f>IFERROR(__xludf.DUMMYFUNCTION("""COMPUTED_VALUE"""),0.0)</f>
        <v>0</v>
      </c>
      <c r="T27" s="311">
        <f>IFERROR(__xludf.DUMMYFUNCTION("""COMPUTED_VALUE"""),50.0)</f>
        <v>50</v>
      </c>
      <c r="U27" s="311">
        <f>IFERROR(__xludf.DUMMYFUNCTION("""COMPUTED_VALUE"""),0.0)</f>
        <v>0</v>
      </c>
      <c r="V27" s="311">
        <f>IFERROR(__xludf.DUMMYFUNCTION("""COMPUTED_VALUE"""),0.0)</f>
        <v>0</v>
      </c>
      <c r="W27" s="311">
        <f>IFERROR(__xludf.DUMMYFUNCTION("""COMPUTED_VALUE"""),0.0)</f>
        <v>0</v>
      </c>
      <c r="X27" s="311">
        <f>IFERROR(__xludf.DUMMYFUNCTION("""COMPUTED_VALUE"""),0.0)</f>
        <v>0</v>
      </c>
      <c r="Y27" s="311">
        <f>IFERROR(__xludf.DUMMYFUNCTION("""COMPUTED_VALUE"""),0.0)</f>
        <v>0</v>
      </c>
      <c r="Z27" s="311">
        <f>IFERROR(__xludf.DUMMYFUNCTION("""COMPUTED_VALUE"""),-50.0)</f>
        <v>-50</v>
      </c>
      <c r="AA27" s="311">
        <f>IFERROR(__xludf.DUMMYFUNCTION("""COMPUTED_VALUE"""),0.0)</f>
        <v>0</v>
      </c>
      <c r="AB27" s="311">
        <f>IFERROR(__xludf.DUMMYFUNCTION("""COMPUTED_VALUE"""),0.0)</f>
        <v>0</v>
      </c>
      <c r="AC27" s="311">
        <f>IFERROR(__xludf.DUMMYFUNCTION("""COMPUTED_VALUE"""),0.0)</f>
        <v>0</v>
      </c>
      <c r="AD27" s="311">
        <f>IFERROR(__xludf.DUMMYFUNCTION("""COMPUTED_VALUE"""),0.0)</f>
        <v>0</v>
      </c>
      <c r="AE27" s="311">
        <f>IFERROR(__xludf.DUMMYFUNCTION("""COMPUTED_VALUE"""),0.0)</f>
        <v>0</v>
      </c>
      <c r="AF27" s="311" t="str">
        <f>IFERROR(__xludf.DUMMYFUNCTION("""COMPUTED_VALUE"""),"-22.899855,-43.2079464")</f>
        <v>-22.899855,-43.2079464</v>
      </c>
      <c r="AG27" s="311">
        <f>IFERROR(__xludf.DUMMYFUNCTION("""COMPUTED_VALUE"""),0.0)</f>
        <v>0</v>
      </c>
      <c r="AH27" s="311">
        <f>IFERROR(__xludf.DUMMYFUNCTION("""COMPUTED_VALUE"""),0.0)</f>
        <v>0</v>
      </c>
      <c r="AI27" s="311">
        <f>IFERROR(__xludf.DUMMYFUNCTION("""COMPUTED_VALUE"""),0.0)</f>
        <v>0</v>
      </c>
      <c r="AJ27" s="311">
        <f>IFERROR(__xludf.DUMMYFUNCTION("ROWS(QUERY(Entregas_BD!D:AM,""select D where D ='""&amp;D27&amp;""'"",1))-1"),1.0)</f>
        <v>1</v>
      </c>
    </row>
    <row r="28" ht="22.5" customHeight="1">
      <c r="A28" s="310" t="str">
        <f>IFERROR(__xludf.DUMMYFUNCTION("""COMPUTED_VALUE"""),"")</f>
        <v/>
      </c>
      <c r="B28" s="310" t="str">
        <f>IFERROR(__xludf.DUMMYFUNCTION("""COMPUTED_VALUE"""),"")</f>
        <v/>
      </c>
      <c r="C28" s="310">
        <f>IFERROR(__xludf.DUMMYFUNCTION("""COMPUTED_VALUE"""),58.0)</f>
        <v>58</v>
      </c>
      <c r="D28" s="310" t="str">
        <f>IFERROR(__xludf.DUMMYFUNCTION("""COMPUTED_VALUE"""),"Hospital do Câncer 3 - INCA")</f>
        <v>Hospital do Câncer 3 - INCA</v>
      </c>
      <c r="E28" s="310" t="str">
        <f>IFERROR(__xludf.DUMMYFUNCTION("""COMPUTED_VALUE"""),"ZONA NORTE")</f>
        <v>ZONA NORTE</v>
      </c>
      <c r="F28" s="310" t="str">
        <f>IFERROR(__xludf.DUMMYFUNCTION("""COMPUTED_VALUE"""),"Rio de Janeiro")</f>
        <v>Rio de Janeiro</v>
      </c>
      <c r="G28" s="310" t="str">
        <f>IFERROR(__xludf.DUMMYFUNCTION("""COMPUTED_VALUE"""),"Vila Isabel")</f>
        <v>Vila Isabel</v>
      </c>
      <c r="H28" s="310" t="str">
        <f>IFERROR(__xludf.DUMMYFUNCTION("""COMPUTED_VALUE"""),"Unidade básica - BAIXA COMPLEXIDADE")</f>
        <v>Unidade básica - BAIXA COMPLEXIDADE</v>
      </c>
      <c r="I28" s="310" t="str">
        <f>IFERROR(__xludf.DUMMYFUNCTION("""COMPUTED_VALUE"""),"Público")</f>
        <v>Público</v>
      </c>
      <c r="J28" s="310" t="str">
        <f>IFERROR(__xludf.DUMMYFUNCTION("""COMPUTED_VALUE"""),"")</f>
        <v/>
      </c>
      <c r="K28" s="310" t="str">
        <f>IFERROR(__xludf.DUMMYFUNCTION("""COMPUTED_VALUE"""),"")</f>
        <v/>
      </c>
      <c r="L28" s="310" t="str">
        <f>IFERROR(__xludf.DUMMYFUNCTION("""COMPUTED_VALUE"""),"")</f>
        <v/>
      </c>
      <c r="M28" s="310" t="str">
        <f>IFERROR(__xludf.DUMMYFUNCTION("""COMPUTED_VALUE"""),"")</f>
        <v/>
      </c>
      <c r="N28" s="310">
        <f>IFERROR(__xludf.DUMMYFUNCTION("""COMPUTED_VALUE"""),0.0)</f>
        <v>0</v>
      </c>
      <c r="O28" s="310">
        <f>IFERROR(__xludf.DUMMYFUNCTION("""COMPUTED_VALUE"""),0.0)</f>
        <v>0</v>
      </c>
      <c r="P28" s="310">
        <f>IFERROR(__xludf.DUMMYFUNCTION("""COMPUTED_VALUE"""),0.0)</f>
        <v>0</v>
      </c>
      <c r="Q28" s="310">
        <f>IFERROR(__xludf.DUMMYFUNCTION("""COMPUTED_VALUE"""),0.0)</f>
        <v>0</v>
      </c>
      <c r="R28" s="310">
        <f>IFERROR(__xludf.DUMMYFUNCTION("""COMPUTED_VALUE"""),0.0)</f>
        <v>0</v>
      </c>
      <c r="S28" s="310">
        <f>IFERROR(__xludf.DUMMYFUNCTION("""COMPUTED_VALUE"""),0.0)</f>
        <v>0</v>
      </c>
      <c r="T28" s="310">
        <f>IFERROR(__xludf.DUMMYFUNCTION("""COMPUTED_VALUE"""),100.0)</f>
        <v>100</v>
      </c>
      <c r="U28" s="310">
        <f>IFERROR(__xludf.DUMMYFUNCTION("""COMPUTED_VALUE"""),0.0)</f>
        <v>0</v>
      </c>
      <c r="V28" s="310">
        <f>IFERROR(__xludf.DUMMYFUNCTION("""COMPUTED_VALUE"""),0.0)</f>
        <v>0</v>
      </c>
      <c r="W28" s="310">
        <f>IFERROR(__xludf.DUMMYFUNCTION("""COMPUTED_VALUE"""),0.0)</f>
        <v>0</v>
      </c>
      <c r="X28" s="310">
        <f>IFERROR(__xludf.DUMMYFUNCTION("""COMPUTED_VALUE"""),0.0)</f>
        <v>0</v>
      </c>
      <c r="Y28" s="310">
        <f>IFERROR(__xludf.DUMMYFUNCTION("""COMPUTED_VALUE"""),0.0)</f>
        <v>0</v>
      </c>
      <c r="Z28" s="310">
        <f>IFERROR(__xludf.DUMMYFUNCTION("""COMPUTED_VALUE"""),-100.0)</f>
        <v>-100</v>
      </c>
      <c r="AA28" s="310">
        <f>IFERROR(__xludf.DUMMYFUNCTION("""COMPUTED_VALUE"""),0.0)</f>
        <v>0</v>
      </c>
      <c r="AB28" s="310">
        <f>IFERROR(__xludf.DUMMYFUNCTION("""COMPUTED_VALUE"""),0.0)</f>
        <v>0</v>
      </c>
      <c r="AC28" s="310">
        <f>IFERROR(__xludf.DUMMYFUNCTION("""COMPUTED_VALUE"""),0.0)</f>
        <v>0</v>
      </c>
      <c r="AD28" s="310">
        <f>IFERROR(__xludf.DUMMYFUNCTION("""COMPUTED_VALUE"""),0.0)</f>
        <v>0</v>
      </c>
      <c r="AE28" s="310">
        <f>IFERROR(__xludf.DUMMYFUNCTION("""COMPUTED_VALUE"""),0.0)</f>
        <v>0</v>
      </c>
      <c r="AF28" s="310" t="str">
        <f>IFERROR(__xludf.DUMMYFUNCTION("""COMPUTED_VALUE"""),"-22.9162572,-43.2581724")</f>
        <v>-22.9162572,-43.2581724</v>
      </c>
      <c r="AG28" s="310">
        <f>IFERROR(__xludf.DUMMYFUNCTION("""COMPUTED_VALUE"""),0.0)</f>
        <v>0</v>
      </c>
      <c r="AH28" s="310">
        <f>IFERROR(__xludf.DUMMYFUNCTION("""COMPUTED_VALUE"""),0.0)</f>
        <v>0</v>
      </c>
      <c r="AI28" s="310">
        <f>IFERROR(__xludf.DUMMYFUNCTION("""COMPUTED_VALUE"""),0.0)</f>
        <v>0</v>
      </c>
      <c r="AJ28" s="310">
        <f>IFERROR(__xludf.DUMMYFUNCTION("ROWS(QUERY(Entregas_BD!D:AM,""select D where D ='""&amp;D28&amp;""'"",1))-1"),2.0)</f>
        <v>2</v>
      </c>
    </row>
    <row r="29" ht="22.5" customHeight="1">
      <c r="A29" s="311" t="str">
        <f>IFERROR(__xludf.DUMMYFUNCTION("""COMPUTED_VALUE"""),"")</f>
        <v/>
      </c>
      <c r="B29" s="311" t="str">
        <f>IFERROR(__xludf.DUMMYFUNCTION("""COMPUTED_VALUE"""),"")</f>
        <v/>
      </c>
      <c r="C29" s="311">
        <f>IFERROR(__xludf.DUMMYFUNCTION("""COMPUTED_VALUE"""),59.0)</f>
        <v>59</v>
      </c>
      <c r="D29" s="311" t="str">
        <f>IFERROR(__xludf.DUMMYFUNCTION("""COMPUTED_VALUE"""),"Hospital do Câncer 4 - INCA")</f>
        <v>Hospital do Câncer 4 - INCA</v>
      </c>
      <c r="E29" s="311" t="str">
        <f>IFERROR(__xludf.DUMMYFUNCTION("""COMPUTED_VALUE"""),"ZONA NORTE")</f>
        <v>ZONA NORTE</v>
      </c>
      <c r="F29" s="311" t="str">
        <f>IFERROR(__xludf.DUMMYFUNCTION("""COMPUTED_VALUE"""),"Rio de Janeiro")</f>
        <v>Rio de Janeiro</v>
      </c>
      <c r="G29" s="311" t="str">
        <f>IFERROR(__xludf.DUMMYFUNCTION("""COMPUTED_VALUE"""),"Vila Isabel")</f>
        <v>Vila Isabel</v>
      </c>
      <c r="H29" s="311" t="str">
        <f>IFERROR(__xludf.DUMMYFUNCTION("""COMPUTED_VALUE"""),"Unidade básica - BAIXA COMPLEXIDADE")</f>
        <v>Unidade básica - BAIXA COMPLEXIDADE</v>
      </c>
      <c r="I29" s="311" t="str">
        <f>IFERROR(__xludf.DUMMYFUNCTION("""COMPUTED_VALUE"""),"Público")</f>
        <v>Público</v>
      </c>
      <c r="J29" s="311" t="str">
        <f>IFERROR(__xludf.DUMMYFUNCTION("""COMPUTED_VALUE"""),"")</f>
        <v/>
      </c>
      <c r="K29" s="311" t="str">
        <f>IFERROR(__xludf.DUMMYFUNCTION("""COMPUTED_VALUE"""),"")</f>
        <v/>
      </c>
      <c r="L29" s="311" t="str">
        <f>IFERROR(__xludf.DUMMYFUNCTION("""COMPUTED_VALUE"""),"")</f>
        <v/>
      </c>
      <c r="M29" s="311" t="str">
        <f>IFERROR(__xludf.DUMMYFUNCTION("""COMPUTED_VALUE"""),"")</f>
        <v/>
      </c>
      <c r="N29" s="311">
        <f>IFERROR(__xludf.DUMMYFUNCTION("""COMPUTED_VALUE"""),0.0)</f>
        <v>0</v>
      </c>
      <c r="O29" s="311">
        <f>IFERROR(__xludf.DUMMYFUNCTION("""COMPUTED_VALUE"""),0.0)</f>
        <v>0</v>
      </c>
      <c r="P29" s="311">
        <f>IFERROR(__xludf.DUMMYFUNCTION("""COMPUTED_VALUE"""),0.0)</f>
        <v>0</v>
      </c>
      <c r="Q29" s="311">
        <f>IFERROR(__xludf.DUMMYFUNCTION("""COMPUTED_VALUE"""),0.0)</f>
        <v>0</v>
      </c>
      <c r="R29" s="311">
        <f>IFERROR(__xludf.DUMMYFUNCTION("""COMPUTED_VALUE"""),0.0)</f>
        <v>0</v>
      </c>
      <c r="S29" s="311">
        <f>IFERROR(__xludf.DUMMYFUNCTION("""COMPUTED_VALUE"""),0.0)</f>
        <v>0</v>
      </c>
      <c r="T29" s="311">
        <f>IFERROR(__xludf.DUMMYFUNCTION("""COMPUTED_VALUE"""),50.0)</f>
        <v>50</v>
      </c>
      <c r="U29" s="311">
        <f>IFERROR(__xludf.DUMMYFUNCTION("""COMPUTED_VALUE"""),0.0)</f>
        <v>0</v>
      </c>
      <c r="V29" s="311">
        <f>IFERROR(__xludf.DUMMYFUNCTION("""COMPUTED_VALUE"""),0.0)</f>
        <v>0</v>
      </c>
      <c r="W29" s="311">
        <f>IFERROR(__xludf.DUMMYFUNCTION("""COMPUTED_VALUE"""),0.0)</f>
        <v>0</v>
      </c>
      <c r="X29" s="311">
        <f>IFERROR(__xludf.DUMMYFUNCTION("""COMPUTED_VALUE"""),0.0)</f>
        <v>0</v>
      </c>
      <c r="Y29" s="311">
        <f>IFERROR(__xludf.DUMMYFUNCTION("""COMPUTED_VALUE"""),0.0)</f>
        <v>0</v>
      </c>
      <c r="Z29" s="311">
        <f>IFERROR(__xludf.DUMMYFUNCTION("""COMPUTED_VALUE"""),-50.0)</f>
        <v>-50</v>
      </c>
      <c r="AA29" s="311">
        <f>IFERROR(__xludf.DUMMYFUNCTION("""COMPUTED_VALUE"""),0.0)</f>
        <v>0</v>
      </c>
      <c r="AB29" s="311">
        <f>IFERROR(__xludf.DUMMYFUNCTION("""COMPUTED_VALUE"""),0.0)</f>
        <v>0</v>
      </c>
      <c r="AC29" s="311">
        <f>IFERROR(__xludf.DUMMYFUNCTION("""COMPUTED_VALUE"""),0.0)</f>
        <v>0</v>
      </c>
      <c r="AD29" s="311">
        <f>IFERROR(__xludf.DUMMYFUNCTION("""COMPUTED_VALUE"""),0.0)</f>
        <v>0</v>
      </c>
      <c r="AE29" s="311">
        <f>IFERROR(__xludf.DUMMYFUNCTION("""COMPUTED_VALUE"""),0.0)</f>
        <v>0</v>
      </c>
      <c r="AF29" s="311" t="str">
        <f>IFERROR(__xludf.DUMMYFUNCTION("""COMPUTED_VALUE"""),"-22.9166827,-43.2584564")</f>
        <v>-22.9166827,-43.2584564</v>
      </c>
      <c r="AG29" s="311">
        <f>IFERROR(__xludf.DUMMYFUNCTION("""COMPUTED_VALUE"""),0.0)</f>
        <v>0</v>
      </c>
      <c r="AH29" s="311">
        <f>IFERROR(__xludf.DUMMYFUNCTION("""COMPUTED_VALUE"""),0.0)</f>
        <v>0</v>
      </c>
      <c r="AI29" s="311">
        <f>IFERROR(__xludf.DUMMYFUNCTION("""COMPUTED_VALUE"""),0.0)</f>
        <v>0</v>
      </c>
      <c r="AJ29" s="311">
        <f>IFERROR(__xludf.DUMMYFUNCTION("ROWS(QUERY(Entregas_BD!D:AM,""select D where D ='""&amp;D29&amp;""'"",1))-1"),1.0)</f>
        <v>1</v>
      </c>
    </row>
    <row r="30" ht="22.5" customHeight="1">
      <c r="A30" s="310" t="str">
        <f>IFERROR(__xludf.DUMMYFUNCTION("""COMPUTED_VALUE"""),"")</f>
        <v/>
      </c>
      <c r="B30" s="310" t="str">
        <f>IFERROR(__xludf.DUMMYFUNCTION("""COMPUTED_VALUE"""),"")</f>
        <v/>
      </c>
      <c r="C30" s="310">
        <f>IFERROR(__xludf.DUMMYFUNCTION("""COMPUTED_VALUE"""),63.0)</f>
        <v>63</v>
      </c>
      <c r="D30" s="310" t="str">
        <f>IFERROR(__xludf.DUMMYFUNCTION("""COMPUTED_VALUE"""),"Hospital Escola de Valença")</f>
        <v>Hospital Escola de Valença</v>
      </c>
      <c r="E30" s="310" t="str">
        <f>IFERROR(__xludf.DUMMYFUNCTION("""COMPUTED_VALUE"""),"REGIAO MEDIO PARAIBA")</f>
        <v>REGIAO MEDIO PARAIBA</v>
      </c>
      <c r="F30" s="310" t="str">
        <f>IFERROR(__xludf.DUMMYFUNCTION("""COMPUTED_VALUE"""),"Valença")</f>
        <v>Valença</v>
      </c>
      <c r="G30" s="310" t="str">
        <f>IFERROR(__xludf.DUMMYFUNCTION("""COMPUTED_VALUE"""),"Centro ")</f>
        <v>Centro </v>
      </c>
      <c r="H30" s="310" t="str">
        <f>IFERROR(__xludf.DUMMYFUNCTION("""COMPUTED_VALUE"""),"Referência - ALTA COMPLEXIDADE")</f>
        <v>Referência - ALTA COMPLEXIDADE</v>
      </c>
      <c r="I30" s="310" t="str">
        <f>IFERROR(__xludf.DUMMYFUNCTION("""COMPUTED_VALUE"""),"Privado")</f>
        <v>Privado</v>
      </c>
      <c r="J30" s="310" t="str">
        <f>IFERROR(__xludf.DUMMYFUNCTION("""COMPUTED_VALUE"""),"")</f>
        <v/>
      </c>
      <c r="K30" s="310" t="str">
        <f>IFERROR(__xludf.DUMMYFUNCTION("""COMPUTED_VALUE"""),"")</f>
        <v/>
      </c>
      <c r="L30" s="310" t="str">
        <f>IFERROR(__xludf.DUMMYFUNCTION("""COMPUTED_VALUE"""),"")</f>
        <v/>
      </c>
      <c r="M30" s="310" t="str">
        <f>IFERROR(__xludf.DUMMYFUNCTION("""COMPUTED_VALUE"""),"")</f>
        <v/>
      </c>
      <c r="N30" s="310">
        <f>IFERROR(__xludf.DUMMYFUNCTION("""COMPUTED_VALUE"""),0.0)</f>
        <v>0</v>
      </c>
      <c r="O30" s="310">
        <f>IFERROR(__xludf.DUMMYFUNCTION("""COMPUTED_VALUE"""),0.0)</f>
        <v>0</v>
      </c>
      <c r="P30" s="310">
        <f>IFERROR(__xludf.DUMMYFUNCTION("""COMPUTED_VALUE"""),0.0)</f>
        <v>0</v>
      </c>
      <c r="Q30" s="310">
        <f>IFERROR(__xludf.DUMMYFUNCTION("""COMPUTED_VALUE"""),0.0)</f>
        <v>0</v>
      </c>
      <c r="R30" s="310">
        <f>IFERROR(__xludf.DUMMYFUNCTION("""COMPUTED_VALUE"""),0.0)</f>
        <v>0</v>
      </c>
      <c r="S30" s="310">
        <f>IFERROR(__xludf.DUMMYFUNCTION("""COMPUTED_VALUE"""),0.0)</f>
        <v>0</v>
      </c>
      <c r="T30" s="310">
        <f>IFERROR(__xludf.DUMMYFUNCTION("""COMPUTED_VALUE"""),100.0)</f>
        <v>100</v>
      </c>
      <c r="U30" s="310">
        <f>IFERROR(__xludf.DUMMYFUNCTION("""COMPUTED_VALUE"""),0.0)</f>
        <v>0</v>
      </c>
      <c r="V30" s="310">
        <f>IFERROR(__xludf.DUMMYFUNCTION("""COMPUTED_VALUE"""),0.0)</f>
        <v>0</v>
      </c>
      <c r="W30" s="310">
        <f>IFERROR(__xludf.DUMMYFUNCTION("""COMPUTED_VALUE"""),0.0)</f>
        <v>0</v>
      </c>
      <c r="X30" s="310">
        <f>IFERROR(__xludf.DUMMYFUNCTION("""COMPUTED_VALUE"""),0.0)</f>
        <v>0</v>
      </c>
      <c r="Y30" s="310">
        <f>IFERROR(__xludf.DUMMYFUNCTION("""COMPUTED_VALUE"""),0.0)</f>
        <v>0</v>
      </c>
      <c r="Z30" s="310">
        <f>IFERROR(__xludf.DUMMYFUNCTION("""COMPUTED_VALUE"""),-100.0)</f>
        <v>-100</v>
      </c>
      <c r="AA30" s="310">
        <f>IFERROR(__xludf.DUMMYFUNCTION("""COMPUTED_VALUE"""),0.0)</f>
        <v>0</v>
      </c>
      <c r="AB30" s="310">
        <f>IFERROR(__xludf.DUMMYFUNCTION("""COMPUTED_VALUE"""),0.0)</f>
        <v>0</v>
      </c>
      <c r="AC30" s="310">
        <f>IFERROR(__xludf.DUMMYFUNCTION("""COMPUTED_VALUE"""),0.0)</f>
        <v>0</v>
      </c>
      <c r="AD30" s="310">
        <f>IFERROR(__xludf.DUMMYFUNCTION("""COMPUTED_VALUE"""),0.0)</f>
        <v>0</v>
      </c>
      <c r="AE30" s="310">
        <f>IFERROR(__xludf.DUMMYFUNCTION("""COMPUTED_VALUE"""),0.0)</f>
        <v>0</v>
      </c>
      <c r="AF30" s="310" t="str">
        <f>IFERROR(__xludf.DUMMYFUNCTION("""COMPUTED_VALUE"""),"-22.2441538,-43.7091485")</f>
        <v>-22.2441538,-43.7091485</v>
      </c>
      <c r="AG30" s="310">
        <f>IFERROR(__xludf.DUMMYFUNCTION("""COMPUTED_VALUE"""),0.0)</f>
        <v>0</v>
      </c>
      <c r="AH30" s="310">
        <f>IFERROR(__xludf.DUMMYFUNCTION("""COMPUTED_VALUE"""),0.0)</f>
        <v>0</v>
      </c>
      <c r="AI30" s="310">
        <f>IFERROR(__xludf.DUMMYFUNCTION("""COMPUTED_VALUE"""),0.0)</f>
        <v>0</v>
      </c>
      <c r="AJ30" s="310">
        <f>IFERROR(__xludf.DUMMYFUNCTION("ROWS(QUERY(Entregas_BD!D:AM,""select D where D ='""&amp;D30&amp;""'"",1))-1"),1.0)</f>
        <v>1</v>
      </c>
    </row>
    <row r="31" ht="22.5" customHeight="1">
      <c r="A31" s="311" t="str">
        <f>IFERROR(__xludf.DUMMYFUNCTION("""COMPUTED_VALUE"""),"")</f>
        <v/>
      </c>
      <c r="B31" s="311" t="str">
        <f>IFERROR(__xludf.DUMMYFUNCTION("""COMPUTED_VALUE"""),"")</f>
        <v/>
      </c>
      <c r="C31" s="311">
        <f>IFERROR(__xludf.DUMMYFUNCTION("""COMPUTED_VALUE"""),64.0)</f>
        <v>64</v>
      </c>
      <c r="D31" s="311" t="str">
        <f>IFERROR(__xludf.DUMMYFUNCTION("""COMPUTED_VALUE"""),"Hospital Escola São Francisco de Assis")</f>
        <v>Hospital Escola São Francisco de Assis</v>
      </c>
      <c r="E31" s="311" t="str">
        <f>IFERROR(__xludf.DUMMYFUNCTION("""COMPUTED_VALUE"""),"CENTRO")</f>
        <v>CENTRO</v>
      </c>
      <c r="F31" s="311" t="str">
        <f>IFERROR(__xludf.DUMMYFUNCTION("""COMPUTED_VALUE"""),"Rio de Janeiro")</f>
        <v>Rio de Janeiro</v>
      </c>
      <c r="G31" s="311" t="str">
        <f>IFERROR(__xludf.DUMMYFUNCTION("""COMPUTED_VALUE"""),"Cidade Nova")</f>
        <v>Cidade Nova</v>
      </c>
      <c r="H31" s="311" t="str">
        <f>IFERROR(__xludf.DUMMYFUNCTION("""COMPUTED_VALUE"""),"Unidade básica - BAIXA COMPLEXIDADE")</f>
        <v>Unidade básica - BAIXA COMPLEXIDADE</v>
      </c>
      <c r="I31" s="311" t="str">
        <f>IFERROR(__xludf.DUMMYFUNCTION("""COMPUTED_VALUE"""),"Público")</f>
        <v>Público</v>
      </c>
      <c r="J31" s="311" t="str">
        <f>IFERROR(__xludf.DUMMYFUNCTION("""COMPUTED_VALUE"""),"")</f>
        <v/>
      </c>
      <c r="K31" s="311" t="str">
        <f>IFERROR(__xludf.DUMMYFUNCTION("""COMPUTED_VALUE"""),"")</f>
        <v/>
      </c>
      <c r="L31" s="311" t="str">
        <f>IFERROR(__xludf.DUMMYFUNCTION("""COMPUTED_VALUE"""),"")</f>
        <v/>
      </c>
      <c r="M31" s="311" t="str">
        <f>IFERROR(__xludf.DUMMYFUNCTION("""COMPUTED_VALUE"""),"")</f>
        <v/>
      </c>
      <c r="N31" s="311">
        <f>IFERROR(__xludf.DUMMYFUNCTION("""COMPUTED_VALUE"""),0.0)</f>
        <v>0</v>
      </c>
      <c r="O31" s="311">
        <f>IFERROR(__xludf.DUMMYFUNCTION("""COMPUTED_VALUE"""),0.0)</f>
        <v>0</v>
      </c>
      <c r="P31" s="311">
        <f>IFERROR(__xludf.DUMMYFUNCTION("""COMPUTED_VALUE"""),0.0)</f>
        <v>0</v>
      </c>
      <c r="Q31" s="311">
        <f>IFERROR(__xludf.DUMMYFUNCTION("""COMPUTED_VALUE"""),0.0)</f>
        <v>0</v>
      </c>
      <c r="R31" s="311">
        <f>IFERROR(__xludf.DUMMYFUNCTION("""COMPUTED_VALUE"""),0.0)</f>
        <v>0</v>
      </c>
      <c r="S31" s="311">
        <f>IFERROR(__xludf.DUMMYFUNCTION("""COMPUTED_VALUE"""),0.0)</f>
        <v>0</v>
      </c>
      <c r="T31" s="311">
        <f>IFERROR(__xludf.DUMMYFUNCTION("""COMPUTED_VALUE"""),100.0)</f>
        <v>100</v>
      </c>
      <c r="U31" s="311">
        <f>IFERROR(__xludf.DUMMYFUNCTION("""COMPUTED_VALUE"""),0.0)</f>
        <v>0</v>
      </c>
      <c r="V31" s="311">
        <f>IFERROR(__xludf.DUMMYFUNCTION("""COMPUTED_VALUE"""),0.0)</f>
        <v>0</v>
      </c>
      <c r="W31" s="311">
        <f>IFERROR(__xludf.DUMMYFUNCTION("""COMPUTED_VALUE"""),0.0)</f>
        <v>0</v>
      </c>
      <c r="X31" s="311">
        <f>IFERROR(__xludf.DUMMYFUNCTION("""COMPUTED_VALUE"""),0.0)</f>
        <v>0</v>
      </c>
      <c r="Y31" s="311">
        <f>IFERROR(__xludf.DUMMYFUNCTION("""COMPUTED_VALUE"""),0.0)</f>
        <v>0</v>
      </c>
      <c r="Z31" s="311">
        <f>IFERROR(__xludf.DUMMYFUNCTION("""COMPUTED_VALUE"""),-100.0)</f>
        <v>-100</v>
      </c>
      <c r="AA31" s="311">
        <f>IFERROR(__xludf.DUMMYFUNCTION("""COMPUTED_VALUE"""),0.0)</f>
        <v>0</v>
      </c>
      <c r="AB31" s="311">
        <f>IFERROR(__xludf.DUMMYFUNCTION("""COMPUTED_VALUE"""),0.0)</f>
        <v>0</v>
      </c>
      <c r="AC31" s="311">
        <f>IFERROR(__xludf.DUMMYFUNCTION("""COMPUTED_VALUE"""),0.0)</f>
        <v>0</v>
      </c>
      <c r="AD31" s="311">
        <f>IFERROR(__xludf.DUMMYFUNCTION("""COMPUTED_VALUE"""),0.0)</f>
        <v>0</v>
      </c>
      <c r="AE31" s="311">
        <f>IFERROR(__xludf.DUMMYFUNCTION("""COMPUTED_VALUE"""),0.0)</f>
        <v>0</v>
      </c>
      <c r="AF31" s="311" t="str">
        <f>IFERROR(__xludf.DUMMYFUNCTION("""COMPUTED_VALUE"""),"-22.9090453,-43.2013757")</f>
        <v>-22.9090453,-43.2013757</v>
      </c>
      <c r="AG31" s="311">
        <f>IFERROR(__xludf.DUMMYFUNCTION("""COMPUTED_VALUE"""),0.0)</f>
        <v>0</v>
      </c>
      <c r="AH31" s="311">
        <f>IFERROR(__xludf.DUMMYFUNCTION("""COMPUTED_VALUE"""),0.0)</f>
        <v>0</v>
      </c>
      <c r="AI31" s="311">
        <f>IFERROR(__xludf.DUMMYFUNCTION("""COMPUTED_VALUE"""),0.0)</f>
        <v>0</v>
      </c>
      <c r="AJ31" s="311">
        <f>IFERROR(__xludf.DUMMYFUNCTION("ROWS(QUERY(Entregas_BD!D:AM,""select D where D ='""&amp;D31&amp;""'"",1))-1"),1.0)</f>
        <v>1</v>
      </c>
    </row>
    <row r="32" ht="22.5" customHeight="1">
      <c r="A32" s="310" t="str">
        <f>IFERROR(__xludf.DUMMYFUNCTION("""COMPUTED_VALUE"""),"")</f>
        <v/>
      </c>
      <c r="B32" s="310" t="str">
        <f>IFERROR(__xludf.DUMMYFUNCTION("""COMPUTED_VALUE"""),"")</f>
        <v/>
      </c>
      <c r="C32" s="310">
        <f>IFERROR(__xludf.DUMMYFUNCTION("""COMPUTED_VALUE"""),65.0)</f>
        <v>65</v>
      </c>
      <c r="D32" s="310" t="str">
        <f>IFERROR(__xludf.DUMMYFUNCTION("""COMPUTED_VALUE"""),"Hospital Estadual Adão Pereira Nunes")</f>
        <v>Hospital Estadual Adão Pereira Nunes</v>
      </c>
      <c r="E32" s="310" t="str">
        <f>IFERROR(__xludf.DUMMYFUNCTION("""COMPUTED_VALUE"""),"BAIXADA FLUMINENSE")</f>
        <v>BAIXADA FLUMINENSE</v>
      </c>
      <c r="F32" s="310" t="str">
        <f>IFERROR(__xludf.DUMMYFUNCTION("""COMPUTED_VALUE"""),"Duque de Caxias")</f>
        <v>Duque de Caxias</v>
      </c>
      <c r="G32" s="310" t="str">
        <f>IFERROR(__xludf.DUMMYFUNCTION("""COMPUTED_VALUE"""),"Jardim Primavera")</f>
        <v>Jardim Primavera</v>
      </c>
      <c r="H32" s="310" t="str">
        <f>IFERROR(__xludf.DUMMYFUNCTION("""COMPUTED_VALUE"""),"Grande emergência - MÉDIA COMPLEXIDADE")</f>
        <v>Grande emergência - MÉDIA COMPLEXIDADE</v>
      </c>
      <c r="I32" s="310" t="str">
        <f>IFERROR(__xludf.DUMMYFUNCTION("""COMPUTED_VALUE"""),"Público")</f>
        <v>Público</v>
      </c>
      <c r="J32" s="310" t="str">
        <f>IFERROR(__xludf.DUMMYFUNCTION("""COMPUTED_VALUE"""),"")</f>
        <v/>
      </c>
      <c r="K32" s="310" t="str">
        <f>IFERROR(__xludf.DUMMYFUNCTION("""COMPUTED_VALUE"""),"")</f>
        <v/>
      </c>
      <c r="L32" s="310" t="str">
        <f>IFERROR(__xludf.DUMMYFUNCTION("""COMPUTED_VALUE"""),"")</f>
        <v/>
      </c>
      <c r="M32" s="310" t="str">
        <f>IFERROR(__xludf.DUMMYFUNCTION("""COMPUTED_VALUE"""),"")</f>
        <v/>
      </c>
      <c r="N32" s="310">
        <f>IFERROR(__xludf.DUMMYFUNCTION("""COMPUTED_VALUE"""),0.0)</f>
        <v>0</v>
      </c>
      <c r="O32" s="310">
        <f>IFERROR(__xludf.DUMMYFUNCTION("""COMPUTED_VALUE"""),0.0)</f>
        <v>0</v>
      </c>
      <c r="P32" s="310">
        <f>IFERROR(__xludf.DUMMYFUNCTION("""COMPUTED_VALUE"""),0.0)</f>
        <v>0</v>
      </c>
      <c r="Q32" s="310">
        <f>IFERROR(__xludf.DUMMYFUNCTION("""COMPUTED_VALUE"""),0.0)</f>
        <v>0</v>
      </c>
      <c r="R32" s="310">
        <f>IFERROR(__xludf.DUMMYFUNCTION("""COMPUTED_VALUE"""),0.0)</f>
        <v>0</v>
      </c>
      <c r="S32" s="310">
        <f>IFERROR(__xludf.DUMMYFUNCTION("""COMPUTED_VALUE"""),0.0)</f>
        <v>0</v>
      </c>
      <c r="T32" s="310">
        <f>IFERROR(__xludf.DUMMYFUNCTION("""COMPUTED_VALUE"""),150.0)</f>
        <v>150</v>
      </c>
      <c r="U32" s="310">
        <f>IFERROR(__xludf.DUMMYFUNCTION("""COMPUTED_VALUE"""),0.0)</f>
        <v>0</v>
      </c>
      <c r="V32" s="310">
        <f>IFERROR(__xludf.DUMMYFUNCTION("""COMPUTED_VALUE"""),0.0)</f>
        <v>0</v>
      </c>
      <c r="W32" s="310">
        <f>IFERROR(__xludf.DUMMYFUNCTION("""COMPUTED_VALUE"""),0.0)</f>
        <v>0</v>
      </c>
      <c r="X32" s="310">
        <f>IFERROR(__xludf.DUMMYFUNCTION("""COMPUTED_VALUE"""),0.0)</f>
        <v>0</v>
      </c>
      <c r="Y32" s="310">
        <f>IFERROR(__xludf.DUMMYFUNCTION("""COMPUTED_VALUE"""),0.0)</f>
        <v>0</v>
      </c>
      <c r="Z32" s="310">
        <f>IFERROR(__xludf.DUMMYFUNCTION("""COMPUTED_VALUE"""),-150.0)</f>
        <v>-150</v>
      </c>
      <c r="AA32" s="310">
        <f>IFERROR(__xludf.DUMMYFUNCTION("""COMPUTED_VALUE"""),0.0)</f>
        <v>0</v>
      </c>
      <c r="AB32" s="310">
        <f>IFERROR(__xludf.DUMMYFUNCTION("""COMPUTED_VALUE"""),0.0)</f>
        <v>0</v>
      </c>
      <c r="AC32" s="310">
        <f>IFERROR(__xludf.DUMMYFUNCTION("""COMPUTED_VALUE"""),0.0)</f>
        <v>0</v>
      </c>
      <c r="AD32" s="310">
        <f>IFERROR(__xludf.DUMMYFUNCTION("""COMPUTED_VALUE"""),0.0)</f>
        <v>0</v>
      </c>
      <c r="AE32" s="310">
        <f>IFERROR(__xludf.DUMMYFUNCTION("""COMPUTED_VALUE"""),0.0)</f>
        <v>0</v>
      </c>
      <c r="AF32" s="310" t="str">
        <f>IFERROR(__xludf.DUMMYFUNCTION("""COMPUTED_VALUE"""),"-22.6732322,-43.2833074")</f>
        <v>-22.6732322,-43.2833074</v>
      </c>
      <c r="AG32" s="310">
        <f>IFERROR(__xludf.DUMMYFUNCTION("""COMPUTED_VALUE"""),0.0)</f>
        <v>0</v>
      </c>
      <c r="AH32" s="310">
        <f>IFERROR(__xludf.DUMMYFUNCTION("""COMPUTED_VALUE"""),0.0)</f>
        <v>0</v>
      </c>
      <c r="AI32" s="310">
        <f>IFERROR(__xludf.DUMMYFUNCTION("""COMPUTED_VALUE"""),0.0)</f>
        <v>0</v>
      </c>
      <c r="AJ32" s="310">
        <f>IFERROR(__xludf.DUMMYFUNCTION("ROWS(QUERY(Entregas_BD!D:AM,""select D where D ='""&amp;D32&amp;""'"",1))-1"),2.0)</f>
        <v>2</v>
      </c>
    </row>
    <row r="33" ht="22.5" customHeight="1">
      <c r="A33" s="311" t="str">
        <f>IFERROR(__xludf.DUMMYFUNCTION("""COMPUTED_VALUE"""),"")</f>
        <v/>
      </c>
      <c r="B33" s="311" t="str">
        <f>IFERROR(__xludf.DUMMYFUNCTION("""COMPUTED_VALUE"""),"")</f>
        <v/>
      </c>
      <c r="C33" s="311">
        <f>IFERROR(__xludf.DUMMYFUNCTION("""COMPUTED_VALUE"""),66.0)</f>
        <v>66</v>
      </c>
      <c r="D33" s="311" t="str">
        <f>IFERROR(__xludf.DUMMYFUNCTION("""COMPUTED_VALUE"""),"Hospital Estadual Alberto Torres")</f>
        <v>Hospital Estadual Alberto Torres</v>
      </c>
      <c r="E33" s="311" t="str">
        <f>IFERROR(__xludf.DUMMYFUNCTION("""COMPUTED_VALUE"""),"REGIAO METROPOLITANA")</f>
        <v>REGIAO METROPOLITANA</v>
      </c>
      <c r="F33" s="311" t="str">
        <f>IFERROR(__xludf.DUMMYFUNCTION("""COMPUTED_VALUE"""),"São Gonçalo")</f>
        <v>São Gonçalo</v>
      </c>
      <c r="G33" s="311" t="str">
        <f>IFERROR(__xludf.DUMMYFUNCTION("""COMPUTED_VALUE"""),"Colunbandê")</f>
        <v>Colunbandê</v>
      </c>
      <c r="H33" s="311" t="str">
        <f>IFERROR(__xludf.DUMMYFUNCTION("""COMPUTED_VALUE"""),"Referência - ALTA COMPLEXIDADE")</f>
        <v>Referência - ALTA COMPLEXIDADE</v>
      </c>
      <c r="I33" s="311" t="str">
        <f>IFERROR(__xludf.DUMMYFUNCTION("""COMPUTED_VALUE"""),"Público")</f>
        <v>Público</v>
      </c>
      <c r="J33" s="311" t="str">
        <f>IFERROR(__xludf.DUMMYFUNCTION("""COMPUTED_VALUE"""),"")</f>
        <v/>
      </c>
      <c r="K33" s="311" t="str">
        <f>IFERROR(__xludf.DUMMYFUNCTION("""COMPUTED_VALUE"""),"")</f>
        <v/>
      </c>
      <c r="L33" s="311" t="str">
        <f>IFERROR(__xludf.DUMMYFUNCTION("""COMPUTED_VALUE"""),"")</f>
        <v/>
      </c>
      <c r="M33" s="311" t="str">
        <f>IFERROR(__xludf.DUMMYFUNCTION("""COMPUTED_VALUE"""),"")</f>
        <v/>
      </c>
      <c r="N33" s="311">
        <f>IFERROR(__xludf.DUMMYFUNCTION("""COMPUTED_VALUE"""),0.0)</f>
        <v>0</v>
      </c>
      <c r="O33" s="311">
        <f>IFERROR(__xludf.DUMMYFUNCTION("""COMPUTED_VALUE"""),0.0)</f>
        <v>0</v>
      </c>
      <c r="P33" s="311">
        <f>IFERROR(__xludf.DUMMYFUNCTION("""COMPUTED_VALUE"""),0.0)</f>
        <v>0</v>
      </c>
      <c r="Q33" s="311">
        <f>IFERROR(__xludf.DUMMYFUNCTION("""COMPUTED_VALUE"""),0.0)</f>
        <v>0</v>
      </c>
      <c r="R33" s="311">
        <f>IFERROR(__xludf.DUMMYFUNCTION("""COMPUTED_VALUE"""),0.0)</f>
        <v>0</v>
      </c>
      <c r="S33" s="311">
        <f>IFERROR(__xludf.DUMMYFUNCTION("""COMPUTED_VALUE"""),0.0)</f>
        <v>0</v>
      </c>
      <c r="T33" s="311">
        <f>IFERROR(__xludf.DUMMYFUNCTION("""COMPUTED_VALUE"""),100.0)</f>
        <v>100</v>
      </c>
      <c r="U33" s="311">
        <f>IFERROR(__xludf.DUMMYFUNCTION("""COMPUTED_VALUE"""),0.0)</f>
        <v>0</v>
      </c>
      <c r="V33" s="311">
        <f>IFERROR(__xludf.DUMMYFUNCTION("""COMPUTED_VALUE"""),0.0)</f>
        <v>0</v>
      </c>
      <c r="W33" s="311">
        <f>IFERROR(__xludf.DUMMYFUNCTION("""COMPUTED_VALUE"""),0.0)</f>
        <v>0</v>
      </c>
      <c r="X33" s="311">
        <f>IFERROR(__xludf.DUMMYFUNCTION("""COMPUTED_VALUE"""),0.0)</f>
        <v>0</v>
      </c>
      <c r="Y33" s="311">
        <f>IFERROR(__xludf.DUMMYFUNCTION("""COMPUTED_VALUE"""),0.0)</f>
        <v>0</v>
      </c>
      <c r="Z33" s="311">
        <f>IFERROR(__xludf.DUMMYFUNCTION("""COMPUTED_VALUE"""),-100.0)</f>
        <v>-100</v>
      </c>
      <c r="AA33" s="311">
        <f>IFERROR(__xludf.DUMMYFUNCTION("""COMPUTED_VALUE"""),0.0)</f>
        <v>0</v>
      </c>
      <c r="AB33" s="311">
        <f>IFERROR(__xludf.DUMMYFUNCTION("""COMPUTED_VALUE"""),0.0)</f>
        <v>0</v>
      </c>
      <c r="AC33" s="311">
        <f>IFERROR(__xludf.DUMMYFUNCTION("""COMPUTED_VALUE"""),0.0)</f>
        <v>0</v>
      </c>
      <c r="AD33" s="311">
        <f>IFERROR(__xludf.DUMMYFUNCTION("""COMPUTED_VALUE"""),0.0)</f>
        <v>0</v>
      </c>
      <c r="AE33" s="311">
        <f>IFERROR(__xludf.DUMMYFUNCTION("""COMPUTED_VALUE"""),0.0)</f>
        <v>0</v>
      </c>
      <c r="AF33" s="311" t="str">
        <f>IFERROR(__xludf.DUMMYFUNCTION("""COMPUTED_VALUE"""),"-22.8384025,-43.0183652")</f>
        <v>-22.8384025,-43.0183652</v>
      </c>
      <c r="AG33" s="311">
        <f>IFERROR(__xludf.DUMMYFUNCTION("""COMPUTED_VALUE"""),0.0)</f>
        <v>0</v>
      </c>
      <c r="AH33" s="311">
        <f>IFERROR(__xludf.DUMMYFUNCTION("""COMPUTED_VALUE"""),0.0)</f>
        <v>0</v>
      </c>
      <c r="AI33" s="311">
        <f>IFERROR(__xludf.DUMMYFUNCTION("""COMPUTED_VALUE"""),0.0)</f>
        <v>0</v>
      </c>
      <c r="AJ33" s="311">
        <f>IFERROR(__xludf.DUMMYFUNCTION("ROWS(QUERY(Entregas_BD!D:AM,""select D where D ='""&amp;D33&amp;""'"",1))-1"),1.0)</f>
        <v>1</v>
      </c>
    </row>
    <row r="34" ht="22.5" customHeight="1">
      <c r="A34" s="310" t="str">
        <f>IFERROR(__xludf.DUMMYFUNCTION("""COMPUTED_VALUE"""),"")</f>
        <v/>
      </c>
      <c r="B34" s="310" t="str">
        <f>IFERROR(__xludf.DUMMYFUNCTION("""COMPUTED_VALUE"""),"")</f>
        <v/>
      </c>
      <c r="C34" s="310">
        <f>IFERROR(__xludf.DUMMYFUNCTION("""COMPUTED_VALUE"""),67.0)</f>
        <v>67</v>
      </c>
      <c r="D34" s="310" t="str">
        <f>IFERROR(__xludf.DUMMYFUNCTION("""COMPUTED_VALUE"""),"Hospital Estadual Azevedo Lima")</f>
        <v>Hospital Estadual Azevedo Lima</v>
      </c>
      <c r="E34" s="310" t="str">
        <f>IFERROR(__xludf.DUMMYFUNCTION("""COMPUTED_VALUE"""),"REGIAO METROPOLITANA")</f>
        <v>REGIAO METROPOLITANA</v>
      </c>
      <c r="F34" s="310" t="str">
        <f>IFERROR(__xludf.DUMMYFUNCTION("""COMPUTED_VALUE"""),"Niteroi")</f>
        <v>Niteroi</v>
      </c>
      <c r="G34" s="310" t="str">
        <f>IFERROR(__xludf.DUMMYFUNCTION("""COMPUTED_VALUE"""),"Fonseca")</f>
        <v>Fonseca</v>
      </c>
      <c r="H34" s="310" t="str">
        <f>IFERROR(__xludf.DUMMYFUNCTION("""COMPUTED_VALUE"""),"Referência - ALTA COMPLEXIDADE")</f>
        <v>Referência - ALTA COMPLEXIDADE</v>
      </c>
      <c r="I34" s="310" t="str">
        <f>IFERROR(__xludf.DUMMYFUNCTION("""COMPUTED_VALUE"""),"Público")</f>
        <v>Público</v>
      </c>
      <c r="J34" s="310" t="str">
        <f>IFERROR(__xludf.DUMMYFUNCTION("""COMPUTED_VALUE"""),"")</f>
        <v/>
      </c>
      <c r="K34" s="310" t="str">
        <f>IFERROR(__xludf.DUMMYFUNCTION("""COMPUTED_VALUE"""),"")</f>
        <v/>
      </c>
      <c r="L34" s="310" t="str">
        <f>IFERROR(__xludf.DUMMYFUNCTION("""COMPUTED_VALUE"""),"")</f>
        <v/>
      </c>
      <c r="M34" s="310" t="str">
        <f>IFERROR(__xludf.DUMMYFUNCTION("""COMPUTED_VALUE"""),"")</f>
        <v/>
      </c>
      <c r="N34" s="310">
        <f>IFERROR(__xludf.DUMMYFUNCTION("""COMPUTED_VALUE"""),0.0)</f>
        <v>0</v>
      </c>
      <c r="O34" s="310">
        <f>IFERROR(__xludf.DUMMYFUNCTION("""COMPUTED_VALUE"""),0.0)</f>
        <v>0</v>
      </c>
      <c r="P34" s="310">
        <f>IFERROR(__xludf.DUMMYFUNCTION("""COMPUTED_VALUE"""),0.0)</f>
        <v>0</v>
      </c>
      <c r="Q34" s="310">
        <f>IFERROR(__xludf.DUMMYFUNCTION("""COMPUTED_VALUE"""),0.0)</f>
        <v>0</v>
      </c>
      <c r="R34" s="310">
        <f>IFERROR(__xludf.DUMMYFUNCTION("""COMPUTED_VALUE"""),0.0)</f>
        <v>0</v>
      </c>
      <c r="S34" s="310">
        <f>IFERROR(__xludf.DUMMYFUNCTION("""COMPUTED_VALUE"""),0.0)</f>
        <v>0</v>
      </c>
      <c r="T34" s="310">
        <f>IFERROR(__xludf.DUMMYFUNCTION("""COMPUTED_VALUE"""),250.0)</f>
        <v>250</v>
      </c>
      <c r="U34" s="310">
        <f>IFERROR(__xludf.DUMMYFUNCTION("""COMPUTED_VALUE"""),0.0)</f>
        <v>0</v>
      </c>
      <c r="V34" s="310">
        <f>IFERROR(__xludf.DUMMYFUNCTION("""COMPUTED_VALUE"""),0.0)</f>
        <v>0</v>
      </c>
      <c r="W34" s="310">
        <f>IFERROR(__xludf.DUMMYFUNCTION("""COMPUTED_VALUE"""),0.0)</f>
        <v>0</v>
      </c>
      <c r="X34" s="310">
        <f>IFERROR(__xludf.DUMMYFUNCTION("""COMPUTED_VALUE"""),0.0)</f>
        <v>0</v>
      </c>
      <c r="Y34" s="310">
        <f>IFERROR(__xludf.DUMMYFUNCTION("""COMPUTED_VALUE"""),0.0)</f>
        <v>0</v>
      </c>
      <c r="Z34" s="310">
        <f>IFERROR(__xludf.DUMMYFUNCTION("""COMPUTED_VALUE"""),-250.0)</f>
        <v>-250</v>
      </c>
      <c r="AA34" s="310">
        <f>IFERROR(__xludf.DUMMYFUNCTION("""COMPUTED_VALUE"""),0.0)</f>
        <v>0</v>
      </c>
      <c r="AB34" s="310">
        <f>IFERROR(__xludf.DUMMYFUNCTION("""COMPUTED_VALUE"""),0.0)</f>
        <v>0</v>
      </c>
      <c r="AC34" s="310">
        <f>IFERROR(__xludf.DUMMYFUNCTION("""COMPUTED_VALUE"""),0.0)</f>
        <v>0</v>
      </c>
      <c r="AD34" s="310">
        <f>IFERROR(__xludf.DUMMYFUNCTION("""COMPUTED_VALUE"""),0.0)</f>
        <v>0</v>
      </c>
      <c r="AE34" s="310">
        <f>IFERROR(__xludf.DUMMYFUNCTION("""COMPUTED_VALUE"""),0.0)</f>
        <v>0</v>
      </c>
      <c r="AF34" s="310" t="str">
        <f>IFERROR(__xludf.DUMMYFUNCTION("""COMPUTED_VALUE"""),"-22.8810446,-43.0789078")</f>
        <v>-22.8810446,-43.0789078</v>
      </c>
      <c r="AG34" s="310">
        <f>IFERROR(__xludf.DUMMYFUNCTION("""COMPUTED_VALUE"""),0.0)</f>
        <v>0</v>
      </c>
      <c r="AH34" s="310">
        <f>IFERROR(__xludf.DUMMYFUNCTION("""COMPUTED_VALUE"""),0.0)</f>
        <v>0</v>
      </c>
      <c r="AI34" s="310">
        <f>IFERROR(__xludf.DUMMYFUNCTION("""COMPUTED_VALUE"""),0.0)</f>
        <v>0</v>
      </c>
      <c r="AJ34" s="310">
        <f>IFERROR(__xludf.DUMMYFUNCTION("ROWS(QUERY(Entregas_BD!D:AM,""select D where D ='""&amp;D34&amp;""'"",1))-1"),2.0)</f>
        <v>2</v>
      </c>
    </row>
    <row r="35" ht="22.5" customHeight="1">
      <c r="A35" s="311" t="str">
        <f>IFERROR(__xludf.DUMMYFUNCTION("""COMPUTED_VALUE"""),"")</f>
        <v/>
      </c>
      <c r="B35" s="311" t="str">
        <f>IFERROR(__xludf.DUMMYFUNCTION("""COMPUTED_VALUE"""),"")</f>
        <v/>
      </c>
      <c r="C35" s="311">
        <f>IFERROR(__xludf.DUMMYFUNCTION("""COMPUTED_VALUE"""),69.0)</f>
        <v>69</v>
      </c>
      <c r="D35" s="311" t="str">
        <f>IFERROR(__xludf.DUMMYFUNCTION("""COMPUTED_VALUE"""),"Hospital Estadual da Criança")</f>
        <v>Hospital Estadual da Criança</v>
      </c>
      <c r="E35" s="311" t="str">
        <f>IFERROR(__xludf.DUMMYFUNCTION("""COMPUTED_VALUE"""),"ZONA OESTE")</f>
        <v>ZONA OESTE</v>
      </c>
      <c r="F35" s="311" t="str">
        <f>IFERROR(__xludf.DUMMYFUNCTION("""COMPUTED_VALUE"""),"Rio de Janeiro")</f>
        <v>Rio de Janeiro</v>
      </c>
      <c r="G35" s="311" t="str">
        <f>IFERROR(__xludf.DUMMYFUNCTION("""COMPUTED_VALUE"""),"Vila valqueire")</f>
        <v>Vila valqueire</v>
      </c>
      <c r="H35" s="311" t="str">
        <f>IFERROR(__xludf.DUMMYFUNCTION("""COMPUTED_VALUE"""),"Referência - ALTA COMPLEXIDADE")</f>
        <v>Referência - ALTA COMPLEXIDADE</v>
      </c>
      <c r="I35" s="311" t="str">
        <f>IFERROR(__xludf.DUMMYFUNCTION("""COMPUTED_VALUE"""),"Público")</f>
        <v>Público</v>
      </c>
      <c r="J35" s="311" t="str">
        <f>IFERROR(__xludf.DUMMYFUNCTION("""COMPUTED_VALUE"""),"")</f>
        <v/>
      </c>
      <c r="K35" s="311" t="str">
        <f>IFERROR(__xludf.DUMMYFUNCTION("""COMPUTED_VALUE"""),"")</f>
        <v/>
      </c>
      <c r="L35" s="311" t="str">
        <f>IFERROR(__xludf.DUMMYFUNCTION("""COMPUTED_VALUE"""),"")</f>
        <v/>
      </c>
      <c r="M35" s="311" t="str">
        <f>IFERROR(__xludf.DUMMYFUNCTION("""COMPUTED_VALUE"""),"")</f>
        <v/>
      </c>
      <c r="N35" s="311">
        <f>IFERROR(__xludf.DUMMYFUNCTION("""COMPUTED_VALUE"""),0.0)</f>
        <v>0</v>
      </c>
      <c r="O35" s="311">
        <f>IFERROR(__xludf.DUMMYFUNCTION("""COMPUTED_VALUE"""),0.0)</f>
        <v>0</v>
      </c>
      <c r="P35" s="311">
        <f>IFERROR(__xludf.DUMMYFUNCTION("""COMPUTED_VALUE"""),0.0)</f>
        <v>0</v>
      </c>
      <c r="Q35" s="311">
        <f>IFERROR(__xludf.DUMMYFUNCTION("""COMPUTED_VALUE"""),0.0)</f>
        <v>0</v>
      </c>
      <c r="R35" s="311">
        <f>IFERROR(__xludf.DUMMYFUNCTION("""COMPUTED_VALUE"""),0.0)</f>
        <v>0</v>
      </c>
      <c r="S35" s="311">
        <f>IFERROR(__xludf.DUMMYFUNCTION("""COMPUTED_VALUE"""),0.0)</f>
        <v>0</v>
      </c>
      <c r="T35" s="311">
        <f>IFERROR(__xludf.DUMMYFUNCTION("""COMPUTED_VALUE"""),20.0)</f>
        <v>20</v>
      </c>
      <c r="U35" s="311">
        <f>IFERROR(__xludf.DUMMYFUNCTION("""COMPUTED_VALUE"""),0.0)</f>
        <v>0</v>
      </c>
      <c r="V35" s="311">
        <f>IFERROR(__xludf.DUMMYFUNCTION("""COMPUTED_VALUE"""),0.0)</f>
        <v>0</v>
      </c>
      <c r="W35" s="311">
        <f>IFERROR(__xludf.DUMMYFUNCTION("""COMPUTED_VALUE"""),0.0)</f>
        <v>0</v>
      </c>
      <c r="X35" s="311">
        <f>IFERROR(__xludf.DUMMYFUNCTION("""COMPUTED_VALUE"""),0.0)</f>
        <v>0</v>
      </c>
      <c r="Y35" s="311">
        <f>IFERROR(__xludf.DUMMYFUNCTION("""COMPUTED_VALUE"""),0.0)</f>
        <v>0</v>
      </c>
      <c r="Z35" s="311">
        <f>IFERROR(__xludf.DUMMYFUNCTION("""COMPUTED_VALUE"""),-20.0)</f>
        <v>-20</v>
      </c>
      <c r="AA35" s="311">
        <f>IFERROR(__xludf.DUMMYFUNCTION("""COMPUTED_VALUE"""),0.0)</f>
        <v>0</v>
      </c>
      <c r="AB35" s="311">
        <f>IFERROR(__xludf.DUMMYFUNCTION("""COMPUTED_VALUE"""),0.0)</f>
        <v>0</v>
      </c>
      <c r="AC35" s="311">
        <f>IFERROR(__xludf.DUMMYFUNCTION("""COMPUTED_VALUE"""),0.0)</f>
        <v>0</v>
      </c>
      <c r="AD35" s="311">
        <f>IFERROR(__xludf.DUMMYFUNCTION("""COMPUTED_VALUE"""),0.0)</f>
        <v>0</v>
      </c>
      <c r="AE35" s="311">
        <f>IFERROR(__xludf.DUMMYFUNCTION("""COMPUTED_VALUE"""),0.0)</f>
        <v>0</v>
      </c>
      <c r="AF35" s="311" t="str">
        <f>IFERROR(__xludf.DUMMYFUNCTION("""COMPUTED_VALUE"""),"-22.8851109,-43.3660894")</f>
        <v>-22.8851109,-43.3660894</v>
      </c>
      <c r="AG35" s="311">
        <f>IFERROR(__xludf.DUMMYFUNCTION("""COMPUTED_VALUE"""),0.0)</f>
        <v>0</v>
      </c>
      <c r="AH35" s="311">
        <f>IFERROR(__xludf.DUMMYFUNCTION("""COMPUTED_VALUE"""),0.0)</f>
        <v>0</v>
      </c>
      <c r="AI35" s="311">
        <f>IFERROR(__xludf.DUMMYFUNCTION("""COMPUTED_VALUE"""),0.0)</f>
        <v>0</v>
      </c>
      <c r="AJ35" s="311">
        <f>IFERROR(__xludf.DUMMYFUNCTION("ROWS(QUERY(Entregas_BD!D:AM,""select D where D ='""&amp;D35&amp;""'"",1))-1"),1.0)</f>
        <v>1</v>
      </c>
    </row>
    <row r="36" ht="22.5" customHeight="1">
      <c r="A36" s="310" t="str">
        <f>IFERROR(__xludf.DUMMYFUNCTION("""COMPUTED_VALUE"""),"")</f>
        <v/>
      </c>
      <c r="B36" s="310" t="str">
        <f>IFERROR(__xludf.DUMMYFUNCTION("""COMPUTED_VALUE"""),"")</f>
        <v/>
      </c>
      <c r="C36" s="310">
        <f>IFERROR(__xludf.DUMMYFUNCTION("""COMPUTED_VALUE"""),70.0)</f>
        <v>70</v>
      </c>
      <c r="D36" s="310" t="str">
        <f>IFERROR(__xludf.DUMMYFUNCTION("""COMPUTED_VALUE"""),"Hospital Estadual Getúlio Vargas")</f>
        <v>Hospital Estadual Getúlio Vargas</v>
      </c>
      <c r="E36" s="310" t="str">
        <f>IFERROR(__xludf.DUMMYFUNCTION("""COMPUTED_VALUE"""),"ZONA NORTE")</f>
        <v>ZONA NORTE</v>
      </c>
      <c r="F36" s="310" t="str">
        <f>IFERROR(__xludf.DUMMYFUNCTION("""COMPUTED_VALUE"""),"Rio de Janeiro")</f>
        <v>Rio de Janeiro</v>
      </c>
      <c r="G36" s="310" t="str">
        <f>IFERROR(__xludf.DUMMYFUNCTION("""COMPUTED_VALUE"""),"PENHA")</f>
        <v>PENHA</v>
      </c>
      <c r="H36" s="310" t="str">
        <f>IFERROR(__xludf.DUMMYFUNCTION("""COMPUTED_VALUE"""),"Referência - ALTA COMPLEXIDADE")</f>
        <v>Referência - ALTA COMPLEXIDADE</v>
      </c>
      <c r="I36" s="310" t="str">
        <f>IFERROR(__xludf.DUMMYFUNCTION("""COMPUTED_VALUE"""),"Público")</f>
        <v>Público</v>
      </c>
      <c r="J36" s="310" t="str">
        <f>IFERROR(__xludf.DUMMYFUNCTION("""COMPUTED_VALUE"""),"")</f>
        <v/>
      </c>
      <c r="K36" s="310" t="str">
        <f>IFERROR(__xludf.DUMMYFUNCTION("""COMPUTED_VALUE"""),"")</f>
        <v/>
      </c>
      <c r="L36" s="310" t="str">
        <f>IFERROR(__xludf.DUMMYFUNCTION("""COMPUTED_VALUE"""),"")</f>
        <v/>
      </c>
      <c r="M36" s="310" t="str">
        <f>IFERROR(__xludf.DUMMYFUNCTION("""COMPUTED_VALUE"""),"")</f>
        <v/>
      </c>
      <c r="N36" s="310">
        <f>IFERROR(__xludf.DUMMYFUNCTION("""COMPUTED_VALUE"""),0.0)</f>
        <v>0</v>
      </c>
      <c r="O36" s="310">
        <f>IFERROR(__xludf.DUMMYFUNCTION("""COMPUTED_VALUE"""),0.0)</f>
        <v>0</v>
      </c>
      <c r="P36" s="310">
        <f>IFERROR(__xludf.DUMMYFUNCTION("""COMPUTED_VALUE"""),0.0)</f>
        <v>0</v>
      </c>
      <c r="Q36" s="310">
        <f>IFERROR(__xludf.DUMMYFUNCTION("""COMPUTED_VALUE"""),0.0)</f>
        <v>0</v>
      </c>
      <c r="R36" s="310">
        <f>IFERROR(__xludf.DUMMYFUNCTION("""COMPUTED_VALUE"""),0.0)</f>
        <v>0</v>
      </c>
      <c r="S36" s="310">
        <f>IFERROR(__xludf.DUMMYFUNCTION("""COMPUTED_VALUE"""),0.0)</f>
        <v>0</v>
      </c>
      <c r="T36" s="310">
        <f>IFERROR(__xludf.DUMMYFUNCTION("""COMPUTED_VALUE"""),200.0)</f>
        <v>200</v>
      </c>
      <c r="U36" s="310">
        <f>IFERROR(__xludf.DUMMYFUNCTION("""COMPUTED_VALUE"""),0.0)</f>
        <v>0</v>
      </c>
      <c r="V36" s="310">
        <f>IFERROR(__xludf.DUMMYFUNCTION("""COMPUTED_VALUE"""),0.0)</f>
        <v>0</v>
      </c>
      <c r="W36" s="310">
        <f>IFERROR(__xludf.DUMMYFUNCTION("""COMPUTED_VALUE"""),0.0)</f>
        <v>0</v>
      </c>
      <c r="X36" s="310">
        <f>IFERROR(__xludf.DUMMYFUNCTION("""COMPUTED_VALUE"""),0.0)</f>
        <v>0</v>
      </c>
      <c r="Y36" s="310">
        <f>IFERROR(__xludf.DUMMYFUNCTION("""COMPUTED_VALUE"""),0.0)</f>
        <v>0</v>
      </c>
      <c r="Z36" s="310">
        <f>IFERROR(__xludf.DUMMYFUNCTION("""COMPUTED_VALUE"""),-200.0)</f>
        <v>-200</v>
      </c>
      <c r="AA36" s="310">
        <f>IFERROR(__xludf.DUMMYFUNCTION("""COMPUTED_VALUE"""),0.0)</f>
        <v>0</v>
      </c>
      <c r="AB36" s="310">
        <f>IFERROR(__xludf.DUMMYFUNCTION("""COMPUTED_VALUE"""),0.0)</f>
        <v>0</v>
      </c>
      <c r="AC36" s="310">
        <f>IFERROR(__xludf.DUMMYFUNCTION("""COMPUTED_VALUE"""),0.0)</f>
        <v>0</v>
      </c>
      <c r="AD36" s="310">
        <f>IFERROR(__xludf.DUMMYFUNCTION("""COMPUTED_VALUE"""),0.0)</f>
        <v>0</v>
      </c>
      <c r="AE36" s="310">
        <f>IFERROR(__xludf.DUMMYFUNCTION("""COMPUTED_VALUE"""),0.0)</f>
        <v>0</v>
      </c>
      <c r="AF36" s="310" t="str">
        <f>IFERROR(__xludf.DUMMYFUNCTION("""COMPUTED_VALUE"""),"-22.8389844,-43.284978")</f>
        <v>-22.8389844,-43.284978</v>
      </c>
      <c r="AG36" s="310">
        <f>IFERROR(__xludf.DUMMYFUNCTION("""COMPUTED_VALUE"""),0.0)</f>
        <v>0</v>
      </c>
      <c r="AH36" s="310">
        <f>IFERROR(__xludf.DUMMYFUNCTION("""COMPUTED_VALUE"""),0.0)</f>
        <v>0</v>
      </c>
      <c r="AI36" s="310">
        <f>IFERROR(__xludf.DUMMYFUNCTION("""COMPUTED_VALUE"""),0.0)</f>
        <v>0</v>
      </c>
      <c r="AJ36" s="310">
        <f>IFERROR(__xludf.DUMMYFUNCTION("ROWS(QUERY(Entregas_BD!D:AM,""select D where D ='""&amp;D36&amp;""'"",1))-1"),2.0)</f>
        <v>2</v>
      </c>
    </row>
    <row r="37" ht="22.5" customHeight="1">
      <c r="A37" s="311" t="str">
        <f>IFERROR(__xludf.DUMMYFUNCTION("""COMPUTED_VALUE"""),"")</f>
        <v/>
      </c>
      <c r="B37" s="311" t="str">
        <f>IFERROR(__xludf.DUMMYFUNCTION("""COMPUTED_VALUE"""),"")</f>
        <v/>
      </c>
      <c r="C37" s="311">
        <f>IFERROR(__xludf.DUMMYFUNCTION("""COMPUTED_VALUE"""),71.0)</f>
        <v>71</v>
      </c>
      <c r="D37" s="311" t="str">
        <f>IFERROR(__xludf.DUMMYFUNCTION("""COMPUTED_VALUE"""),"Hospital Estadual Getúlio Vargas")</f>
        <v>Hospital Estadual Getúlio Vargas</v>
      </c>
      <c r="E37" s="311" t="str">
        <f>IFERROR(__xludf.DUMMYFUNCTION("""COMPUTED_VALUE"""),"ZONA NORTE")</f>
        <v>ZONA NORTE</v>
      </c>
      <c r="F37" s="311" t="str">
        <f>IFERROR(__xludf.DUMMYFUNCTION("""COMPUTED_VALUE"""),"Rio de Janeiro")</f>
        <v>Rio de Janeiro</v>
      </c>
      <c r="G37" s="311" t="str">
        <f>IFERROR(__xludf.DUMMYFUNCTION("""COMPUTED_VALUE"""),"Penha")</f>
        <v>Penha</v>
      </c>
      <c r="H37" s="311" t="str">
        <f>IFERROR(__xludf.DUMMYFUNCTION("""COMPUTED_VALUE"""),"Referência - ALTA COMPLEXIDADE")</f>
        <v>Referência - ALTA COMPLEXIDADE</v>
      </c>
      <c r="I37" s="311" t="str">
        <f>IFERROR(__xludf.DUMMYFUNCTION("""COMPUTED_VALUE"""),"Público")</f>
        <v>Público</v>
      </c>
      <c r="J37" s="311" t="str">
        <f>IFERROR(__xludf.DUMMYFUNCTION("""COMPUTED_VALUE"""),"")</f>
        <v/>
      </c>
      <c r="K37" s="311" t="str">
        <f>IFERROR(__xludf.DUMMYFUNCTION("""COMPUTED_VALUE"""),"")</f>
        <v/>
      </c>
      <c r="L37" s="311" t="str">
        <f>IFERROR(__xludf.DUMMYFUNCTION("""COMPUTED_VALUE"""),"")</f>
        <v/>
      </c>
      <c r="M37" s="311" t="str">
        <f>IFERROR(__xludf.DUMMYFUNCTION("""COMPUTED_VALUE"""),"")</f>
        <v/>
      </c>
      <c r="N37" s="311">
        <f>IFERROR(__xludf.DUMMYFUNCTION("""COMPUTED_VALUE"""),0.0)</f>
        <v>0</v>
      </c>
      <c r="O37" s="311">
        <f>IFERROR(__xludf.DUMMYFUNCTION("""COMPUTED_VALUE"""),0.0)</f>
        <v>0</v>
      </c>
      <c r="P37" s="311">
        <f>IFERROR(__xludf.DUMMYFUNCTION("""COMPUTED_VALUE"""),0.0)</f>
        <v>0</v>
      </c>
      <c r="Q37" s="311">
        <f>IFERROR(__xludf.DUMMYFUNCTION("""COMPUTED_VALUE"""),0.0)</f>
        <v>0</v>
      </c>
      <c r="R37" s="311">
        <f>IFERROR(__xludf.DUMMYFUNCTION("""COMPUTED_VALUE"""),0.0)</f>
        <v>0</v>
      </c>
      <c r="S37" s="311">
        <f>IFERROR(__xludf.DUMMYFUNCTION("""COMPUTED_VALUE"""),0.0)</f>
        <v>0</v>
      </c>
      <c r="T37" s="311">
        <f>IFERROR(__xludf.DUMMYFUNCTION("""COMPUTED_VALUE"""),200.0)</f>
        <v>200</v>
      </c>
      <c r="U37" s="311">
        <f>IFERROR(__xludf.DUMMYFUNCTION("""COMPUTED_VALUE"""),0.0)</f>
        <v>0</v>
      </c>
      <c r="V37" s="311">
        <f>IFERROR(__xludf.DUMMYFUNCTION("""COMPUTED_VALUE"""),0.0)</f>
        <v>0</v>
      </c>
      <c r="W37" s="311">
        <f>IFERROR(__xludf.DUMMYFUNCTION("""COMPUTED_VALUE"""),0.0)</f>
        <v>0</v>
      </c>
      <c r="X37" s="311">
        <f>IFERROR(__xludf.DUMMYFUNCTION("""COMPUTED_VALUE"""),0.0)</f>
        <v>0</v>
      </c>
      <c r="Y37" s="311">
        <f>IFERROR(__xludf.DUMMYFUNCTION("""COMPUTED_VALUE"""),0.0)</f>
        <v>0</v>
      </c>
      <c r="Z37" s="311">
        <f>IFERROR(__xludf.DUMMYFUNCTION("""COMPUTED_VALUE"""),-200.0)</f>
        <v>-200</v>
      </c>
      <c r="AA37" s="311">
        <f>IFERROR(__xludf.DUMMYFUNCTION("""COMPUTED_VALUE"""),0.0)</f>
        <v>0</v>
      </c>
      <c r="AB37" s="311">
        <f>IFERROR(__xludf.DUMMYFUNCTION("""COMPUTED_VALUE"""),0.0)</f>
        <v>0</v>
      </c>
      <c r="AC37" s="311">
        <f>IFERROR(__xludf.DUMMYFUNCTION("""COMPUTED_VALUE"""),0.0)</f>
        <v>0</v>
      </c>
      <c r="AD37" s="311">
        <f>IFERROR(__xludf.DUMMYFUNCTION("""COMPUTED_VALUE"""),0.0)</f>
        <v>0</v>
      </c>
      <c r="AE37" s="311">
        <f>IFERROR(__xludf.DUMMYFUNCTION("""COMPUTED_VALUE"""),0.0)</f>
        <v>0</v>
      </c>
      <c r="AF37" s="311" t="str">
        <f>IFERROR(__xludf.DUMMYFUNCTION("""COMPUTED_VALUE"""),"-22.8389844,-43.284978")</f>
        <v>-22.8389844,-43.284978</v>
      </c>
      <c r="AG37" s="311">
        <f>IFERROR(__xludf.DUMMYFUNCTION("""COMPUTED_VALUE"""),0.0)</f>
        <v>0</v>
      </c>
      <c r="AH37" s="311">
        <f>IFERROR(__xludf.DUMMYFUNCTION("""COMPUTED_VALUE"""),0.0)</f>
        <v>0</v>
      </c>
      <c r="AI37" s="311">
        <f>IFERROR(__xludf.DUMMYFUNCTION("""COMPUTED_VALUE"""),0.0)</f>
        <v>0</v>
      </c>
      <c r="AJ37" s="311">
        <f>IFERROR(__xludf.DUMMYFUNCTION("ROWS(QUERY(Entregas_BD!D:AM,""select D where D ='""&amp;D37&amp;""'"",1))-1"),2.0)</f>
        <v>2</v>
      </c>
    </row>
    <row r="38" ht="22.5" customHeight="1">
      <c r="A38" s="310" t="str">
        <f>IFERROR(__xludf.DUMMYFUNCTION("""COMPUTED_VALUE"""),"")</f>
        <v/>
      </c>
      <c r="B38" s="310" t="str">
        <f>IFERROR(__xludf.DUMMYFUNCTION("""COMPUTED_VALUE"""),"")</f>
        <v/>
      </c>
      <c r="C38" s="310">
        <f>IFERROR(__xludf.DUMMYFUNCTION("""COMPUTED_VALUE"""),72.0)</f>
        <v>72</v>
      </c>
      <c r="D38" s="310" t="str">
        <f>IFERROR(__xludf.DUMMYFUNCTION("""COMPUTED_VALUE"""),"Hospital Estadual Santa Maria")</f>
        <v>Hospital Estadual Santa Maria</v>
      </c>
      <c r="E38" s="310" t="str">
        <f>IFERROR(__xludf.DUMMYFUNCTION("""COMPUTED_VALUE"""),"ZONA OESTE")</f>
        <v>ZONA OESTE</v>
      </c>
      <c r="F38" s="310" t="str">
        <f>IFERROR(__xludf.DUMMYFUNCTION("""COMPUTED_VALUE"""),"Rio de Janeiro")</f>
        <v>Rio de Janeiro</v>
      </c>
      <c r="G38" s="310" t="str">
        <f>IFERROR(__xludf.DUMMYFUNCTION("""COMPUTED_VALUE"""),"Jacarepagua")</f>
        <v>Jacarepagua</v>
      </c>
      <c r="H38" s="310" t="str">
        <f>IFERROR(__xludf.DUMMYFUNCTION("""COMPUTED_VALUE"""),"Grande emergência - MÉDIA COMPLEXIDADE")</f>
        <v>Grande emergência - MÉDIA COMPLEXIDADE</v>
      </c>
      <c r="I38" s="310" t="str">
        <f>IFERROR(__xludf.DUMMYFUNCTION("""COMPUTED_VALUE"""),"Público")</f>
        <v>Público</v>
      </c>
      <c r="J38" s="310" t="str">
        <f>IFERROR(__xludf.DUMMYFUNCTION("""COMPUTED_VALUE"""),"")</f>
        <v/>
      </c>
      <c r="K38" s="310" t="str">
        <f>IFERROR(__xludf.DUMMYFUNCTION("""COMPUTED_VALUE"""),"")</f>
        <v/>
      </c>
      <c r="L38" s="310" t="str">
        <f>IFERROR(__xludf.DUMMYFUNCTION("""COMPUTED_VALUE"""),"")</f>
        <v/>
      </c>
      <c r="M38" s="310" t="str">
        <f>IFERROR(__xludf.DUMMYFUNCTION("""COMPUTED_VALUE"""),"")</f>
        <v/>
      </c>
      <c r="N38" s="310">
        <f>IFERROR(__xludf.DUMMYFUNCTION("""COMPUTED_VALUE"""),0.0)</f>
        <v>0</v>
      </c>
      <c r="O38" s="310">
        <f>IFERROR(__xludf.DUMMYFUNCTION("""COMPUTED_VALUE"""),0.0)</f>
        <v>0</v>
      </c>
      <c r="P38" s="310">
        <f>IFERROR(__xludf.DUMMYFUNCTION("""COMPUTED_VALUE"""),0.0)</f>
        <v>0</v>
      </c>
      <c r="Q38" s="310">
        <f>IFERROR(__xludf.DUMMYFUNCTION("""COMPUTED_VALUE"""),0.0)</f>
        <v>0</v>
      </c>
      <c r="R38" s="310">
        <f>IFERROR(__xludf.DUMMYFUNCTION("""COMPUTED_VALUE"""),0.0)</f>
        <v>0</v>
      </c>
      <c r="S38" s="310">
        <f>IFERROR(__xludf.DUMMYFUNCTION("""COMPUTED_VALUE"""),0.0)</f>
        <v>0</v>
      </c>
      <c r="T38" s="310">
        <f>IFERROR(__xludf.DUMMYFUNCTION("""COMPUTED_VALUE"""),100.0)</f>
        <v>100</v>
      </c>
      <c r="U38" s="310">
        <f>IFERROR(__xludf.DUMMYFUNCTION("""COMPUTED_VALUE"""),0.0)</f>
        <v>0</v>
      </c>
      <c r="V38" s="310">
        <f>IFERROR(__xludf.DUMMYFUNCTION("""COMPUTED_VALUE"""),0.0)</f>
        <v>0</v>
      </c>
      <c r="W38" s="310">
        <f>IFERROR(__xludf.DUMMYFUNCTION("""COMPUTED_VALUE"""),0.0)</f>
        <v>0</v>
      </c>
      <c r="X38" s="310">
        <f>IFERROR(__xludf.DUMMYFUNCTION("""COMPUTED_VALUE"""),0.0)</f>
        <v>0</v>
      </c>
      <c r="Y38" s="310">
        <f>IFERROR(__xludf.DUMMYFUNCTION("""COMPUTED_VALUE"""),0.0)</f>
        <v>0</v>
      </c>
      <c r="Z38" s="310">
        <f>IFERROR(__xludf.DUMMYFUNCTION("""COMPUTED_VALUE"""),-100.0)</f>
        <v>-100</v>
      </c>
      <c r="AA38" s="310">
        <f>IFERROR(__xludf.DUMMYFUNCTION("""COMPUTED_VALUE"""),0.0)</f>
        <v>0</v>
      </c>
      <c r="AB38" s="310">
        <f>IFERROR(__xludf.DUMMYFUNCTION("""COMPUTED_VALUE"""),0.0)</f>
        <v>0</v>
      </c>
      <c r="AC38" s="310">
        <f>IFERROR(__xludf.DUMMYFUNCTION("""COMPUTED_VALUE"""),0.0)</f>
        <v>0</v>
      </c>
      <c r="AD38" s="310">
        <f>IFERROR(__xludf.DUMMYFUNCTION("""COMPUTED_VALUE"""),0.0)</f>
        <v>0</v>
      </c>
      <c r="AE38" s="310">
        <f>IFERROR(__xludf.DUMMYFUNCTION("""COMPUTED_VALUE"""),0.0)</f>
        <v>0</v>
      </c>
      <c r="AF38" s="310" t="str">
        <f>IFERROR(__xludf.DUMMYFUNCTION("""COMPUTED_VALUE"""),"-22.9135377,-43.419114")</f>
        <v>-22.9135377,-43.419114</v>
      </c>
      <c r="AG38" s="310">
        <f>IFERROR(__xludf.DUMMYFUNCTION("""COMPUTED_VALUE"""),0.0)</f>
        <v>0</v>
      </c>
      <c r="AH38" s="310">
        <f>IFERROR(__xludf.DUMMYFUNCTION("""COMPUTED_VALUE"""),0.0)</f>
        <v>0</v>
      </c>
      <c r="AI38" s="310">
        <f>IFERROR(__xludf.DUMMYFUNCTION("""COMPUTED_VALUE"""),0.0)</f>
        <v>0</v>
      </c>
      <c r="AJ38" s="310">
        <f>IFERROR(__xludf.DUMMYFUNCTION("ROWS(QUERY(Entregas_BD!D:AM,""select D where D ='""&amp;D38&amp;""'"",1))-1"),1.0)</f>
        <v>1</v>
      </c>
    </row>
    <row r="39" ht="22.5" customHeight="1">
      <c r="A39" s="311" t="str">
        <f>IFERROR(__xludf.DUMMYFUNCTION("""COMPUTED_VALUE"""),"")</f>
        <v/>
      </c>
      <c r="B39" s="311" t="str">
        <f>IFERROR(__xludf.DUMMYFUNCTION("""COMPUTED_VALUE"""),"")</f>
        <v/>
      </c>
      <c r="C39" s="311">
        <f>IFERROR(__xludf.DUMMYFUNCTION("""COMPUTED_VALUE"""),73.0)</f>
        <v>73</v>
      </c>
      <c r="D39" s="311" t="str">
        <f>IFERROR(__xludf.DUMMYFUNCTION("""COMPUTED_VALUE"""),"Hospital Federal Cardoso Fontes")</f>
        <v>Hospital Federal Cardoso Fontes</v>
      </c>
      <c r="E39" s="311" t="str">
        <f>IFERROR(__xludf.DUMMYFUNCTION("""COMPUTED_VALUE"""),"ZONA OESTE")</f>
        <v>ZONA OESTE</v>
      </c>
      <c r="F39" s="311" t="str">
        <f>IFERROR(__xludf.DUMMYFUNCTION("""COMPUTED_VALUE"""),"Rio de Janeiro")</f>
        <v>Rio de Janeiro</v>
      </c>
      <c r="G39" s="311" t="str">
        <f>IFERROR(__xludf.DUMMYFUNCTION("""COMPUTED_VALUE"""),"Freguesia - RJ")</f>
        <v>Freguesia - RJ</v>
      </c>
      <c r="H39" s="311" t="str">
        <f>IFERROR(__xludf.DUMMYFUNCTION("""COMPUTED_VALUE"""),"Referência - ALTA COMPLEXIDADE")</f>
        <v>Referência - ALTA COMPLEXIDADE</v>
      </c>
      <c r="I39" s="311" t="str">
        <f>IFERROR(__xludf.DUMMYFUNCTION("""COMPUTED_VALUE"""),"Público")</f>
        <v>Público</v>
      </c>
      <c r="J39" s="311" t="str">
        <f>IFERROR(__xludf.DUMMYFUNCTION("""COMPUTED_VALUE"""),"")</f>
        <v/>
      </c>
      <c r="K39" s="311" t="str">
        <f>IFERROR(__xludf.DUMMYFUNCTION("""COMPUTED_VALUE"""),"")</f>
        <v/>
      </c>
      <c r="L39" s="311" t="str">
        <f>IFERROR(__xludf.DUMMYFUNCTION("""COMPUTED_VALUE"""),"")</f>
        <v/>
      </c>
      <c r="M39" s="311" t="str">
        <f>IFERROR(__xludf.DUMMYFUNCTION("""COMPUTED_VALUE"""),"")</f>
        <v/>
      </c>
      <c r="N39" s="311">
        <f>IFERROR(__xludf.DUMMYFUNCTION("""COMPUTED_VALUE"""),0.0)</f>
        <v>0</v>
      </c>
      <c r="O39" s="311">
        <f>IFERROR(__xludf.DUMMYFUNCTION("""COMPUTED_VALUE"""),0.0)</f>
        <v>0</v>
      </c>
      <c r="P39" s="311">
        <f>IFERROR(__xludf.DUMMYFUNCTION("""COMPUTED_VALUE"""),0.0)</f>
        <v>0</v>
      </c>
      <c r="Q39" s="311">
        <f>IFERROR(__xludf.DUMMYFUNCTION("""COMPUTED_VALUE"""),0.0)</f>
        <v>0</v>
      </c>
      <c r="R39" s="311">
        <f>IFERROR(__xludf.DUMMYFUNCTION("""COMPUTED_VALUE"""),0.0)</f>
        <v>0</v>
      </c>
      <c r="S39" s="311">
        <f>IFERROR(__xludf.DUMMYFUNCTION("""COMPUTED_VALUE"""),0.0)</f>
        <v>0</v>
      </c>
      <c r="T39" s="311">
        <f>IFERROR(__xludf.DUMMYFUNCTION("""COMPUTED_VALUE"""),300.0)</f>
        <v>300</v>
      </c>
      <c r="U39" s="311">
        <f>IFERROR(__xludf.DUMMYFUNCTION("""COMPUTED_VALUE"""),0.0)</f>
        <v>0</v>
      </c>
      <c r="V39" s="311">
        <f>IFERROR(__xludf.DUMMYFUNCTION("""COMPUTED_VALUE"""),0.0)</f>
        <v>0</v>
      </c>
      <c r="W39" s="311">
        <f>IFERROR(__xludf.DUMMYFUNCTION("""COMPUTED_VALUE"""),0.0)</f>
        <v>0</v>
      </c>
      <c r="X39" s="311">
        <f>IFERROR(__xludf.DUMMYFUNCTION("""COMPUTED_VALUE"""),0.0)</f>
        <v>0</v>
      </c>
      <c r="Y39" s="311">
        <f>IFERROR(__xludf.DUMMYFUNCTION("""COMPUTED_VALUE"""),0.0)</f>
        <v>0</v>
      </c>
      <c r="Z39" s="311">
        <f>IFERROR(__xludf.DUMMYFUNCTION("""COMPUTED_VALUE"""),-300.0)</f>
        <v>-300</v>
      </c>
      <c r="AA39" s="311">
        <f>IFERROR(__xludf.DUMMYFUNCTION("""COMPUTED_VALUE"""),0.0)</f>
        <v>0</v>
      </c>
      <c r="AB39" s="311">
        <f>IFERROR(__xludf.DUMMYFUNCTION("""COMPUTED_VALUE"""),0.0)</f>
        <v>0</v>
      </c>
      <c r="AC39" s="311">
        <f>IFERROR(__xludf.DUMMYFUNCTION("""COMPUTED_VALUE"""),0.0)</f>
        <v>0</v>
      </c>
      <c r="AD39" s="311">
        <f>IFERROR(__xludf.DUMMYFUNCTION("""COMPUTED_VALUE"""),0.0)</f>
        <v>0</v>
      </c>
      <c r="AE39" s="311">
        <f>IFERROR(__xludf.DUMMYFUNCTION("""COMPUTED_VALUE"""),0.0)</f>
        <v>0</v>
      </c>
      <c r="AF39" s="311" t="str">
        <f>IFERROR(__xludf.DUMMYFUNCTION("""COMPUTED_VALUE"""),"-22.9258421,-43.3163108")</f>
        <v>-22.9258421,-43.3163108</v>
      </c>
      <c r="AG39" s="311">
        <f>IFERROR(__xludf.DUMMYFUNCTION("""COMPUTED_VALUE"""),0.0)</f>
        <v>0</v>
      </c>
      <c r="AH39" s="311">
        <f>IFERROR(__xludf.DUMMYFUNCTION("""COMPUTED_VALUE"""),0.0)</f>
        <v>0</v>
      </c>
      <c r="AI39" s="311">
        <f>IFERROR(__xludf.DUMMYFUNCTION("""COMPUTED_VALUE"""),0.0)</f>
        <v>0</v>
      </c>
      <c r="AJ39" s="311">
        <f>IFERROR(__xludf.DUMMYFUNCTION("ROWS(QUERY(Entregas_BD!D:AM,""select D where D ='""&amp;D39&amp;""'"",1))-1"),1.0)</f>
        <v>1</v>
      </c>
    </row>
    <row r="40" ht="22.5" customHeight="1">
      <c r="A40" s="310" t="str">
        <f>IFERROR(__xludf.DUMMYFUNCTION("""COMPUTED_VALUE"""),"")</f>
        <v/>
      </c>
      <c r="B40" s="310" t="str">
        <f>IFERROR(__xludf.DUMMYFUNCTION("""COMPUTED_VALUE"""),"")</f>
        <v/>
      </c>
      <c r="C40" s="310">
        <f>IFERROR(__xludf.DUMMYFUNCTION("""COMPUTED_VALUE"""),74.0)</f>
        <v>74</v>
      </c>
      <c r="D40" s="310" t="str">
        <f>IFERROR(__xludf.DUMMYFUNCTION("""COMPUTED_VALUE"""),"Hospital Federal da Lagoa")</f>
        <v>Hospital Federal da Lagoa</v>
      </c>
      <c r="E40" s="310" t="str">
        <f>IFERROR(__xludf.DUMMYFUNCTION("""COMPUTED_VALUE"""),"ZONA SUL")</f>
        <v>ZONA SUL</v>
      </c>
      <c r="F40" s="310" t="str">
        <f>IFERROR(__xludf.DUMMYFUNCTION("""COMPUTED_VALUE"""),"Rio de Janeiro")</f>
        <v>Rio de Janeiro</v>
      </c>
      <c r="G40" s="310" t="str">
        <f>IFERROR(__xludf.DUMMYFUNCTION("""COMPUTED_VALUE"""),"Jardim Botanico")</f>
        <v>Jardim Botanico</v>
      </c>
      <c r="H40" s="310" t="str">
        <f>IFERROR(__xludf.DUMMYFUNCTION("""COMPUTED_VALUE"""),"Grande emergência - MÉDIA COMPLEXIDADE")</f>
        <v>Grande emergência - MÉDIA COMPLEXIDADE</v>
      </c>
      <c r="I40" s="310" t="str">
        <f>IFERROR(__xludf.DUMMYFUNCTION("""COMPUTED_VALUE"""),"Público")</f>
        <v>Público</v>
      </c>
      <c r="J40" s="310" t="str">
        <f>IFERROR(__xludf.DUMMYFUNCTION("""COMPUTED_VALUE"""),"")</f>
        <v/>
      </c>
      <c r="K40" s="310" t="str">
        <f>IFERROR(__xludf.DUMMYFUNCTION("""COMPUTED_VALUE"""),"")</f>
        <v/>
      </c>
      <c r="L40" s="310" t="str">
        <f>IFERROR(__xludf.DUMMYFUNCTION("""COMPUTED_VALUE"""),"")</f>
        <v/>
      </c>
      <c r="M40" s="310" t="str">
        <f>IFERROR(__xludf.DUMMYFUNCTION("""COMPUTED_VALUE"""),"")</f>
        <v/>
      </c>
      <c r="N40" s="310">
        <f>IFERROR(__xludf.DUMMYFUNCTION("""COMPUTED_VALUE"""),0.0)</f>
        <v>0</v>
      </c>
      <c r="O40" s="310">
        <f>IFERROR(__xludf.DUMMYFUNCTION("""COMPUTED_VALUE"""),0.0)</f>
        <v>0</v>
      </c>
      <c r="P40" s="310">
        <f>IFERROR(__xludf.DUMMYFUNCTION("""COMPUTED_VALUE"""),0.0)</f>
        <v>0</v>
      </c>
      <c r="Q40" s="310">
        <f>IFERROR(__xludf.DUMMYFUNCTION("""COMPUTED_VALUE"""),0.0)</f>
        <v>0</v>
      </c>
      <c r="R40" s="310">
        <f>IFERROR(__xludf.DUMMYFUNCTION("""COMPUTED_VALUE"""),0.0)</f>
        <v>0</v>
      </c>
      <c r="S40" s="310">
        <f>IFERROR(__xludf.DUMMYFUNCTION("""COMPUTED_VALUE"""),0.0)</f>
        <v>0</v>
      </c>
      <c r="T40" s="310">
        <f>IFERROR(__xludf.DUMMYFUNCTION("""COMPUTED_VALUE"""),255.0)</f>
        <v>255</v>
      </c>
      <c r="U40" s="310">
        <f>IFERROR(__xludf.DUMMYFUNCTION("""COMPUTED_VALUE"""),0.0)</f>
        <v>0</v>
      </c>
      <c r="V40" s="310">
        <f>IFERROR(__xludf.DUMMYFUNCTION("""COMPUTED_VALUE"""),0.0)</f>
        <v>0</v>
      </c>
      <c r="W40" s="310">
        <f>IFERROR(__xludf.DUMMYFUNCTION("""COMPUTED_VALUE"""),0.0)</f>
        <v>0</v>
      </c>
      <c r="X40" s="310">
        <f>IFERROR(__xludf.DUMMYFUNCTION("""COMPUTED_VALUE"""),0.0)</f>
        <v>0</v>
      </c>
      <c r="Y40" s="310">
        <f>IFERROR(__xludf.DUMMYFUNCTION("""COMPUTED_VALUE"""),0.0)</f>
        <v>0</v>
      </c>
      <c r="Z40" s="310">
        <f>IFERROR(__xludf.DUMMYFUNCTION("""COMPUTED_VALUE"""),-255.0)</f>
        <v>-255</v>
      </c>
      <c r="AA40" s="310">
        <f>IFERROR(__xludf.DUMMYFUNCTION("""COMPUTED_VALUE"""),0.0)</f>
        <v>0</v>
      </c>
      <c r="AB40" s="310">
        <f>IFERROR(__xludf.DUMMYFUNCTION("""COMPUTED_VALUE"""),0.0)</f>
        <v>0</v>
      </c>
      <c r="AC40" s="310">
        <f>IFERROR(__xludf.DUMMYFUNCTION("""COMPUTED_VALUE"""),0.0)</f>
        <v>0</v>
      </c>
      <c r="AD40" s="310">
        <f>IFERROR(__xludf.DUMMYFUNCTION("""COMPUTED_VALUE"""),0.0)</f>
        <v>0</v>
      </c>
      <c r="AE40" s="310">
        <f>IFERROR(__xludf.DUMMYFUNCTION("""COMPUTED_VALUE"""),0.0)</f>
        <v>0</v>
      </c>
      <c r="AF40" s="310" t="str">
        <f>IFERROR(__xludf.DUMMYFUNCTION("""COMPUTED_VALUE"""),"-22.9636854,-43.2155559")</f>
        <v>-22.9636854,-43.2155559</v>
      </c>
      <c r="AG40" s="310">
        <f>IFERROR(__xludf.DUMMYFUNCTION("""COMPUTED_VALUE"""),0.0)</f>
        <v>0</v>
      </c>
      <c r="AH40" s="310">
        <f>IFERROR(__xludf.DUMMYFUNCTION("""COMPUTED_VALUE"""),0.0)</f>
        <v>0</v>
      </c>
      <c r="AI40" s="310">
        <f>IFERROR(__xludf.DUMMYFUNCTION("""COMPUTED_VALUE"""),0.0)</f>
        <v>0</v>
      </c>
      <c r="AJ40" s="310">
        <f>IFERROR(__xludf.DUMMYFUNCTION("ROWS(QUERY(Entregas_BD!D:AM,""select D where D ='""&amp;D40&amp;""'"",1))-1"),3.0)</f>
        <v>3</v>
      </c>
    </row>
    <row r="41" ht="22.5" customHeight="1">
      <c r="A41" s="311" t="str">
        <f>IFERROR(__xludf.DUMMYFUNCTION("""COMPUTED_VALUE"""),"")</f>
        <v/>
      </c>
      <c r="B41" s="311" t="str">
        <f>IFERROR(__xludf.DUMMYFUNCTION("""COMPUTED_VALUE"""),"")</f>
        <v/>
      </c>
      <c r="C41" s="311">
        <f>IFERROR(__xludf.DUMMYFUNCTION("""COMPUTED_VALUE"""),75.0)</f>
        <v>75</v>
      </c>
      <c r="D41" s="311" t="str">
        <f>IFERROR(__xludf.DUMMYFUNCTION("""COMPUTED_VALUE"""),"Hospital Federal de Ipanema")</f>
        <v>Hospital Federal de Ipanema</v>
      </c>
      <c r="E41" s="311" t="str">
        <f>IFERROR(__xludf.DUMMYFUNCTION("""COMPUTED_VALUE"""),"ZONA SUL")</f>
        <v>ZONA SUL</v>
      </c>
      <c r="F41" s="311" t="str">
        <f>IFERROR(__xludf.DUMMYFUNCTION("""COMPUTED_VALUE"""),"Rio de Janeiro")</f>
        <v>Rio de Janeiro</v>
      </c>
      <c r="G41" s="311" t="str">
        <f>IFERROR(__xludf.DUMMYFUNCTION("""COMPUTED_VALUE"""),"Ipanema")</f>
        <v>Ipanema</v>
      </c>
      <c r="H41" s="311" t="str">
        <f>IFERROR(__xludf.DUMMYFUNCTION("""COMPUTED_VALUE"""),"Grande emergência - MÉDIA COMPLEXIDADE")</f>
        <v>Grande emergência - MÉDIA COMPLEXIDADE</v>
      </c>
      <c r="I41" s="311" t="str">
        <f>IFERROR(__xludf.DUMMYFUNCTION("""COMPUTED_VALUE"""),"Público")</f>
        <v>Público</v>
      </c>
      <c r="J41" s="311" t="str">
        <f>IFERROR(__xludf.DUMMYFUNCTION("""COMPUTED_VALUE"""),"")</f>
        <v/>
      </c>
      <c r="K41" s="311" t="str">
        <f>IFERROR(__xludf.DUMMYFUNCTION("""COMPUTED_VALUE"""),"")</f>
        <v/>
      </c>
      <c r="L41" s="311" t="str">
        <f>IFERROR(__xludf.DUMMYFUNCTION("""COMPUTED_VALUE"""),"")</f>
        <v/>
      </c>
      <c r="M41" s="311" t="str">
        <f>IFERROR(__xludf.DUMMYFUNCTION("""COMPUTED_VALUE"""),"")</f>
        <v/>
      </c>
      <c r="N41" s="311">
        <f>IFERROR(__xludf.DUMMYFUNCTION("""COMPUTED_VALUE"""),0.0)</f>
        <v>0</v>
      </c>
      <c r="O41" s="311">
        <f>IFERROR(__xludf.DUMMYFUNCTION("""COMPUTED_VALUE"""),0.0)</f>
        <v>0</v>
      </c>
      <c r="P41" s="311">
        <f>IFERROR(__xludf.DUMMYFUNCTION("""COMPUTED_VALUE"""),0.0)</f>
        <v>0</v>
      </c>
      <c r="Q41" s="311">
        <f>IFERROR(__xludf.DUMMYFUNCTION("""COMPUTED_VALUE"""),0.0)</f>
        <v>0</v>
      </c>
      <c r="R41" s="311">
        <f>IFERROR(__xludf.DUMMYFUNCTION("""COMPUTED_VALUE"""),0.0)</f>
        <v>0</v>
      </c>
      <c r="S41" s="311">
        <f>IFERROR(__xludf.DUMMYFUNCTION("""COMPUTED_VALUE"""),0.0)</f>
        <v>0</v>
      </c>
      <c r="T41" s="311">
        <f>IFERROR(__xludf.DUMMYFUNCTION("""COMPUTED_VALUE"""),150.0)</f>
        <v>150</v>
      </c>
      <c r="U41" s="311">
        <f>IFERROR(__xludf.DUMMYFUNCTION("""COMPUTED_VALUE"""),0.0)</f>
        <v>0</v>
      </c>
      <c r="V41" s="311">
        <f>IFERROR(__xludf.DUMMYFUNCTION("""COMPUTED_VALUE"""),0.0)</f>
        <v>0</v>
      </c>
      <c r="W41" s="311">
        <f>IFERROR(__xludf.DUMMYFUNCTION("""COMPUTED_VALUE"""),0.0)</f>
        <v>0</v>
      </c>
      <c r="X41" s="311">
        <f>IFERROR(__xludf.DUMMYFUNCTION("""COMPUTED_VALUE"""),0.0)</f>
        <v>0</v>
      </c>
      <c r="Y41" s="311">
        <f>IFERROR(__xludf.DUMMYFUNCTION("""COMPUTED_VALUE"""),0.0)</f>
        <v>0</v>
      </c>
      <c r="Z41" s="311">
        <f>IFERROR(__xludf.DUMMYFUNCTION("""COMPUTED_VALUE"""),-150.0)</f>
        <v>-150</v>
      </c>
      <c r="AA41" s="311">
        <f>IFERROR(__xludf.DUMMYFUNCTION("""COMPUTED_VALUE"""),0.0)</f>
        <v>0</v>
      </c>
      <c r="AB41" s="311">
        <f>IFERROR(__xludf.DUMMYFUNCTION("""COMPUTED_VALUE"""),0.0)</f>
        <v>0</v>
      </c>
      <c r="AC41" s="311">
        <f>IFERROR(__xludf.DUMMYFUNCTION("""COMPUTED_VALUE"""),0.0)</f>
        <v>0</v>
      </c>
      <c r="AD41" s="311">
        <f>IFERROR(__xludf.DUMMYFUNCTION("""COMPUTED_VALUE"""),0.0)</f>
        <v>0</v>
      </c>
      <c r="AE41" s="311">
        <f>IFERROR(__xludf.DUMMYFUNCTION("""COMPUTED_VALUE"""),0.0)</f>
        <v>0</v>
      </c>
      <c r="AF41" s="311" t="str">
        <f>IFERROR(__xludf.DUMMYFUNCTION("""COMPUTED_VALUE"""),"-22.9839749,-43.1958259")</f>
        <v>-22.9839749,-43.1958259</v>
      </c>
      <c r="AG41" s="311">
        <f>IFERROR(__xludf.DUMMYFUNCTION("""COMPUTED_VALUE"""),0.0)</f>
        <v>0</v>
      </c>
      <c r="AH41" s="311">
        <f>IFERROR(__xludf.DUMMYFUNCTION("""COMPUTED_VALUE"""),0.0)</f>
        <v>0</v>
      </c>
      <c r="AI41" s="311">
        <f>IFERROR(__xludf.DUMMYFUNCTION("""COMPUTED_VALUE"""),0.0)</f>
        <v>0</v>
      </c>
      <c r="AJ41" s="311">
        <f>IFERROR(__xludf.DUMMYFUNCTION("ROWS(QUERY(Entregas_BD!D:AM,""select D where D ='""&amp;D41&amp;""'"",1))-1"),4.0)</f>
        <v>4</v>
      </c>
    </row>
    <row r="42" ht="22.5" customHeight="1">
      <c r="A42" s="310" t="str">
        <f>IFERROR(__xludf.DUMMYFUNCTION("""COMPUTED_VALUE"""),"")</f>
        <v/>
      </c>
      <c r="B42" s="310" t="str">
        <f>IFERROR(__xludf.DUMMYFUNCTION("""COMPUTED_VALUE"""),"")</f>
        <v/>
      </c>
      <c r="C42" s="310">
        <f>IFERROR(__xludf.DUMMYFUNCTION("""COMPUTED_VALUE"""),76.0)</f>
        <v>76</v>
      </c>
      <c r="D42" s="310" t="str">
        <f>IFERROR(__xludf.DUMMYFUNCTION("""COMPUTED_VALUE"""),"Hospital Federal dos Servidores do Estado")</f>
        <v>Hospital Federal dos Servidores do Estado</v>
      </c>
      <c r="E42" s="310" t="str">
        <f>IFERROR(__xludf.DUMMYFUNCTION("""COMPUTED_VALUE"""),"CENTRO")</f>
        <v>CENTRO</v>
      </c>
      <c r="F42" s="310" t="str">
        <f>IFERROR(__xludf.DUMMYFUNCTION("""COMPUTED_VALUE"""),"Rio de Janeiro")</f>
        <v>Rio de Janeiro</v>
      </c>
      <c r="G42" s="310" t="str">
        <f>IFERROR(__xludf.DUMMYFUNCTION("""COMPUTED_VALUE"""),"Gamboa")</f>
        <v>Gamboa</v>
      </c>
      <c r="H42" s="310" t="str">
        <f>IFERROR(__xludf.DUMMYFUNCTION("""COMPUTED_VALUE"""),"Grande emergência - MÉDIA COMPLEXIDADE")</f>
        <v>Grande emergência - MÉDIA COMPLEXIDADE</v>
      </c>
      <c r="I42" s="310" t="str">
        <f>IFERROR(__xludf.DUMMYFUNCTION("""COMPUTED_VALUE"""),"Público")</f>
        <v>Público</v>
      </c>
      <c r="J42" s="310" t="str">
        <f>IFERROR(__xludf.DUMMYFUNCTION("""COMPUTED_VALUE"""),"")</f>
        <v/>
      </c>
      <c r="K42" s="310" t="str">
        <f>IFERROR(__xludf.DUMMYFUNCTION("""COMPUTED_VALUE"""),"")</f>
        <v/>
      </c>
      <c r="L42" s="310" t="str">
        <f>IFERROR(__xludf.DUMMYFUNCTION("""COMPUTED_VALUE"""),"")</f>
        <v/>
      </c>
      <c r="M42" s="310" t="str">
        <f>IFERROR(__xludf.DUMMYFUNCTION("""COMPUTED_VALUE"""),"")</f>
        <v/>
      </c>
      <c r="N42" s="310">
        <f>IFERROR(__xludf.DUMMYFUNCTION("""COMPUTED_VALUE"""),0.0)</f>
        <v>0</v>
      </c>
      <c r="O42" s="310">
        <f>IFERROR(__xludf.DUMMYFUNCTION("""COMPUTED_VALUE"""),0.0)</f>
        <v>0</v>
      </c>
      <c r="P42" s="310">
        <f>IFERROR(__xludf.DUMMYFUNCTION("""COMPUTED_VALUE"""),0.0)</f>
        <v>0</v>
      </c>
      <c r="Q42" s="310">
        <f>IFERROR(__xludf.DUMMYFUNCTION("""COMPUTED_VALUE"""),0.0)</f>
        <v>0</v>
      </c>
      <c r="R42" s="310">
        <f>IFERROR(__xludf.DUMMYFUNCTION("""COMPUTED_VALUE"""),0.0)</f>
        <v>0</v>
      </c>
      <c r="S42" s="310">
        <f>IFERROR(__xludf.DUMMYFUNCTION("""COMPUTED_VALUE"""),0.0)</f>
        <v>0</v>
      </c>
      <c r="T42" s="310">
        <f>IFERROR(__xludf.DUMMYFUNCTION("""COMPUTED_VALUE"""),200.0)</f>
        <v>200</v>
      </c>
      <c r="U42" s="310">
        <f>IFERROR(__xludf.DUMMYFUNCTION("""COMPUTED_VALUE"""),0.0)</f>
        <v>0</v>
      </c>
      <c r="V42" s="310">
        <f>IFERROR(__xludf.DUMMYFUNCTION("""COMPUTED_VALUE"""),0.0)</f>
        <v>0</v>
      </c>
      <c r="W42" s="310">
        <f>IFERROR(__xludf.DUMMYFUNCTION("""COMPUTED_VALUE"""),0.0)</f>
        <v>0</v>
      </c>
      <c r="X42" s="310">
        <f>IFERROR(__xludf.DUMMYFUNCTION("""COMPUTED_VALUE"""),0.0)</f>
        <v>0</v>
      </c>
      <c r="Y42" s="310">
        <f>IFERROR(__xludf.DUMMYFUNCTION("""COMPUTED_VALUE"""),0.0)</f>
        <v>0</v>
      </c>
      <c r="Z42" s="310">
        <f>IFERROR(__xludf.DUMMYFUNCTION("""COMPUTED_VALUE"""),-200.0)</f>
        <v>-200</v>
      </c>
      <c r="AA42" s="310">
        <f>IFERROR(__xludf.DUMMYFUNCTION("""COMPUTED_VALUE"""),0.0)</f>
        <v>0</v>
      </c>
      <c r="AB42" s="310">
        <f>IFERROR(__xludf.DUMMYFUNCTION("""COMPUTED_VALUE"""),0.0)</f>
        <v>0</v>
      </c>
      <c r="AC42" s="310">
        <f>IFERROR(__xludf.DUMMYFUNCTION("""COMPUTED_VALUE"""),0.0)</f>
        <v>0</v>
      </c>
      <c r="AD42" s="310">
        <f>IFERROR(__xludf.DUMMYFUNCTION("""COMPUTED_VALUE"""),0.0)</f>
        <v>0</v>
      </c>
      <c r="AE42" s="310">
        <f>IFERROR(__xludf.DUMMYFUNCTION("""COMPUTED_VALUE"""),0.0)</f>
        <v>0</v>
      </c>
      <c r="AF42" s="310" t="str">
        <f>IFERROR(__xludf.DUMMYFUNCTION("""COMPUTED_VALUE"""),"-22.8965466,-43.1882366")</f>
        <v>-22.8965466,-43.1882366</v>
      </c>
      <c r="AG42" s="310">
        <f>IFERROR(__xludf.DUMMYFUNCTION("""COMPUTED_VALUE"""),0.0)</f>
        <v>0</v>
      </c>
      <c r="AH42" s="310">
        <f>IFERROR(__xludf.DUMMYFUNCTION("""COMPUTED_VALUE"""),0.0)</f>
        <v>0</v>
      </c>
      <c r="AI42" s="310">
        <f>IFERROR(__xludf.DUMMYFUNCTION("""COMPUTED_VALUE"""),0.0)</f>
        <v>0</v>
      </c>
      <c r="AJ42" s="310">
        <f>IFERROR(__xludf.DUMMYFUNCTION("ROWS(QUERY(Entregas_BD!D:AM,""select D where D ='""&amp;D42&amp;""'"",1))-1"),4.0)</f>
        <v>4</v>
      </c>
    </row>
    <row r="43" ht="22.5" customHeight="1">
      <c r="A43" s="311" t="str">
        <f>IFERROR(__xludf.DUMMYFUNCTION("""COMPUTED_VALUE"""),"")</f>
        <v/>
      </c>
      <c r="B43" s="311" t="str">
        <f>IFERROR(__xludf.DUMMYFUNCTION("""COMPUTED_VALUE"""),"")</f>
        <v/>
      </c>
      <c r="C43" s="311">
        <f>IFERROR(__xludf.DUMMYFUNCTION("""COMPUTED_VALUE"""),77.0)</f>
        <v>77</v>
      </c>
      <c r="D43" s="311" t="str">
        <f>IFERROR(__xludf.DUMMYFUNCTION("""COMPUTED_VALUE"""),"Hospital Geral de Arraial do Cabo")</f>
        <v>Hospital Geral de Arraial do Cabo</v>
      </c>
      <c r="E43" s="311" t="str">
        <f>IFERROR(__xludf.DUMMYFUNCTION("""COMPUTED_VALUE"""),"REGIAO DOS LAGOS")</f>
        <v>REGIAO DOS LAGOS</v>
      </c>
      <c r="F43" s="311" t="str">
        <f>IFERROR(__xludf.DUMMYFUNCTION("""COMPUTED_VALUE"""),"Arraial do Cabo")</f>
        <v>Arraial do Cabo</v>
      </c>
      <c r="G43" s="311" t="str">
        <f>IFERROR(__xludf.DUMMYFUNCTION("""COMPUTED_VALUE"""),"Centro")</f>
        <v>Centro</v>
      </c>
      <c r="H43" s="311" t="str">
        <f>IFERROR(__xludf.DUMMYFUNCTION("""COMPUTED_VALUE"""),"Referência - ALTA COMPLEXIDADE")</f>
        <v>Referência - ALTA COMPLEXIDADE</v>
      </c>
      <c r="I43" s="311" t="str">
        <f>IFERROR(__xludf.DUMMYFUNCTION("""COMPUTED_VALUE"""),"Público")</f>
        <v>Público</v>
      </c>
      <c r="J43" s="311" t="str">
        <f>IFERROR(__xludf.DUMMYFUNCTION("""COMPUTED_VALUE"""),"")</f>
        <v/>
      </c>
      <c r="K43" s="311" t="str">
        <f>IFERROR(__xludf.DUMMYFUNCTION("""COMPUTED_VALUE"""),"")</f>
        <v/>
      </c>
      <c r="L43" s="311" t="str">
        <f>IFERROR(__xludf.DUMMYFUNCTION("""COMPUTED_VALUE"""),"")</f>
        <v/>
      </c>
      <c r="M43" s="311" t="str">
        <f>IFERROR(__xludf.DUMMYFUNCTION("""COMPUTED_VALUE"""),"")</f>
        <v/>
      </c>
      <c r="N43" s="311">
        <f>IFERROR(__xludf.DUMMYFUNCTION("""COMPUTED_VALUE"""),0.0)</f>
        <v>0</v>
      </c>
      <c r="O43" s="311">
        <f>IFERROR(__xludf.DUMMYFUNCTION("""COMPUTED_VALUE"""),0.0)</f>
        <v>0</v>
      </c>
      <c r="P43" s="311">
        <f>IFERROR(__xludf.DUMMYFUNCTION("""COMPUTED_VALUE"""),0.0)</f>
        <v>0</v>
      </c>
      <c r="Q43" s="311">
        <f>IFERROR(__xludf.DUMMYFUNCTION("""COMPUTED_VALUE"""),0.0)</f>
        <v>0</v>
      </c>
      <c r="R43" s="311">
        <f>IFERROR(__xludf.DUMMYFUNCTION("""COMPUTED_VALUE"""),0.0)</f>
        <v>0</v>
      </c>
      <c r="S43" s="311">
        <f>IFERROR(__xludf.DUMMYFUNCTION("""COMPUTED_VALUE"""),0.0)</f>
        <v>0</v>
      </c>
      <c r="T43" s="311">
        <f>IFERROR(__xludf.DUMMYFUNCTION("""COMPUTED_VALUE"""),50.0)</f>
        <v>50</v>
      </c>
      <c r="U43" s="311">
        <f>IFERROR(__xludf.DUMMYFUNCTION("""COMPUTED_VALUE"""),0.0)</f>
        <v>0</v>
      </c>
      <c r="V43" s="311">
        <f>IFERROR(__xludf.DUMMYFUNCTION("""COMPUTED_VALUE"""),0.0)</f>
        <v>0</v>
      </c>
      <c r="W43" s="311">
        <f>IFERROR(__xludf.DUMMYFUNCTION("""COMPUTED_VALUE"""),0.0)</f>
        <v>0</v>
      </c>
      <c r="X43" s="311">
        <f>IFERROR(__xludf.DUMMYFUNCTION("""COMPUTED_VALUE"""),0.0)</f>
        <v>0</v>
      </c>
      <c r="Y43" s="311">
        <f>IFERROR(__xludf.DUMMYFUNCTION("""COMPUTED_VALUE"""),0.0)</f>
        <v>0</v>
      </c>
      <c r="Z43" s="311">
        <f>IFERROR(__xludf.DUMMYFUNCTION("""COMPUTED_VALUE"""),-50.0)</f>
        <v>-50</v>
      </c>
      <c r="AA43" s="311">
        <f>IFERROR(__xludf.DUMMYFUNCTION("""COMPUTED_VALUE"""),0.0)</f>
        <v>0</v>
      </c>
      <c r="AB43" s="311">
        <f>IFERROR(__xludf.DUMMYFUNCTION("""COMPUTED_VALUE"""),0.0)</f>
        <v>0</v>
      </c>
      <c r="AC43" s="311">
        <f>IFERROR(__xludf.DUMMYFUNCTION("""COMPUTED_VALUE"""),0.0)</f>
        <v>0</v>
      </c>
      <c r="AD43" s="311">
        <f>IFERROR(__xludf.DUMMYFUNCTION("""COMPUTED_VALUE"""),0.0)</f>
        <v>0</v>
      </c>
      <c r="AE43" s="311">
        <f>IFERROR(__xludf.DUMMYFUNCTION("""COMPUTED_VALUE"""),0.0)</f>
        <v>0</v>
      </c>
      <c r="AF43" s="311" t="str">
        <f>IFERROR(__xludf.DUMMYFUNCTION("""COMPUTED_VALUE"""),"-22.9758547,-42.0281234")</f>
        <v>-22.9758547,-42.0281234</v>
      </c>
      <c r="AG43" s="311">
        <f>IFERROR(__xludf.DUMMYFUNCTION("""COMPUTED_VALUE"""),0.0)</f>
        <v>0</v>
      </c>
      <c r="AH43" s="311">
        <f>IFERROR(__xludf.DUMMYFUNCTION("""COMPUTED_VALUE"""),0.0)</f>
        <v>0</v>
      </c>
      <c r="AI43" s="311">
        <f>IFERROR(__xludf.DUMMYFUNCTION("""COMPUTED_VALUE"""),0.0)</f>
        <v>0</v>
      </c>
      <c r="AJ43" s="311">
        <f>IFERROR(__xludf.DUMMYFUNCTION("ROWS(QUERY(Entregas_BD!D:AM,""select D where D ='""&amp;D43&amp;""'"",1))-1"),1.0)</f>
        <v>1</v>
      </c>
    </row>
    <row r="44" ht="22.5" customHeight="1">
      <c r="A44" s="310" t="str">
        <f>IFERROR(__xludf.DUMMYFUNCTION("""COMPUTED_VALUE"""),"")</f>
        <v/>
      </c>
      <c r="B44" s="310" t="str">
        <f>IFERROR(__xludf.DUMMYFUNCTION("""COMPUTED_VALUE"""),"")</f>
        <v/>
      </c>
      <c r="C44" s="310">
        <f>IFERROR(__xludf.DUMMYFUNCTION("""COMPUTED_VALUE"""),84.0)</f>
        <v>84</v>
      </c>
      <c r="D44" s="310" t="str">
        <f>IFERROR(__xludf.DUMMYFUNCTION("""COMPUTED_VALUE"""),"Hospital Mário Kroeff")</f>
        <v>Hospital Mário Kroeff</v>
      </c>
      <c r="E44" s="310" t="str">
        <f>IFERROR(__xludf.DUMMYFUNCTION("""COMPUTED_VALUE"""),"ZONA NORTE")</f>
        <v>ZONA NORTE</v>
      </c>
      <c r="F44" s="310" t="str">
        <f>IFERROR(__xludf.DUMMYFUNCTION("""COMPUTED_VALUE"""),"Rio de Janeiro")</f>
        <v>Rio de Janeiro</v>
      </c>
      <c r="G44" s="310" t="str">
        <f>IFERROR(__xludf.DUMMYFUNCTION("""COMPUTED_VALUE"""),"Penha")</f>
        <v>Penha</v>
      </c>
      <c r="H44" s="310" t="str">
        <f>IFERROR(__xludf.DUMMYFUNCTION("""COMPUTED_VALUE"""),"Unidade básica - BAIXA COMPLEXIDADE")</f>
        <v>Unidade básica - BAIXA COMPLEXIDADE</v>
      </c>
      <c r="I44" s="310" t="str">
        <f>IFERROR(__xludf.DUMMYFUNCTION("""COMPUTED_VALUE"""),"Público")</f>
        <v>Público</v>
      </c>
      <c r="J44" s="310" t="str">
        <f>IFERROR(__xludf.DUMMYFUNCTION("""COMPUTED_VALUE"""),"")</f>
        <v/>
      </c>
      <c r="K44" s="310" t="str">
        <f>IFERROR(__xludf.DUMMYFUNCTION("""COMPUTED_VALUE"""),"")</f>
        <v/>
      </c>
      <c r="L44" s="310" t="str">
        <f>IFERROR(__xludf.DUMMYFUNCTION("""COMPUTED_VALUE"""),"")</f>
        <v/>
      </c>
      <c r="M44" s="310" t="str">
        <f>IFERROR(__xludf.DUMMYFUNCTION("""COMPUTED_VALUE"""),"")</f>
        <v/>
      </c>
      <c r="N44" s="310">
        <f>IFERROR(__xludf.DUMMYFUNCTION("""COMPUTED_VALUE"""),0.0)</f>
        <v>0</v>
      </c>
      <c r="O44" s="310">
        <f>IFERROR(__xludf.DUMMYFUNCTION("""COMPUTED_VALUE"""),0.0)</f>
        <v>0</v>
      </c>
      <c r="P44" s="310">
        <f>IFERROR(__xludf.DUMMYFUNCTION("""COMPUTED_VALUE"""),0.0)</f>
        <v>0</v>
      </c>
      <c r="Q44" s="310">
        <f>IFERROR(__xludf.DUMMYFUNCTION("""COMPUTED_VALUE"""),0.0)</f>
        <v>0</v>
      </c>
      <c r="R44" s="310">
        <f>IFERROR(__xludf.DUMMYFUNCTION("""COMPUTED_VALUE"""),0.0)</f>
        <v>0</v>
      </c>
      <c r="S44" s="310">
        <f>IFERROR(__xludf.DUMMYFUNCTION("""COMPUTED_VALUE"""),0.0)</f>
        <v>0</v>
      </c>
      <c r="T44" s="310">
        <f>IFERROR(__xludf.DUMMYFUNCTION("""COMPUTED_VALUE"""),50.0)</f>
        <v>50</v>
      </c>
      <c r="U44" s="310">
        <f>IFERROR(__xludf.DUMMYFUNCTION("""COMPUTED_VALUE"""),0.0)</f>
        <v>0</v>
      </c>
      <c r="V44" s="310">
        <f>IFERROR(__xludf.DUMMYFUNCTION("""COMPUTED_VALUE"""),0.0)</f>
        <v>0</v>
      </c>
      <c r="W44" s="310">
        <f>IFERROR(__xludf.DUMMYFUNCTION("""COMPUTED_VALUE"""),0.0)</f>
        <v>0</v>
      </c>
      <c r="X44" s="310">
        <f>IFERROR(__xludf.DUMMYFUNCTION("""COMPUTED_VALUE"""),0.0)</f>
        <v>0</v>
      </c>
      <c r="Y44" s="310">
        <f>IFERROR(__xludf.DUMMYFUNCTION("""COMPUTED_VALUE"""),0.0)</f>
        <v>0</v>
      </c>
      <c r="Z44" s="310">
        <f>IFERROR(__xludf.DUMMYFUNCTION("""COMPUTED_VALUE"""),-50.0)</f>
        <v>-50</v>
      </c>
      <c r="AA44" s="310">
        <f>IFERROR(__xludf.DUMMYFUNCTION("""COMPUTED_VALUE"""),0.0)</f>
        <v>0</v>
      </c>
      <c r="AB44" s="310">
        <f>IFERROR(__xludf.DUMMYFUNCTION("""COMPUTED_VALUE"""),0.0)</f>
        <v>0</v>
      </c>
      <c r="AC44" s="310">
        <f>IFERROR(__xludf.DUMMYFUNCTION("""COMPUTED_VALUE"""),0.0)</f>
        <v>0</v>
      </c>
      <c r="AD44" s="310">
        <f>IFERROR(__xludf.DUMMYFUNCTION("""COMPUTED_VALUE"""),0.0)</f>
        <v>0</v>
      </c>
      <c r="AE44" s="310">
        <f>IFERROR(__xludf.DUMMYFUNCTION("""COMPUTED_VALUE"""),0.0)</f>
        <v>0</v>
      </c>
      <c r="AF44" s="310" t="str">
        <f>IFERROR(__xludf.DUMMYFUNCTION("""COMPUTED_VALUE"""),"-22.83382,-43.2869254")</f>
        <v>-22.83382,-43.2869254</v>
      </c>
      <c r="AG44" s="310">
        <f>IFERROR(__xludf.DUMMYFUNCTION("""COMPUTED_VALUE"""),0.0)</f>
        <v>0</v>
      </c>
      <c r="AH44" s="310">
        <f>IFERROR(__xludf.DUMMYFUNCTION("""COMPUTED_VALUE"""),0.0)</f>
        <v>0</v>
      </c>
      <c r="AI44" s="310">
        <f>IFERROR(__xludf.DUMMYFUNCTION("""COMPUTED_VALUE"""),0.0)</f>
        <v>0</v>
      </c>
      <c r="AJ44" s="310">
        <f>IFERROR(__xludf.DUMMYFUNCTION("ROWS(QUERY(Entregas_BD!D:AM,""select D where D ='""&amp;D44&amp;""'"",1))-1"),2.0)</f>
        <v>2</v>
      </c>
    </row>
    <row r="45" ht="22.5" customHeight="1">
      <c r="A45" s="311" t="str">
        <f>IFERROR(__xludf.DUMMYFUNCTION("""COMPUTED_VALUE"""),"")</f>
        <v/>
      </c>
      <c r="B45" s="311" t="str">
        <f>IFERROR(__xludf.DUMMYFUNCTION("""COMPUTED_VALUE"""),"")</f>
        <v/>
      </c>
      <c r="C45" s="311">
        <f>IFERROR(__xludf.DUMMYFUNCTION("""COMPUTED_VALUE"""),86.0)</f>
        <v>86</v>
      </c>
      <c r="D45" s="311" t="str">
        <f>IFERROR(__xludf.DUMMYFUNCTION("""COMPUTED_VALUE"""),"Hospital Municipal Albert Schweitzer")</f>
        <v>Hospital Municipal Albert Schweitzer</v>
      </c>
      <c r="E45" s="311" t="str">
        <f>IFERROR(__xludf.DUMMYFUNCTION("""COMPUTED_VALUE"""),"ZONA OESTE")</f>
        <v>ZONA OESTE</v>
      </c>
      <c r="F45" s="311" t="str">
        <f>IFERROR(__xludf.DUMMYFUNCTION("""COMPUTED_VALUE"""),"Rio de Janeiro")</f>
        <v>Rio de Janeiro</v>
      </c>
      <c r="G45" s="311" t="str">
        <f>IFERROR(__xludf.DUMMYFUNCTION("""COMPUTED_VALUE"""),"Realengo")</f>
        <v>Realengo</v>
      </c>
      <c r="H45" s="311" t="str">
        <f>IFERROR(__xludf.DUMMYFUNCTION("""COMPUTED_VALUE"""),"Grande emergência - MÉDIA COMPLEXIDADE")</f>
        <v>Grande emergência - MÉDIA COMPLEXIDADE</v>
      </c>
      <c r="I45" s="311" t="str">
        <f>IFERROR(__xludf.DUMMYFUNCTION("""COMPUTED_VALUE"""),"Público")</f>
        <v>Público</v>
      </c>
      <c r="J45" s="311" t="str">
        <f>IFERROR(__xludf.DUMMYFUNCTION("""COMPUTED_VALUE"""),"")</f>
        <v/>
      </c>
      <c r="K45" s="311" t="str">
        <f>IFERROR(__xludf.DUMMYFUNCTION("""COMPUTED_VALUE"""),"")</f>
        <v/>
      </c>
      <c r="L45" s="311" t="str">
        <f>IFERROR(__xludf.DUMMYFUNCTION("""COMPUTED_VALUE"""),"")</f>
        <v/>
      </c>
      <c r="M45" s="311" t="str">
        <f>IFERROR(__xludf.DUMMYFUNCTION("""COMPUTED_VALUE"""),"")</f>
        <v/>
      </c>
      <c r="N45" s="311">
        <f>IFERROR(__xludf.DUMMYFUNCTION("""COMPUTED_VALUE"""),0.0)</f>
        <v>0</v>
      </c>
      <c r="O45" s="311">
        <f>IFERROR(__xludf.DUMMYFUNCTION("""COMPUTED_VALUE"""),0.0)</f>
        <v>0</v>
      </c>
      <c r="P45" s="311">
        <f>IFERROR(__xludf.DUMMYFUNCTION("""COMPUTED_VALUE"""),0.0)</f>
        <v>0</v>
      </c>
      <c r="Q45" s="311">
        <f>IFERROR(__xludf.DUMMYFUNCTION("""COMPUTED_VALUE"""),0.0)</f>
        <v>0</v>
      </c>
      <c r="R45" s="311">
        <f>IFERROR(__xludf.DUMMYFUNCTION("""COMPUTED_VALUE"""),0.0)</f>
        <v>0</v>
      </c>
      <c r="S45" s="311">
        <f>IFERROR(__xludf.DUMMYFUNCTION("""COMPUTED_VALUE"""),0.0)</f>
        <v>0</v>
      </c>
      <c r="T45" s="311">
        <f>IFERROR(__xludf.DUMMYFUNCTION("""COMPUTED_VALUE"""),50.0)</f>
        <v>50</v>
      </c>
      <c r="U45" s="311">
        <f>IFERROR(__xludf.DUMMYFUNCTION("""COMPUTED_VALUE"""),0.0)</f>
        <v>0</v>
      </c>
      <c r="V45" s="311">
        <f>IFERROR(__xludf.DUMMYFUNCTION("""COMPUTED_VALUE"""),0.0)</f>
        <v>0</v>
      </c>
      <c r="W45" s="311">
        <f>IFERROR(__xludf.DUMMYFUNCTION("""COMPUTED_VALUE"""),0.0)</f>
        <v>0</v>
      </c>
      <c r="X45" s="311">
        <f>IFERROR(__xludf.DUMMYFUNCTION("""COMPUTED_VALUE"""),0.0)</f>
        <v>0</v>
      </c>
      <c r="Y45" s="311">
        <f>IFERROR(__xludf.DUMMYFUNCTION("""COMPUTED_VALUE"""),0.0)</f>
        <v>0</v>
      </c>
      <c r="Z45" s="311">
        <f>IFERROR(__xludf.DUMMYFUNCTION("""COMPUTED_VALUE"""),-50.0)</f>
        <v>-50</v>
      </c>
      <c r="AA45" s="311">
        <f>IFERROR(__xludf.DUMMYFUNCTION("""COMPUTED_VALUE"""),0.0)</f>
        <v>0</v>
      </c>
      <c r="AB45" s="311">
        <f>IFERROR(__xludf.DUMMYFUNCTION("""COMPUTED_VALUE"""),0.0)</f>
        <v>0</v>
      </c>
      <c r="AC45" s="311">
        <f>IFERROR(__xludf.DUMMYFUNCTION("""COMPUTED_VALUE"""),0.0)</f>
        <v>0</v>
      </c>
      <c r="AD45" s="311">
        <f>IFERROR(__xludf.DUMMYFUNCTION("""COMPUTED_VALUE"""),0.0)</f>
        <v>0</v>
      </c>
      <c r="AE45" s="311">
        <f>IFERROR(__xludf.DUMMYFUNCTION("""COMPUTED_VALUE"""),0.0)</f>
        <v>0</v>
      </c>
      <c r="AF45" s="311" t="str">
        <f>IFERROR(__xludf.DUMMYFUNCTION("""COMPUTED_VALUE"""),"-22.8667425,-43.4419453")</f>
        <v>-22.8667425,-43.4419453</v>
      </c>
      <c r="AG45" s="311">
        <f>IFERROR(__xludf.DUMMYFUNCTION("""COMPUTED_VALUE"""),0.0)</f>
        <v>0</v>
      </c>
      <c r="AH45" s="311">
        <f>IFERROR(__xludf.DUMMYFUNCTION("""COMPUTED_VALUE"""),0.0)</f>
        <v>0</v>
      </c>
      <c r="AI45" s="311">
        <f>IFERROR(__xludf.DUMMYFUNCTION("""COMPUTED_VALUE"""),0.0)</f>
        <v>0</v>
      </c>
      <c r="AJ45" s="311">
        <f>IFERROR(__xludf.DUMMYFUNCTION("ROWS(QUERY(Entregas_BD!D:AM,""select D where D ='""&amp;D45&amp;""'"",1))-1"),1.0)</f>
        <v>1</v>
      </c>
    </row>
    <row r="46" ht="22.5" customHeight="1">
      <c r="A46" s="310" t="str">
        <f>IFERROR(__xludf.DUMMYFUNCTION("""COMPUTED_VALUE"""),"")</f>
        <v/>
      </c>
      <c r="B46" s="310" t="str">
        <f>IFERROR(__xludf.DUMMYFUNCTION("""COMPUTED_VALUE"""),"")</f>
        <v/>
      </c>
      <c r="C46" s="310">
        <f>IFERROR(__xludf.DUMMYFUNCTION("""COMPUTED_VALUE"""),90.0)</f>
        <v>90</v>
      </c>
      <c r="D46" s="310" t="str">
        <f>IFERROR(__xludf.DUMMYFUNCTION("""COMPUTED_VALUE"""),"Hospital Municipal da Piedade")</f>
        <v>Hospital Municipal da Piedade</v>
      </c>
      <c r="E46" s="310" t="str">
        <f>IFERROR(__xludf.DUMMYFUNCTION("""COMPUTED_VALUE"""),"ZONA NORTE")</f>
        <v>ZONA NORTE</v>
      </c>
      <c r="F46" s="310" t="str">
        <f>IFERROR(__xludf.DUMMYFUNCTION("""COMPUTED_VALUE"""),"Rio de Janeiro")</f>
        <v>Rio de Janeiro</v>
      </c>
      <c r="G46" s="310" t="str">
        <f>IFERROR(__xludf.DUMMYFUNCTION("""COMPUTED_VALUE"""),"Piedade")</f>
        <v>Piedade</v>
      </c>
      <c r="H46" s="310" t="str">
        <f>IFERROR(__xludf.DUMMYFUNCTION("""COMPUTED_VALUE"""),"Grande emergência - MÉDIA COMPLEXIDADE")</f>
        <v>Grande emergência - MÉDIA COMPLEXIDADE</v>
      </c>
      <c r="I46" s="310" t="str">
        <f>IFERROR(__xludf.DUMMYFUNCTION("""COMPUTED_VALUE"""),"Público")</f>
        <v>Público</v>
      </c>
      <c r="J46" s="310" t="str">
        <f>IFERROR(__xludf.DUMMYFUNCTION("""COMPUTED_VALUE"""),"")</f>
        <v/>
      </c>
      <c r="K46" s="310" t="str">
        <f>IFERROR(__xludf.DUMMYFUNCTION("""COMPUTED_VALUE"""),"")</f>
        <v/>
      </c>
      <c r="L46" s="310" t="str">
        <f>IFERROR(__xludf.DUMMYFUNCTION("""COMPUTED_VALUE"""),"")</f>
        <v/>
      </c>
      <c r="M46" s="310" t="str">
        <f>IFERROR(__xludf.DUMMYFUNCTION("""COMPUTED_VALUE"""),"")</f>
        <v/>
      </c>
      <c r="N46" s="310">
        <f>IFERROR(__xludf.DUMMYFUNCTION("""COMPUTED_VALUE"""),0.0)</f>
        <v>0</v>
      </c>
      <c r="O46" s="310">
        <f>IFERROR(__xludf.DUMMYFUNCTION("""COMPUTED_VALUE"""),0.0)</f>
        <v>0</v>
      </c>
      <c r="P46" s="310">
        <f>IFERROR(__xludf.DUMMYFUNCTION("""COMPUTED_VALUE"""),0.0)</f>
        <v>0</v>
      </c>
      <c r="Q46" s="310">
        <f>IFERROR(__xludf.DUMMYFUNCTION("""COMPUTED_VALUE"""),0.0)</f>
        <v>0</v>
      </c>
      <c r="R46" s="310">
        <f>IFERROR(__xludf.DUMMYFUNCTION("""COMPUTED_VALUE"""),0.0)</f>
        <v>0</v>
      </c>
      <c r="S46" s="310">
        <f>IFERROR(__xludf.DUMMYFUNCTION("""COMPUTED_VALUE"""),0.0)</f>
        <v>0</v>
      </c>
      <c r="T46" s="310">
        <f>IFERROR(__xludf.DUMMYFUNCTION("""COMPUTED_VALUE"""),100.0)</f>
        <v>100</v>
      </c>
      <c r="U46" s="310">
        <f>IFERROR(__xludf.DUMMYFUNCTION("""COMPUTED_VALUE"""),0.0)</f>
        <v>0</v>
      </c>
      <c r="V46" s="310">
        <f>IFERROR(__xludf.DUMMYFUNCTION("""COMPUTED_VALUE"""),0.0)</f>
        <v>0</v>
      </c>
      <c r="W46" s="310">
        <f>IFERROR(__xludf.DUMMYFUNCTION("""COMPUTED_VALUE"""),0.0)</f>
        <v>0</v>
      </c>
      <c r="X46" s="310">
        <f>IFERROR(__xludf.DUMMYFUNCTION("""COMPUTED_VALUE"""),0.0)</f>
        <v>0</v>
      </c>
      <c r="Y46" s="310">
        <f>IFERROR(__xludf.DUMMYFUNCTION("""COMPUTED_VALUE"""),0.0)</f>
        <v>0</v>
      </c>
      <c r="Z46" s="310">
        <f>IFERROR(__xludf.DUMMYFUNCTION("""COMPUTED_VALUE"""),-100.0)</f>
        <v>-100</v>
      </c>
      <c r="AA46" s="310">
        <f>IFERROR(__xludf.DUMMYFUNCTION("""COMPUTED_VALUE"""),0.0)</f>
        <v>0</v>
      </c>
      <c r="AB46" s="310">
        <f>IFERROR(__xludf.DUMMYFUNCTION("""COMPUTED_VALUE"""),0.0)</f>
        <v>0</v>
      </c>
      <c r="AC46" s="310">
        <f>IFERROR(__xludf.DUMMYFUNCTION("""COMPUTED_VALUE"""),0.0)</f>
        <v>0</v>
      </c>
      <c r="AD46" s="310">
        <f>IFERROR(__xludf.DUMMYFUNCTION("""COMPUTED_VALUE"""),0.0)</f>
        <v>0</v>
      </c>
      <c r="AE46" s="310">
        <f>IFERROR(__xludf.DUMMYFUNCTION("""COMPUTED_VALUE"""),0.0)</f>
        <v>0</v>
      </c>
      <c r="AF46" s="310" t="str">
        <f>IFERROR(__xludf.DUMMYFUNCTION("""COMPUTED_VALUE"""),"-22.8918083,-43.3097393")</f>
        <v>-22.8918083,-43.3097393</v>
      </c>
      <c r="AG46" s="310">
        <f>IFERROR(__xludf.DUMMYFUNCTION("""COMPUTED_VALUE"""),0.0)</f>
        <v>0</v>
      </c>
      <c r="AH46" s="310">
        <f>IFERROR(__xludf.DUMMYFUNCTION("""COMPUTED_VALUE"""),0.0)</f>
        <v>0</v>
      </c>
      <c r="AI46" s="310">
        <f>IFERROR(__xludf.DUMMYFUNCTION("""COMPUTED_VALUE"""),0.0)</f>
        <v>0</v>
      </c>
      <c r="AJ46" s="310">
        <f>IFERROR(__xludf.DUMMYFUNCTION("ROWS(QUERY(Entregas_BD!D:AM,""select D where D ='""&amp;D46&amp;""'"",1))-1"),1.0)</f>
        <v>1</v>
      </c>
    </row>
    <row r="47" ht="22.5" customHeight="1">
      <c r="A47" s="311" t="str">
        <f>IFERROR(__xludf.DUMMYFUNCTION("""COMPUTED_VALUE"""),"")</f>
        <v/>
      </c>
      <c r="B47" s="311" t="str">
        <f>IFERROR(__xludf.DUMMYFUNCTION("""COMPUTED_VALUE"""),"")</f>
        <v/>
      </c>
      <c r="C47" s="311">
        <f>IFERROR(__xludf.DUMMYFUNCTION("""COMPUTED_VALUE"""),94.0)</f>
        <v>94</v>
      </c>
      <c r="D47" s="311" t="str">
        <f>IFERROR(__xludf.DUMMYFUNCTION("""COMPUTED_VALUE"""),"Hospital Municipal Doutor Nelson de Sá")</f>
        <v>Hospital Municipal Doutor Nelson de Sá</v>
      </c>
      <c r="E47" s="311" t="str">
        <f>IFERROR(__xludf.DUMMYFUNCTION("""COMPUTED_VALUE"""),"REGIAO SERRANA")</f>
        <v>REGIAO SERRANA</v>
      </c>
      <c r="F47" s="311" t="str">
        <f>IFERROR(__xludf.DUMMYFUNCTION("""COMPUTED_VALUE"""),"Petropólis")</f>
        <v>Petropólis</v>
      </c>
      <c r="G47" s="311" t="str">
        <f>IFERROR(__xludf.DUMMYFUNCTION("""COMPUTED_VALUE"""),"Centro")</f>
        <v>Centro</v>
      </c>
      <c r="H47" s="311" t="str">
        <f>IFERROR(__xludf.DUMMYFUNCTION("""COMPUTED_VALUE"""),"Referência - ALTA COMPLEXIDADE")</f>
        <v>Referência - ALTA COMPLEXIDADE</v>
      </c>
      <c r="I47" s="311" t="str">
        <f>IFERROR(__xludf.DUMMYFUNCTION("""COMPUTED_VALUE"""),"Público")</f>
        <v>Público</v>
      </c>
      <c r="J47" s="311" t="str">
        <f>IFERROR(__xludf.DUMMYFUNCTION("""COMPUTED_VALUE"""),"")</f>
        <v/>
      </c>
      <c r="K47" s="311" t="str">
        <f>IFERROR(__xludf.DUMMYFUNCTION("""COMPUTED_VALUE"""),"")</f>
        <v/>
      </c>
      <c r="L47" s="311" t="str">
        <f>IFERROR(__xludf.DUMMYFUNCTION("""COMPUTED_VALUE"""),"")</f>
        <v/>
      </c>
      <c r="M47" s="311" t="str">
        <f>IFERROR(__xludf.DUMMYFUNCTION("""COMPUTED_VALUE"""),"")</f>
        <v/>
      </c>
      <c r="N47" s="311">
        <f>IFERROR(__xludf.DUMMYFUNCTION("""COMPUTED_VALUE"""),0.0)</f>
        <v>0</v>
      </c>
      <c r="O47" s="311">
        <f>IFERROR(__xludf.DUMMYFUNCTION("""COMPUTED_VALUE"""),0.0)</f>
        <v>0</v>
      </c>
      <c r="P47" s="311">
        <f>IFERROR(__xludf.DUMMYFUNCTION("""COMPUTED_VALUE"""),0.0)</f>
        <v>0</v>
      </c>
      <c r="Q47" s="311">
        <f>IFERROR(__xludf.DUMMYFUNCTION("""COMPUTED_VALUE"""),0.0)</f>
        <v>0</v>
      </c>
      <c r="R47" s="311">
        <f>IFERROR(__xludf.DUMMYFUNCTION("""COMPUTED_VALUE"""),0.0)</f>
        <v>0</v>
      </c>
      <c r="S47" s="311">
        <f>IFERROR(__xludf.DUMMYFUNCTION("""COMPUTED_VALUE"""),0.0)</f>
        <v>0</v>
      </c>
      <c r="T47" s="311">
        <f>IFERROR(__xludf.DUMMYFUNCTION("""COMPUTED_VALUE"""),50.0)</f>
        <v>50</v>
      </c>
      <c r="U47" s="311">
        <f>IFERROR(__xludf.DUMMYFUNCTION("""COMPUTED_VALUE"""),0.0)</f>
        <v>0</v>
      </c>
      <c r="V47" s="311">
        <f>IFERROR(__xludf.DUMMYFUNCTION("""COMPUTED_VALUE"""),0.0)</f>
        <v>0</v>
      </c>
      <c r="W47" s="311">
        <f>IFERROR(__xludf.DUMMYFUNCTION("""COMPUTED_VALUE"""),0.0)</f>
        <v>0</v>
      </c>
      <c r="X47" s="311">
        <f>IFERROR(__xludf.DUMMYFUNCTION("""COMPUTED_VALUE"""),0.0)</f>
        <v>0</v>
      </c>
      <c r="Y47" s="311">
        <f>IFERROR(__xludf.DUMMYFUNCTION("""COMPUTED_VALUE"""),0.0)</f>
        <v>0</v>
      </c>
      <c r="Z47" s="311">
        <f>IFERROR(__xludf.DUMMYFUNCTION("""COMPUTED_VALUE"""),-50.0)</f>
        <v>-50</v>
      </c>
      <c r="AA47" s="311">
        <f>IFERROR(__xludf.DUMMYFUNCTION("""COMPUTED_VALUE"""),0.0)</f>
        <v>0</v>
      </c>
      <c r="AB47" s="311">
        <f>IFERROR(__xludf.DUMMYFUNCTION("""COMPUTED_VALUE"""),0.0)</f>
        <v>0</v>
      </c>
      <c r="AC47" s="311">
        <f>IFERROR(__xludf.DUMMYFUNCTION("""COMPUTED_VALUE"""),0.0)</f>
        <v>0</v>
      </c>
      <c r="AD47" s="311">
        <f>IFERROR(__xludf.DUMMYFUNCTION("""COMPUTED_VALUE"""),0.0)</f>
        <v>0</v>
      </c>
      <c r="AE47" s="311">
        <f>IFERROR(__xludf.DUMMYFUNCTION("""COMPUTED_VALUE"""),0.0)</f>
        <v>0</v>
      </c>
      <c r="AF47" s="311" t="str">
        <f>IFERROR(__xludf.DUMMYFUNCTION("""COMPUTED_VALUE"""),"-22.5076607,-43.1922903")</f>
        <v>-22.5076607,-43.1922903</v>
      </c>
      <c r="AG47" s="311">
        <f>IFERROR(__xludf.DUMMYFUNCTION("""COMPUTED_VALUE"""),0.0)</f>
        <v>0</v>
      </c>
      <c r="AH47" s="311">
        <f>IFERROR(__xludf.DUMMYFUNCTION("""COMPUTED_VALUE"""),0.0)</f>
        <v>0</v>
      </c>
      <c r="AI47" s="311">
        <f>IFERROR(__xludf.DUMMYFUNCTION("""COMPUTED_VALUE"""),0.0)</f>
        <v>0</v>
      </c>
      <c r="AJ47" s="311">
        <f>IFERROR(__xludf.DUMMYFUNCTION("ROWS(QUERY(Entregas_BD!D:AM,""select D where D ='""&amp;D47&amp;""'"",1))-1"),1.0)</f>
        <v>1</v>
      </c>
    </row>
    <row r="48" ht="22.5" customHeight="1">
      <c r="A48" s="310" t="str">
        <f>IFERROR(__xludf.DUMMYFUNCTION("""COMPUTED_VALUE"""),"")</f>
        <v/>
      </c>
      <c r="B48" s="310" t="str">
        <f>IFERROR(__xludf.DUMMYFUNCTION("""COMPUTED_VALUE"""),"")</f>
        <v/>
      </c>
      <c r="C48" s="310">
        <f>IFERROR(__xludf.DUMMYFUNCTION("""COMPUTED_VALUE"""),95.0)</f>
        <v>95</v>
      </c>
      <c r="D48" s="310" t="str">
        <f>IFERROR(__xludf.DUMMYFUNCTION("""COMPUTED_VALUE"""),"Hospital Municipal Dr Fernando Pereira da Silva")</f>
        <v>Hospital Municipal Dr Fernando Pereira da Silva</v>
      </c>
      <c r="E48" s="310" t="str">
        <f>IFERROR(__xludf.DUMMYFUNCTION("""COMPUTED_VALUE"""),"REGIAO DOS LAGOS")</f>
        <v>REGIAO DOS LAGOS</v>
      </c>
      <c r="F48" s="310" t="str">
        <f>IFERROR(__xludf.DUMMYFUNCTION("""COMPUTED_VALUE"""),"Macaé")</f>
        <v>Macaé</v>
      </c>
      <c r="G48" s="310" t="str">
        <f>IFERROR(__xludf.DUMMYFUNCTION("""COMPUTED_VALUE"""),"Virgem Santa")</f>
        <v>Virgem Santa</v>
      </c>
      <c r="H48" s="310" t="str">
        <f>IFERROR(__xludf.DUMMYFUNCTION("""COMPUTED_VALUE"""),"Referência - ALTA COMPLEXIDADE")</f>
        <v>Referência - ALTA COMPLEXIDADE</v>
      </c>
      <c r="I48" s="310" t="str">
        <f>IFERROR(__xludf.DUMMYFUNCTION("""COMPUTED_VALUE"""),"Público")</f>
        <v>Público</v>
      </c>
      <c r="J48" s="310" t="str">
        <f>IFERROR(__xludf.DUMMYFUNCTION("""COMPUTED_VALUE"""),"")</f>
        <v/>
      </c>
      <c r="K48" s="310" t="str">
        <f>IFERROR(__xludf.DUMMYFUNCTION("""COMPUTED_VALUE"""),"")</f>
        <v/>
      </c>
      <c r="L48" s="310" t="str">
        <f>IFERROR(__xludf.DUMMYFUNCTION("""COMPUTED_VALUE"""),"")</f>
        <v/>
      </c>
      <c r="M48" s="310" t="str">
        <f>IFERROR(__xludf.DUMMYFUNCTION("""COMPUTED_VALUE"""),"")</f>
        <v/>
      </c>
      <c r="N48" s="310">
        <f>IFERROR(__xludf.DUMMYFUNCTION("""COMPUTED_VALUE"""),0.0)</f>
        <v>0</v>
      </c>
      <c r="O48" s="310">
        <f>IFERROR(__xludf.DUMMYFUNCTION("""COMPUTED_VALUE"""),0.0)</f>
        <v>0</v>
      </c>
      <c r="P48" s="310">
        <f>IFERROR(__xludf.DUMMYFUNCTION("""COMPUTED_VALUE"""),0.0)</f>
        <v>0</v>
      </c>
      <c r="Q48" s="310">
        <f>IFERROR(__xludf.DUMMYFUNCTION("""COMPUTED_VALUE"""),0.0)</f>
        <v>0</v>
      </c>
      <c r="R48" s="310">
        <f>IFERROR(__xludf.DUMMYFUNCTION("""COMPUTED_VALUE"""),0.0)</f>
        <v>0</v>
      </c>
      <c r="S48" s="310">
        <f>IFERROR(__xludf.DUMMYFUNCTION("""COMPUTED_VALUE"""),0.0)</f>
        <v>0</v>
      </c>
      <c r="T48" s="310">
        <f>IFERROR(__xludf.DUMMYFUNCTION("""COMPUTED_VALUE"""),50.0)</f>
        <v>50</v>
      </c>
      <c r="U48" s="310">
        <f>IFERROR(__xludf.DUMMYFUNCTION("""COMPUTED_VALUE"""),0.0)</f>
        <v>0</v>
      </c>
      <c r="V48" s="310">
        <f>IFERROR(__xludf.DUMMYFUNCTION("""COMPUTED_VALUE"""),0.0)</f>
        <v>0</v>
      </c>
      <c r="W48" s="310">
        <f>IFERROR(__xludf.DUMMYFUNCTION("""COMPUTED_VALUE"""),0.0)</f>
        <v>0</v>
      </c>
      <c r="X48" s="310">
        <f>IFERROR(__xludf.DUMMYFUNCTION("""COMPUTED_VALUE"""),0.0)</f>
        <v>0</v>
      </c>
      <c r="Y48" s="310">
        <f>IFERROR(__xludf.DUMMYFUNCTION("""COMPUTED_VALUE"""),0.0)</f>
        <v>0</v>
      </c>
      <c r="Z48" s="310">
        <f>IFERROR(__xludf.DUMMYFUNCTION("""COMPUTED_VALUE"""),-50.0)</f>
        <v>-50</v>
      </c>
      <c r="AA48" s="310">
        <f>IFERROR(__xludf.DUMMYFUNCTION("""COMPUTED_VALUE"""),0.0)</f>
        <v>0</v>
      </c>
      <c r="AB48" s="310">
        <f>IFERROR(__xludf.DUMMYFUNCTION("""COMPUTED_VALUE"""),0.0)</f>
        <v>0</v>
      </c>
      <c r="AC48" s="310">
        <f>IFERROR(__xludf.DUMMYFUNCTION("""COMPUTED_VALUE"""),0.0)</f>
        <v>0</v>
      </c>
      <c r="AD48" s="310">
        <f>IFERROR(__xludf.DUMMYFUNCTION("""COMPUTED_VALUE"""),0.0)</f>
        <v>0</v>
      </c>
      <c r="AE48" s="310">
        <f>IFERROR(__xludf.DUMMYFUNCTION("""COMPUTED_VALUE"""),0.0)</f>
        <v>0</v>
      </c>
      <c r="AF48" s="310" t="str">
        <f>IFERROR(__xludf.DUMMYFUNCTION("""COMPUTED_VALUE"""),"-22.3563134,-41.8076348")</f>
        <v>-22.3563134,-41.8076348</v>
      </c>
      <c r="AG48" s="310">
        <f>IFERROR(__xludf.DUMMYFUNCTION("""COMPUTED_VALUE"""),0.0)</f>
        <v>0</v>
      </c>
      <c r="AH48" s="310">
        <f>IFERROR(__xludf.DUMMYFUNCTION("""COMPUTED_VALUE"""),0.0)</f>
        <v>0</v>
      </c>
      <c r="AI48" s="310">
        <f>IFERROR(__xludf.DUMMYFUNCTION("""COMPUTED_VALUE"""),0.0)</f>
        <v>0</v>
      </c>
      <c r="AJ48" s="310">
        <f>IFERROR(__xludf.DUMMYFUNCTION("ROWS(QUERY(Entregas_BD!D:AM,""select D where D ='""&amp;D48&amp;""'"",1))-1"),1.0)</f>
        <v>1</v>
      </c>
    </row>
    <row r="49" ht="22.5" customHeight="1">
      <c r="A49" s="311" t="str">
        <f>IFERROR(__xludf.DUMMYFUNCTION("""COMPUTED_VALUE"""),"")</f>
        <v/>
      </c>
      <c r="B49" s="311" t="str">
        <f>IFERROR(__xludf.DUMMYFUNCTION("""COMPUTED_VALUE"""),"")</f>
        <v/>
      </c>
      <c r="C49" s="311">
        <f>IFERROR(__xludf.DUMMYFUNCTION("""COMPUTED_VALUE"""),97.0)</f>
        <v>97</v>
      </c>
      <c r="D49" s="311" t="str">
        <f>IFERROR(__xludf.DUMMYFUNCTION("""COMPUTED_VALUE"""),"Hospital Municipal Francisco da Silva Telles")</f>
        <v>Hospital Municipal Francisco da Silva Telles</v>
      </c>
      <c r="E49" s="311" t="str">
        <f>IFERROR(__xludf.DUMMYFUNCTION("""COMPUTED_VALUE"""),"ZONA NORTE")</f>
        <v>ZONA NORTE</v>
      </c>
      <c r="F49" s="311" t="str">
        <f>IFERROR(__xludf.DUMMYFUNCTION("""COMPUTED_VALUE"""),"Rio de Janeiro")</f>
        <v>Rio de Janeiro</v>
      </c>
      <c r="G49" s="311" t="str">
        <f>IFERROR(__xludf.DUMMYFUNCTION("""COMPUTED_VALUE"""),"Iraja")</f>
        <v>Iraja</v>
      </c>
      <c r="H49" s="311" t="str">
        <f>IFERROR(__xludf.DUMMYFUNCTION("""COMPUTED_VALUE"""),"Grande emergência - MÉDIA COMPLEXIDADE")</f>
        <v>Grande emergência - MÉDIA COMPLEXIDADE</v>
      </c>
      <c r="I49" s="311" t="str">
        <f>IFERROR(__xludf.DUMMYFUNCTION("""COMPUTED_VALUE"""),"Público")</f>
        <v>Público</v>
      </c>
      <c r="J49" s="311" t="str">
        <f>IFERROR(__xludf.DUMMYFUNCTION("""COMPUTED_VALUE"""),"")</f>
        <v/>
      </c>
      <c r="K49" s="311" t="str">
        <f>IFERROR(__xludf.DUMMYFUNCTION("""COMPUTED_VALUE"""),"")</f>
        <v/>
      </c>
      <c r="L49" s="311" t="str">
        <f>IFERROR(__xludf.DUMMYFUNCTION("""COMPUTED_VALUE"""),"")</f>
        <v/>
      </c>
      <c r="M49" s="311" t="str">
        <f>IFERROR(__xludf.DUMMYFUNCTION("""COMPUTED_VALUE"""),"")</f>
        <v/>
      </c>
      <c r="N49" s="311">
        <f>IFERROR(__xludf.DUMMYFUNCTION("""COMPUTED_VALUE"""),0.0)</f>
        <v>0</v>
      </c>
      <c r="O49" s="311">
        <f>IFERROR(__xludf.DUMMYFUNCTION("""COMPUTED_VALUE"""),0.0)</f>
        <v>0</v>
      </c>
      <c r="P49" s="311">
        <f>IFERROR(__xludf.DUMMYFUNCTION("""COMPUTED_VALUE"""),0.0)</f>
        <v>0</v>
      </c>
      <c r="Q49" s="311">
        <f>IFERROR(__xludf.DUMMYFUNCTION("""COMPUTED_VALUE"""),0.0)</f>
        <v>0</v>
      </c>
      <c r="R49" s="311">
        <f>IFERROR(__xludf.DUMMYFUNCTION("""COMPUTED_VALUE"""),0.0)</f>
        <v>0</v>
      </c>
      <c r="S49" s="311">
        <f>IFERROR(__xludf.DUMMYFUNCTION("""COMPUTED_VALUE"""),0.0)</f>
        <v>0</v>
      </c>
      <c r="T49" s="311">
        <f>IFERROR(__xludf.DUMMYFUNCTION("""COMPUTED_VALUE"""),50.0)</f>
        <v>50</v>
      </c>
      <c r="U49" s="311">
        <f>IFERROR(__xludf.DUMMYFUNCTION("""COMPUTED_VALUE"""),0.0)</f>
        <v>0</v>
      </c>
      <c r="V49" s="311">
        <f>IFERROR(__xludf.DUMMYFUNCTION("""COMPUTED_VALUE"""),0.0)</f>
        <v>0</v>
      </c>
      <c r="W49" s="311">
        <f>IFERROR(__xludf.DUMMYFUNCTION("""COMPUTED_VALUE"""),0.0)</f>
        <v>0</v>
      </c>
      <c r="X49" s="311">
        <f>IFERROR(__xludf.DUMMYFUNCTION("""COMPUTED_VALUE"""),0.0)</f>
        <v>0</v>
      </c>
      <c r="Y49" s="311">
        <f>IFERROR(__xludf.DUMMYFUNCTION("""COMPUTED_VALUE"""),0.0)</f>
        <v>0</v>
      </c>
      <c r="Z49" s="311">
        <f>IFERROR(__xludf.DUMMYFUNCTION("""COMPUTED_VALUE"""),-50.0)</f>
        <v>-50</v>
      </c>
      <c r="AA49" s="311">
        <f>IFERROR(__xludf.DUMMYFUNCTION("""COMPUTED_VALUE"""),0.0)</f>
        <v>0</v>
      </c>
      <c r="AB49" s="311">
        <f>IFERROR(__xludf.DUMMYFUNCTION("""COMPUTED_VALUE"""),0.0)</f>
        <v>0</v>
      </c>
      <c r="AC49" s="311">
        <f>IFERROR(__xludf.DUMMYFUNCTION("""COMPUTED_VALUE"""),0.0)</f>
        <v>0</v>
      </c>
      <c r="AD49" s="311">
        <f>IFERROR(__xludf.DUMMYFUNCTION("""COMPUTED_VALUE"""),0.0)</f>
        <v>0</v>
      </c>
      <c r="AE49" s="311">
        <f>IFERROR(__xludf.DUMMYFUNCTION("""COMPUTED_VALUE"""),0.0)</f>
        <v>0</v>
      </c>
      <c r="AF49" s="311" t="str">
        <f>IFERROR(__xludf.DUMMYFUNCTION("""COMPUTED_VALUE"""),"-22.8308433,-43.3280767")</f>
        <v>-22.8308433,-43.3280767</v>
      </c>
      <c r="AG49" s="311">
        <f>IFERROR(__xludf.DUMMYFUNCTION("""COMPUTED_VALUE"""),0.0)</f>
        <v>0</v>
      </c>
      <c r="AH49" s="311">
        <f>IFERROR(__xludf.DUMMYFUNCTION("""COMPUTED_VALUE"""),0.0)</f>
        <v>0</v>
      </c>
      <c r="AI49" s="311">
        <f>IFERROR(__xludf.DUMMYFUNCTION("""COMPUTED_VALUE"""),0.0)</f>
        <v>0</v>
      </c>
      <c r="AJ49" s="311">
        <f>IFERROR(__xludf.DUMMYFUNCTION("ROWS(QUERY(Entregas_BD!D:AM,""select D where D ='""&amp;D49&amp;""'"",1))-1"),1.0)</f>
        <v>1</v>
      </c>
    </row>
    <row r="50" ht="22.5" customHeight="1">
      <c r="A50" s="310" t="str">
        <f>IFERROR(__xludf.DUMMYFUNCTION("""COMPUTED_VALUE"""),"")</f>
        <v/>
      </c>
      <c r="B50" s="310" t="str">
        <f>IFERROR(__xludf.DUMMYFUNCTION("""COMPUTED_VALUE"""),"")</f>
        <v/>
      </c>
      <c r="C50" s="310">
        <f>IFERROR(__xludf.DUMMYFUNCTION("""COMPUTED_VALUE"""),98.0)</f>
        <v>98</v>
      </c>
      <c r="D50" s="310" t="str">
        <f>IFERROR(__xludf.DUMMYFUNCTION("""COMPUTED_VALUE"""),"Hospital Municipal Jesus")</f>
        <v>Hospital Municipal Jesus</v>
      </c>
      <c r="E50" s="310" t="str">
        <f>IFERROR(__xludf.DUMMYFUNCTION("""COMPUTED_VALUE"""),"ZONA NORTE")</f>
        <v>ZONA NORTE</v>
      </c>
      <c r="F50" s="310" t="str">
        <f>IFERROR(__xludf.DUMMYFUNCTION("""COMPUTED_VALUE"""),"Rio de Janeiro")</f>
        <v>Rio de Janeiro</v>
      </c>
      <c r="G50" s="310" t="str">
        <f>IFERROR(__xludf.DUMMYFUNCTION("""COMPUTED_VALUE"""),"Vila Isabel")</f>
        <v>Vila Isabel</v>
      </c>
      <c r="H50" s="310" t="str">
        <f>IFERROR(__xludf.DUMMYFUNCTION("""COMPUTED_VALUE"""),"Grande emergência - MÉDIA COMPLEXIDADE")</f>
        <v>Grande emergência - MÉDIA COMPLEXIDADE</v>
      </c>
      <c r="I50" s="310" t="str">
        <f>IFERROR(__xludf.DUMMYFUNCTION("""COMPUTED_VALUE"""),"Público")</f>
        <v>Público</v>
      </c>
      <c r="J50" s="310" t="str">
        <f>IFERROR(__xludf.DUMMYFUNCTION("""COMPUTED_VALUE"""),"")</f>
        <v/>
      </c>
      <c r="K50" s="310" t="str">
        <f>IFERROR(__xludf.DUMMYFUNCTION("""COMPUTED_VALUE"""),"")</f>
        <v/>
      </c>
      <c r="L50" s="310" t="str">
        <f>IFERROR(__xludf.DUMMYFUNCTION("""COMPUTED_VALUE"""),"")</f>
        <v/>
      </c>
      <c r="M50" s="310" t="str">
        <f>IFERROR(__xludf.DUMMYFUNCTION("""COMPUTED_VALUE"""),"")</f>
        <v/>
      </c>
      <c r="N50" s="310">
        <f>IFERROR(__xludf.DUMMYFUNCTION("""COMPUTED_VALUE"""),0.0)</f>
        <v>0</v>
      </c>
      <c r="O50" s="310">
        <f>IFERROR(__xludf.DUMMYFUNCTION("""COMPUTED_VALUE"""),0.0)</f>
        <v>0</v>
      </c>
      <c r="P50" s="310">
        <f>IFERROR(__xludf.DUMMYFUNCTION("""COMPUTED_VALUE"""),0.0)</f>
        <v>0</v>
      </c>
      <c r="Q50" s="310">
        <f>IFERROR(__xludf.DUMMYFUNCTION("""COMPUTED_VALUE"""),0.0)</f>
        <v>0</v>
      </c>
      <c r="R50" s="310">
        <f>IFERROR(__xludf.DUMMYFUNCTION("""COMPUTED_VALUE"""),0.0)</f>
        <v>0</v>
      </c>
      <c r="S50" s="310">
        <f>IFERROR(__xludf.DUMMYFUNCTION("""COMPUTED_VALUE"""),0.0)</f>
        <v>0</v>
      </c>
      <c r="T50" s="310">
        <f>IFERROR(__xludf.DUMMYFUNCTION("""COMPUTED_VALUE"""),140.0)</f>
        <v>140</v>
      </c>
      <c r="U50" s="310">
        <f>IFERROR(__xludf.DUMMYFUNCTION("""COMPUTED_VALUE"""),0.0)</f>
        <v>0</v>
      </c>
      <c r="V50" s="310">
        <f>IFERROR(__xludf.DUMMYFUNCTION("""COMPUTED_VALUE"""),0.0)</f>
        <v>0</v>
      </c>
      <c r="W50" s="310">
        <f>IFERROR(__xludf.DUMMYFUNCTION("""COMPUTED_VALUE"""),0.0)</f>
        <v>0</v>
      </c>
      <c r="X50" s="310">
        <f>IFERROR(__xludf.DUMMYFUNCTION("""COMPUTED_VALUE"""),0.0)</f>
        <v>0</v>
      </c>
      <c r="Y50" s="310">
        <f>IFERROR(__xludf.DUMMYFUNCTION("""COMPUTED_VALUE"""),0.0)</f>
        <v>0</v>
      </c>
      <c r="Z50" s="310">
        <f>IFERROR(__xludf.DUMMYFUNCTION("""COMPUTED_VALUE"""),-140.0)</f>
        <v>-140</v>
      </c>
      <c r="AA50" s="310">
        <f>IFERROR(__xludf.DUMMYFUNCTION("""COMPUTED_VALUE"""),0.0)</f>
        <v>0</v>
      </c>
      <c r="AB50" s="310">
        <f>IFERROR(__xludf.DUMMYFUNCTION("""COMPUTED_VALUE"""),0.0)</f>
        <v>0</v>
      </c>
      <c r="AC50" s="310">
        <f>IFERROR(__xludf.DUMMYFUNCTION("""COMPUTED_VALUE"""),0.0)</f>
        <v>0</v>
      </c>
      <c r="AD50" s="310">
        <f>IFERROR(__xludf.DUMMYFUNCTION("""COMPUTED_VALUE"""),0.0)</f>
        <v>0</v>
      </c>
      <c r="AE50" s="310">
        <f>IFERROR(__xludf.DUMMYFUNCTION("""COMPUTED_VALUE"""),0.0)</f>
        <v>0</v>
      </c>
      <c r="AF50" s="310" t="str">
        <f>IFERROR(__xludf.DUMMYFUNCTION("""COMPUTED_VALUE"""),"-22.9116044,-43.243544")</f>
        <v>-22.9116044,-43.243544</v>
      </c>
      <c r="AG50" s="310">
        <f>IFERROR(__xludf.DUMMYFUNCTION("""COMPUTED_VALUE"""),0.0)</f>
        <v>0</v>
      </c>
      <c r="AH50" s="310">
        <f>IFERROR(__xludf.DUMMYFUNCTION("""COMPUTED_VALUE"""),0.0)</f>
        <v>0</v>
      </c>
      <c r="AI50" s="310">
        <f>IFERROR(__xludf.DUMMYFUNCTION("""COMPUTED_VALUE"""),0.0)</f>
        <v>0</v>
      </c>
      <c r="AJ50" s="310">
        <f>IFERROR(__xludf.DUMMYFUNCTION("ROWS(QUERY(Entregas_BD!D:AM,""select D where D ='""&amp;D50&amp;""'"",1))-1"),3.0)</f>
        <v>3</v>
      </c>
    </row>
    <row r="51" ht="22.5" customHeight="1">
      <c r="A51" s="311" t="str">
        <f>IFERROR(__xludf.DUMMYFUNCTION("""COMPUTED_VALUE"""),"")</f>
        <v/>
      </c>
      <c r="B51" s="311" t="str">
        <f>IFERROR(__xludf.DUMMYFUNCTION("""COMPUTED_VALUE"""),"")</f>
        <v/>
      </c>
      <c r="C51" s="311">
        <f>IFERROR(__xludf.DUMMYFUNCTION("""COMPUTED_VALUE"""),99.0)</f>
        <v>99</v>
      </c>
      <c r="D51" s="311" t="str">
        <f>IFERROR(__xludf.DUMMYFUNCTION("""COMPUTED_VALUE"""),"Hospital Municipal José Rabello de Mello")</f>
        <v>Hospital Municipal José Rabello de Mello</v>
      </c>
      <c r="E51" s="311" t="str">
        <f>IFERROR(__xludf.DUMMYFUNCTION("""COMPUTED_VALUE"""),"REGIAO SERRANA")</f>
        <v>REGIAO SERRANA</v>
      </c>
      <c r="F51" s="311" t="str">
        <f>IFERROR(__xludf.DUMMYFUNCTION("""COMPUTED_VALUE"""),"Guapimirim serrana")</f>
        <v>Guapimirim serrana</v>
      </c>
      <c r="G51" s="311" t="str">
        <f>IFERROR(__xludf.DUMMYFUNCTION("""COMPUTED_VALUE"""),"Bananal")</f>
        <v>Bananal</v>
      </c>
      <c r="H51" s="311" t="str">
        <f>IFERROR(__xludf.DUMMYFUNCTION("""COMPUTED_VALUE"""),"Referência - ALTA COMPLEXIDADE")</f>
        <v>Referência - ALTA COMPLEXIDADE</v>
      </c>
      <c r="I51" s="311" t="str">
        <f>IFERROR(__xludf.DUMMYFUNCTION("""COMPUTED_VALUE"""),"Público")</f>
        <v>Público</v>
      </c>
      <c r="J51" s="311" t="str">
        <f>IFERROR(__xludf.DUMMYFUNCTION("""COMPUTED_VALUE"""),"")</f>
        <v/>
      </c>
      <c r="K51" s="311" t="str">
        <f>IFERROR(__xludf.DUMMYFUNCTION("""COMPUTED_VALUE"""),"")</f>
        <v/>
      </c>
      <c r="L51" s="311" t="str">
        <f>IFERROR(__xludf.DUMMYFUNCTION("""COMPUTED_VALUE"""),"")</f>
        <v/>
      </c>
      <c r="M51" s="311" t="str">
        <f>IFERROR(__xludf.DUMMYFUNCTION("""COMPUTED_VALUE"""),"")</f>
        <v/>
      </c>
      <c r="N51" s="311">
        <f>IFERROR(__xludf.DUMMYFUNCTION("""COMPUTED_VALUE"""),0.0)</f>
        <v>0</v>
      </c>
      <c r="O51" s="311">
        <f>IFERROR(__xludf.DUMMYFUNCTION("""COMPUTED_VALUE"""),0.0)</f>
        <v>0</v>
      </c>
      <c r="P51" s="311">
        <f>IFERROR(__xludf.DUMMYFUNCTION("""COMPUTED_VALUE"""),0.0)</f>
        <v>0</v>
      </c>
      <c r="Q51" s="311">
        <f>IFERROR(__xludf.DUMMYFUNCTION("""COMPUTED_VALUE"""),0.0)</f>
        <v>0</v>
      </c>
      <c r="R51" s="311">
        <f>IFERROR(__xludf.DUMMYFUNCTION("""COMPUTED_VALUE"""),0.0)</f>
        <v>0</v>
      </c>
      <c r="S51" s="311">
        <f>IFERROR(__xludf.DUMMYFUNCTION("""COMPUTED_VALUE"""),0.0)</f>
        <v>0</v>
      </c>
      <c r="T51" s="311">
        <f>IFERROR(__xludf.DUMMYFUNCTION("""COMPUTED_VALUE"""),50.0)</f>
        <v>50</v>
      </c>
      <c r="U51" s="311">
        <f>IFERROR(__xludf.DUMMYFUNCTION("""COMPUTED_VALUE"""),0.0)</f>
        <v>0</v>
      </c>
      <c r="V51" s="311">
        <f>IFERROR(__xludf.DUMMYFUNCTION("""COMPUTED_VALUE"""),0.0)</f>
        <v>0</v>
      </c>
      <c r="W51" s="311">
        <f>IFERROR(__xludf.DUMMYFUNCTION("""COMPUTED_VALUE"""),0.0)</f>
        <v>0</v>
      </c>
      <c r="X51" s="311">
        <f>IFERROR(__xludf.DUMMYFUNCTION("""COMPUTED_VALUE"""),0.0)</f>
        <v>0</v>
      </c>
      <c r="Y51" s="311">
        <f>IFERROR(__xludf.DUMMYFUNCTION("""COMPUTED_VALUE"""),0.0)</f>
        <v>0</v>
      </c>
      <c r="Z51" s="311">
        <f>IFERROR(__xludf.DUMMYFUNCTION("""COMPUTED_VALUE"""),-50.0)</f>
        <v>-50</v>
      </c>
      <c r="AA51" s="311">
        <f>IFERROR(__xludf.DUMMYFUNCTION("""COMPUTED_VALUE"""),0.0)</f>
        <v>0</v>
      </c>
      <c r="AB51" s="311">
        <f>IFERROR(__xludf.DUMMYFUNCTION("""COMPUTED_VALUE"""),0.0)</f>
        <v>0</v>
      </c>
      <c r="AC51" s="311">
        <f>IFERROR(__xludf.DUMMYFUNCTION("""COMPUTED_VALUE"""),0.0)</f>
        <v>0</v>
      </c>
      <c r="AD51" s="311">
        <f>IFERROR(__xludf.DUMMYFUNCTION("""COMPUTED_VALUE"""),0.0)</f>
        <v>0</v>
      </c>
      <c r="AE51" s="311">
        <f>IFERROR(__xludf.DUMMYFUNCTION("""COMPUTED_VALUE"""),0.0)</f>
        <v>0</v>
      </c>
      <c r="AF51" s="311" t="str">
        <f>IFERROR(__xludf.DUMMYFUNCTION("""COMPUTED_VALUE"""),"-22.5364661,-42.9823512")</f>
        <v>-22.5364661,-42.9823512</v>
      </c>
      <c r="AG51" s="311">
        <f>IFERROR(__xludf.DUMMYFUNCTION("""COMPUTED_VALUE"""),0.0)</f>
        <v>0</v>
      </c>
      <c r="AH51" s="311">
        <f>IFERROR(__xludf.DUMMYFUNCTION("""COMPUTED_VALUE"""),0.0)</f>
        <v>0</v>
      </c>
      <c r="AI51" s="311">
        <f>IFERROR(__xludf.DUMMYFUNCTION("""COMPUTED_VALUE"""),0.0)</f>
        <v>0</v>
      </c>
      <c r="AJ51" s="311">
        <f>IFERROR(__xludf.DUMMYFUNCTION("ROWS(QUERY(Entregas_BD!D:AM,""select D where D ='""&amp;D51&amp;""'"",1))-1"),1.0)</f>
        <v>1</v>
      </c>
    </row>
    <row r="52" ht="22.5" customHeight="1">
      <c r="A52" s="310" t="str">
        <f>IFERROR(__xludf.DUMMYFUNCTION("""COMPUTED_VALUE"""),"")</f>
        <v/>
      </c>
      <c r="B52" s="310" t="str">
        <f>IFERROR(__xludf.DUMMYFUNCTION("""COMPUTED_VALUE"""),"")</f>
        <v/>
      </c>
      <c r="C52" s="310">
        <f>IFERROR(__xludf.DUMMYFUNCTION("""COMPUTED_VALUE"""),101.0)</f>
        <v>101</v>
      </c>
      <c r="D52" s="310" t="str">
        <f>IFERROR(__xludf.DUMMYFUNCTION("""COMPUTED_VALUE"""),"Hospital Municipal Lourenço Jorge")</f>
        <v>Hospital Municipal Lourenço Jorge</v>
      </c>
      <c r="E52" s="310" t="str">
        <f>IFERROR(__xludf.DUMMYFUNCTION("""COMPUTED_VALUE"""),"ZONA OESTE")</f>
        <v>ZONA OESTE</v>
      </c>
      <c r="F52" s="310" t="str">
        <f>IFERROR(__xludf.DUMMYFUNCTION("""COMPUTED_VALUE"""),"Rio de Janeiro")</f>
        <v>Rio de Janeiro</v>
      </c>
      <c r="G52" s="310" t="str">
        <f>IFERROR(__xludf.DUMMYFUNCTION("""COMPUTED_VALUE"""),"Barra da Tijuca")</f>
        <v>Barra da Tijuca</v>
      </c>
      <c r="H52" s="310" t="str">
        <f>IFERROR(__xludf.DUMMYFUNCTION("""COMPUTED_VALUE"""),"Grande emergência - MÉDIA COMPLEXIDADE")</f>
        <v>Grande emergência - MÉDIA COMPLEXIDADE</v>
      </c>
      <c r="I52" s="310" t="str">
        <f>IFERROR(__xludf.DUMMYFUNCTION("""COMPUTED_VALUE"""),"Público")</f>
        <v>Público</v>
      </c>
      <c r="J52" s="310" t="str">
        <f>IFERROR(__xludf.DUMMYFUNCTION("""COMPUTED_VALUE"""),"")</f>
        <v/>
      </c>
      <c r="K52" s="310" t="str">
        <f>IFERROR(__xludf.DUMMYFUNCTION("""COMPUTED_VALUE"""),"")</f>
        <v/>
      </c>
      <c r="L52" s="310" t="str">
        <f>IFERROR(__xludf.DUMMYFUNCTION("""COMPUTED_VALUE"""),"")</f>
        <v/>
      </c>
      <c r="M52" s="310" t="str">
        <f>IFERROR(__xludf.DUMMYFUNCTION("""COMPUTED_VALUE"""),"")</f>
        <v/>
      </c>
      <c r="N52" s="310">
        <f>IFERROR(__xludf.DUMMYFUNCTION("""COMPUTED_VALUE"""),0.0)</f>
        <v>0</v>
      </c>
      <c r="O52" s="310">
        <f>IFERROR(__xludf.DUMMYFUNCTION("""COMPUTED_VALUE"""),0.0)</f>
        <v>0</v>
      </c>
      <c r="P52" s="310">
        <f>IFERROR(__xludf.DUMMYFUNCTION("""COMPUTED_VALUE"""),0.0)</f>
        <v>0</v>
      </c>
      <c r="Q52" s="310">
        <f>IFERROR(__xludf.DUMMYFUNCTION("""COMPUTED_VALUE"""),0.0)</f>
        <v>0</v>
      </c>
      <c r="R52" s="310">
        <f>IFERROR(__xludf.DUMMYFUNCTION("""COMPUTED_VALUE"""),0.0)</f>
        <v>0</v>
      </c>
      <c r="S52" s="310">
        <f>IFERROR(__xludf.DUMMYFUNCTION("""COMPUTED_VALUE"""),0.0)</f>
        <v>0</v>
      </c>
      <c r="T52" s="310">
        <f>IFERROR(__xludf.DUMMYFUNCTION("""COMPUTED_VALUE"""),185.0)</f>
        <v>185</v>
      </c>
      <c r="U52" s="310">
        <f>IFERROR(__xludf.DUMMYFUNCTION("""COMPUTED_VALUE"""),0.0)</f>
        <v>0</v>
      </c>
      <c r="V52" s="310">
        <f>IFERROR(__xludf.DUMMYFUNCTION("""COMPUTED_VALUE"""),0.0)</f>
        <v>0</v>
      </c>
      <c r="W52" s="310">
        <f>IFERROR(__xludf.DUMMYFUNCTION("""COMPUTED_VALUE"""),0.0)</f>
        <v>0</v>
      </c>
      <c r="X52" s="310">
        <f>IFERROR(__xludf.DUMMYFUNCTION("""COMPUTED_VALUE"""),0.0)</f>
        <v>0</v>
      </c>
      <c r="Y52" s="310">
        <f>IFERROR(__xludf.DUMMYFUNCTION("""COMPUTED_VALUE"""),0.0)</f>
        <v>0</v>
      </c>
      <c r="Z52" s="310">
        <f>IFERROR(__xludf.DUMMYFUNCTION("""COMPUTED_VALUE"""),-185.0)</f>
        <v>-185</v>
      </c>
      <c r="AA52" s="310">
        <f>IFERROR(__xludf.DUMMYFUNCTION("""COMPUTED_VALUE"""),0.0)</f>
        <v>0</v>
      </c>
      <c r="AB52" s="310">
        <f>IFERROR(__xludf.DUMMYFUNCTION("""COMPUTED_VALUE"""),0.0)</f>
        <v>0</v>
      </c>
      <c r="AC52" s="310">
        <f>IFERROR(__xludf.DUMMYFUNCTION("""COMPUTED_VALUE"""),0.0)</f>
        <v>0</v>
      </c>
      <c r="AD52" s="310">
        <f>IFERROR(__xludf.DUMMYFUNCTION("""COMPUTED_VALUE"""),0.0)</f>
        <v>0</v>
      </c>
      <c r="AE52" s="310">
        <f>IFERROR(__xludf.DUMMYFUNCTION("""COMPUTED_VALUE"""),0.0)</f>
        <v>0</v>
      </c>
      <c r="AF52" s="310" t="str">
        <f>IFERROR(__xludf.DUMMYFUNCTION("""COMPUTED_VALUE"""),"-22.9949934,-43.3637553")</f>
        <v>-22.9949934,-43.3637553</v>
      </c>
      <c r="AG52" s="310">
        <f>IFERROR(__xludf.DUMMYFUNCTION("""COMPUTED_VALUE"""),0.0)</f>
        <v>0</v>
      </c>
      <c r="AH52" s="310">
        <f>IFERROR(__xludf.DUMMYFUNCTION("""COMPUTED_VALUE"""),0.0)</f>
        <v>0</v>
      </c>
      <c r="AI52" s="310">
        <f>IFERROR(__xludf.DUMMYFUNCTION("""COMPUTED_VALUE"""),0.0)</f>
        <v>0</v>
      </c>
      <c r="AJ52" s="310">
        <f>IFERROR(__xludf.DUMMYFUNCTION("ROWS(QUERY(Entregas_BD!D:AM,""select D where D ='""&amp;D52&amp;""'"",1))-1"),2.0)</f>
        <v>2</v>
      </c>
    </row>
    <row r="53" ht="22.5" customHeight="1">
      <c r="A53" s="311" t="str">
        <f>IFERROR(__xludf.DUMMYFUNCTION("""COMPUTED_VALUE"""),"")</f>
        <v/>
      </c>
      <c r="B53" s="311" t="str">
        <f>IFERROR(__xludf.DUMMYFUNCTION("""COMPUTED_VALUE"""),"")</f>
        <v/>
      </c>
      <c r="C53" s="311">
        <f>IFERROR(__xludf.DUMMYFUNCTION("""COMPUTED_VALUE"""),102.0)</f>
        <v>102</v>
      </c>
      <c r="D53" s="311" t="str">
        <f>IFERROR(__xludf.DUMMYFUNCTION("""COMPUTED_VALUE"""),"Hospital Municipal Miguel Couto")</f>
        <v>Hospital Municipal Miguel Couto</v>
      </c>
      <c r="E53" s="311" t="str">
        <f>IFERROR(__xludf.DUMMYFUNCTION("""COMPUTED_VALUE"""),"ZONA SUL")</f>
        <v>ZONA SUL</v>
      </c>
      <c r="F53" s="311" t="str">
        <f>IFERROR(__xludf.DUMMYFUNCTION("""COMPUTED_VALUE"""),"Rio de Janeiro")</f>
        <v>Rio de Janeiro</v>
      </c>
      <c r="G53" s="311" t="str">
        <f>IFERROR(__xludf.DUMMYFUNCTION("""COMPUTED_VALUE"""),"Leblon/Gavea")</f>
        <v>Leblon/Gavea</v>
      </c>
      <c r="H53" s="311" t="str">
        <f>IFERROR(__xludf.DUMMYFUNCTION("""COMPUTED_VALUE"""),"Grande emergência - MÉDIA COMPLEXIDADE")</f>
        <v>Grande emergência - MÉDIA COMPLEXIDADE</v>
      </c>
      <c r="I53" s="311" t="str">
        <f>IFERROR(__xludf.DUMMYFUNCTION("""COMPUTED_VALUE"""),"Público")</f>
        <v>Público</v>
      </c>
      <c r="J53" s="311" t="str">
        <f>IFERROR(__xludf.DUMMYFUNCTION("""COMPUTED_VALUE"""),"")</f>
        <v/>
      </c>
      <c r="K53" s="311" t="str">
        <f>IFERROR(__xludf.DUMMYFUNCTION("""COMPUTED_VALUE"""),"")</f>
        <v/>
      </c>
      <c r="L53" s="311" t="str">
        <f>IFERROR(__xludf.DUMMYFUNCTION("""COMPUTED_VALUE"""),"")</f>
        <v/>
      </c>
      <c r="M53" s="311" t="str">
        <f>IFERROR(__xludf.DUMMYFUNCTION("""COMPUTED_VALUE"""),"")</f>
        <v/>
      </c>
      <c r="N53" s="311">
        <f>IFERROR(__xludf.DUMMYFUNCTION("""COMPUTED_VALUE"""),0.0)</f>
        <v>0</v>
      </c>
      <c r="O53" s="311">
        <f>IFERROR(__xludf.DUMMYFUNCTION("""COMPUTED_VALUE"""),0.0)</f>
        <v>0</v>
      </c>
      <c r="P53" s="311">
        <f>IFERROR(__xludf.DUMMYFUNCTION("""COMPUTED_VALUE"""),0.0)</f>
        <v>0</v>
      </c>
      <c r="Q53" s="311">
        <f>IFERROR(__xludf.DUMMYFUNCTION("""COMPUTED_VALUE"""),0.0)</f>
        <v>0</v>
      </c>
      <c r="R53" s="311">
        <f>IFERROR(__xludf.DUMMYFUNCTION("""COMPUTED_VALUE"""),0.0)</f>
        <v>0</v>
      </c>
      <c r="S53" s="311">
        <f>IFERROR(__xludf.DUMMYFUNCTION("""COMPUTED_VALUE"""),0.0)</f>
        <v>0</v>
      </c>
      <c r="T53" s="311">
        <f>IFERROR(__xludf.DUMMYFUNCTION("""COMPUTED_VALUE"""),500.0)</f>
        <v>500</v>
      </c>
      <c r="U53" s="311">
        <f>IFERROR(__xludf.DUMMYFUNCTION("""COMPUTED_VALUE"""),0.0)</f>
        <v>0</v>
      </c>
      <c r="V53" s="311">
        <f>IFERROR(__xludf.DUMMYFUNCTION("""COMPUTED_VALUE"""),0.0)</f>
        <v>0</v>
      </c>
      <c r="W53" s="311">
        <f>IFERROR(__xludf.DUMMYFUNCTION("""COMPUTED_VALUE"""),0.0)</f>
        <v>0</v>
      </c>
      <c r="X53" s="311">
        <f>IFERROR(__xludf.DUMMYFUNCTION("""COMPUTED_VALUE"""),0.0)</f>
        <v>0</v>
      </c>
      <c r="Y53" s="311">
        <f>IFERROR(__xludf.DUMMYFUNCTION("""COMPUTED_VALUE"""),0.0)</f>
        <v>0</v>
      </c>
      <c r="Z53" s="311">
        <f>IFERROR(__xludf.DUMMYFUNCTION("""COMPUTED_VALUE"""),-500.0)</f>
        <v>-500</v>
      </c>
      <c r="AA53" s="311">
        <f>IFERROR(__xludf.DUMMYFUNCTION("""COMPUTED_VALUE"""),0.0)</f>
        <v>0</v>
      </c>
      <c r="AB53" s="311">
        <f>IFERROR(__xludf.DUMMYFUNCTION("""COMPUTED_VALUE"""),0.0)</f>
        <v>0</v>
      </c>
      <c r="AC53" s="311">
        <f>IFERROR(__xludf.DUMMYFUNCTION("""COMPUTED_VALUE"""),0.0)</f>
        <v>0</v>
      </c>
      <c r="AD53" s="311">
        <f>IFERROR(__xludf.DUMMYFUNCTION("""COMPUTED_VALUE"""),0.0)</f>
        <v>0</v>
      </c>
      <c r="AE53" s="311">
        <f>IFERROR(__xludf.DUMMYFUNCTION("""COMPUTED_VALUE"""),0.0)</f>
        <v>0</v>
      </c>
      <c r="AF53" s="311" t="str">
        <f>IFERROR(__xludf.DUMMYFUNCTION("""COMPUTED_VALUE"""),"-22.9775844,-43.2240119")</f>
        <v>-22.9775844,-43.2240119</v>
      </c>
      <c r="AG53" s="311">
        <f>IFERROR(__xludf.DUMMYFUNCTION("""COMPUTED_VALUE"""),0.0)</f>
        <v>0</v>
      </c>
      <c r="AH53" s="311">
        <f>IFERROR(__xludf.DUMMYFUNCTION("""COMPUTED_VALUE"""),0.0)</f>
        <v>0</v>
      </c>
      <c r="AI53" s="311">
        <f>IFERROR(__xludf.DUMMYFUNCTION("""COMPUTED_VALUE"""),0.0)</f>
        <v>0</v>
      </c>
      <c r="AJ53" s="311">
        <f>IFERROR(__xludf.DUMMYFUNCTION("ROWS(QUERY(Entregas_BD!D:AM,""select D where D ='""&amp;D53&amp;""'"",1))-1"),4.0)</f>
        <v>4</v>
      </c>
    </row>
    <row r="54" ht="22.5" customHeight="1">
      <c r="A54" s="310" t="str">
        <f>IFERROR(__xludf.DUMMYFUNCTION("""COMPUTED_VALUE"""),"")</f>
        <v/>
      </c>
      <c r="B54" s="310" t="str">
        <f>IFERROR(__xludf.DUMMYFUNCTION("""COMPUTED_VALUE"""),"")</f>
        <v/>
      </c>
      <c r="C54" s="310">
        <f>IFERROR(__xludf.DUMMYFUNCTION("""COMPUTED_VALUE"""),103.0)</f>
        <v>103</v>
      </c>
      <c r="D54" s="310" t="str">
        <f>IFERROR(__xludf.DUMMYFUNCTION("""COMPUTED_VALUE"""),"Hospital Municipal Moacyr do Carmo")</f>
        <v>Hospital Municipal Moacyr do Carmo</v>
      </c>
      <c r="E54" s="310" t="str">
        <f>IFERROR(__xludf.DUMMYFUNCTION("""COMPUTED_VALUE"""),"BAIXADA FLUMINENSE")</f>
        <v>BAIXADA FLUMINENSE</v>
      </c>
      <c r="F54" s="310" t="str">
        <f>IFERROR(__xludf.DUMMYFUNCTION("""COMPUTED_VALUE"""),"Rio de Janeiro")</f>
        <v>Rio de Janeiro</v>
      </c>
      <c r="G54" s="310" t="str">
        <f>IFERROR(__xludf.DUMMYFUNCTION("""COMPUTED_VALUE"""),"Vila sao luiz")</f>
        <v>Vila sao luiz</v>
      </c>
      <c r="H54" s="310" t="str">
        <f>IFERROR(__xludf.DUMMYFUNCTION("""COMPUTED_VALUE"""),"Referência - ALTA COMPLEXIDADE")</f>
        <v>Referência - ALTA COMPLEXIDADE</v>
      </c>
      <c r="I54" s="310" t="str">
        <f>IFERROR(__xludf.DUMMYFUNCTION("""COMPUTED_VALUE"""),"Público")</f>
        <v>Público</v>
      </c>
      <c r="J54" s="310" t="str">
        <f>IFERROR(__xludf.DUMMYFUNCTION("""COMPUTED_VALUE"""),"")</f>
        <v/>
      </c>
      <c r="K54" s="310" t="str">
        <f>IFERROR(__xludf.DUMMYFUNCTION("""COMPUTED_VALUE"""),"")</f>
        <v/>
      </c>
      <c r="L54" s="310" t="str">
        <f>IFERROR(__xludf.DUMMYFUNCTION("""COMPUTED_VALUE"""),"")</f>
        <v/>
      </c>
      <c r="M54" s="310" t="str">
        <f>IFERROR(__xludf.DUMMYFUNCTION("""COMPUTED_VALUE"""),"")</f>
        <v/>
      </c>
      <c r="N54" s="310">
        <f>IFERROR(__xludf.DUMMYFUNCTION("""COMPUTED_VALUE"""),0.0)</f>
        <v>0</v>
      </c>
      <c r="O54" s="310">
        <f>IFERROR(__xludf.DUMMYFUNCTION("""COMPUTED_VALUE"""),0.0)</f>
        <v>0</v>
      </c>
      <c r="P54" s="310">
        <f>IFERROR(__xludf.DUMMYFUNCTION("""COMPUTED_VALUE"""),0.0)</f>
        <v>0</v>
      </c>
      <c r="Q54" s="310">
        <f>IFERROR(__xludf.DUMMYFUNCTION("""COMPUTED_VALUE"""),0.0)</f>
        <v>0</v>
      </c>
      <c r="R54" s="310">
        <f>IFERROR(__xludf.DUMMYFUNCTION("""COMPUTED_VALUE"""),0.0)</f>
        <v>0</v>
      </c>
      <c r="S54" s="310">
        <f>IFERROR(__xludf.DUMMYFUNCTION("""COMPUTED_VALUE"""),0.0)</f>
        <v>0</v>
      </c>
      <c r="T54" s="310">
        <f>IFERROR(__xludf.DUMMYFUNCTION("""COMPUTED_VALUE"""),300.0)</f>
        <v>300</v>
      </c>
      <c r="U54" s="310">
        <f>IFERROR(__xludf.DUMMYFUNCTION("""COMPUTED_VALUE"""),0.0)</f>
        <v>0</v>
      </c>
      <c r="V54" s="310">
        <f>IFERROR(__xludf.DUMMYFUNCTION("""COMPUTED_VALUE"""),0.0)</f>
        <v>0</v>
      </c>
      <c r="W54" s="310">
        <f>IFERROR(__xludf.DUMMYFUNCTION("""COMPUTED_VALUE"""),0.0)</f>
        <v>0</v>
      </c>
      <c r="X54" s="310">
        <f>IFERROR(__xludf.DUMMYFUNCTION("""COMPUTED_VALUE"""),0.0)</f>
        <v>0</v>
      </c>
      <c r="Y54" s="310">
        <f>IFERROR(__xludf.DUMMYFUNCTION("""COMPUTED_VALUE"""),0.0)</f>
        <v>0</v>
      </c>
      <c r="Z54" s="310">
        <f>IFERROR(__xludf.DUMMYFUNCTION("""COMPUTED_VALUE"""),-300.0)</f>
        <v>-300</v>
      </c>
      <c r="AA54" s="310">
        <f>IFERROR(__xludf.DUMMYFUNCTION("""COMPUTED_VALUE"""),0.0)</f>
        <v>0</v>
      </c>
      <c r="AB54" s="310">
        <f>IFERROR(__xludf.DUMMYFUNCTION("""COMPUTED_VALUE"""),0.0)</f>
        <v>0</v>
      </c>
      <c r="AC54" s="310">
        <f>IFERROR(__xludf.DUMMYFUNCTION("""COMPUTED_VALUE"""),0.0)</f>
        <v>0</v>
      </c>
      <c r="AD54" s="310">
        <f>IFERROR(__xludf.DUMMYFUNCTION("""COMPUTED_VALUE"""),0.0)</f>
        <v>0</v>
      </c>
      <c r="AE54" s="310">
        <f>IFERROR(__xludf.DUMMYFUNCTION("""COMPUTED_VALUE"""),0.0)</f>
        <v>0</v>
      </c>
      <c r="AF54" s="310" t="str">
        <f>IFERROR(__xludf.DUMMYFUNCTION("""COMPUTED_VALUE"""),"-22.7837575,-43.284084")</f>
        <v>-22.7837575,-43.284084</v>
      </c>
      <c r="AG54" s="310">
        <f>IFERROR(__xludf.DUMMYFUNCTION("""COMPUTED_VALUE"""),0.0)</f>
        <v>0</v>
      </c>
      <c r="AH54" s="310">
        <f>IFERROR(__xludf.DUMMYFUNCTION("""COMPUTED_VALUE"""),0.0)</f>
        <v>0</v>
      </c>
      <c r="AI54" s="310">
        <f>IFERROR(__xludf.DUMMYFUNCTION("""COMPUTED_VALUE"""),0.0)</f>
        <v>0</v>
      </c>
      <c r="AJ54" s="310">
        <f>IFERROR(__xludf.DUMMYFUNCTION("ROWS(QUERY(Entregas_BD!D:AM,""select D where D ='""&amp;D54&amp;""'"",1))-1"),1.0)</f>
        <v>1</v>
      </c>
    </row>
    <row r="55" ht="22.5" customHeight="1">
      <c r="A55" s="311" t="str">
        <f>IFERROR(__xludf.DUMMYFUNCTION("""COMPUTED_VALUE"""),"")</f>
        <v/>
      </c>
      <c r="B55" s="311" t="str">
        <f>IFERROR(__xludf.DUMMYFUNCTION("""COMPUTED_VALUE"""),"")</f>
        <v/>
      </c>
      <c r="C55" s="311">
        <f>IFERROR(__xludf.DUMMYFUNCTION("""COMPUTED_VALUE"""),104.0)</f>
        <v>104</v>
      </c>
      <c r="D55" s="311" t="str">
        <f>IFERROR(__xludf.DUMMYFUNCTION("""COMPUTED_VALUE"""),"Hospital Municipal Nossa Senhora do Loreto")</f>
        <v>Hospital Municipal Nossa Senhora do Loreto</v>
      </c>
      <c r="E55" s="311" t="str">
        <f>IFERROR(__xludf.DUMMYFUNCTION("""COMPUTED_VALUE"""),"ZONA NORTE")</f>
        <v>ZONA NORTE</v>
      </c>
      <c r="F55" s="311" t="str">
        <f>IFERROR(__xludf.DUMMYFUNCTION("""COMPUTED_VALUE"""),"Rio de Janeiro")</f>
        <v>Rio de Janeiro</v>
      </c>
      <c r="G55" s="311" t="str">
        <f>IFERROR(__xludf.DUMMYFUNCTION("""COMPUTED_VALUE"""),"Ilha do Governador")</f>
        <v>Ilha do Governador</v>
      </c>
      <c r="H55" s="311" t="str">
        <f>IFERROR(__xludf.DUMMYFUNCTION("""COMPUTED_VALUE"""),"Grande emergência - MÉDIA COMPLEXIDADE")</f>
        <v>Grande emergência - MÉDIA COMPLEXIDADE</v>
      </c>
      <c r="I55" s="311" t="str">
        <f>IFERROR(__xludf.DUMMYFUNCTION("""COMPUTED_VALUE"""),"Público")</f>
        <v>Público</v>
      </c>
      <c r="J55" s="311" t="str">
        <f>IFERROR(__xludf.DUMMYFUNCTION("""COMPUTED_VALUE"""),"")</f>
        <v/>
      </c>
      <c r="K55" s="311" t="str">
        <f>IFERROR(__xludf.DUMMYFUNCTION("""COMPUTED_VALUE"""),"")</f>
        <v/>
      </c>
      <c r="L55" s="311" t="str">
        <f>IFERROR(__xludf.DUMMYFUNCTION("""COMPUTED_VALUE"""),"")</f>
        <v/>
      </c>
      <c r="M55" s="311" t="str">
        <f>IFERROR(__xludf.DUMMYFUNCTION("""COMPUTED_VALUE"""),"")</f>
        <v/>
      </c>
      <c r="N55" s="311">
        <f>IFERROR(__xludf.DUMMYFUNCTION("""COMPUTED_VALUE"""),0.0)</f>
        <v>0</v>
      </c>
      <c r="O55" s="311">
        <f>IFERROR(__xludf.DUMMYFUNCTION("""COMPUTED_VALUE"""),0.0)</f>
        <v>0</v>
      </c>
      <c r="P55" s="311">
        <f>IFERROR(__xludf.DUMMYFUNCTION("""COMPUTED_VALUE"""),0.0)</f>
        <v>0</v>
      </c>
      <c r="Q55" s="311">
        <f>IFERROR(__xludf.DUMMYFUNCTION("""COMPUTED_VALUE"""),0.0)</f>
        <v>0</v>
      </c>
      <c r="R55" s="311">
        <f>IFERROR(__xludf.DUMMYFUNCTION("""COMPUTED_VALUE"""),0.0)</f>
        <v>0</v>
      </c>
      <c r="S55" s="311">
        <f>IFERROR(__xludf.DUMMYFUNCTION("""COMPUTED_VALUE"""),0.0)</f>
        <v>0</v>
      </c>
      <c r="T55" s="311">
        <f>IFERROR(__xludf.DUMMYFUNCTION("""COMPUTED_VALUE"""),50.0)</f>
        <v>50</v>
      </c>
      <c r="U55" s="311">
        <f>IFERROR(__xludf.DUMMYFUNCTION("""COMPUTED_VALUE"""),0.0)</f>
        <v>0</v>
      </c>
      <c r="V55" s="311">
        <f>IFERROR(__xludf.DUMMYFUNCTION("""COMPUTED_VALUE"""),0.0)</f>
        <v>0</v>
      </c>
      <c r="W55" s="311">
        <f>IFERROR(__xludf.DUMMYFUNCTION("""COMPUTED_VALUE"""),0.0)</f>
        <v>0</v>
      </c>
      <c r="X55" s="311">
        <f>IFERROR(__xludf.DUMMYFUNCTION("""COMPUTED_VALUE"""),0.0)</f>
        <v>0</v>
      </c>
      <c r="Y55" s="311">
        <f>IFERROR(__xludf.DUMMYFUNCTION("""COMPUTED_VALUE"""),0.0)</f>
        <v>0</v>
      </c>
      <c r="Z55" s="311">
        <f>IFERROR(__xludf.DUMMYFUNCTION("""COMPUTED_VALUE"""),-50.0)</f>
        <v>-50</v>
      </c>
      <c r="AA55" s="311">
        <f>IFERROR(__xludf.DUMMYFUNCTION("""COMPUTED_VALUE"""),0.0)</f>
        <v>0</v>
      </c>
      <c r="AB55" s="311">
        <f>IFERROR(__xludf.DUMMYFUNCTION("""COMPUTED_VALUE"""),0.0)</f>
        <v>0</v>
      </c>
      <c r="AC55" s="311">
        <f>IFERROR(__xludf.DUMMYFUNCTION("""COMPUTED_VALUE"""),0.0)</f>
        <v>0</v>
      </c>
      <c r="AD55" s="311">
        <f>IFERROR(__xludf.DUMMYFUNCTION("""COMPUTED_VALUE"""),0.0)</f>
        <v>0</v>
      </c>
      <c r="AE55" s="311">
        <f>IFERROR(__xludf.DUMMYFUNCTION("""COMPUTED_VALUE"""),0.0)</f>
        <v>0</v>
      </c>
      <c r="AF55" s="311" t="str">
        <f>IFERROR(__xludf.DUMMYFUNCTION("""COMPUTED_VALUE"""),"-22.8147195,-43.2254599")</f>
        <v>-22.8147195,-43.2254599</v>
      </c>
      <c r="AG55" s="311">
        <f>IFERROR(__xludf.DUMMYFUNCTION("""COMPUTED_VALUE"""),0.0)</f>
        <v>0</v>
      </c>
      <c r="AH55" s="311">
        <f>IFERROR(__xludf.DUMMYFUNCTION("""COMPUTED_VALUE"""),0.0)</f>
        <v>0</v>
      </c>
      <c r="AI55" s="311">
        <f>IFERROR(__xludf.DUMMYFUNCTION("""COMPUTED_VALUE"""),0.0)</f>
        <v>0</v>
      </c>
      <c r="AJ55" s="311">
        <f>IFERROR(__xludf.DUMMYFUNCTION("ROWS(QUERY(Entregas_BD!D:AM,""select D where D ='""&amp;D55&amp;""'"",1))-1"),1.0)</f>
        <v>1</v>
      </c>
    </row>
    <row r="56" ht="22.5" customHeight="1">
      <c r="A56" s="310" t="str">
        <f>IFERROR(__xludf.DUMMYFUNCTION("""COMPUTED_VALUE"""),"")</f>
        <v/>
      </c>
      <c r="B56" s="310" t="str">
        <f>IFERROR(__xludf.DUMMYFUNCTION("""COMPUTED_VALUE"""),"")</f>
        <v/>
      </c>
      <c r="C56" s="310">
        <f>IFERROR(__xludf.DUMMYFUNCTION("""COMPUTED_VALUE"""),105.0)</f>
        <v>105</v>
      </c>
      <c r="D56" s="310" t="str">
        <f>IFERROR(__xludf.DUMMYFUNCTION("""COMPUTED_VALUE"""),"Hospital Municipal Pedro II")</f>
        <v>Hospital Municipal Pedro II</v>
      </c>
      <c r="E56" s="310" t="str">
        <f>IFERROR(__xludf.DUMMYFUNCTION("""COMPUTED_VALUE"""),"ZONA OESTE")</f>
        <v>ZONA OESTE</v>
      </c>
      <c r="F56" s="310" t="str">
        <f>IFERROR(__xludf.DUMMYFUNCTION("""COMPUTED_VALUE"""),"Rio de Janeiro")</f>
        <v>Rio de Janeiro</v>
      </c>
      <c r="G56" s="310" t="str">
        <f>IFERROR(__xludf.DUMMYFUNCTION("""COMPUTED_VALUE"""),"Santa Cruz")</f>
        <v>Santa Cruz</v>
      </c>
      <c r="H56" s="310" t="str">
        <f>IFERROR(__xludf.DUMMYFUNCTION("""COMPUTED_VALUE"""),"Grande emergência - MÉDIA COMPLEXIDADE")</f>
        <v>Grande emergência - MÉDIA COMPLEXIDADE</v>
      </c>
      <c r="I56" s="310" t="str">
        <f>IFERROR(__xludf.DUMMYFUNCTION("""COMPUTED_VALUE"""),"Público")</f>
        <v>Público</v>
      </c>
      <c r="J56" s="310" t="str">
        <f>IFERROR(__xludf.DUMMYFUNCTION("""COMPUTED_VALUE"""),"")</f>
        <v/>
      </c>
      <c r="K56" s="310" t="str">
        <f>IFERROR(__xludf.DUMMYFUNCTION("""COMPUTED_VALUE"""),"")</f>
        <v/>
      </c>
      <c r="L56" s="310" t="str">
        <f>IFERROR(__xludf.DUMMYFUNCTION("""COMPUTED_VALUE"""),"")</f>
        <v/>
      </c>
      <c r="M56" s="310" t="str">
        <f>IFERROR(__xludf.DUMMYFUNCTION("""COMPUTED_VALUE"""),"")</f>
        <v/>
      </c>
      <c r="N56" s="310">
        <f>IFERROR(__xludf.DUMMYFUNCTION("""COMPUTED_VALUE"""),0.0)</f>
        <v>0</v>
      </c>
      <c r="O56" s="310">
        <f>IFERROR(__xludf.DUMMYFUNCTION("""COMPUTED_VALUE"""),0.0)</f>
        <v>0</v>
      </c>
      <c r="P56" s="310">
        <f>IFERROR(__xludf.DUMMYFUNCTION("""COMPUTED_VALUE"""),0.0)</f>
        <v>0</v>
      </c>
      <c r="Q56" s="310">
        <f>IFERROR(__xludf.DUMMYFUNCTION("""COMPUTED_VALUE"""),0.0)</f>
        <v>0</v>
      </c>
      <c r="R56" s="310">
        <f>IFERROR(__xludf.DUMMYFUNCTION("""COMPUTED_VALUE"""),0.0)</f>
        <v>0</v>
      </c>
      <c r="S56" s="310">
        <f>IFERROR(__xludf.DUMMYFUNCTION("""COMPUTED_VALUE"""),0.0)</f>
        <v>0</v>
      </c>
      <c r="T56" s="310">
        <f>IFERROR(__xludf.DUMMYFUNCTION("""COMPUTED_VALUE"""),250.0)</f>
        <v>250</v>
      </c>
      <c r="U56" s="310">
        <f>IFERROR(__xludf.DUMMYFUNCTION("""COMPUTED_VALUE"""),0.0)</f>
        <v>0</v>
      </c>
      <c r="V56" s="310">
        <f>IFERROR(__xludf.DUMMYFUNCTION("""COMPUTED_VALUE"""),0.0)</f>
        <v>0</v>
      </c>
      <c r="W56" s="310">
        <f>IFERROR(__xludf.DUMMYFUNCTION("""COMPUTED_VALUE"""),0.0)</f>
        <v>0</v>
      </c>
      <c r="X56" s="310">
        <f>IFERROR(__xludf.DUMMYFUNCTION("""COMPUTED_VALUE"""),0.0)</f>
        <v>0</v>
      </c>
      <c r="Y56" s="310">
        <f>IFERROR(__xludf.DUMMYFUNCTION("""COMPUTED_VALUE"""),0.0)</f>
        <v>0</v>
      </c>
      <c r="Z56" s="310">
        <f>IFERROR(__xludf.DUMMYFUNCTION("""COMPUTED_VALUE"""),-250.0)</f>
        <v>-250</v>
      </c>
      <c r="AA56" s="310">
        <f>IFERROR(__xludf.DUMMYFUNCTION("""COMPUTED_VALUE"""),0.0)</f>
        <v>0</v>
      </c>
      <c r="AB56" s="310">
        <f>IFERROR(__xludf.DUMMYFUNCTION("""COMPUTED_VALUE"""),0.0)</f>
        <v>0</v>
      </c>
      <c r="AC56" s="310">
        <f>IFERROR(__xludf.DUMMYFUNCTION("""COMPUTED_VALUE"""),0.0)</f>
        <v>0</v>
      </c>
      <c r="AD56" s="310">
        <f>IFERROR(__xludf.DUMMYFUNCTION("""COMPUTED_VALUE"""),0.0)</f>
        <v>0</v>
      </c>
      <c r="AE56" s="310">
        <f>IFERROR(__xludf.DUMMYFUNCTION("""COMPUTED_VALUE"""),0.0)</f>
        <v>0</v>
      </c>
      <c r="AF56" s="310" t="str">
        <f>IFERROR(__xludf.DUMMYFUNCTION("""COMPUTED_VALUE"""),"-22.912833,-43.6878325")</f>
        <v>-22.912833,-43.6878325</v>
      </c>
      <c r="AG56" s="310">
        <f>IFERROR(__xludf.DUMMYFUNCTION("""COMPUTED_VALUE"""),0.0)</f>
        <v>0</v>
      </c>
      <c r="AH56" s="310">
        <f>IFERROR(__xludf.DUMMYFUNCTION("""COMPUTED_VALUE"""),0.0)</f>
        <v>0</v>
      </c>
      <c r="AI56" s="310">
        <f>IFERROR(__xludf.DUMMYFUNCTION("""COMPUTED_VALUE"""),0.0)</f>
        <v>0</v>
      </c>
      <c r="AJ56" s="310">
        <f>IFERROR(__xludf.DUMMYFUNCTION("ROWS(QUERY(Entregas_BD!D:AM,""select D where D ='""&amp;D56&amp;""'"",1))-1"),2.0)</f>
        <v>2</v>
      </c>
    </row>
    <row r="57" ht="22.5" customHeight="1">
      <c r="A57" s="311" t="str">
        <f>IFERROR(__xludf.DUMMYFUNCTION("""COMPUTED_VALUE"""),"")</f>
        <v/>
      </c>
      <c r="B57" s="311" t="str">
        <f>IFERROR(__xludf.DUMMYFUNCTION("""COMPUTED_VALUE"""),"")</f>
        <v/>
      </c>
      <c r="C57" s="311">
        <f>IFERROR(__xludf.DUMMYFUNCTION("""COMPUTED_VALUE"""),106.0)</f>
        <v>106</v>
      </c>
      <c r="D57" s="311" t="str">
        <f>IFERROR(__xludf.DUMMYFUNCTION("""COMPUTED_VALUE"""),"Hospital Municipal Raphael de Paula Souza")</f>
        <v>Hospital Municipal Raphael de Paula Souza</v>
      </c>
      <c r="E57" s="311" t="str">
        <f>IFERROR(__xludf.DUMMYFUNCTION("""COMPUTED_VALUE"""),"ZONA OESTE")</f>
        <v>ZONA OESTE</v>
      </c>
      <c r="F57" s="311" t="str">
        <f>IFERROR(__xludf.DUMMYFUNCTION("""COMPUTED_VALUE"""),"Rio de Janeiro")</f>
        <v>Rio de Janeiro</v>
      </c>
      <c r="G57" s="311" t="str">
        <f>IFERROR(__xludf.DUMMYFUNCTION("""COMPUTED_VALUE"""),"Curicica")</f>
        <v>Curicica</v>
      </c>
      <c r="H57" s="311" t="str">
        <f>IFERROR(__xludf.DUMMYFUNCTION("""COMPUTED_VALUE"""),"Grande emergência - MÉDIA COMPLEXIDADE")</f>
        <v>Grande emergência - MÉDIA COMPLEXIDADE</v>
      </c>
      <c r="I57" s="311" t="str">
        <f>IFERROR(__xludf.DUMMYFUNCTION("""COMPUTED_VALUE"""),"Público")</f>
        <v>Público</v>
      </c>
      <c r="J57" s="311" t="str">
        <f>IFERROR(__xludf.DUMMYFUNCTION("""COMPUTED_VALUE"""),"")</f>
        <v/>
      </c>
      <c r="K57" s="311" t="str">
        <f>IFERROR(__xludf.DUMMYFUNCTION("""COMPUTED_VALUE"""),"")</f>
        <v/>
      </c>
      <c r="L57" s="311" t="str">
        <f>IFERROR(__xludf.DUMMYFUNCTION("""COMPUTED_VALUE"""),"")</f>
        <v/>
      </c>
      <c r="M57" s="311" t="str">
        <f>IFERROR(__xludf.DUMMYFUNCTION("""COMPUTED_VALUE"""),"")</f>
        <v/>
      </c>
      <c r="N57" s="311">
        <f>IFERROR(__xludf.DUMMYFUNCTION("""COMPUTED_VALUE"""),0.0)</f>
        <v>0</v>
      </c>
      <c r="O57" s="311">
        <f>IFERROR(__xludf.DUMMYFUNCTION("""COMPUTED_VALUE"""),0.0)</f>
        <v>0</v>
      </c>
      <c r="P57" s="311">
        <f>IFERROR(__xludf.DUMMYFUNCTION("""COMPUTED_VALUE"""),0.0)</f>
        <v>0</v>
      </c>
      <c r="Q57" s="311">
        <f>IFERROR(__xludf.DUMMYFUNCTION("""COMPUTED_VALUE"""),0.0)</f>
        <v>0</v>
      </c>
      <c r="R57" s="311">
        <f>IFERROR(__xludf.DUMMYFUNCTION("""COMPUTED_VALUE"""),0.0)</f>
        <v>0</v>
      </c>
      <c r="S57" s="311">
        <f>IFERROR(__xludf.DUMMYFUNCTION("""COMPUTED_VALUE"""),0.0)</f>
        <v>0</v>
      </c>
      <c r="T57" s="311">
        <f>IFERROR(__xludf.DUMMYFUNCTION("""COMPUTED_VALUE"""),50.0)</f>
        <v>50</v>
      </c>
      <c r="U57" s="311">
        <f>IFERROR(__xludf.DUMMYFUNCTION("""COMPUTED_VALUE"""),0.0)</f>
        <v>0</v>
      </c>
      <c r="V57" s="311">
        <f>IFERROR(__xludf.DUMMYFUNCTION("""COMPUTED_VALUE"""),0.0)</f>
        <v>0</v>
      </c>
      <c r="W57" s="311">
        <f>IFERROR(__xludf.DUMMYFUNCTION("""COMPUTED_VALUE"""),0.0)</f>
        <v>0</v>
      </c>
      <c r="X57" s="311">
        <f>IFERROR(__xludf.DUMMYFUNCTION("""COMPUTED_VALUE"""),0.0)</f>
        <v>0</v>
      </c>
      <c r="Y57" s="311">
        <f>IFERROR(__xludf.DUMMYFUNCTION("""COMPUTED_VALUE"""),0.0)</f>
        <v>0</v>
      </c>
      <c r="Z57" s="311">
        <f>IFERROR(__xludf.DUMMYFUNCTION("""COMPUTED_VALUE"""),-50.0)</f>
        <v>-50</v>
      </c>
      <c r="AA57" s="311">
        <f>IFERROR(__xludf.DUMMYFUNCTION("""COMPUTED_VALUE"""),0.0)</f>
        <v>0</v>
      </c>
      <c r="AB57" s="311">
        <f>IFERROR(__xludf.DUMMYFUNCTION("""COMPUTED_VALUE"""),0.0)</f>
        <v>0</v>
      </c>
      <c r="AC57" s="311">
        <f>IFERROR(__xludf.DUMMYFUNCTION("""COMPUTED_VALUE"""),0.0)</f>
        <v>0</v>
      </c>
      <c r="AD57" s="311">
        <f>IFERROR(__xludf.DUMMYFUNCTION("""COMPUTED_VALUE"""),0.0)</f>
        <v>0</v>
      </c>
      <c r="AE57" s="311">
        <f>IFERROR(__xludf.DUMMYFUNCTION("""COMPUTED_VALUE"""),0.0)</f>
        <v>0</v>
      </c>
      <c r="AF57" s="311" t="str">
        <f>IFERROR(__xludf.DUMMYFUNCTION("""COMPUTED_VALUE"""),"-22.9542357,-43.3919094")</f>
        <v>-22.9542357,-43.3919094</v>
      </c>
      <c r="AG57" s="311">
        <f>IFERROR(__xludf.DUMMYFUNCTION("""COMPUTED_VALUE"""),0.0)</f>
        <v>0</v>
      </c>
      <c r="AH57" s="311">
        <f>IFERROR(__xludf.DUMMYFUNCTION("""COMPUTED_VALUE"""),0.0)</f>
        <v>0</v>
      </c>
      <c r="AI57" s="311">
        <f>IFERROR(__xludf.DUMMYFUNCTION("""COMPUTED_VALUE"""),0.0)</f>
        <v>0</v>
      </c>
      <c r="AJ57" s="311">
        <f>IFERROR(__xludf.DUMMYFUNCTION("ROWS(QUERY(Entregas_BD!D:AM,""select D where D ='""&amp;D57&amp;""'"",1))-1"),1.0)</f>
        <v>1</v>
      </c>
    </row>
    <row r="58" ht="22.5" customHeight="1">
      <c r="A58" s="310" t="str">
        <f>IFERROR(__xludf.DUMMYFUNCTION("""COMPUTED_VALUE"""),"")</f>
        <v/>
      </c>
      <c r="B58" s="310" t="str">
        <f>IFERROR(__xludf.DUMMYFUNCTION("""COMPUTED_VALUE"""),"")</f>
        <v/>
      </c>
      <c r="C58" s="310">
        <f>IFERROR(__xludf.DUMMYFUNCTION("""COMPUTED_VALUE"""),107.0)</f>
        <v>107</v>
      </c>
      <c r="D58" s="310" t="str">
        <f>IFERROR(__xludf.DUMMYFUNCTION("""COMPUTED_VALUE"""),"Hospital Municipal Rocha Faria")</f>
        <v>Hospital Municipal Rocha Faria</v>
      </c>
      <c r="E58" s="310" t="str">
        <f>IFERROR(__xludf.DUMMYFUNCTION("""COMPUTED_VALUE"""),"ZONA OESTE")</f>
        <v>ZONA OESTE</v>
      </c>
      <c r="F58" s="310" t="str">
        <f>IFERROR(__xludf.DUMMYFUNCTION("""COMPUTED_VALUE"""),"Rio de Janeiro")</f>
        <v>Rio de Janeiro</v>
      </c>
      <c r="G58" s="310" t="str">
        <f>IFERROR(__xludf.DUMMYFUNCTION("""COMPUTED_VALUE"""),"Campo Grande")</f>
        <v>Campo Grande</v>
      </c>
      <c r="H58" s="310" t="str">
        <f>IFERROR(__xludf.DUMMYFUNCTION("""COMPUTED_VALUE"""),"Grande emergência - MÉDIA COMPLEXIDADE")</f>
        <v>Grande emergência - MÉDIA COMPLEXIDADE</v>
      </c>
      <c r="I58" s="310" t="str">
        <f>IFERROR(__xludf.DUMMYFUNCTION("""COMPUTED_VALUE"""),"Público")</f>
        <v>Público</v>
      </c>
      <c r="J58" s="310" t="str">
        <f>IFERROR(__xludf.DUMMYFUNCTION("""COMPUTED_VALUE"""),"")</f>
        <v/>
      </c>
      <c r="K58" s="310" t="str">
        <f>IFERROR(__xludf.DUMMYFUNCTION("""COMPUTED_VALUE"""),"")</f>
        <v/>
      </c>
      <c r="L58" s="310" t="str">
        <f>IFERROR(__xludf.DUMMYFUNCTION("""COMPUTED_VALUE"""),"")</f>
        <v/>
      </c>
      <c r="M58" s="310" t="str">
        <f>IFERROR(__xludf.DUMMYFUNCTION("""COMPUTED_VALUE"""),"")</f>
        <v/>
      </c>
      <c r="N58" s="310">
        <f>IFERROR(__xludf.DUMMYFUNCTION("""COMPUTED_VALUE"""),0.0)</f>
        <v>0</v>
      </c>
      <c r="O58" s="310">
        <f>IFERROR(__xludf.DUMMYFUNCTION("""COMPUTED_VALUE"""),0.0)</f>
        <v>0</v>
      </c>
      <c r="P58" s="310">
        <f>IFERROR(__xludf.DUMMYFUNCTION("""COMPUTED_VALUE"""),0.0)</f>
        <v>0</v>
      </c>
      <c r="Q58" s="310">
        <f>IFERROR(__xludf.DUMMYFUNCTION("""COMPUTED_VALUE"""),0.0)</f>
        <v>0</v>
      </c>
      <c r="R58" s="310">
        <f>IFERROR(__xludf.DUMMYFUNCTION("""COMPUTED_VALUE"""),0.0)</f>
        <v>0</v>
      </c>
      <c r="S58" s="310">
        <f>IFERROR(__xludf.DUMMYFUNCTION("""COMPUTED_VALUE"""),0.0)</f>
        <v>0</v>
      </c>
      <c r="T58" s="310">
        <f>IFERROR(__xludf.DUMMYFUNCTION("""COMPUTED_VALUE"""),200.0)</f>
        <v>200</v>
      </c>
      <c r="U58" s="310">
        <f>IFERROR(__xludf.DUMMYFUNCTION("""COMPUTED_VALUE"""),0.0)</f>
        <v>0</v>
      </c>
      <c r="V58" s="310">
        <f>IFERROR(__xludf.DUMMYFUNCTION("""COMPUTED_VALUE"""),0.0)</f>
        <v>0</v>
      </c>
      <c r="W58" s="310">
        <f>IFERROR(__xludf.DUMMYFUNCTION("""COMPUTED_VALUE"""),0.0)</f>
        <v>0</v>
      </c>
      <c r="X58" s="310">
        <f>IFERROR(__xludf.DUMMYFUNCTION("""COMPUTED_VALUE"""),0.0)</f>
        <v>0</v>
      </c>
      <c r="Y58" s="310">
        <f>IFERROR(__xludf.DUMMYFUNCTION("""COMPUTED_VALUE"""),0.0)</f>
        <v>0</v>
      </c>
      <c r="Z58" s="310">
        <f>IFERROR(__xludf.DUMMYFUNCTION("""COMPUTED_VALUE"""),-200.0)</f>
        <v>-200</v>
      </c>
      <c r="AA58" s="310">
        <f>IFERROR(__xludf.DUMMYFUNCTION("""COMPUTED_VALUE"""),0.0)</f>
        <v>0</v>
      </c>
      <c r="AB58" s="310">
        <f>IFERROR(__xludf.DUMMYFUNCTION("""COMPUTED_VALUE"""),0.0)</f>
        <v>0</v>
      </c>
      <c r="AC58" s="310">
        <f>IFERROR(__xludf.DUMMYFUNCTION("""COMPUTED_VALUE"""),0.0)</f>
        <v>0</v>
      </c>
      <c r="AD58" s="310">
        <f>IFERROR(__xludf.DUMMYFUNCTION("""COMPUTED_VALUE"""),0.0)</f>
        <v>0</v>
      </c>
      <c r="AE58" s="310">
        <f>IFERROR(__xludf.DUMMYFUNCTION("""COMPUTED_VALUE"""),0.0)</f>
        <v>0</v>
      </c>
      <c r="AF58" s="310" t="str">
        <f>IFERROR(__xludf.DUMMYFUNCTION("""COMPUTED_VALUE"""),"-22.9082574,-43.5623842")</f>
        <v>-22.9082574,-43.5623842</v>
      </c>
      <c r="AG58" s="310">
        <f>IFERROR(__xludf.DUMMYFUNCTION("""COMPUTED_VALUE"""),0.0)</f>
        <v>0</v>
      </c>
      <c r="AH58" s="310">
        <f>IFERROR(__xludf.DUMMYFUNCTION("""COMPUTED_VALUE"""),0.0)</f>
        <v>0</v>
      </c>
      <c r="AI58" s="310">
        <f>IFERROR(__xludf.DUMMYFUNCTION("""COMPUTED_VALUE"""),0.0)</f>
        <v>0</v>
      </c>
      <c r="AJ58" s="310">
        <f>IFERROR(__xludf.DUMMYFUNCTION("ROWS(QUERY(Entregas_BD!D:AM,""select D where D ='""&amp;D58&amp;""'"",1))-1"),2.0)</f>
        <v>2</v>
      </c>
    </row>
    <row r="59" ht="22.5" customHeight="1">
      <c r="A59" s="311" t="str">
        <f>IFERROR(__xludf.DUMMYFUNCTION("""COMPUTED_VALUE"""),"")</f>
        <v/>
      </c>
      <c r="B59" s="311" t="str">
        <f>IFERROR(__xludf.DUMMYFUNCTION("""COMPUTED_VALUE"""),"")</f>
        <v/>
      </c>
      <c r="C59" s="311">
        <f>IFERROR(__xludf.DUMMYFUNCTION("""COMPUTED_VALUE"""),109.0)</f>
        <v>109</v>
      </c>
      <c r="D59" s="311" t="str">
        <f>IFERROR(__xludf.DUMMYFUNCTION("""COMPUTED_VALUE"""),"Hospital Municipal Ronaldo Gazolla")</f>
        <v>Hospital Municipal Ronaldo Gazolla</v>
      </c>
      <c r="E59" s="311" t="str">
        <f>IFERROR(__xludf.DUMMYFUNCTION("""COMPUTED_VALUE"""),"ZONA NORTE")</f>
        <v>ZONA NORTE</v>
      </c>
      <c r="F59" s="311" t="str">
        <f>IFERROR(__xludf.DUMMYFUNCTION("""COMPUTED_VALUE"""),"Rio de Janeiro")</f>
        <v>Rio de Janeiro</v>
      </c>
      <c r="G59" s="311" t="str">
        <f>IFERROR(__xludf.DUMMYFUNCTION("""COMPUTED_VALUE"""),"Acari")</f>
        <v>Acari</v>
      </c>
      <c r="H59" s="311" t="str">
        <f>IFERROR(__xludf.DUMMYFUNCTION("""COMPUTED_VALUE"""),"Referência - ALTA COMPLEXIDADE")</f>
        <v>Referência - ALTA COMPLEXIDADE</v>
      </c>
      <c r="I59" s="311" t="str">
        <f>IFERROR(__xludf.DUMMYFUNCTION("""COMPUTED_VALUE"""),"Público")</f>
        <v>Público</v>
      </c>
      <c r="J59" s="311" t="str">
        <f>IFERROR(__xludf.DUMMYFUNCTION("""COMPUTED_VALUE"""),"")</f>
        <v/>
      </c>
      <c r="K59" s="311" t="str">
        <f>IFERROR(__xludf.DUMMYFUNCTION("""COMPUTED_VALUE"""),"")</f>
        <v/>
      </c>
      <c r="L59" s="311" t="str">
        <f>IFERROR(__xludf.DUMMYFUNCTION("""COMPUTED_VALUE"""),"")</f>
        <v/>
      </c>
      <c r="M59" s="311" t="str">
        <f>IFERROR(__xludf.DUMMYFUNCTION("""COMPUTED_VALUE"""),"")</f>
        <v/>
      </c>
      <c r="N59" s="311">
        <f>IFERROR(__xludf.DUMMYFUNCTION("""COMPUTED_VALUE"""),0.0)</f>
        <v>0</v>
      </c>
      <c r="O59" s="311">
        <f>IFERROR(__xludf.DUMMYFUNCTION("""COMPUTED_VALUE"""),0.0)</f>
        <v>0</v>
      </c>
      <c r="P59" s="311">
        <f>IFERROR(__xludf.DUMMYFUNCTION("""COMPUTED_VALUE"""),0.0)</f>
        <v>0</v>
      </c>
      <c r="Q59" s="311">
        <f>IFERROR(__xludf.DUMMYFUNCTION("""COMPUTED_VALUE"""),0.0)</f>
        <v>0</v>
      </c>
      <c r="R59" s="311">
        <f>IFERROR(__xludf.DUMMYFUNCTION("""COMPUTED_VALUE"""),0.0)</f>
        <v>0</v>
      </c>
      <c r="S59" s="311">
        <f>IFERROR(__xludf.DUMMYFUNCTION("""COMPUTED_VALUE"""),0.0)</f>
        <v>0</v>
      </c>
      <c r="T59" s="311">
        <f>IFERROR(__xludf.DUMMYFUNCTION("""COMPUTED_VALUE"""),500.0)</f>
        <v>500</v>
      </c>
      <c r="U59" s="311">
        <f>IFERROR(__xludf.DUMMYFUNCTION("""COMPUTED_VALUE"""),0.0)</f>
        <v>0</v>
      </c>
      <c r="V59" s="311">
        <f>IFERROR(__xludf.DUMMYFUNCTION("""COMPUTED_VALUE"""),0.0)</f>
        <v>0</v>
      </c>
      <c r="W59" s="311">
        <f>IFERROR(__xludf.DUMMYFUNCTION("""COMPUTED_VALUE"""),0.0)</f>
        <v>0</v>
      </c>
      <c r="X59" s="311">
        <f>IFERROR(__xludf.DUMMYFUNCTION("""COMPUTED_VALUE"""),0.0)</f>
        <v>0</v>
      </c>
      <c r="Y59" s="311">
        <f>IFERROR(__xludf.DUMMYFUNCTION("""COMPUTED_VALUE"""),0.0)</f>
        <v>0</v>
      </c>
      <c r="Z59" s="311">
        <f>IFERROR(__xludf.DUMMYFUNCTION("""COMPUTED_VALUE"""),-500.0)</f>
        <v>-500</v>
      </c>
      <c r="AA59" s="311">
        <f>IFERROR(__xludf.DUMMYFUNCTION("""COMPUTED_VALUE"""),0.0)</f>
        <v>0</v>
      </c>
      <c r="AB59" s="311">
        <f>IFERROR(__xludf.DUMMYFUNCTION("""COMPUTED_VALUE"""),0.0)</f>
        <v>0</v>
      </c>
      <c r="AC59" s="311">
        <f>IFERROR(__xludf.DUMMYFUNCTION("""COMPUTED_VALUE"""),0.0)</f>
        <v>0</v>
      </c>
      <c r="AD59" s="311">
        <f>IFERROR(__xludf.DUMMYFUNCTION("""COMPUTED_VALUE"""),0.0)</f>
        <v>0</v>
      </c>
      <c r="AE59" s="311">
        <f>IFERROR(__xludf.DUMMYFUNCTION("""COMPUTED_VALUE"""),0.0)</f>
        <v>0</v>
      </c>
      <c r="AF59" s="311" t="str">
        <f>IFERROR(__xludf.DUMMYFUNCTION("""COMPUTED_VALUE"""),"-22.825339,-43.347584")</f>
        <v>-22.825339,-43.347584</v>
      </c>
      <c r="AG59" s="311">
        <f>IFERROR(__xludf.DUMMYFUNCTION("""COMPUTED_VALUE"""),0.0)</f>
        <v>0</v>
      </c>
      <c r="AH59" s="311">
        <f>IFERROR(__xludf.DUMMYFUNCTION("""COMPUTED_VALUE"""),0.0)</f>
        <v>0</v>
      </c>
      <c r="AI59" s="311">
        <f>IFERROR(__xludf.DUMMYFUNCTION("""COMPUTED_VALUE"""),0.0)</f>
        <v>0</v>
      </c>
      <c r="AJ59" s="311">
        <f>IFERROR(__xludf.DUMMYFUNCTION("ROWS(QUERY(Entregas_BD!D:AM,""select D where D ='""&amp;D59&amp;""'"",1))-1"),1.0)</f>
        <v>1</v>
      </c>
    </row>
    <row r="60" ht="22.5" customHeight="1">
      <c r="A60" s="310" t="str">
        <f>IFERROR(__xludf.DUMMYFUNCTION("""COMPUTED_VALUE"""),"")</f>
        <v/>
      </c>
      <c r="B60" s="310" t="str">
        <f>IFERROR(__xludf.DUMMYFUNCTION("""COMPUTED_VALUE"""),"")</f>
        <v/>
      </c>
      <c r="C60" s="310">
        <f>IFERROR(__xludf.DUMMYFUNCTION("""COMPUTED_VALUE"""),110.0)</f>
        <v>110</v>
      </c>
      <c r="D60" s="310" t="str">
        <f>IFERROR(__xludf.DUMMYFUNCTION("""COMPUTED_VALUE"""),"Hospital Municipal Salgado Filho")</f>
        <v>Hospital Municipal Salgado Filho</v>
      </c>
      <c r="E60" s="310" t="str">
        <f>IFERROR(__xludf.DUMMYFUNCTION("""COMPUTED_VALUE"""),"ZONA NORTE")</f>
        <v>ZONA NORTE</v>
      </c>
      <c r="F60" s="310" t="str">
        <f>IFERROR(__xludf.DUMMYFUNCTION("""COMPUTED_VALUE"""),"Rio de Janeiro")</f>
        <v>Rio de Janeiro</v>
      </c>
      <c r="G60" s="310" t="str">
        <f>IFERROR(__xludf.DUMMYFUNCTION("""COMPUTED_VALUE"""),"MEIER")</f>
        <v>MEIER</v>
      </c>
      <c r="H60" s="310" t="str">
        <f>IFERROR(__xludf.DUMMYFUNCTION("""COMPUTED_VALUE"""),"Grande emergência - MÉDIA COMPLEXIDADE")</f>
        <v>Grande emergência - MÉDIA COMPLEXIDADE</v>
      </c>
      <c r="I60" s="310" t="str">
        <f>IFERROR(__xludf.DUMMYFUNCTION("""COMPUTED_VALUE"""),"Público")</f>
        <v>Público</v>
      </c>
      <c r="J60" s="310" t="str">
        <f>IFERROR(__xludf.DUMMYFUNCTION("""COMPUTED_VALUE"""),"")</f>
        <v/>
      </c>
      <c r="K60" s="310" t="str">
        <f>IFERROR(__xludf.DUMMYFUNCTION("""COMPUTED_VALUE"""),"")</f>
        <v/>
      </c>
      <c r="L60" s="310" t="str">
        <f>IFERROR(__xludf.DUMMYFUNCTION("""COMPUTED_VALUE"""),"")</f>
        <v/>
      </c>
      <c r="M60" s="310" t="str">
        <f>IFERROR(__xludf.DUMMYFUNCTION("""COMPUTED_VALUE"""),"")</f>
        <v/>
      </c>
      <c r="N60" s="310">
        <f>IFERROR(__xludf.DUMMYFUNCTION("""COMPUTED_VALUE"""),0.0)</f>
        <v>0</v>
      </c>
      <c r="O60" s="310">
        <f>IFERROR(__xludf.DUMMYFUNCTION("""COMPUTED_VALUE"""),0.0)</f>
        <v>0</v>
      </c>
      <c r="P60" s="310">
        <f>IFERROR(__xludf.DUMMYFUNCTION("""COMPUTED_VALUE"""),0.0)</f>
        <v>0</v>
      </c>
      <c r="Q60" s="310">
        <f>IFERROR(__xludf.DUMMYFUNCTION("""COMPUTED_VALUE"""),0.0)</f>
        <v>0</v>
      </c>
      <c r="R60" s="310">
        <f>IFERROR(__xludf.DUMMYFUNCTION("""COMPUTED_VALUE"""),0.0)</f>
        <v>0</v>
      </c>
      <c r="S60" s="310">
        <f>IFERROR(__xludf.DUMMYFUNCTION("""COMPUTED_VALUE"""),0.0)</f>
        <v>0</v>
      </c>
      <c r="T60" s="310">
        <f>IFERROR(__xludf.DUMMYFUNCTION("""COMPUTED_VALUE"""),380.0)</f>
        <v>380</v>
      </c>
      <c r="U60" s="310">
        <f>IFERROR(__xludf.DUMMYFUNCTION("""COMPUTED_VALUE"""),0.0)</f>
        <v>0</v>
      </c>
      <c r="V60" s="310">
        <f>IFERROR(__xludf.DUMMYFUNCTION("""COMPUTED_VALUE"""),0.0)</f>
        <v>0</v>
      </c>
      <c r="W60" s="310">
        <f>IFERROR(__xludf.DUMMYFUNCTION("""COMPUTED_VALUE"""),0.0)</f>
        <v>0</v>
      </c>
      <c r="X60" s="310">
        <f>IFERROR(__xludf.DUMMYFUNCTION("""COMPUTED_VALUE"""),0.0)</f>
        <v>0</v>
      </c>
      <c r="Y60" s="310">
        <f>IFERROR(__xludf.DUMMYFUNCTION("""COMPUTED_VALUE"""),0.0)</f>
        <v>0</v>
      </c>
      <c r="Z60" s="310">
        <f>IFERROR(__xludf.DUMMYFUNCTION("""COMPUTED_VALUE"""),-380.0)</f>
        <v>-380</v>
      </c>
      <c r="AA60" s="310">
        <f>IFERROR(__xludf.DUMMYFUNCTION("""COMPUTED_VALUE"""),0.0)</f>
        <v>0</v>
      </c>
      <c r="AB60" s="310">
        <f>IFERROR(__xludf.DUMMYFUNCTION("""COMPUTED_VALUE"""),0.0)</f>
        <v>0</v>
      </c>
      <c r="AC60" s="310">
        <f>IFERROR(__xludf.DUMMYFUNCTION("""COMPUTED_VALUE"""),0.0)</f>
        <v>0</v>
      </c>
      <c r="AD60" s="310">
        <f>IFERROR(__xludf.DUMMYFUNCTION("""COMPUTED_VALUE"""),0.0)</f>
        <v>0</v>
      </c>
      <c r="AE60" s="310">
        <f>IFERROR(__xludf.DUMMYFUNCTION("""COMPUTED_VALUE"""),0.0)</f>
        <v>0</v>
      </c>
      <c r="AF60" s="310" t="str">
        <f>IFERROR(__xludf.DUMMYFUNCTION("""COMPUTED_VALUE"""),"-22.9008949,-43.2782108")</f>
        <v>-22.9008949,-43.2782108</v>
      </c>
      <c r="AG60" s="310">
        <f>IFERROR(__xludf.DUMMYFUNCTION("""COMPUTED_VALUE"""),0.0)</f>
        <v>0</v>
      </c>
      <c r="AH60" s="310">
        <f>IFERROR(__xludf.DUMMYFUNCTION("""COMPUTED_VALUE"""),0.0)</f>
        <v>0</v>
      </c>
      <c r="AI60" s="310">
        <f>IFERROR(__xludf.DUMMYFUNCTION("""COMPUTED_VALUE"""),0.0)</f>
        <v>0</v>
      </c>
      <c r="AJ60" s="310">
        <f>IFERROR(__xludf.DUMMYFUNCTION("ROWS(QUERY(Entregas_BD!D:AM,""select D where D ='""&amp;D60&amp;""'"",1))-1"),3.0)</f>
        <v>3</v>
      </c>
    </row>
    <row r="61" ht="22.5" customHeight="1">
      <c r="A61" s="311" t="str">
        <f>IFERROR(__xludf.DUMMYFUNCTION("""COMPUTED_VALUE"""),"")</f>
        <v/>
      </c>
      <c r="B61" s="311" t="str">
        <f>IFERROR(__xludf.DUMMYFUNCTION("""COMPUTED_VALUE"""),"")</f>
        <v/>
      </c>
      <c r="C61" s="311">
        <f>IFERROR(__xludf.DUMMYFUNCTION("""COMPUTED_VALUE"""),111.0)</f>
        <v>111</v>
      </c>
      <c r="D61" s="311" t="str">
        <f>IFERROR(__xludf.DUMMYFUNCTION("""COMPUTED_VALUE"""),"Hospital Municipal Salgado Filho")</f>
        <v>Hospital Municipal Salgado Filho</v>
      </c>
      <c r="E61" s="311" t="str">
        <f>IFERROR(__xludf.DUMMYFUNCTION("""COMPUTED_VALUE"""),"ZONA NORTE")</f>
        <v>ZONA NORTE</v>
      </c>
      <c r="F61" s="311" t="str">
        <f>IFERROR(__xludf.DUMMYFUNCTION("""COMPUTED_VALUE"""),"Rio de Janeiro")</f>
        <v>Rio de Janeiro</v>
      </c>
      <c r="G61" s="311" t="str">
        <f>IFERROR(__xludf.DUMMYFUNCTION("""COMPUTED_VALUE"""),"Meier")</f>
        <v>Meier</v>
      </c>
      <c r="H61" s="311" t="str">
        <f>IFERROR(__xludf.DUMMYFUNCTION("""COMPUTED_VALUE"""),"Grande emergência - MÉDIA COMPLEXIDADE")</f>
        <v>Grande emergência - MÉDIA COMPLEXIDADE</v>
      </c>
      <c r="I61" s="311" t="str">
        <f>IFERROR(__xludf.DUMMYFUNCTION("""COMPUTED_VALUE"""),"Público")</f>
        <v>Público</v>
      </c>
      <c r="J61" s="311" t="str">
        <f>IFERROR(__xludf.DUMMYFUNCTION("""COMPUTED_VALUE"""),"")</f>
        <v/>
      </c>
      <c r="K61" s="311" t="str">
        <f>IFERROR(__xludf.DUMMYFUNCTION("""COMPUTED_VALUE"""),"")</f>
        <v/>
      </c>
      <c r="L61" s="311" t="str">
        <f>IFERROR(__xludf.DUMMYFUNCTION("""COMPUTED_VALUE"""),"")</f>
        <v/>
      </c>
      <c r="M61" s="311" t="str">
        <f>IFERROR(__xludf.DUMMYFUNCTION("""COMPUTED_VALUE"""),"")</f>
        <v/>
      </c>
      <c r="N61" s="311">
        <f>IFERROR(__xludf.DUMMYFUNCTION("""COMPUTED_VALUE"""),0.0)</f>
        <v>0</v>
      </c>
      <c r="O61" s="311">
        <f>IFERROR(__xludf.DUMMYFUNCTION("""COMPUTED_VALUE"""),0.0)</f>
        <v>0</v>
      </c>
      <c r="P61" s="311">
        <f>IFERROR(__xludf.DUMMYFUNCTION("""COMPUTED_VALUE"""),0.0)</f>
        <v>0</v>
      </c>
      <c r="Q61" s="311">
        <f>IFERROR(__xludf.DUMMYFUNCTION("""COMPUTED_VALUE"""),0.0)</f>
        <v>0</v>
      </c>
      <c r="R61" s="311">
        <f>IFERROR(__xludf.DUMMYFUNCTION("""COMPUTED_VALUE"""),0.0)</f>
        <v>0</v>
      </c>
      <c r="S61" s="311">
        <f>IFERROR(__xludf.DUMMYFUNCTION("""COMPUTED_VALUE"""),0.0)</f>
        <v>0</v>
      </c>
      <c r="T61" s="311">
        <f>IFERROR(__xludf.DUMMYFUNCTION("""COMPUTED_VALUE"""),380.0)</f>
        <v>380</v>
      </c>
      <c r="U61" s="311">
        <f>IFERROR(__xludf.DUMMYFUNCTION("""COMPUTED_VALUE"""),0.0)</f>
        <v>0</v>
      </c>
      <c r="V61" s="311">
        <f>IFERROR(__xludf.DUMMYFUNCTION("""COMPUTED_VALUE"""),0.0)</f>
        <v>0</v>
      </c>
      <c r="W61" s="311">
        <f>IFERROR(__xludf.DUMMYFUNCTION("""COMPUTED_VALUE"""),0.0)</f>
        <v>0</v>
      </c>
      <c r="X61" s="311">
        <f>IFERROR(__xludf.DUMMYFUNCTION("""COMPUTED_VALUE"""),0.0)</f>
        <v>0</v>
      </c>
      <c r="Y61" s="311">
        <f>IFERROR(__xludf.DUMMYFUNCTION("""COMPUTED_VALUE"""),0.0)</f>
        <v>0</v>
      </c>
      <c r="Z61" s="311">
        <f>IFERROR(__xludf.DUMMYFUNCTION("""COMPUTED_VALUE"""),-380.0)</f>
        <v>-380</v>
      </c>
      <c r="AA61" s="311">
        <f>IFERROR(__xludf.DUMMYFUNCTION("""COMPUTED_VALUE"""),0.0)</f>
        <v>0</v>
      </c>
      <c r="AB61" s="311">
        <f>IFERROR(__xludf.DUMMYFUNCTION("""COMPUTED_VALUE"""),0.0)</f>
        <v>0</v>
      </c>
      <c r="AC61" s="311">
        <f>IFERROR(__xludf.DUMMYFUNCTION("""COMPUTED_VALUE"""),0.0)</f>
        <v>0</v>
      </c>
      <c r="AD61" s="311">
        <f>IFERROR(__xludf.DUMMYFUNCTION("""COMPUTED_VALUE"""),0.0)</f>
        <v>0</v>
      </c>
      <c r="AE61" s="311">
        <f>IFERROR(__xludf.DUMMYFUNCTION("""COMPUTED_VALUE"""),0.0)</f>
        <v>0</v>
      </c>
      <c r="AF61" s="311" t="str">
        <f>IFERROR(__xludf.DUMMYFUNCTION("""COMPUTED_VALUE"""),"-22.9008949,-43.2782108")</f>
        <v>-22.9008949,-43.2782108</v>
      </c>
      <c r="AG61" s="311">
        <f>IFERROR(__xludf.DUMMYFUNCTION("""COMPUTED_VALUE"""),0.0)</f>
        <v>0</v>
      </c>
      <c r="AH61" s="311">
        <f>IFERROR(__xludf.DUMMYFUNCTION("""COMPUTED_VALUE"""),0.0)</f>
        <v>0</v>
      </c>
      <c r="AI61" s="311">
        <f>IFERROR(__xludf.DUMMYFUNCTION("""COMPUTED_VALUE"""),0.0)</f>
        <v>0</v>
      </c>
      <c r="AJ61" s="311">
        <f>IFERROR(__xludf.DUMMYFUNCTION("ROWS(QUERY(Entregas_BD!D:AM,""select D where D ='""&amp;D61&amp;""'"",1))-1"),3.0)</f>
        <v>3</v>
      </c>
    </row>
    <row r="62" ht="22.5" customHeight="1">
      <c r="A62" s="310" t="str">
        <f>IFERROR(__xludf.DUMMYFUNCTION("""COMPUTED_VALUE"""),"")</f>
        <v/>
      </c>
      <c r="B62" s="310" t="str">
        <f>IFERROR(__xludf.DUMMYFUNCTION("""COMPUTED_VALUE"""),"")</f>
        <v/>
      </c>
      <c r="C62" s="310">
        <f>IFERROR(__xludf.DUMMYFUNCTION("""COMPUTED_VALUE"""),112.0)</f>
        <v>112</v>
      </c>
      <c r="D62" s="310" t="str">
        <f>IFERROR(__xludf.DUMMYFUNCTION("""COMPUTED_VALUE"""),"Hospital Municipal São Francisco Xavier")</f>
        <v>Hospital Municipal São Francisco Xavier</v>
      </c>
      <c r="E62" s="310" t="str">
        <f>IFERROR(__xludf.DUMMYFUNCTION("""COMPUTED_VALUE"""),"REGIAO METROPOLITANA")</f>
        <v>REGIAO METROPOLITANA</v>
      </c>
      <c r="F62" s="310" t="str">
        <f>IFERROR(__xludf.DUMMYFUNCTION("""COMPUTED_VALUE"""),"Itaguai")</f>
        <v>Itaguai</v>
      </c>
      <c r="G62" s="310" t="str">
        <f>IFERROR(__xludf.DUMMYFUNCTION("""COMPUTED_VALUE"""),"Centro")</f>
        <v>Centro</v>
      </c>
      <c r="H62" s="310" t="str">
        <f>IFERROR(__xludf.DUMMYFUNCTION("""COMPUTED_VALUE"""),"Referência - ALTA COMPLEXIDADE")</f>
        <v>Referência - ALTA COMPLEXIDADE</v>
      </c>
      <c r="I62" s="310" t="str">
        <f>IFERROR(__xludf.DUMMYFUNCTION("""COMPUTED_VALUE"""),"Público")</f>
        <v>Público</v>
      </c>
      <c r="J62" s="310" t="str">
        <f>IFERROR(__xludf.DUMMYFUNCTION("""COMPUTED_VALUE"""),"")</f>
        <v/>
      </c>
      <c r="K62" s="310" t="str">
        <f>IFERROR(__xludf.DUMMYFUNCTION("""COMPUTED_VALUE"""),"")</f>
        <v/>
      </c>
      <c r="L62" s="310" t="str">
        <f>IFERROR(__xludf.DUMMYFUNCTION("""COMPUTED_VALUE"""),"")</f>
        <v/>
      </c>
      <c r="M62" s="310" t="str">
        <f>IFERROR(__xludf.DUMMYFUNCTION("""COMPUTED_VALUE"""),"")</f>
        <v/>
      </c>
      <c r="N62" s="310">
        <f>IFERROR(__xludf.DUMMYFUNCTION("""COMPUTED_VALUE"""),0.0)</f>
        <v>0</v>
      </c>
      <c r="O62" s="310">
        <f>IFERROR(__xludf.DUMMYFUNCTION("""COMPUTED_VALUE"""),0.0)</f>
        <v>0</v>
      </c>
      <c r="P62" s="310">
        <f>IFERROR(__xludf.DUMMYFUNCTION("""COMPUTED_VALUE"""),0.0)</f>
        <v>0</v>
      </c>
      <c r="Q62" s="310">
        <f>IFERROR(__xludf.DUMMYFUNCTION("""COMPUTED_VALUE"""),0.0)</f>
        <v>0</v>
      </c>
      <c r="R62" s="310">
        <f>IFERROR(__xludf.DUMMYFUNCTION("""COMPUTED_VALUE"""),0.0)</f>
        <v>0</v>
      </c>
      <c r="S62" s="310">
        <f>IFERROR(__xludf.DUMMYFUNCTION("""COMPUTED_VALUE"""),0.0)</f>
        <v>0</v>
      </c>
      <c r="T62" s="310">
        <f>IFERROR(__xludf.DUMMYFUNCTION("""COMPUTED_VALUE"""),100.0)</f>
        <v>100</v>
      </c>
      <c r="U62" s="310">
        <f>IFERROR(__xludf.DUMMYFUNCTION("""COMPUTED_VALUE"""),0.0)</f>
        <v>0</v>
      </c>
      <c r="V62" s="310">
        <f>IFERROR(__xludf.DUMMYFUNCTION("""COMPUTED_VALUE"""),0.0)</f>
        <v>0</v>
      </c>
      <c r="W62" s="310">
        <f>IFERROR(__xludf.DUMMYFUNCTION("""COMPUTED_VALUE"""),0.0)</f>
        <v>0</v>
      </c>
      <c r="X62" s="310">
        <f>IFERROR(__xludf.DUMMYFUNCTION("""COMPUTED_VALUE"""),0.0)</f>
        <v>0</v>
      </c>
      <c r="Y62" s="310">
        <f>IFERROR(__xludf.DUMMYFUNCTION("""COMPUTED_VALUE"""),0.0)</f>
        <v>0</v>
      </c>
      <c r="Z62" s="310">
        <f>IFERROR(__xludf.DUMMYFUNCTION("""COMPUTED_VALUE"""),-100.0)</f>
        <v>-100</v>
      </c>
      <c r="AA62" s="310">
        <f>IFERROR(__xludf.DUMMYFUNCTION("""COMPUTED_VALUE"""),0.0)</f>
        <v>0</v>
      </c>
      <c r="AB62" s="310">
        <f>IFERROR(__xludf.DUMMYFUNCTION("""COMPUTED_VALUE"""),0.0)</f>
        <v>0</v>
      </c>
      <c r="AC62" s="310">
        <f>IFERROR(__xludf.DUMMYFUNCTION("""COMPUTED_VALUE"""),0.0)</f>
        <v>0</v>
      </c>
      <c r="AD62" s="310">
        <f>IFERROR(__xludf.DUMMYFUNCTION("""COMPUTED_VALUE"""),0.0)</f>
        <v>0</v>
      </c>
      <c r="AE62" s="310">
        <f>IFERROR(__xludf.DUMMYFUNCTION("""COMPUTED_VALUE"""),0.0)</f>
        <v>0</v>
      </c>
      <c r="AF62" s="310" t="str">
        <f>IFERROR(__xludf.DUMMYFUNCTION("""COMPUTED_VALUE"""),"-22.8694531,-43.7773475")</f>
        <v>-22.8694531,-43.7773475</v>
      </c>
      <c r="AG62" s="310">
        <f>IFERROR(__xludf.DUMMYFUNCTION("""COMPUTED_VALUE"""),0.0)</f>
        <v>0</v>
      </c>
      <c r="AH62" s="310">
        <f>IFERROR(__xludf.DUMMYFUNCTION("""COMPUTED_VALUE"""),0.0)</f>
        <v>0</v>
      </c>
      <c r="AI62" s="310">
        <f>IFERROR(__xludf.DUMMYFUNCTION("""COMPUTED_VALUE"""),0.0)</f>
        <v>0</v>
      </c>
      <c r="AJ62" s="310">
        <f>IFERROR(__xludf.DUMMYFUNCTION("ROWS(QUERY(Entregas_BD!D:AM,""select D where D ='""&amp;D62&amp;""'"",1))-1"),1.0)</f>
        <v>1</v>
      </c>
    </row>
    <row r="63" ht="22.5" customHeight="1">
      <c r="A63" s="311" t="str">
        <f>IFERROR(__xludf.DUMMYFUNCTION("""COMPUTED_VALUE"""),"")</f>
        <v/>
      </c>
      <c r="B63" s="311" t="str">
        <f>IFERROR(__xludf.DUMMYFUNCTION("""COMPUTED_VALUE"""),"")</f>
        <v/>
      </c>
      <c r="C63" s="311">
        <f>IFERROR(__xludf.DUMMYFUNCTION("""COMPUTED_VALUE"""),113.0)</f>
        <v>113</v>
      </c>
      <c r="D63" s="311" t="str">
        <f>IFERROR(__xludf.DUMMYFUNCTION("""COMPUTED_VALUE"""),"Hospital Municipal Souza Aguiar")</f>
        <v>Hospital Municipal Souza Aguiar</v>
      </c>
      <c r="E63" s="311" t="str">
        <f>IFERROR(__xludf.DUMMYFUNCTION("""COMPUTED_VALUE"""),"CENTRO")</f>
        <v>CENTRO</v>
      </c>
      <c r="F63" s="311" t="str">
        <f>IFERROR(__xludf.DUMMYFUNCTION("""COMPUTED_VALUE"""),"Rio de Janeiro")</f>
        <v>Rio de Janeiro</v>
      </c>
      <c r="G63" s="311" t="str">
        <f>IFERROR(__xludf.DUMMYFUNCTION("""COMPUTED_VALUE"""),"Centro")</f>
        <v>Centro</v>
      </c>
      <c r="H63" s="311" t="str">
        <f>IFERROR(__xludf.DUMMYFUNCTION("""COMPUTED_VALUE"""),"Grande emergência - MÉDIA COMPLEXIDADE")</f>
        <v>Grande emergência - MÉDIA COMPLEXIDADE</v>
      </c>
      <c r="I63" s="311" t="str">
        <f>IFERROR(__xludf.DUMMYFUNCTION("""COMPUTED_VALUE"""),"Público")</f>
        <v>Público</v>
      </c>
      <c r="J63" s="311" t="str">
        <f>IFERROR(__xludf.DUMMYFUNCTION("""COMPUTED_VALUE"""),"")</f>
        <v/>
      </c>
      <c r="K63" s="311" t="str">
        <f>IFERROR(__xludf.DUMMYFUNCTION("""COMPUTED_VALUE"""),"")</f>
        <v/>
      </c>
      <c r="L63" s="311" t="str">
        <f>IFERROR(__xludf.DUMMYFUNCTION("""COMPUTED_VALUE"""),"")</f>
        <v/>
      </c>
      <c r="M63" s="311" t="str">
        <f>IFERROR(__xludf.DUMMYFUNCTION("""COMPUTED_VALUE"""),"")</f>
        <v/>
      </c>
      <c r="N63" s="311">
        <f>IFERROR(__xludf.DUMMYFUNCTION("""COMPUTED_VALUE"""),0.0)</f>
        <v>0</v>
      </c>
      <c r="O63" s="311">
        <f>IFERROR(__xludf.DUMMYFUNCTION("""COMPUTED_VALUE"""),0.0)</f>
        <v>0</v>
      </c>
      <c r="P63" s="311">
        <f>IFERROR(__xludf.DUMMYFUNCTION("""COMPUTED_VALUE"""),0.0)</f>
        <v>0</v>
      </c>
      <c r="Q63" s="311">
        <f>IFERROR(__xludf.DUMMYFUNCTION("""COMPUTED_VALUE"""),0.0)</f>
        <v>0</v>
      </c>
      <c r="R63" s="311">
        <f>IFERROR(__xludf.DUMMYFUNCTION("""COMPUTED_VALUE"""),0.0)</f>
        <v>0</v>
      </c>
      <c r="S63" s="311">
        <f>IFERROR(__xludf.DUMMYFUNCTION("""COMPUTED_VALUE"""),0.0)</f>
        <v>0</v>
      </c>
      <c r="T63" s="311">
        <f>IFERROR(__xludf.DUMMYFUNCTION("""COMPUTED_VALUE"""),265.0)</f>
        <v>265</v>
      </c>
      <c r="U63" s="311">
        <f>IFERROR(__xludf.DUMMYFUNCTION("""COMPUTED_VALUE"""),0.0)</f>
        <v>0</v>
      </c>
      <c r="V63" s="311">
        <f>IFERROR(__xludf.DUMMYFUNCTION("""COMPUTED_VALUE"""),0.0)</f>
        <v>0</v>
      </c>
      <c r="W63" s="311">
        <f>IFERROR(__xludf.DUMMYFUNCTION("""COMPUTED_VALUE"""),0.0)</f>
        <v>0</v>
      </c>
      <c r="X63" s="311">
        <f>IFERROR(__xludf.DUMMYFUNCTION("""COMPUTED_VALUE"""),0.0)</f>
        <v>0</v>
      </c>
      <c r="Y63" s="311">
        <f>IFERROR(__xludf.DUMMYFUNCTION("""COMPUTED_VALUE"""),0.0)</f>
        <v>0</v>
      </c>
      <c r="Z63" s="311">
        <f>IFERROR(__xludf.DUMMYFUNCTION("""COMPUTED_VALUE"""),-265.0)</f>
        <v>-265</v>
      </c>
      <c r="AA63" s="311">
        <f>IFERROR(__xludf.DUMMYFUNCTION("""COMPUTED_VALUE"""),0.0)</f>
        <v>0</v>
      </c>
      <c r="AB63" s="311">
        <f>IFERROR(__xludf.DUMMYFUNCTION("""COMPUTED_VALUE"""),0.0)</f>
        <v>0</v>
      </c>
      <c r="AC63" s="311">
        <f>IFERROR(__xludf.DUMMYFUNCTION("""COMPUTED_VALUE"""),0.0)</f>
        <v>0</v>
      </c>
      <c r="AD63" s="311">
        <f>IFERROR(__xludf.DUMMYFUNCTION("""COMPUTED_VALUE"""),0.0)</f>
        <v>0</v>
      </c>
      <c r="AE63" s="311">
        <f>IFERROR(__xludf.DUMMYFUNCTION("""COMPUTED_VALUE"""),0.0)</f>
        <v>0</v>
      </c>
      <c r="AF63" s="311" t="str">
        <f>IFERROR(__xludf.DUMMYFUNCTION("""COMPUTED_VALUE"""),"-22.908552,-43.1901875")</f>
        <v>-22.908552,-43.1901875</v>
      </c>
      <c r="AG63" s="311">
        <f>IFERROR(__xludf.DUMMYFUNCTION("""COMPUTED_VALUE"""),0.0)</f>
        <v>0</v>
      </c>
      <c r="AH63" s="311">
        <f>IFERROR(__xludf.DUMMYFUNCTION("""COMPUTED_VALUE"""),0.0)</f>
        <v>0</v>
      </c>
      <c r="AI63" s="311">
        <f>IFERROR(__xludf.DUMMYFUNCTION("""COMPUTED_VALUE"""),0.0)</f>
        <v>0</v>
      </c>
      <c r="AJ63" s="311">
        <f>IFERROR(__xludf.DUMMYFUNCTION("ROWS(QUERY(Entregas_BD!D:AM,""select D where D ='""&amp;D63&amp;""'"",1))-1"),1.0)</f>
        <v>1</v>
      </c>
    </row>
    <row r="64" ht="22.5" customHeight="1">
      <c r="A64" s="310" t="str">
        <f>IFERROR(__xludf.DUMMYFUNCTION("""COMPUTED_VALUE"""),"")</f>
        <v/>
      </c>
      <c r="B64" s="310" t="str">
        <f>IFERROR(__xludf.DUMMYFUNCTION("""COMPUTED_VALUE"""),"")</f>
        <v/>
      </c>
      <c r="C64" s="310">
        <f>IFERROR(__xludf.DUMMYFUNCTION("""COMPUTED_VALUE"""),114.0)</f>
        <v>114</v>
      </c>
      <c r="D64" s="310" t="str">
        <f>IFERROR(__xludf.DUMMYFUNCTION("""COMPUTED_VALUE"""),"Hospital Naval Marcílio Dias")</f>
        <v>Hospital Naval Marcílio Dias</v>
      </c>
      <c r="E64" s="310" t="str">
        <f>IFERROR(__xludf.DUMMYFUNCTION("""COMPUTED_VALUE"""),"ZONA NORTE")</f>
        <v>ZONA NORTE</v>
      </c>
      <c r="F64" s="310" t="str">
        <f>IFERROR(__xludf.DUMMYFUNCTION("""COMPUTED_VALUE"""),"Rio de Janeiro")</f>
        <v>Rio de Janeiro</v>
      </c>
      <c r="G64" s="310" t="str">
        <f>IFERROR(__xludf.DUMMYFUNCTION("""COMPUTED_VALUE"""),"Lins de Vasconcelos")</f>
        <v>Lins de Vasconcelos</v>
      </c>
      <c r="H64" s="310" t="str">
        <f>IFERROR(__xludf.DUMMYFUNCTION("""COMPUTED_VALUE"""),"Unidade básica - BAIXA COMPLEXIDADE")</f>
        <v>Unidade básica - BAIXA COMPLEXIDADE</v>
      </c>
      <c r="I64" s="310" t="str">
        <f>IFERROR(__xludf.DUMMYFUNCTION("""COMPUTED_VALUE"""),"Público")</f>
        <v>Público</v>
      </c>
      <c r="J64" s="310" t="str">
        <f>IFERROR(__xludf.DUMMYFUNCTION("""COMPUTED_VALUE"""),"")</f>
        <v/>
      </c>
      <c r="K64" s="310" t="str">
        <f>IFERROR(__xludf.DUMMYFUNCTION("""COMPUTED_VALUE"""),"")</f>
        <v/>
      </c>
      <c r="L64" s="310" t="str">
        <f>IFERROR(__xludf.DUMMYFUNCTION("""COMPUTED_VALUE"""),"")</f>
        <v/>
      </c>
      <c r="M64" s="310" t="str">
        <f>IFERROR(__xludf.DUMMYFUNCTION("""COMPUTED_VALUE"""),"")</f>
        <v/>
      </c>
      <c r="N64" s="310">
        <f>IFERROR(__xludf.DUMMYFUNCTION("""COMPUTED_VALUE"""),0.0)</f>
        <v>0</v>
      </c>
      <c r="O64" s="310">
        <f>IFERROR(__xludf.DUMMYFUNCTION("""COMPUTED_VALUE"""),0.0)</f>
        <v>0</v>
      </c>
      <c r="P64" s="310">
        <f>IFERROR(__xludf.DUMMYFUNCTION("""COMPUTED_VALUE"""),0.0)</f>
        <v>0</v>
      </c>
      <c r="Q64" s="310">
        <f>IFERROR(__xludf.DUMMYFUNCTION("""COMPUTED_VALUE"""),0.0)</f>
        <v>0</v>
      </c>
      <c r="R64" s="310">
        <f>IFERROR(__xludf.DUMMYFUNCTION("""COMPUTED_VALUE"""),0.0)</f>
        <v>0</v>
      </c>
      <c r="S64" s="310">
        <f>IFERROR(__xludf.DUMMYFUNCTION("""COMPUTED_VALUE"""),0.0)</f>
        <v>0</v>
      </c>
      <c r="T64" s="310">
        <f>IFERROR(__xludf.DUMMYFUNCTION("""COMPUTED_VALUE"""),100.0)</f>
        <v>100</v>
      </c>
      <c r="U64" s="310">
        <f>IFERROR(__xludf.DUMMYFUNCTION("""COMPUTED_VALUE"""),0.0)</f>
        <v>0</v>
      </c>
      <c r="V64" s="310">
        <f>IFERROR(__xludf.DUMMYFUNCTION("""COMPUTED_VALUE"""),0.0)</f>
        <v>0</v>
      </c>
      <c r="W64" s="310">
        <f>IFERROR(__xludf.DUMMYFUNCTION("""COMPUTED_VALUE"""),0.0)</f>
        <v>0</v>
      </c>
      <c r="X64" s="310">
        <f>IFERROR(__xludf.DUMMYFUNCTION("""COMPUTED_VALUE"""),0.0)</f>
        <v>0</v>
      </c>
      <c r="Y64" s="310">
        <f>IFERROR(__xludf.DUMMYFUNCTION("""COMPUTED_VALUE"""),0.0)</f>
        <v>0</v>
      </c>
      <c r="Z64" s="310">
        <f>IFERROR(__xludf.DUMMYFUNCTION("""COMPUTED_VALUE"""),-100.0)</f>
        <v>-100</v>
      </c>
      <c r="AA64" s="310">
        <f>IFERROR(__xludf.DUMMYFUNCTION("""COMPUTED_VALUE"""),0.0)</f>
        <v>0</v>
      </c>
      <c r="AB64" s="310">
        <f>IFERROR(__xludf.DUMMYFUNCTION("""COMPUTED_VALUE"""),0.0)</f>
        <v>0</v>
      </c>
      <c r="AC64" s="310">
        <f>IFERROR(__xludf.DUMMYFUNCTION("""COMPUTED_VALUE"""),0.0)</f>
        <v>0</v>
      </c>
      <c r="AD64" s="310">
        <f>IFERROR(__xludf.DUMMYFUNCTION("""COMPUTED_VALUE"""),0.0)</f>
        <v>0</v>
      </c>
      <c r="AE64" s="310">
        <f>IFERROR(__xludf.DUMMYFUNCTION("""COMPUTED_VALUE"""),0.0)</f>
        <v>0</v>
      </c>
      <c r="AF64" s="310" t="str">
        <f>IFERROR(__xludf.DUMMYFUNCTION("""COMPUTED_VALUE"""),"-22.9139074,-43.2833747")</f>
        <v>-22.9139074,-43.2833747</v>
      </c>
      <c r="AG64" s="310">
        <f>IFERROR(__xludf.DUMMYFUNCTION("""COMPUTED_VALUE"""),0.0)</f>
        <v>0</v>
      </c>
      <c r="AH64" s="310">
        <f>IFERROR(__xludf.DUMMYFUNCTION("""COMPUTED_VALUE"""),0.0)</f>
        <v>0</v>
      </c>
      <c r="AI64" s="310">
        <f>IFERROR(__xludf.DUMMYFUNCTION("""COMPUTED_VALUE"""),0.0)</f>
        <v>0</v>
      </c>
      <c r="AJ64" s="310">
        <f>IFERROR(__xludf.DUMMYFUNCTION("ROWS(QUERY(Entregas_BD!D:AM,""select D where D ='""&amp;D64&amp;""'"",1))-1"),1.0)</f>
        <v>1</v>
      </c>
    </row>
    <row r="65" ht="22.5" customHeight="1">
      <c r="A65" s="311" t="str">
        <f>IFERROR(__xludf.DUMMYFUNCTION("""COMPUTED_VALUE"""),"")</f>
        <v/>
      </c>
      <c r="B65" s="311" t="str">
        <f>IFERROR(__xludf.DUMMYFUNCTION("""COMPUTED_VALUE"""),"")</f>
        <v/>
      </c>
      <c r="C65" s="311">
        <f>IFERROR(__xludf.DUMMYFUNCTION("""COMPUTED_VALUE"""),131.0)</f>
        <v>131</v>
      </c>
      <c r="D65" s="311" t="str">
        <f>IFERROR(__xludf.DUMMYFUNCTION("""COMPUTED_VALUE"""),"Hospital Universitário Clementino Fraga Filho")</f>
        <v>Hospital Universitário Clementino Fraga Filho</v>
      </c>
      <c r="E65" s="311" t="str">
        <f>IFERROR(__xludf.DUMMYFUNCTION("""COMPUTED_VALUE"""),"ZONA NORTE")</f>
        <v>ZONA NORTE</v>
      </c>
      <c r="F65" s="311" t="str">
        <f>IFERROR(__xludf.DUMMYFUNCTION("""COMPUTED_VALUE"""),"Rio de Janeiro")</f>
        <v>Rio de Janeiro</v>
      </c>
      <c r="G65" s="311" t="str">
        <f>IFERROR(__xludf.DUMMYFUNCTION("""COMPUTED_VALUE"""),"Ilha do Fundão")</f>
        <v>Ilha do Fundão</v>
      </c>
      <c r="H65" s="311" t="str">
        <f>IFERROR(__xludf.DUMMYFUNCTION("""COMPUTED_VALUE"""),"Referência - ALTA COMPLEXIDADE")</f>
        <v>Referência - ALTA COMPLEXIDADE</v>
      </c>
      <c r="I65" s="311" t="str">
        <f>IFERROR(__xludf.DUMMYFUNCTION("""COMPUTED_VALUE"""),"Público")</f>
        <v>Público</v>
      </c>
      <c r="J65" s="311" t="str">
        <f>IFERROR(__xludf.DUMMYFUNCTION("""COMPUTED_VALUE"""),"")</f>
        <v/>
      </c>
      <c r="K65" s="311" t="str">
        <f>IFERROR(__xludf.DUMMYFUNCTION("""COMPUTED_VALUE"""),"")</f>
        <v/>
      </c>
      <c r="L65" s="311" t="str">
        <f>IFERROR(__xludf.DUMMYFUNCTION("""COMPUTED_VALUE"""),"")</f>
        <v/>
      </c>
      <c r="M65" s="311" t="str">
        <f>IFERROR(__xludf.DUMMYFUNCTION("""COMPUTED_VALUE"""),"")</f>
        <v/>
      </c>
      <c r="N65" s="311">
        <f>IFERROR(__xludf.DUMMYFUNCTION("""COMPUTED_VALUE"""),0.0)</f>
        <v>0</v>
      </c>
      <c r="O65" s="311">
        <f>IFERROR(__xludf.DUMMYFUNCTION("""COMPUTED_VALUE"""),0.0)</f>
        <v>0</v>
      </c>
      <c r="P65" s="311">
        <f>IFERROR(__xludf.DUMMYFUNCTION("""COMPUTED_VALUE"""),0.0)</f>
        <v>0</v>
      </c>
      <c r="Q65" s="311">
        <f>IFERROR(__xludf.DUMMYFUNCTION("""COMPUTED_VALUE"""),0.0)</f>
        <v>0</v>
      </c>
      <c r="R65" s="311">
        <f>IFERROR(__xludf.DUMMYFUNCTION("""COMPUTED_VALUE"""),0.0)</f>
        <v>0</v>
      </c>
      <c r="S65" s="311">
        <f>IFERROR(__xludf.DUMMYFUNCTION("""COMPUTED_VALUE"""),0.0)</f>
        <v>0</v>
      </c>
      <c r="T65" s="311">
        <f>IFERROR(__xludf.DUMMYFUNCTION("""COMPUTED_VALUE"""),100.0)</f>
        <v>100</v>
      </c>
      <c r="U65" s="311">
        <f>IFERROR(__xludf.DUMMYFUNCTION("""COMPUTED_VALUE"""),0.0)</f>
        <v>0</v>
      </c>
      <c r="V65" s="311">
        <f>IFERROR(__xludf.DUMMYFUNCTION("""COMPUTED_VALUE"""),0.0)</f>
        <v>0</v>
      </c>
      <c r="W65" s="311">
        <f>IFERROR(__xludf.DUMMYFUNCTION("""COMPUTED_VALUE"""),0.0)</f>
        <v>0</v>
      </c>
      <c r="X65" s="311">
        <f>IFERROR(__xludf.DUMMYFUNCTION("""COMPUTED_VALUE"""),0.0)</f>
        <v>0</v>
      </c>
      <c r="Y65" s="311">
        <f>IFERROR(__xludf.DUMMYFUNCTION("""COMPUTED_VALUE"""),0.0)</f>
        <v>0</v>
      </c>
      <c r="Z65" s="311">
        <f>IFERROR(__xludf.DUMMYFUNCTION("""COMPUTED_VALUE"""),-100.0)</f>
        <v>-100</v>
      </c>
      <c r="AA65" s="311">
        <f>IFERROR(__xludf.DUMMYFUNCTION("""COMPUTED_VALUE"""),0.0)</f>
        <v>0</v>
      </c>
      <c r="AB65" s="311">
        <f>IFERROR(__xludf.DUMMYFUNCTION("""COMPUTED_VALUE"""),0.0)</f>
        <v>0</v>
      </c>
      <c r="AC65" s="311">
        <f>IFERROR(__xludf.DUMMYFUNCTION("""COMPUTED_VALUE"""),0.0)</f>
        <v>0</v>
      </c>
      <c r="AD65" s="311">
        <f>IFERROR(__xludf.DUMMYFUNCTION("""COMPUTED_VALUE"""),0.0)</f>
        <v>0</v>
      </c>
      <c r="AE65" s="311">
        <f>IFERROR(__xludf.DUMMYFUNCTION("""COMPUTED_VALUE"""),0.0)</f>
        <v>0</v>
      </c>
      <c r="AF65" s="311" t="str">
        <f>IFERROR(__xludf.DUMMYFUNCTION("""COMPUTED_VALUE"""),"-22.8425002,-43.2376557")</f>
        <v>-22.8425002,-43.2376557</v>
      </c>
      <c r="AG65" s="311">
        <f>IFERROR(__xludf.DUMMYFUNCTION("""COMPUTED_VALUE"""),0.0)</f>
        <v>0</v>
      </c>
      <c r="AH65" s="311">
        <f>IFERROR(__xludf.DUMMYFUNCTION("""COMPUTED_VALUE"""),0.0)</f>
        <v>0</v>
      </c>
      <c r="AI65" s="311">
        <f>IFERROR(__xludf.DUMMYFUNCTION("""COMPUTED_VALUE"""),0.0)</f>
        <v>0</v>
      </c>
      <c r="AJ65" s="311">
        <f>IFERROR(__xludf.DUMMYFUNCTION("ROWS(QUERY(Entregas_BD!D:AM,""select D where D ='""&amp;D65&amp;""'"",1))-1"),2.0)</f>
        <v>2</v>
      </c>
    </row>
    <row r="66" ht="22.5" customHeight="1">
      <c r="A66" s="310" t="str">
        <f>IFERROR(__xludf.DUMMYFUNCTION("""COMPUTED_VALUE"""),"")</f>
        <v/>
      </c>
      <c r="B66" s="310" t="str">
        <f>IFERROR(__xludf.DUMMYFUNCTION("""COMPUTED_VALUE"""),"")</f>
        <v/>
      </c>
      <c r="C66" s="310">
        <f>IFERROR(__xludf.DUMMYFUNCTION("""COMPUTED_VALUE"""),132.0)</f>
        <v>132</v>
      </c>
      <c r="D66" s="310" t="str">
        <f>IFERROR(__xludf.DUMMYFUNCTION("""COMPUTED_VALUE"""),"Hospital Universitário Gaffrée e Guinle")</f>
        <v>Hospital Universitário Gaffrée e Guinle</v>
      </c>
      <c r="E66" s="310" t="str">
        <f>IFERROR(__xludf.DUMMYFUNCTION("""COMPUTED_VALUE"""),"ZONA NORTE")</f>
        <v>ZONA NORTE</v>
      </c>
      <c r="F66" s="310" t="str">
        <f>IFERROR(__xludf.DUMMYFUNCTION("""COMPUTED_VALUE"""),"Rio de Janeiro")</f>
        <v>Rio de Janeiro</v>
      </c>
      <c r="G66" s="310" t="str">
        <f>IFERROR(__xludf.DUMMYFUNCTION("""COMPUTED_VALUE"""),"Tijuca")</f>
        <v>Tijuca</v>
      </c>
      <c r="H66" s="310" t="str">
        <f>IFERROR(__xludf.DUMMYFUNCTION("""COMPUTED_VALUE"""),"Referência - ALTA COMPLEXIDADE")</f>
        <v>Referência - ALTA COMPLEXIDADE</v>
      </c>
      <c r="I66" s="310" t="str">
        <f>IFERROR(__xludf.DUMMYFUNCTION("""COMPUTED_VALUE"""),"Público")</f>
        <v>Público</v>
      </c>
      <c r="J66" s="310" t="str">
        <f>IFERROR(__xludf.DUMMYFUNCTION("""COMPUTED_VALUE"""),"")</f>
        <v/>
      </c>
      <c r="K66" s="310" t="str">
        <f>IFERROR(__xludf.DUMMYFUNCTION("""COMPUTED_VALUE"""),"")</f>
        <v/>
      </c>
      <c r="L66" s="310" t="str">
        <f>IFERROR(__xludf.DUMMYFUNCTION("""COMPUTED_VALUE"""),"")</f>
        <v/>
      </c>
      <c r="M66" s="310" t="str">
        <f>IFERROR(__xludf.DUMMYFUNCTION("""COMPUTED_VALUE"""),"")</f>
        <v/>
      </c>
      <c r="N66" s="310">
        <f>IFERROR(__xludf.DUMMYFUNCTION("""COMPUTED_VALUE"""),0.0)</f>
        <v>0</v>
      </c>
      <c r="O66" s="310">
        <f>IFERROR(__xludf.DUMMYFUNCTION("""COMPUTED_VALUE"""),0.0)</f>
        <v>0</v>
      </c>
      <c r="P66" s="310">
        <f>IFERROR(__xludf.DUMMYFUNCTION("""COMPUTED_VALUE"""),0.0)</f>
        <v>0</v>
      </c>
      <c r="Q66" s="310">
        <f>IFERROR(__xludf.DUMMYFUNCTION("""COMPUTED_VALUE"""),0.0)</f>
        <v>0</v>
      </c>
      <c r="R66" s="310">
        <f>IFERROR(__xludf.DUMMYFUNCTION("""COMPUTED_VALUE"""),0.0)</f>
        <v>0</v>
      </c>
      <c r="S66" s="310">
        <f>IFERROR(__xludf.DUMMYFUNCTION("""COMPUTED_VALUE"""),0.0)</f>
        <v>0</v>
      </c>
      <c r="T66" s="310">
        <f>IFERROR(__xludf.DUMMYFUNCTION("""COMPUTED_VALUE"""),90.0)</f>
        <v>90</v>
      </c>
      <c r="U66" s="310">
        <f>IFERROR(__xludf.DUMMYFUNCTION("""COMPUTED_VALUE"""),0.0)</f>
        <v>0</v>
      </c>
      <c r="V66" s="310">
        <f>IFERROR(__xludf.DUMMYFUNCTION("""COMPUTED_VALUE"""),0.0)</f>
        <v>0</v>
      </c>
      <c r="W66" s="310">
        <f>IFERROR(__xludf.DUMMYFUNCTION("""COMPUTED_VALUE"""),0.0)</f>
        <v>0</v>
      </c>
      <c r="X66" s="310">
        <f>IFERROR(__xludf.DUMMYFUNCTION("""COMPUTED_VALUE"""),0.0)</f>
        <v>0</v>
      </c>
      <c r="Y66" s="310">
        <f>IFERROR(__xludf.DUMMYFUNCTION("""COMPUTED_VALUE"""),0.0)</f>
        <v>0</v>
      </c>
      <c r="Z66" s="310">
        <f>IFERROR(__xludf.DUMMYFUNCTION("""COMPUTED_VALUE"""),-90.0)</f>
        <v>-90</v>
      </c>
      <c r="AA66" s="310">
        <f>IFERROR(__xludf.DUMMYFUNCTION("""COMPUTED_VALUE"""),0.0)</f>
        <v>0</v>
      </c>
      <c r="AB66" s="310">
        <f>IFERROR(__xludf.DUMMYFUNCTION("""COMPUTED_VALUE"""),0.0)</f>
        <v>0</v>
      </c>
      <c r="AC66" s="310">
        <f>IFERROR(__xludf.DUMMYFUNCTION("""COMPUTED_VALUE"""),0.0)</f>
        <v>0</v>
      </c>
      <c r="AD66" s="310">
        <f>IFERROR(__xludf.DUMMYFUNCTION("""COMPUTED_VALUE"""),0.0)</f>
        <v>0</v>
      </c>
      <c r="AE66" s="310">
        <f>IFERROR(__xludf.DUMMYFUNCTION("""COMPUTED_VALUE"""),0.0)</f>
        <v>0</v>
      </c>
      <c r="AF66" s="310" t="str">
        <f>IFERROR(__xludf.DUMMYFUNCTION("""COMPUTED_VALUE"""),"-22.9161967,-43.2208276")</f>
        <v>-22.9161967,-43.2208276</v>
      </c>
      <c r="AG66" s="310">
        <f>IFERROR(__xludf.DUMMYFUNCTION("""COMPUTED_VALUE"""),0.0)</f>
        <v>0</v>
      </c>
      <c r="AH66" s="310">
        <f>IFERROR(__xludf.DUMMYFUNCTION("""COMPUTED_VALUE"""),0.0)</f>
        <v>0</v>
      </c>
      <c r="AI66" s="310">
        <f>IFERROR(__xludf.DUMMYFUNCTION("""COMPUTED_VALUE"""),0.0)</f>
        <v>0</v>
      </c>
      <c r="AJ66" s="310">
        <f>IFERROR(__xludf.DUMMYFUNCTION("ROWS(QUERY(Entregas_BD!D:AM,""select D where D ='""&amp;D66&amp;""'"",1))-1"),1.0)</f>
        <v>1</v>
      </c>
    </row>
    <row r="67" ht="22.5" customHeight="1">
      <c r="A67" s="311" t="str">
        <f>IFERROR(__xludf.DUMMYFUNCTION("""COMPUTED_VALUE"""),"")</f>
        <v/>
      </c>
      <c r="B67" s="311" t="str">
        <f>IFERROR(__xludf.DUMMYFUNCTION("""COMPUTED_VALUE"""),"")</f>
        <v/>
      </c>
      <c r="C67" s="311">
        <f>IFERROR(__xludf.DUMMYFUNCTION("""COMPUTED_VALUE"""),133.0)</f>
        <v>133</v>
      </c>
      <c r="D67" s="311" t="str">
        <f>IFERROR(__xludf.DUMMYFUNCTION("""COMPUTED_VALUE"""),"Hospital Universitário Gaffrée e Guinle")</f>
        <v>Hospital Universitário Gaffrée e Guinle</v>
      </c>
      <c r="E67" s="311" t="str">
        <f>IFERROR(__xludf.DUMMYFUNCTION("""COMPUTED_VALUE"""),"ZONA NORTE")</f>
        <v>ZONA NORTE</v>
      </c>
      <c r="F67" s="311" t="str">
        <f>IFERROR(__xludf.DUMMYFUNCTION("""COMPUTED_VALUE"""),"Rio de Janeiro")</f>
        <v>Rio de Janeiro</v>
      </c>
      <c r="G67" s="311" t="str">
        <f>IFERROR(__xludf.DUMMYFUNCTION("""COMPUTED_VALUE"""),"Tijuca")</f>
        <v>Tijuca</v>
      </c>
      <c r="H67" s="311" t="str">
        <f>IFERROR(__xludf.DUMMYFUNCTION("""COMPUTED_VALUE"""),"Referência - ALTA COMPLEXIDADE")</f>
        <v>Referência - ALTA COMPLEXIDADE</v>
      </c>
      <c r="I67" s="311" t="str">
        <f>IFERROR(__xludf.DUMMYFUNCTION("""COMPUTED_VALUE"""),"Público")</f>
        <v>Público</v>
      </c>
      <c r="J67" s="311" t="str">
        <f>IFERROR(__xludf.DUMMYFUNCTION("""COMPUTED_VALUE"""),"")</f>
        <v/>
      </c>
      <c r="K67" s="311" t="str">
        <f>IFERROR(__xludf.DUMMYFUNCTION("""COMPUTED_VALUE"""),"")</f>
        <v/>
      </c>
      <c r="L67" s="311" t="str">
        <f>IFERROR(__xludf.DUMMYFUNCTION("""COMPUTED_VALUE"""),"")</f>
        <v/>
      </c>
      <c r="M67" s="311" t="str">
        <f>IFERROR(__xludf.DUMMYFUNCTION("""COMPUTED_VALUE"""),"")</f>
        <v/>
      </c>
      <c r="N67" s="311">
        <f>IFERROR(__xludf.DUMMYFUNCTION("""COMPUTED_VALUE"""),0.0)</f>
        <v>0</v>
      </c>
      <c r="O67" s="311">
        <f>IFERROR(__xludf.DUMMYFUNCTION("""COMPUTED_VALUE"""),0.0)</f>
        <v>0</v>
      </c>
      <c r="P67" s="311">
        <f>IFERROR(__xludf.DUMMYFUNCTION("""COMPUTED_VALUE"""),0.0)</f>
        <v>0</v>
      </c>
      <c r="Q67" s="311">
        <f>IFERROR(__xludf.DUMMYFUNCTION("""COMPUTED_VALUE"""),0.0)</f>
        <v>0</v>
      </c>
      <c r="R67" s="311">
        <f>IFERROR(__xludf.DUMMYFUNCTION("""COMPUTED_VALUE"""),0.0)</f>
        <v>0</v>
      </c>
      <c r="S67" s="311">
        <f>IFERROR(__xludf.DUMMYFUNCTION("""COMPUTED_VALUE"""),0.0)</f>
        <v>0</v>
      </c>
      <c r="T67" s="311">
        <f>IFERROR(__xludf.DUMMYFUNCTION("""COMPUTED_VALUE"""),90.0)</f>
        <v>90</v>
      </c>
      <c r="U67" s="311">
        <f>IFERROR(__xludf.DUMMYFUNCTION("""COMPUTED_VALUE"""),0.0)</f>
        <v>0</v>
      </c>
      <c r="V67" s="311">
        <f>IFERROR(__xludf.DUMMYFUNCTION("""COMPUTED_VALUE"""),0.0)</f>
        <v>0</v>
      </c>
      <c r="W67" s="311">
        <f>IFERROR(__xludf.DUMMYFUNCTION("""COMPUTED_VALUE"""),0.0)</f>
        <v>0</v>
      </c>
      <c r="X67" s="311">
        <f>IFERROR(__xludf.DUMMYFUNCTION("""COMPUTED_VALUE"""),0.0)</f>
        <v>0</v>
      </c>
      <c r="Y67" s="311">
        <f>IFERROR(__xludf.DUMMYFUNCTION("""COMPUTED_VALUE"""),0.0)</f>
        <v>0</v>
      </c>
      <c r="Z67" s="311">
        <f>IFERROR(__xludf.DUMMYFUNCTION("""COMPUTED_VALUE"""),-90.0)</f>
        <v>-90</v>
      </c>
      <c r="AA67" s="311">
        <f>IFERROR(__xludf.DUMMYFUNCTION("""COMPUTED_VALUE"""),0.0)</f>
        <v>0</v>
      </c>
      <c r="AB67" s="311">
        <f>IFERROR(__xludf.DUMMYFUNCTION("""COMPUTED_VALUE"""),0.0)</f>
        <v>0</v>
      </c>
      <c r="AC67" s="311">
        <f>IFERROR(__xludf.DUMMYFUNCTION("""COMPUTED_VALUE"""),0.0)</f>
        <v>0</v>
      </c>
      <c r="AD67" s="311">
        <f>IFERROR(__xludf.DUMMYFUNCTION("""COMPUTED_VALUE"""),0.0)</f>
        <v>0</v>
      </c>
      <c r="AE67" s="311">
        <f>IFERROR(__xludf.DUMMYFUNCTION("""COMPUTED_VALUE"""),0.0)</f>
        <v>0</v>
      </c>
      <c r="AF67" s="311" t="str">
        <f>IFERROR(__xludf.DUMMYFUNCTION("""COMPUTED_VALUE"""),"-22.9161967,-43.2208276")</f>
        <v>-22.9161967,-43.2208276</v>
      </c>
      <c r="AG67" s="311">
        <f>IFERROR(__xludf.DUMMYFUNCTION("""COMPUTED_VALUE"""),0.0)</f>
        <v>0</v>
      </c>
      <c r="AH67" s="311">
        <f>IFERROR(__xludf.DUMMYFUNCTION("""COMPUTED_VALUE"""),0.0)</f>
        <v>0</v>
      </c>
      <c r="AI67" s="311">
        <f>IFERROR(__xludf.DUMMYFUNCTION("""COMPUTED_VALUE"""),0.0)</f>
        <v>0</v>
      </c>
      <c r="AJ67" s="311">
        <f>IFERROR(__xludf.DUMMYFUNCTION("ROWS(QUERY(Entregas_BD!D:AM,""select D where D ='""&amp;D67&amp;""'"",1))-1"),1.0)</f>
        <v>1</v>
      </c>
    </row>
    <row r="68" ht="22.5" customHeight="1">
      <c r="A68" s="310" t="str">
        <f>IFERROR(__xludf.DUMMYFUNCTION("""COMPUTED_VALUE"""),"")</f>
        <v/>
      </c>
      <c r="B68" s="310" t="str">
        <f>IFERROR(__xludf.DUMMYFUNCTION("""COMPUTED_VALUE"""),"")</f>
        <v/>
      </c>
      <c r="C68" s="310">
        <f>IFERROR(__xludf.DUMMYFUNCTION("""COMPUTED_VALUE"""),134.0)</f>
        <v>134</v>
      </c>
      <c r="D68" s="310" t="str">
        <f>IFERROR(__xludf.DUMMYFUNCTION("""COMPUTED_VALUE"""),"Hospital Universitário Gaffrée e Guinle")</f>
        <v>Hospital Universitário Gaffrée e Guinle</v>
      </c>
      <c r="E68" s="310" t="str">
        <f>IFERROR(__xludf.DUMMYFUNCTION("""COMPUTED_VALUE"""),"ZONA NORTE")</f>
        <v>ZONA NORTE</v>
      </c>
      <c r="F68" s="310" t="str">
        <f>IFERROR(__xludf.DUMMYFUNCTION("""COMPUTED_VALUE"""),"Rio de Janeiro")</f>
        <v>Rio de Janeiro</v>
      </c>
      <c r="G68" s="310" t="str">
        <f>IFERROR(__xludf.DUMMYFUNCTION("""COMPUTED_VALUE"""),"Tijuca")</f>
        <v>Tijuca</v>
      </c>
      <c r="H68" s="310" t="str">
        <f>IFERROR(__xludf.DUMMYFUNCTION("""COMPUTED_VALUE"""),"Referência - ALTA COMPLEXIDADE")</f>
        <v>Referência - ALTA COMPLEXIDADE</v>
      </c>
      <c r="I68" s="310" t="str">
        <f>IFERROR(__xludf.DUMMYFUNCTION("""COMPUTED_VALUE"""),"Público")</f>
        <v>Público</v>
      </c>
      <c r="J68" s="310" t="str">
        <f>IFERROR(__xludf.DUMMYFUNCTION("""COMPUTED_VALUE"""),"")</f>
        <v/>
      </c>
      <c r="K68" s="310" t="str">
        <f>IFERROR(__xludf.DUMMYFUNCTION("""COMPUTED_VALUE"""),"")</f>
        <v/>
      </c>
      <c r="L68" s="310" t="str">
        <f>IFERROR(__xludf.DUMMYFUNCTION("""COMPUTED_VALUE"""),"")</f>
        <v/>
      </c>
      <c r="M68" s="310" t="str">
        <f>IFERROR(__xludf.DUMMYFUNCTION("""COMPUTED_VALUE"""),"")</f>
        <v/>
      </c>
      <c r="N68" s="310">
        <f>IFERROR(__xludf.DUMMYFUNCTION("""COMPUTED_VALUE"""),0.0)</f>
        <v>0</v>
      </c>
      <c r="O68" s="310">
        <f>IFERROR(__xludf.DUMMYFUNCTION("""COMPUTED_VALUE"""),0.0)</f>
        <v>0</v>
      </c>
      <c r="P68" s="310">
        <f>IFERROR(__xludf.DUMMYFUNCTION("""COMPUTED_VALUE"""),0.0)</f>
        <v>0</v>
      </c>
      <c r="Q68" s="310">
        <f>IFERROR(__xludf.DUMMYFUNCTION("""COMPUTED_VALUE"""),0.0)</f>
        <v>0</v>
      </c>
      <c r="R68" s="310">
        <f>IFERROR(__xludf.DUMMYFUNCTION("""COMPUTED_VALUE"""),0.0)</f>
        <v>0</v>
      </c>
      <c r="S68" s="310">
        <f>IFERROR(__xludf.DUMMYFUNCTION("""COMPUTED_VALUE"""),0.0)</f>
        <v>0</v>
      </c>
      <c r="T68" s="310">
        <f>IFERROR(__xludf.DUMMYFUNCTION("""COMPUTED_VALUE"""),90.0)</f>
        <v>90</v>
      </c>
      <c r="U68" s="310">
        <f>IFERROR(__xludf.DUMMYFUNCTION("""COMPUTED_VALUE"""),0.0)</f>
        <v>0</v>
      </c>
      <c r="V68" s="310">
        <f>IFERROR(__xludf.DUMMYFUNCTION("""COMPUTED_VALUE"""),0.0)</f>
        <v>0</v>
      </c>
      <c r="W68" s="310">
        <f>IFERROR(__xludf.DUMMYFUNCTION("""COMPUTED_VALUE"""),0.0)</f>
        <v>0</v>
      </c>
      <c r="X68" s="310">
        <f>IFERROR(__xludf.DUMMYFUNCTION("""COMPUTED_VALUE"""),0.0)</f>
        <v>0</v>
      </c>
      <c r="Y68" s="310">
        <f>IFERROR(__xludf.DUMMYFUNCTION("""COMPUTED_VALUE"""),0.0)</f>
        <v>0</v>
      </c>
      <c r="Z68" s="310">
        <f>IFERROR(__xludf.DUMMYFUNCTION("""COMPUTED_VALUE"""),-90.0)</f>
        <v>-90</v>
      </c>
      <c r="AA68" s="310">
        <f>IFERROR(__xludf.DUMMYFUNCTION("""COMPUTED_VALUE"""),0.0)</f>
        <v>0</v>
      </c>
      <c r="AB68" s="310">
        <f>IFERROR(__xludf.DUMMYFUNCTION("""COMPUTED_VALUE"""),0.0)</f>
        <v>0</v>
      </c>
      <c r="AC68" s="310">
        <f>IFERROR(__xludf.DUMMYFUNCTION("""COMPUTED_VALUE"""),0.0)</f>
        <v>0</v>
      </c>
      <c r="AD68" s="310">
        <f>IFERROR(__xludf.DUMMYFUNCTION("""COMPUTED_VALUE"""),0.0)</f>
        <v>0</v>
      </c>
      <c r="AE68" s="310">
        <f>IFERROR(__xludf.DUMMYFUNCTION("""COMPUTED_VALUE"""),0.0)</f>
        <v>0</v>
      </c>
      <c r="AF68" s="310" t="str">
        <f>IFERROR(__xludf.DUMMYFUNCTION("""COMPUTED_VALUE"""),"-22.9161967,-43.2208276")</f>
        <v>-22.9161967,-43.2208276</v>
      </c>
      <c r="AG68" s="310">
        <f>IFERROR(__xludf.DUMMYFUNCTION("""COMPUTED_VALUE"""),0.0)</f>
        <v>0</v>
      </c>
      <c r="AH68" s="310">
        <f>IFERROR(__xludf.DUMMYFUNCTION("""COMPUTED_VALUE"""),0.0)</f>
        <v>0</v>
      </c>
      <c r="AI68" s="310">
        <f>IFERROR(__xludf.DUMMYFUNCTION("""COMPUTED_VALUE"""),0.0)</f>
        <v>0</v>
      </c>
      <c r="AJ68" s="310">
        <f>IFERROR(__xludf.DUMMYFUNCTION("ROWS(QUERY(Entregas_BD!D:AM,""select D where D ='""&amp;D68&amp;""'"",1))-1"),1.0)</f>
        <v>1</v>
      </c>
    </row>
    <row r="69" ht="22.5" customHeight="1">
      <c r="A69" s="311" t="str">
        <f>IFERROR(__xludf.DUMMYFUNCTION("""COMPUTED_VALUE"""),"")</f>
        <v/>
      </c>
      <c r="B69" s="311" t="str">
        <f>IFERROR(__xludf.DUMMYFUNCTION("""COMPUTED_VALUE"""),"")</f>
        <v/>
      </c>
      <c r="C69" s="311">
        <f>IFERROR(__xludf.DUMMYFUNCTION("""COMPUTED_VALUE"""),135.0)</f>
        <v>135</v>
      </c>
      <c r="D69" s="311" t="str">
        <f>IFERROR(__xludf.DUMMYFUNCTION("""COMPUTED_VALUE"""),"Hospital Universitário Pedro Ernesto")</f>
        <v>Hospital Universitário Pedro Ernesto</v>
      </c>
      <c r="E69" s="311" t="str">
        <f>IFERROR(__xludf.DUMMYFUNCTION("""COMPUTED_VALUE"""),"ZONA NORTE")</f>
        <v>ZONA NORTE</v>
      </c>
      <c r="F69" s="311" t="str">
        <f>IFERROR(__xludf.DUMMYFUNCTION("""COMPUTED_VALUE"""),"Rio de Janeiro")</f>
        <v>Rio de Janeiro</v>
      </c>
      <c r="G69" s="311" t="str">
        <f>IFERROR(__xludf.DUMMYFUNCTION("""COMPUTED_VALUE"""),"Vila Isabel")</f>
        <v>Vila Isabel</v>
      </c>
      <c r="H69" s="311" t="str">
        <f>IFERROR(__xludf.DUMMYFUNCTION("""COMPUTED_VALUE"""),"Referência - ALTA COMPLEXIDADE")</f>
        <v>Referência - ALTA COMPLEXIDADE</v>
      </c>
      <c r="I69" s="311" t="str">
        <f>IFERROR(__xludf.DUMMYFUNCTION("""COMPUTED_VALUE"""),"Público")</f>
        <v>Público</v>
      </c>
      <c r="J69" s="311" t="str">
        <f>IFERROR(__xludf.DUMMYFUNCTION("""COMPUTED_VALUE"""),"")</f>
        <v/>
      </c>
      <c r="K69" s="311" t="str">
        <f>IFERROR(__xludf.DUMMYFUNCTION("""COMPUTED_VALUE"""),"")</f>
        <v/>
      </c>
      <c r="L69" s="311" t="str">
        <f>IFERROR(__xludf.DUMMYFUNCTION("""COMPUTED_VALUE"""),"")</f>
        <v/>
      </c>
      <c r="M69" s="311" t="str">
        <f>IFERROR(__xludf.DUMMYFUNCTION("""COMPUTED_VALUE"""),"")</f>
        <v/>
      </c>
      <c r="N69" s="311">
        <f>IFERROR(__xludf.DUMMYFUNCTION("""COMPUTED_VALUE"""),0.0)</f>
        <v>0</v>
      </c>
      <c r="O69" s="311">
        <f>IFERROR(__xludf.DUMMYFUNCTION("""COMPUTED_VALUE"""),0.0)</f>
        <v>0</v>
      </c>
      <c r="P69" s="311">
        <f>IFERROR(__xludf.DUMMYFUNCTION("""COMPUTED_VALUE"""),0.0)</f>
        <v>0</v>
      </c>
      <c r="Q69" s="311">
        <f>IFERROR(__xludf.DUMMYFUNCTION("""COMPUTED_VALUE"""),0.0)</f>
        <v>0</v>
      </c>
      <c r="R69" s="311">
        <f>IFERROR(__xludf.DUMMYFUNCTION("""COMPUTED_VALUE"""),0.0)</f>
        <v>0</v>
      </c>
      <c r="S69" s="311">
        <f>IFERROR(__xludf.DUMMYFUNCTION("""COMPUTED_VALUE"""),0.0)</f>
        <v>0</v>
      </c>
      <c r="T69" s="311">
        <f>IFERROR(__xludf.DUMMYFUNCTION("""COMPUTED_VALUE"""),100.0)</f>
        <v>100</v>
      </c>
      <c r="U69" s="311">
        <f>IFERROR(__xludf.DUMMYFUNCTION("""COMPUTED_VALUE"""),0.0)</f>
        <v>0</v>
      </c>
      <c r="V69" s="311">
        <f>IFERROR(__xludf.DUMMYFUNCTION("""COMPUTED_VALUE"""),0.0)</f>
        <v>0</v>
      </c>
      <c r="W69" s="311">
        <f>IFERROR(__xludf.DUMMYFUNCTION("""COMPUTED_VALUE"""),0.0)</f>
        <v>0</v>
      </c>
      <c r="X69" s="311">
        <f>IFERROR(__xludf.DUMMYFUNCTION("""COMPUTED_VALUE"""),0.0)</f>
        <v>0</v>
      </c>
      <c r="Y69" s="311">
        <f>IFERROR(__xludf.DUMMYFUNCTION("""COMPUTED_VALUE"""),0.0)</f>
        <v>0</v>
      </c>
      <c r="Z69" s="311">
        <f>IFERROR(__xludf.DUMMYFUNCTION("""COMPUTED_VALUE"""),-100.0)</f>
        <v>-100</v>
      </c>
      <c r="AA69" s="311">
        <f>IFERROR(__xludf.DUMMYFUNCTION("""COMPUTED_VALUE"""),0.0)</f>
        <v>0</v>
      </c>
      <c r="AB69" s="311">
        <f>IFERROR(__xludf.DUMMYFUNCTION("""COMPUTED_VALUE"""),0.0)</f>
        <v>0</v>
      </c>
      <c r="AC69" s="311">
        <f>IFERROR(__xludf.DUMMYFUNCTION("""COMPUTED_VALUE"""),0.0)</f>
        <v>0</v>
      </c>
      <c r="AD69" s="311">
        <f>IFERROR(__xludf.DUMMYFUNCTION("""COMPUTED_VALUE"""),0.0)</f>
        <v>0</v>
      </c>
      <c r="AE69" s="311">
        <f>IFERROR(__xludf.DUMMYFUNCTION("""COMPUTED_VALUE"""),0.0)</f>
        <v>0</v>
      </c>
      <c r="AF69" s="311" t="str">
        <f>IFERROR(__xludf.DUMMYFUNCTION("""COMPUTED_VALUE"""),"-22.9146836,-43.2371026")</f>
        <v>-22.9146836,-43.2371026</v>
      </c>
      <c r="AG69" s="311">
        <f>IFERROR(__xludf.DUMMYFUNCTION("""COMPUTED_VALUE"""),0.0)</f>
        <v>0</v>
      </c>
      <c r="AH69" s="311">
        <f>IFERROR(__xludf.DUMMYFUNCTION("""COMPUTED_VALUE"""),0.0)</f>
        <v>0</v>
      </c>
      <c r="AI69" s="311">
        <f>IFERROR(__xludf.DUMMYFUNCTION("""COMPUTED_VALUE"""),0.0)</f>
        <v>0</v>
      </c>
      <c r="AJ69" s="311">
        <f>IFERROR(__xludf.DUMMYFUNCTION("ROWS(QUERY(Entregas_BD!D:AM,""select D where D ='""&amp;D69&amp;""'"",1))-1"),1.0)</f>
        <v>1</v>
      </c>
    </row>
    <row r="70" ht="22.5" customHeight="1">
      <c r="A70" s="310" t="str">
        <f>IFERROR(__xludf.DUMMYFUNCTION("""COMPUTED_VALUE"""),"")</f>
        <v/>
      </c>
      <c r="B70" s="310" t="str">
        <f>IFERROR(__xludf.DUMMYFUNCTION("""COMPUTED_VALUE"""),"")</f>
        <v/>
      </c>
      <c r="C70" s="310">
        <f>IFERROR(__xludf.DUMMYFUNCTION("""COMPUTED_VALUE"""),136.0)</f>
        <v>136</v>
      </c>
      <c r="D70" s="310" t="str">
        <f>IFERROR(__xludf.DUMMYFUNCTION("""COMPUTED_VALUE"""),"Hospital Universitário Pedro Ernesto")</f>
        <v>Hospital Universitário Pedro Ernesto</v>
      </c>
      <c r="E70" s="310" t="str">
        <f>IFERROR(__xludf.DUMMYFUNCTION("""COMPUTED_VALUE"""),"ZONA NORTE")</f>
        <v>ZONA NORTE</v>
      </c>
      <c r="F70" s="310" t="str">
        <f>IFERROR(__xludf.DUMMYFUNCTION("""COMPUTED_VALUE"""),"Rio de Janeiro")</f>
        <v>Rio de Janeiro</v>
      </c>
      <c r="G70" s="310" t="str">
        <f>IFERROR(__xludf.DUMMYFUNCTION("""COMPUTED_VALUE"""),"Vila Isabel")</f>
        <v>Vila Isabel</v>
      </c>
      <c r="H70" s="310" t="str">
        <f>IFERROR(__xludf.DUMMYFUNCTION("""COMPUTED_VALUE"""),"Referência - ALTA COMPLEXIDADE")</f>
        <v>Referência - ALTA COMPLEXIDADE</v>
      </c>
      <c r="I70" s="310" t="str">
        <f>IFERROR(__xludf.DUMMYFUNCTION("""COMPUTED_VALUE"""),"Público")</f>
        <v>Público</v>
      </c>
      <c r="J70" s="310" t="str">
        <f>IFERROR(__xludf.DUMMYFUNCTION("""COMPUTED_VALUE"""),"")</f>
        <v/>
      </c>
      <c r="K70" s="310" t="str">
        <f>IFERROR(__xludf.DUMMYFUNCTION("""COMPUTED_VALUE"""),"")</f>
        <v/>
      </c>
      <c r="L70" s="310" t="str">
        <f>IFERROR(__xludf.DUMMYFUNCTION("""COMPUTED_VALUE"""),"")</f>
        <v/>
      </c>
      <c r="M70" s="310" t="str">
        <f>IFERROR(__xludf.DUMMYFUNCTION("""COMPUTED_VALUE"""),"")</f>
        <v/>
      </c>
      <c r="N70" s="310">
        <f>IFERROR(__xludf.DUMMYFUNCTION("""COMPUTED_VALUE"""),0.0)</f>
        <v>0</v>
      </c>
      <c r="O70" s="310">
        <f>IFERROR(__xludf.DUMMYFUNCTION("""COMPUTED_VALUE"""),0.0)</f>
        <v>0</v>
      </c>
      <c r="P70" s="310">
        <f>IFERROR(__xludf.DUMMYFUNCTION("""COMPUTED_VALUE"""),0.0)</f>
        <v>0</v>
      </c>
      <c r="Q70" s="310">
        <f>IFERROR(__xludf.DUMMYFUNCTION("""COMPUTED_VALUE"""),0.0)</f>
        <v>0</v>
      </c>
      <c r="R70" s="310">
        <f>IFERROR(__xludf.DUMMYFUNCTION("""COMPUTED_VALUE"""),0.0)</f>
        <v>0</v>
      </c>
      <c r="S70" s="310">
        <f>IFERROR(__xludf.DUMMYFUNCTION("""COMPUTED_VALUE"""),0.0)</f>
        <v>0</v>
      </c>
      <c r="T70" s="310">
        <f>IFERROR(__xludf.DUMMYFUNCTION("""COMPUTED_VALUE"""),100.0)</f>
        <v>100</v>
      </c>
      <c r="U70" s="310">
        <f>IFERROR(__xludf.DUMMYFUNCTION("""COMPUTED_VALUE"""),0.0)</f>
        <v>0</v>
      </c>
      <c r="V70" s="310">
        <f>IFERROR(__xludf.DUMMYFUNCTION("""COMPUTED_VALUE"""),0.0)</f>
        <v>0</v>
      </c>
      <c r="W70" s="310">
        <f>IFERROR(__xludf.DUMMYFUNCTION("""COMPUTED_VALUE"""),0.0)</f>
        <v>0</v>
      </c>
      <c r="X70" s="310">
        <f>IFERROR(__xludf.DUMMYFUNCTION("""COMPUTED_VALUE"""),0.0)</f>
        <v>0</v>
      </c>
      <c r="Y70" s="310">
        <f>IFERROR(__xludf.DUMMYFUNCTION("""COMPUTED_VALUE"""),0.0)</f>
        <v>0</v>
      </c>
      <c r="Z70" s="310">
        <f>IFERROR(__xludf.DUMMYFUNCTION("""COMPUTED_VALUE"""),-100.0)</f>
        <v>-100</v>
      </c>
      <c r="AA70" s="310">
        <f>IFERROR(__xludf.DUMMYFUNCTION("""COMPUTED_VALUE"""),0.0)</f>
        <v>0</v>
      </c>
      <c r="AB70" s="310">
        <f>IFERROR(__xludf.DUMMYFUNCTION("""COMPUTED_VALUE"""),0.0)</f>
        <v>0</v>
      </c>
      <c r="AC70" s="310">
        <f>IFERROR(__xludf.DUMMYFUNCTION("""COMPUTED_VALUE"""),0.0)</f>
        <v>0</v>
      </c>
      <c r="AD70" s="310">
        <f>IFERROR(__xludf.DUMMYFUNCTION("""COMPUTED_VALUE"""),0.0)</f>
        <v>0</v>
      </c>
      <c r="AE70" s="310">
        <f>IFERROR(__xludf.DUMMYFUNCTION("""COMPUTED_VALUE"""),0.0)</f>
        <v>0</v>
      </c>
      <c r="AF70" s="310" t="str">
        <f>IFERROR(__xludf.DUMMYFUNCTION("""COMPUTED_VALUE"""),"-22.9146836,-43.2371026")</f>
        <v>-22.9146836,-43.2371026</v>
      </c>
      <c r="AG70" s="310">
        <f>IFERROR(__xludf.DUMMYFUNCTION("""COMPUTED_VALUE"""),0.0)</f>
        <v>0</v>
      </c>
      <c r="AH70" s="310">
        <f>IFERROR(__xludf.DUMMYFUNCTION("""COMPUTED_VALUE"""),0.0)</f>
        <v>0</v>
      </c>
      <c r="AI70" s="310">
        <f>IFERROR(__xludf.DUMMYFUNCTION("""COMPUTED_VALUE"""),0.0)</f>
        <v>0</v>
      </c>
      <c r="AJ70" s="310">
        <f>IFERROR(__xludf.DUMMYFUNCTION("ROWS(QUERY(Entregas_BD!D:AM,""select D where D ='""&amp;D70&amp;""'"",1))-1"),1.0)</f>
        <v>1</v>
      </c>
    </row>
    <row r="71" ht="22.5" customHeight="1">
      <c r="A71" s="311" t="str">
        <f>IFERROR(__xludf.DUMMYFUNCTION("""COMPUTED_VALUE"""),"")</f>
        <v/>
      </c>
      <c r="B71" s="311" t="str">
        <f>IFERROR(__xludf.DUMMYFUNCTION("""COMPUTED_VALUE"""),"")</f>
        <v/>
      </c>
      <c r="C71" s="311">
        <f>IFERROR(__xludf.DUMMYFUNCTION("""COMPUTED_VALUE"""),144.0)</f>
        <v>144</v>
      </c>
      <c r="D71" s="311" t="str">
        <f>IFERROR(__xludf.DUMMYFUNCTION("""COMPUTED_VALUE"""),"Instituto Estadual de Cardiologia Aloysio de Castro")</f>
        <v>Instituto Estadual de Cardiologia Aloysio de Castro</v>
      </c>
      <c r="E71" s="311" t="str">
        <f>IFERROR(__xludf.DUMMYFUNCTION("""COMPUTED_VALUE"""),"ZONA SUL")</f>
        <v>ZONA SUL</v>
      </c>
      <c r="F71" s="311" t="str">
        <f>IFERROR(__xludf.DUMMYFUNCTION("""COMPUTED_VALUE"""),"Rio de Janeiro")</f>
        <v>Rio de Janeiro</v>
      </c>
      <c r="G71" s="311" t="str">
        <f>IFERROR(__xludf.DUMMYFUNCTION("""COMPUTED_VALUE"""),"Humaita")</f>
        <v>Humaita</v>
      </c>
      <c r="H71" s="311" t="str">
        <f>IFERROR(__xludf.DUMMYFUNCTION("""COMPUTED_VALUE"""),"Unidade básica - BAIXA COMPLEXIDADE")</f>
        <v>Unidade básica - BAIXA COMPLEXIDADE</v>
      </c>
      <c r="I71" s="311" t="str">
        <f>IFERROR(__xludf.DUMMYFUNCTION("""COMPUTED_VALUE"""),"Público")</f>
        <v>Público</v>
      </c>
      <c r="J71" s="311" t="str">
        <f>IFERROR(__xludf.DUMMYFUNCTION("""COMPUTED_VALUE"""),"")</f>
        <v/>
      </c>
      <c r="K71" s="311" t="str">
        <f>IFERROR(__xludf.DUMMYFUNCTION("""COMPUTED_VALUE"""),"")</f>
        <v/>
      </c>
      <c r="L71" s="311" t="str">
        <f>IFERROR(__xludf.DUMMYFUNCTION("""COMPUTED_VALUE"""),"")</f>
        <v/>
      </c>
      <c r="M71" s="311" t="str">
        <f>IFERROR(__xludf.DUMMYFUNCTION("""COMPUTED_VALUE"""),"")</f>
        <v/>
      </c>
      <c r="N71" s="311">
        <f>IFERROR(__xludf.DUMMYFUNCTION("""COMPUTED_VALUE"""),0.0)</f>
        <v>0</v>
      </c>
      <c r="O71" s="311">
        <f>IFERROR(__xludf.DUMMYFUNCTION("""COMPUTED_VALUE"""),0.0)</f>
        <v>0</v>
      </c>
      <c r="P71" s="311">
        <f>IFERROR(__xludf.DUMMYFUNCTION("""COMPUTED_VALUE"""),0.0)</f>
        <v>0</v>
      </c>
      <c r="Q71" s="311">
        <f>IFERROR(__xludf.DUMMYFUNCTION("""COMPUTED_VALUE"""),0.0)</f>
        <v>0</v>
      </c>
      <c r="R71" s="311">
        <f>IFERROR(__xludf.DUMMYFUNCTION("""COMPUTED_VALUE"""),0.0)</f>
        <v>0</v>
      </c>
      <c r="S71" s="311">
        <f>IFERROR(__xludf.DUMMYFUNCTION("""COMPUTED_VALUE"""),0.0)</f>
        <v>0</v>
      </c>
      <c r="T71" s="311">
        <f>IFERROR(__xludf.DUMMYFUNCTION("""COMPUTED_VALUE"""),100.0)</f>
        <v>100</v>
      </c>
      <c r="U71" s="311">
        <f>IFERROR(__xludf.DUMMYFUNCTION("""COMPUTED_VALUE"""),0.0)</f>
        <v>0</v>
      </c>
      <c r="V71" s="311">
        <f>IFERROR(__xludf.DUMMYFUNCTION("""COMPUTED_VALUE"""),0.0)</f>
        <v>0</v>
      </c>
      <c r="W71" s="311">
        <f>IFERROR(__xludf.DUMMYFUNCTION("""COMPUTED_VALUE"""),0.0)</f>
        <v>0</v>
      </c>
      <c r="X71" s="311">
        <f>IFERROR(__xludf.DUMMYFUNCTION("""COMPUTED_VALUE"""),0.0)</f>
        <v>0</v>
      </c>
      <c r="Y71" s="311">
        <f>IFERROR(__xludf.DUMMYFUNCTION("""COMPUTED_VALUE"""),0.0)</f>
        <v>0</v>
      </c>
      <c r="Z71" s="311">
        <f>IFERROR(__xludf.DUMMYFUNCTION("""COMPUTED_VALUE"""),-100.0)</f>
        <v>-100</v>
      </c>
      <c r="AA71" s="311">
        <f>IFERROR(__xludf.DUMMYFUNCTION("""COMPUTED_VALUE"""),0.0)</f>
        <v>0</v>
      </c>
      <c r="AB71" s="311">
        <f>IFERROR(__xludf.DUMMYFUNCTION("""COMPUTED_VALUE"""),0.0)</f>
        <v>0</v>
      </c>
      <c r="AC71" s="311">
        <f>IFERROR(__xludf.DUMMYFUNCTION("""COMPUTED_VALUE"""),0.0)</f>
        <v>0</v>
      </c>
      <c r="AD71" s="311">
        <f>IFERROR(__xludf.DUMMYFUNCTION("""COMPUTED_VALUE"""),0.0)</f>
        <v>0</v>
      </c>
      <c r="AE71" s="311">
        <f>IFERROR(__xludf.DUMMYFUNCTION("""COMPUTED_VALUE"""),0.0)</f>
        <v>0</v>
      </c>
      <c r="AF71" s="311" t="str">
        <f>IFERROR(__xludf.DUMMYFUNCTION("""COMPUTED_VALUE"""),"-22.9543288,-43.1982065")</f>
        <v>-22.9543288,-43.1982065</v>
      </c>
      <c r="AG71" s="311">
        <f>IFERROR(__xludf.DUMMYFUNCTION("""COMPUTED_VALUE"""),0.0)</f>
        <v>0</v>
      </c>
      <c r="AH71" s="311">
        <f>IFERROR(__xludf.DUMMYFUNCTION("""COMPUTED_VALUE"""),0.0)</f>
        <v>0</v>
      </c>
      <c r="AI71" s="311">
        <f>IFERROR(__xludf.DUMMYFUNCTION("""COMPUTED_VALUE"""),0.0)</f>
        <v>0</v>
      </c>
      <c r="AJ71" s="311">
        <f>IFERROR(__xludf.DUMMYFUNCTION("ROWS(QUERY(Entregas_BD!D:AM,""select D where D ='""&amp;D71&amp;""'"",1))-1"),1.0)</f>
        <v>1</v>
      </c>
    </row>
    <row r="72" ht="22.5" customHeight="1">
      <c r="A72" s="310" t="str">
        <f>IFERROR(__xludf.DUMMYFUNCTION("""COMPUTED_VALUE"""),"")</f>
        <v/>
      </c>
      <c r="B72" s="310" t="str">
        <f>IFERROR(__xludf.DUMMYFUNCTION("""COMPUTED_VALUE"""),"")</f>
        <v/>
      </c>
      <c r="C72" s="310">
        <f>IFERROR(__xludf.DUMMYFUNCTION("""COMPUTED_VALUE"""),145.0)</f>
        <v>145</v>
      </c>
      <c r="D72" s="310" t="str">
        <f>IFERROR(__xludf.DUMMYFUNCTION("""COMPUTED_VALUE"""),"INSTITUTO ESTADUAL DE DERMATOLOGIA SANITÁRIA")</f>
        <v>INSTITUTO ESTADUAL DE DERMATOLOGIA SANITÁRIA</v>
      </c>
      <c r="E72" s="310" t="str">
        <f>IFERROR(__xludf.DUMMYFUNCTION("""COMPUTED_VALUE"""),"ZONA OESTE")</f>
        <v>ZONA OESTE</v>
      </c>
      <c r="F72" s="310" t="str">
        <f>IFERROR(__xludf.DUMMYFUNCTION("""COMPUTED_VALUE"""),"Rio de Janeiro")</f>
        <v>Rio de Janeiro</v>
      </c>
      <c r="G72" s="310" t="str">
        <f>IFERROR(__xludf.DUMMYFUNCTION("""COMPUTED_VALUE"""),"TANQUE")</f>
        <v>TANQUE</v>
      </c>
      <c r="H72" s="310" t="str">
        <f>IFERROR(__xludf.DUMMYFUNCTION("""COMPUTED_VALUE"""),"Unidade básica - BAIXA COMPLEXIDADE")</f>
        <v>Unidade básica - BAIXA COMPLEXIDADE</v>
      </c>
      <c r="I72" s="310" t="str">
        <f>IFERROR(__xludf.DUMMYFUNCTION("""COMPUTED_VALUE"""),"Público")</f>
        <v>Público</v>
      </c>
      <c r="J72" s="310" t="str">
        <f>IFERROR(__xludf.DUMMYFUNCTION("""COMPUTED_VALUE"""),"")</f>
        <v/>
      </c>
      <c r="K72" s="310" t="str">
        <f>IFERROR(__xludf.DUMMYFUNCTION("""COMPUTED_VALUE"""),"")</f>
        <v/>
      </c>
      <c r="L72" s="310" t="str">
        <f>IFERROR(__xludf.DUMMYFUNCTION("""COMPUTED_VALUE"""),"")</f>
        <v/>
      </c>
      <c r="M72" s="310" t="str">
        <f>IFERROR(__xludf.DUMMYFUNCTION("""COMPUTED_VALUE"""),"")</f>
        <v/>
      </c>
      <c r="N72" s="310">
        <f>IFERROR(__xludf.DUMMYFUNCTION("""COMPUTED_VALUE"""),0.0)</f>
        <v>0</v>
      </c>
      <c r="O72" s="310">
        <f>IFERROR(__xludf.DUMMYFUNCTION("""COMPUTED_VALUE"""),0.0)</f>
        <v>0</v>
      </c>
      <c r="P72" s="310">
        <f>IFERROR(__xludf.DUMMYFUNCTION("""COMPUTED_VALUE"""),0.0)</f>
        <v>0</v>
      </c>
      <c r="Q72" s="310">
        <f>IFERROR(__xludf.DUMMYFUNCTION("""COMPUTED_VALUE"""),0.0)</f>
        <v>0</v>
      </c>
      <c r="R72" s="310">
        <f>IFERROR(__xludf.DUMMYFUNCTION("""COMPUTED_VALUE"""),0.0)</f>
        <v>0</v>
      </c>
      <c r="S72" s="310">
        <f>IFERROR(__xludf.DUMMYFUNCTION("""COMPUTED_VALUE"""),0.0)</f>
        <v>0</v>
      </c>
      <c r="T72" s="310">
        <f>IFERROR(__xludf.DUMMYFUNCTION("""COMPUTED_VALUE"""),50.0)</f>
        <v>50</v>
      </c>
      <c r="U72" s="310">
        <f>IFERROR(__xludf.DUMMYFUNCTION("""COMPUTED_VALUE"""),0.0)</f>
        <v>0</v>
      </c>
      <c r="V72" s="310">
        <f>IFERROR(__xludf.DUMMYFUNCTION("""COMPUTED_VALUE"""),0.0)</f>
        <v>0</v>
      </c>
      <c r="W72" s="310">
        <f>IFERROR(__xludf.DUMMYFUNCTION("""COMPUTED_VALUE"""),0.0)</f>
        <v>0</v>
      </c>
      <c r="X72" s="310">
        <f>IFERROR(__xludf.DUMMYFUNCTION("""COMPUTED_VALUE"""),0.0)</f>
        <v>0</v>
      </c>
      <c r="Y72" s="310">
        <f>IFERROR(__xludf.DUMMYFUNCTION("""COMPUTED_VALUE"""),0.0)</f>
        <v>0</v>
      </c>
      <c r="Z72" s="310">
        <f>IFERROR(__xludf.DUMMYFUNCTION("""COMPUTED_VALUE"""),-50.0)</f>
        <v>-50</v>
      </c>
      <c r="AA72" s="310">
        <f>IFERROR(__xludf.DUMMYFUNCTION("""COMPUTED_VALUE"""),0.0)</f>
        <v>0</v>
      </c>
      <c r="AB72" s="310">
        <f>IFERROR(__xludf.DUMMYFUNCTION("""COMPUTED_VALUE"""),0.0)</f>
        <v>0</v>
      </c>
      <c r="AC72" s="310">
        <f>IFERROR(__xludf.DUMMYFUNCTION("""COMPUTED_VALUE"""),0.0)</f>
        <v>0</v>
      </c>
      <c r="AD72" s="310">
        <f>IFERROR(__xludf.DUMMYFUNCTION("""COMPUTED_VALUE"""),0.0)</f>
        <v>0</v>
      </c>
      <c r="AE72" s="310">
        <f>IFERROR(__xludf.DUMMYFUNCTION("""COMPUTED_VALUE"""),0.0)</f>
        <v>0</v>
      </c>
      <c r="AF72" s="310" t="str">
        <f>IFERROR(__xludf.DUMMYFUNCTION("""COMPUTED_VALUE"""),"-22.9138466,-43.3643215")</f>
        <v>-22.9138466,-43.3643215</v>
      </c>
      <c r="AG72" s="310">
        <f>IFERROR(__xludf.DUMMYFUNCTION("""COMPUTED_VALUE"""),0.0)</f>
        <v>0</v>
      </c>
      <c r="AH72" s="310">
        <f>IFERROR(__xludf.DUMMYFUNCTION("""COMPUTED_VALUE"""),0.0)</f>
        <v>0</v>
      </c>
      <c r="AI72" s="310">
        <f>IFERROR(__xludf.DUMMYFUNCTION("""COMPUTED_VALUE"""),0.0)</f>
        <v>0</v>
      </c>
      <c r="AJ72" s="310">
        <f>IFERROR(__xludf.DUMMYFUNCTION("ROWS(QUERY(Entregas_BD!D:AM,""select D where D ='""&amp;D72&amp;""'"",1))-1"),1.0)</f>
        <v>1</v>
      </c>
    </row>
    <row r="73" ht="22.5" customHeight="1">
      <c r="A73" s="311" t="str">
        <f>IFERROR(__xludf.DUMMYFUNCTION("""COMPUTED_VALUE"""),"")</f>
        <v/>
      </c>
      <c r="B73" s="311" t="str">
        <f>IFERROR(__xludf.DUMMYFUNCTION("""COMPUTED_VALUE"""),"")</f>
        <v/>
      </c>
      <c r="C73" s="311">
        <f>IFERROR(__xludf.DUMMYFUNCTION("""COMPUTED_VALUE"""),146.0)</f>
        <v>146</v>
      </c>
      <c r="D73" s="311" t="str">
        <f>IFERROR(__xludf.DUMMYFUNCTION("""COMPUTED_VALUE"""),"Instituto Estadual de Diabetes e Endocrinologia Luiz Capriglione")</f>
        <v>Instituto Estadual de Diabetes e Endocrinologia Luiz Capriglione</v>
      </c>
      <c r="E73" s="311" t="str">
        <f>IFERROR(__xludf.DUMMYFUNCTION("""COMPUTED_VALUE"""),"CENTRO")</f>
        <v>CENTRO</v>
      </c>
      <c r="F73" s="311" t="str">
        <f>IFERROR(__xludf.DUMMYFUNCTION("""COMPUTED_VALUE"""),"Rio de Janeiro")</f>
        <v>Rio de Janeiro</v>
      </c>
      <c r="G73" s="311" t="str">
        <f>IFERROR(__xludf.DUMMYFUNCTION("""COMPUTED_VALUE"""),"Central do Brasil")</f>
        <v>Central do Brasil</v>
      </c>
      <c r="H73" s="311" t="str">
        <f>IFERROR(__xludf.DUMMYFUNCTION("""COMPUTED_VALUE"""),"Unidade básica - BAIXA COMPLEXIDADE")</f>
        <v>Unidade básica - BAIXA COMPLEXIDADE</v>
      </c>
      <c r="I73" s="311" t="str">
        <f>IFERROR(__xludf.DUMMYFUNCTION("""COMPUTED_VALUE"""),"Público")</f>
        <v>Público</v>
      </c>
      <c r="J73" s="311" t="str">
        <f>IFERROR(__xludf.DUMMYFUNCTION("""COMPUTED_VALUE"""),"")</f>
        <v/>
      </c>
      <c r="K73" s="311" t="str">
        <f>IFERROR(__xludf.DUMMYFUNCTION("""COMPUTED_VALUE"""),"")</f>
        <v/>
      </c>
      <c r="L73" s="311" t="str">
        <f>IFERROR(__xludf.DUMMYFUNCTION("""COMPUTED_VALUE"""),"")</f>
        <v/>
      </c>
      <c r="M73" s="311" t="str">
        <f>IFERROR(__xludf.DUMMYFUNCTION("""COMPUTED_VALUE"""),"")</f>
        <v/>
      </c>
      <c r="N73" s="311">
        <f>IFERROR(__xludf.DUMMYFUNCTION("""COMPUTED_VALUE"""),0.0)</f>
        <v>0</v>
      </c>
      <c r="O73" s="311">
        <f>IFERROR(__xludf.DUMMYFUNCTION("""COMPUTED_VALUE"""),0.0)</f>
        <v>0</v>
      </c>
      <c r="P73" s="311">
        <f>IFERROR(__xludf.DUMMYFUNCTION("""COMPUTED_VALUE"""),0.0)</f>
        <v>0</v>
      </c>
      <c r="Q73" s="311">
        <f>IFERROR(__xludf.DUMMYFUNCTION("""COMPUTED_VALUE"""),0.0)</f>
        <v>0</v>
      </c>
      <c r="R73" s="311">
        <f>IFERROR(__xludf.DUMMYFUNCTION("""COMPUTED_VALUE"""),0.0)</f>
        <v>0</v>
      </c>
      <c r="S73" s="311">
        <f>IFERROR(__xludf.DUMMYFUNCTION("""COMPUTED_VALUE"""),0.0)</f>
        <v>0</v>
      </c>
      <c r="T73" s="311">
        <f>IFERROR(__xludf.DUMMYFUNCTION("""COMPUTED_VALUE"""),50.0)</f>
        <v>50</v>
      </c>
      <c r="U73" s="311">
        <f>IFERROR(__xludf.DUMMYFUNCTION("""COMPUTED_VALUE"""),0.0)</f>
        <v>0</v>
      </c>
      <c r="V73" s="311">
        <f>IFERROR(__xludf.DUMMYFUNCTION("""COMPUTED_VALUE"""),0.0)</f>
        <v>0</v>
      </c>
      <c r="W73" s="311">
        <f>IFERROR(__xludf.DUMMYFUNCTION("""COMPUTED_VALUE"""),0.0)</f>
        <v>0</v>
      </c>
      <c r="X73" s="311">
        <f>IFERROR(__xludf.DUMMYFUNCTION("""COMPUTED_VALUE"""),0.0)</f>
        <v>0</v>
      </c>
      <c r="Y73" s="311">
        <f>IFERROR(__xludf.DUMMYFUNCTION("""COMPUTED_VALUE"""),0.0)</f>
        <v>0</v>
      </c>
      <c r="Z73" s="311">
        <f>IFERROR(__xludf.DUMMYFUNCTION("""COMPUTED_VALUE"""),-50.0)</f>
        <v>-50</v>
      </c>
      <c r="AA73" s="311">
        <f>IFERROR(__xludf.DUMMYFUNCTION("""COMPUTED_VALUE"""),0.0)</f>
        <v>0</v>
      </c>
      <c r="AB73" s="311">
        <f>IFERROR(__xludf.DUMMYFUNCTION("""COMPUTED_VALUE"""),0.0)</f>
        <v>0</v>
      </c>
      <c r="AC73" s="311">
        <f>IFERROR(__xludf.DUMMYFUNCTION("""COMPUTED_VALUE"""),0.0)</f>
        <v>0</v>
      </c>
      <c r="AD73" s="311">
        <f>IFERROR(__xludf.DUMMYFUNCTION("""COMPUTED_VALUE"""),0.0)</f>
        <v>0</v>
      </c>
      <c r="AE73" s="311">
        <f>IFERROR(__xludf.DUMMYFUNCTION("""COMPUTED_VALUE"""),0.0)</f>
        <v>0</v>
      </c>
      <c r="AF73" s="311" t="str">
        <f>IFERROR(__xludf.DUMMYFUNCTION("""COMPUTED_VALUE"""),"-22.9092569,-43.1924888")</f>
        <v>-22.9092569,-43.1924888</v>
      </c>
      <c r="AG73" s="311">
        <f>IFERROR(__xludf.DUMMYFUNCTION("""COMPUTED_VALUE"""),0.0)</f>
        <v>0</v>
      </c>
      <c r="AH73" s="311">
        <f>IFERROR(__xludf.DUMMYFUNCTION("""COMPUTED_VALUE"""),0.0)</f>
        <v>0</v>
      </c>
      <c r="AI73" s="311">
        <f>IFERROR(__xludf.DUMMYFUNCTION("""COMPUTED_VALUE"""),0.0)</f>
        <v>0</v>
      </c>
      <c r="AJ73" s="311">
        <f>IFERROR(__xludf.DUMMYFUNCTION("ROWS(QUERY(Entregas_BD!D:AM,""select D where D ='""&amp;D73&amp;""'"",1))-1"),3.0)</f>
        <v>3</v>
      </c>
    </row>
    <row r="74" ht="22.5" customHeight="1">
      <c r="A74" s="310" t="str">
        <f>IFERROR(__xludf.DUMMYFUNCTION("""COMPUTED_VALUE"""),"")</f>
        <v/>
      </c>
      <c r="B74" s="310" t="str">
        <f>IFERROR(__xludf.DUMMYFUNCTION("""COMPUTED_VALUE"""),"")</f>
        <v/>
      </c>
      <c r="C74" s="310">
        <f>IFERROR(__xludf.DUMMYFUNCTION("""COMPUTED_VALUE"""),147.0)</f>
        <v>147</v>
      </c>
      <c r="D74" s="310" t="str">
        <f>IFERROR(__xludf.DUMMYFUNCTION("""COMPUTED_VALUE"""),"Instituto Estadual de Doenças do Tórax Ary Parreiras")</f>
        <v>Instituto Estadual de Doenças do Tórax Ary Parreiras</v>
      </c>
      <c r="E74" s="310" t="str">
        <f>IFERROR(__xludf.DUMMYFUNCTION("""COMPUTED_VALUE"""),"REGIAO METROPOLITANA")</f>
        <v>REGIAO METROPOLITANA</v>
      </c>
      <c r="F74" s="310" t="str">
        <f>IFERROR(__xludf.DUMMYFUNCTION("""COMPUTED_VALUE"""),"Niteroi")</f>
        <v>Niteroi</v>
      </c>
      <c r="G74" s="310" t="str">
        <f>IFERROR(__xludf.DUMMYFUNCTION("""COMPUTED_VALUE"""),"Barreto")</f>
        <v>Barreto</v>
      </c>
      <c r="H74" s="310" t="str">
        <f>IFERROR(__xludf.DUMMYFUNCTION("""COMPUTED_VALUE"""),"Referência - ALTA COMPLEXIDADE")</f>
        <v>Referência - ALTA COMPLEXIDADE</v>
      </c>
      <c r="I74" s="310" t="str">
        <f>IFERROR(__xludf.DUMMYFUNCTION("""COMPUTED_VALUE"""),"Público")</f>
        <v>Público</v>
      </c>
      <c r="J74" s="310" t="str">
        <f>IFERROR(__xludf.DUMMYFUNCTION("""COMPUTED_VALUE"""),"")</f>
        <v/>
      </c>
      <c r="K74" s="310" t="str">
        <f>IFERROR(__xludf.DUMMYFUNCTION("""COMPUTED_VALUE"""),"")</f>
        <v/>
      </c>
      <c r="L74" s="310" t="str">
        <f>IFERROR(__xludf.DUMMYFUNCTION("""COMPUTED_VALUE"""),"")</f>
        <v/>
      </c>
      <c r="M74" s="310" t="str">
        <f>IFERROR(__xludf.DUMMYFUNCTION("""COMPUTED_VALUE"""),"")</f>
        <v/>
      </c>
      <c r="N74" s="310">
        <f>IFERROR(__xludf.DUMMYFUNCTION("""COMPUTED_VALUE"""),0.0)</f>
        <v>0</v>
      </c>
      <c r="O74" s="310">
        <f>IFERROR(__xludf.DUMMYFUNCTION("""COMPUTED_VALUE"""),0.0)</f>
        <v>0</v>
      </c>
      <c r="P74" s="310">
        <f>IFERROR(__xludf.DUMMYFUNCTION("""COMPUTED_VALUE"""),0.0)</f>
        <v>0</v>
      </c>
      <c r="Q74" s="310">
        <f>IFERROR(__xludf.DUMMYFUNCTION("""COMPUTED_VALUE"""),0.0)</f>
        <v>0</v>
      </c>
      <c r="R74" s="310">
        <f>IFERROR(__xludf.DUMMYFUNCTION("""COMPUTED_VALUE"""),0.0)</f>
        <v>0</v>
      </c>
      <c r="S74" s="310">
        <f>IFERROR(__xludf.DUMMYFUNCTION("""COMPUTED_VALUE"""),0.0)</f>
        <v>0</v>
      </c>
      <c r="T74" s="310">
        <f>IFERROR(__xludf.DUMMYFUNCTION("""COMPUTED_VALUE"""),150.0)</f>
        <v>150</v>
      </c>
      <c r="U74" s="310">
        <f>IFERROR(__xludf.DUMMYFUNCTION("""COMPUTED_VALUE"""),0.0)</f>
        <v>0</v>
      </c>
      <c r="V74" s="310">
        <f>IFERROR(__xludf.DUMMYFUNCTION("""COMPUTED_VALUE"""),0.0)</f>
        <v>0</v>
      </c>
      <c r="W74" s="310">
        <f>IFERROR(__xludf.DUMMYFUNCTION("""COMPUTED_VALUE"""),0.0)</f>
        <v>0</v>
      </c>
      <c r="X74" s="310">
        <f>IFERROR(__xludf.DUMMYFUNCTION("""COMPUTED_VALUE"""),0.0)</f>
        <v>0</v>
      </c>
      <c r="Y74" s="310">
        <f>IFERROR(__xludf.DUMMYFUNCTION("""COMPUTED_VALUE"""),0.0)</f>
        <v>0</v>
      </c>
      <c r="Z74" s="310">
        <f>IFERROR(__xludf.DUMMYFUNCTION("""COMPUTED_VALUE"""),-150.0)</f>
        <v>-150</v>
      </c>
      <c r="AA74" s="310">
        <f>IFERROR(__xludf.DUMMYFUNCTION("""COMPUTED_VALUE"""),0.0)</f>
        <v>0</v>
      </c>
      <c r="AB74" s="310">
        <f>IFERROR(__xludf.DUMMYFUNCTION("""COMPUTED_VALUE"""),0.0)</f>
        <v>0</v>
      </c>
      <c r="AC74" s="310">
        <f>IFERROR(__xludf.DUMMYFUNCTION("""COMPUTED_VALUE"""),0.0)</f>
        <v>0</v>
      </c>
      <c r="AD74" s="310">
        <f>IFERROR(__xludf.DUMMYFUNCTION("""COMPUTED_VALUE"""),0.0)</f>
        <v>0</v>
      </c>
      <c r="AE74" s="310">
        <f>IFERROR(__xludf.DUMMYFUNCTION("""COMPUTED_VALUE"""),0.0)</f>
        <v>0</v>
      </c>
      <c r="AF74" s="310" t="str">
        <f>IFERROR(__xludf.DUMMYFUNCTION("""COMPUTED_VALUE"""),"-22.8648411,-43.0993415")</f>
        <v>-22.8648411,-43.0993415</v>
      </c>
      <c r="AG74" s="310">
        <f>IFERROR(__xludf.DUMMYFUNCTION("""COMPUTED_VALUE"""),0.0)</f>
        <v>0</v>
      </c>
      <c r="AH74" s="310">
        <f>IFERROR(__xludf.DUMMYFUNCTION("""COMPUTED_VALUE"""),0.0)</f>
        <v>0</v>
      </c>
      <c r="AI74" s="310">
        <f>IFERROR(__xludf.DUMMYFUNCTION("""COMPUTED_VALUE"""),0.0)</f>
        <v>0</v>
      </c>
      <c r="AJ74" s="310">
        <f>IFERROR(__xludf.DUMMYFUNCTION("ROWS(QUERY(Entregas_BD!D:AM,""select D where D ='""&amp;D74&amp;""'"",1))-1"),1.0)</f>
        <v>1</v>
      </c>
    </row>
    <row r="75" ht="22.5" customHeight="1">
      <c r="A75" s="311" t="str">
        <f>IFERROR(__xludf.DUMMYFUNCTION("""COMPUTED_VALUE"""),"")</f>
        <v/>
      </c>
      <c r="B75" s="311" t="str">
        <f>IFERROR(__xludf.DUMMYFUNCTION("""COMPUTED_VALUE"""),"")</f>
        <v/>
      </c>
      <c r="C75" s="311">
        <f>IFERROR(__xludf.DUMMYFUNCTION("""COMPUTED_VALUE"""),148.0)</f>
        <v>148</v>
      </c>
      <c r="D75" s="311" t="str">
        <f>IFERROR(__xludf.DUMMYFUNCTION("""COMPUTED_VALUE"""),"Instituto Estadual do Cérebro Paulo Niemeyer")</f>
        <v>Instituto Estadual do Cérebro Paulo Niemeyer</v>
      </c>
      <c r="E75" s="311" t="str">
        <f>IFERROR(__xludf.DUMMYFUNCTION("""COMPUTED_VALUE"""),"CENTRO")</f>
        <v>CENTRO</v>
      </c>
      <c r="F75" s="311" t="str">
        <f>IFERROR(__xludf.DUMMYFUNCTION("""COMPUTED_VALUE"""),"Rio de Janeiro")</f>
        <v>Rio de Janeiro</v>
      </c>
      <c r="G75" s="311" t="str">
        <f>IFERROR(__xludf.DUMMYFUNCTION("""COMPUTED_VALUE"""),"Lapa")</f>
        <v>Lapa</v>
      </c>
      <c r="H75" s="311" t="str">
        <f>IFERROR(__xludf.DUMMYFUNCTION("""COMPUTED_VALUE"""),"Referência - ALTA COMPLEXIDADE")</f>
        <v>Referência - ALTA COMPLEXIDADE</v>
      </c>
      <c r="I75" s="311" t="str">
        <f>IFERROR(__xludf.DUMMYFUNCTION("""COMPUTED_VALUE"""),"Público")</f>
        <v>Público</v>
      </c>
      <c r="J75" s="311" t="str">
        <f>IFERROR(__xludf.DUMMYFUNCTION("""COMPUTED_VALUE"""),"")</f>
        <v/>
      </c>
      <c r="K75" s="311" t="str">
        <f>IFERROR(__xludf.DUMMYFUNCTION("""COMPUTED_VALUE"""),"")</f>
        <v/>
      </c>
      <c r="L75" s="311" t="str">
        <f>IFERROR(__xludf.DUMMYFUNCTION("""COMPUTED_VALUE"""),"")</f>
        <v/>
      </c>
      <c r="M75" s="311" t="str">
        <f>IFERROR(__xludf.DUMMYFUNCTION("""COMPUTED_VALUE"""),"")</f>
        <v/>
      </c>
      <c r="N75" s="311">
        <f>IFERROR(__xludf.DUMMYFUNCTION("""COMPUTED_VALUE"""),0.0)</f>
        <v>0</v>
      </c>
      <c r="O75" s="311">
        <f>IFERROR(__xludf.DUMMYFUNCTION("""COMPUTED_VALUE"""),0.0)</f>
        <v>0</v>
      </c>
      <c r="P75" s="311">
        <f>IFERROR(__xludf.DUMMYFUNCTION("""COMPUTED_VALUE"""),0.0)</f>
        <v>0</v>
      </c>
      <c r="Q75" s="311">
        <f>IFERROR(__xludf.DUMMYFUNCTION("""COMPUTED_VALUE"""),0.0)</f>
        <v>0</v>
      </c>
      <c r="R75" s="311">
        <f>IFERROR(__xludf.DUMMYFUNCTION("""COMPUTED_VALUE"""),0.0)</f>
        <v>0</v>
      </c>
      <c r="S75" s="311">
        <f>IFERROR(__xludf.DUMMYFUNCTION("""COMPUTED_VALUE"""),0.0)</f>
        <v>0</v>
      </c>
      <c r="T75" s="311">
        <f>IFERROR(__xludf.DUMMYFUNCTION("""COMPUTED_VALUE"""),50.0)</f>
        <v>50</v>
      </c>
      <c r="U75" s="311">
        <f>IFERROR(__xludf.DUMMYFUNCTION("""COMPUTED_VALUE"""),0.0)</f>
        <v>0</v>
      </c>
      <c r="V75" s="311">
        <f>IFERROR(__xludf.DUMMYFUNCTION("""COMPUTED_VALUE"""),0.0)</f>
        <v>0</v>
      </c>
      <c r="W75" s="311">
        <f>IFERROR(__xludf.DUMMYFUNCTION("""COMPUTED_VALUE"""),0.0)</f>
        <v>0</v>
      </c>
      <c r="X75" s="311">
        <f>IFERROR(__xludf.DUMMYFUNCTION("""COMPUTED_VALUE"""),0.0)</f>
        <v>0</v>
      </c>
      <c r="Y75" s="311">
        <f>IFERROR(__xludf.DUMMYFUNCTION("""COMPUTED_VALUE"""),0.0)</f>
        <v>0</v>
      </c>
      <c r="Z75" s="311">
        <f>IFERROR(__xludf.DUMMYFUNCTION("""COMPUTED_VALUE"""),-50.0)</f>
        <v>-50</v>
      </c>
      <c r="AA75" s="311">
        <f>IFERROR(__xludf.DUMMYFUNCTION("""COMPUTED_VALUE"""),0.0)</f>
        <v>0</v>
      </c>
      <c r="AB75" s="311">
        <f>IFERROR(__xludf.DUMMYFUNCTION("""COMPUTED_VALUE"""),0.0)</f>
        <v>0</v>
      </c>
      <c r="AC75" s="311">
        <f>IFERROR(__xludf.DUMMYFUNCTION("""COMPUTED_VALUE"""),0.0)</f>
        <v>0</v>
      </c>
      <c r="AD75" s="311">
        <f>IFERROR(__xludf.DUMMYFUNCTION("""COMPUTED_VALUE"""),0.0)</f>
        <v>0</v>
      </c>
      <c r="AE75" s="311">
        <f>IFERROR(__xludf.DUMMYFUNCTION("""COMPUTED_VALUE"""),0.0)</f>
        <v>0</v>
      </c>
      <c r="AF75" s="311" t="str">
        <f>IFERROR(__xludf.DUMMYFUNCTION("""COMPUTED_VALUE"""),"-22.913457,-43.1876578")</f>
        <v>-22.913457,-43.1876578</v>
      </c>
      <c r="AG75" s="311">
        <f>IFERROR(__xludf.DUMMYFUNCTION("""COMPUTED_VALUE"""),0.0)</f>
        <v>0</v>
      </c>
      <c r="AH75" s="311">
        <f>IFERROR(__xludf.DUMMYFUNCTION("""COMPUTED_VALUE"""),0.0)</f>
        <v>0</v>
      </c>
      <c r="AI75" s="311">
        <f>IFERROR(__xludf.DUMMYFUNCTION("""COMPUTED_VALUE"""),0.0)</f>
        <v>0</v>
      </c>
      <c r="AJ75" s="311">
        <f>IFERROR(__xludf.DUMMYFUNCTION("ROWS(QUERY(Entregas_BD!D:AM,""select D where D ='""&amp;D75&amp;""'"",1))-1"),1.0)</f>
        <v>1</v>
      </c>
    </row>
    <row r="76" ht="22.5" customHeight="1">
      <c r="A76" s="310" t="str">
        <f>IFERROR(__xludf.DUMMYFUNCTION("""COMPUTED_VALUE"""),"")</f>
        <v/>
      </c>
      <c r="B76" s="310" t="str">
        <f>IFERROR(__xludf.DUMMYFUNCTION("""COMPUTED_VALUE"""),"")</f>
        <v/>
      </c>
      <c r="C76" s="310">
        <f>IFERROR(__xludf.DUMMYFUNCTION("""COMPUTED_VALUE"""),151.0)</f>
        <v>151</v>
      </c>
      <c r="D76" s="310" t="str">
        <f>IFERROR(__xludf.DUMMYFUNCTION("""COMPUTED_VALUE"""),"Instituto Fernandes Figueira")</f>
        <v>Instituto Fernandes Figueira</v>
      </c>
      <c r="E76" s="310" t="str">
        <f>IFERROR(__xludf.DUMMYFUNCTION("""COMPUTED_VALUE"""),"ZONA SUL")</f>
        <v>ZONA SUL</v>
      </c>
      <c r="F76" s="310" t="str">
        <f>IFERROR(__xludf.DUMMYFUNCTION("""COMPUTED_VALUE"""),"Rio de Janeiro")</f>
        <v>Rio de Janeiro</v>
      </c>
      <c r="G76" s="310" t="str">
        <f>IFERROR(__xludf.DUMMYFUNCTION("""COMPUTED_VALUE"""),"Flamengo")</f>
        <v>Flamengo</v>
      </c>
      <c r="H76" s="310" t="str">
        <f>IFERROR(__xludf.DUMMYFUNCTION("""COMPUTED_VALUE"""),"Referência - ALTA COMPLEXIDADE")</f>
        <v>Referência - ALTA COMPLEXIDADE</v>
      </c>
      <c r="I76" s="310" t="str">
        <f>IFERROR(__xludf.DUMMYFUNCTION("""COMPUTED_VALUE"""),"Público")</f>
        <v>Público</v>
      </c>
      <c r="J76" s="310" t="str">
        <f>IFERROR(__xludf.DUMMYFUNCTION("""COMPUTED_VALUE"""),"")</f>
        <v/>
      </c>
      <c r="K76" s="310" t="str">
        <f>IFERROR(__xludf.DUMMYFUNCTION("""COMPUTED_VALUE"""),"")</f>
        <v/>
      </c>
      <c r="L76" s="310" t="str">
        <f>IFERROR(__xludf.DUMMYFUNCTION("""COMPUTED_VALUE"""),"")</f>
        <v/>
      </c>
      <c r="M76" s="310" t="str">
        <f>IFERROR(__xludf.DUMMYFUNCTION("""COMPUTED_VALUE"""),"")</f>
        <v/>
      </c>
      <c r="N76" s="310">
        <f>IFERROR(__xludf.DUMMYFUNCTION("""COMPUTED_VALUE"""),0.0)</f>
        <v>0</v>
      </c>
      <c r="O76" s="310">
        <f>IFERROR(__xludf.DUMMYFUNCTION("""COMPUTED_VALUE"""),0.0)</f>
        <v>0</v>
      </c>
      <c r="P76" s="310">
        <f>IFERROR(__xludf.DUMMYFUNCTION("""COMPUTED_VALUE"""),0.0)</f>
        <v>0</v>
      </c>
      <c r="Q76" s="310">
        <f>IFERROR(__xludf.DUMMYFUNCTION("""COMPUTED_VALUE"""),0.0)</f>
        <v>0</v>
      </c>
      <c r="R76" s="310">
        <f>IFERROR(__xludf.DUMMYFUNCTION("""COMPUTED_VALUE"""),0.0)</f>
        <v>0</v>
      </c>
      <c r="S76" s="310">
        <f>IFERROR(__xludf.DUMMYFUNCTION("""COMPUTED_VALUE"""),0.0)</f>
        <v>0</v>
      </c>
      <c r="T76" s="310">
        <f>IFERROR(__xludf.DUMMYFUNCTION("""COMPUTED_VALUE"""),200.0)</f>
        <v>200</v>
      </c>
      <c r="U76" s="310">
        <f>IFERROR(__xludf.DUMMYFUNCTION("""COMPUTED_VALUE"""),0.0)</f>
        <v>0</v>
      </c>
      <c r="V76" s="310">
        <f>IFERROR(__xludf.DUMMYFUNCTION("""COMPUTED_VALUE"""),0.0)</f>
        <v>0</v>
      </c>
      <c r="W76" s="310">
        <f>IFERROR(__xludf.DUMMYFUNCTION("""COMPUTED_VALUE"""),0.0)</f>
        <v>0</v>
      </c>
      <c r="X76" s="310">
        <f>IFERROR(__xludf.DUMMYFUNCTION("""COMPUTED_VALUE"""),0.0)</f>
        <v>0</v>
      </c>
      <c r="Y76" s="310">
        <f>IFERROR(__xludf.DUMMYFUNCTION("""COMPUTED_VALUE"""),0.0)</f>
        <v>0</v>
      </c>
      <c r="Z76" s="310">
        <f>IFERROR(__xludf.DUMMYFUNCTION("""COMPUTED_VALUE"""),-200.0)</f>
        <v>-200</v>
      </c>
      <c r="AA76" s="310">
        <f>IFERROR(__xludf.DUMMYFUNCTION("""COMPUTED_VALUE"""),0.0)</f>
        <v>0</v>
      </c>
      <c r="AB76" s="310">
        <f>IFERROR(__xludf.DUMMYFUNCTION("""COMPUTED_VALUE"""),0.0)</f>
        <v>0</v>
      </c>
      <c r="AC76" s="310">
        <f>IFERROR(__xludf.DUMMYFUNCTION("""COMPUTED_VALUE"""),0.0)</f>
        <v>0</v>
      </c>
      <c r="AD76" s="310">
        <f>IFERROR(__xludf.DUMMYFUNCTION("""COMPUTED_VALUE"""),0.0)</f>
        <v>0</v>
      </c>
      <c r="AE76" s="310">
        <f>IFERROR(__xludf.DUMMYFUNCTION("""COMPUTED_VALUE"""),0.0)</f>
        <v>0</v>
      </c>
      <c r="AF76" s="310" t="str">
        <f>IFERROR(__xludf.DUMMYFUNCTION("""COMPUTED_VALUE"""),"-22.9422869,-43.1742243")</f>
        <v>-22.9422869,-43.1742243</v>
      </c>
      <c r="AG76" s="310">
        <f>IFERROR(__xludf.DUMMYFUNCTION("""COMPUTED_VALUE"""),0.0)</f>
        <v>0</v>
      </c>
      <c r="AH76" s="310">
        <f>IFERROR(__xludf.DUMMYFUNCTION("""COMPUTED_VALUE"""),0.0)</f>
        <v>0</v>
      </c>
      <c r="AI76" s="310">
        <f>IFERROR(__xludf.DUMMYFUNCTION("""COMPUTED_VALUE"""),0.0)</f>
        <v>0</v>
      </c>
      <c r="AJ76" s="310">
        <f>IFERROR(__xludf.DUMMYFUNCTION("ROWS(QUERY(Entregas_BD!D:AM,""select D where D ='""&amp;D76&amp;""'"",1))-1"),2.0)</f>
        <v>2</v>
      </c>
    </row>
    <row r="77" ht="22.5" customHeight="1">
      <c r="A77" s="311" t="str">
        <f>IFERROR(__xludf.DUMMYFUNCTION("""COMPUTED_VALUE"""),"")</f>
        <v/>
      </c>
      <c r="B77" s="311" t="str">
        <f>IFERROR(__xludf.DUMMYFUNCTION("""COMPUTED_VALUE"""),"")</f>
        <v/>
      </c>
      <c r="C77" s="311">
        <f>IFERROR(__xludf.DUMMYFUNCTION("""COMPUTED_VALUE"""),169.0)</f>
        <v>169</v>
      </c>
      <c r="D77" s="311" t="str">
        <f>IFERROR(__xludf.DUMMYFUNCTION("""COMPUTED_VALUE"""),"POLICLÍNICA NEWTON ALVES CARDOSO")</f>
        <v>POLICLÍNICA NEWTON ALVES CARDOSO</v>
      </c>
      <c r="E77" s="311" t="str">
        <f>IFERROR(__xludf.DUMMYFUNCTION("""COMPUTED_VALUE"""),"ZONA NORTE")</f>
        <v>ZONA NORTE</v>
      </c>
      <c r="F77" s="311" t="str">
        <f>IFERROR(__xludf.DUMMYFUNCTION("""COMPUTED_VALUE"""),"Rio de Janeiro")</f>
        <v>Rio de Janeiro</v>
      </c>
      <c r="G77" s="311" t="str">
        <f>IFERROR(__xludf.DUMMYFUNCTION("""COMPUTED_VALUE"""),"Cocotá")</f>
        <v>Cocotá</v>
      </c>
      <c r="H77" s="311" t="str">
        <f>IFERROR(__xludf.DUMMYFUNCTION("""COMPUTED_VALUE"""),"Unidade básica - BAIXA COMPLEXIDADE")</f>
        <v>Unidade básica - BAIXA COMPLEXIDADE</v>
      </c>
      <c r="I77" s="311" t="str">
        <f>IFERROR(__xludf.DUMMYFUNCTION("""COMPUTED_VALUE"""),"Público")</f>
        <v>Público</v>
      </c>
      <c r="J77" s="311" t="str">
        <f>IFERROR(__xludf.DUMMYFUNCTION("""COMPUTED_VALUE"""),"")</f>
        <v/>
      </c>
      <c r="K77" s="311" t="str">
        <f>IFERROR(__xludf.DUMMYFUNCTION("""COMPUTED_VALUE"""),"")</f>
        <v/>
      </c>
      <c r="L77" s="311" t="str">
        <f>IFERROR(__xludf.DUMMYFUNCTION("""COMPUTED_VALUE"""),"")</f>
        <v/>
      </c>
      <c r="M77" s="311" t="str">
        <f>IFERROR(__xludf.DUMMYFUNCTION("""COMPUTED_VALUE"""),"")</f>
        <v/>
      </c>
      <c r="N77" s="311">
        <f>IFERROR(__xludf.DUMMYFUNCTION("""COMPUTED_VALUE"""),0.0)</f>
        <v>0</v>
      </c>
      <c r="O77" s="311">
        <f>IFERROR(__xludf.DUMMYFUNCTION("""COMPUTED_VALUE"""),0.0)</f>
        <v>0</v>
      </c>
      <c r="P77" s="311">
        <f>IFERROR(__xludf.DUMMYFUNCTION("""COMPUTED_VALUE"""),0.0)</f>
        <v>0</v>
      </c>
      <c r="Q77" s="311">
        <f>IFERROR(__xludf.DUMMYFUNCTION("""COMPUTED_VALUE"""),0.0)</f>
        <v>0</v>
      </c>
      <c r="R77" s="311">
        <f>IFERROR(__xludf.DUMMYFUNCTION("""COMPUTED_VALUE"""),0.0)</f>
        <v>0</v>
      </c>
      <c r="S77" s="311">
        <f>IFERROR(__xludf.DUMMYFUNCTION("""COMPUTED_VALUE"""),0.0)</f>
        <v>0</v>
      </c>
      <c r="T77" s="311">
        <f>IFERROR(__xludf.DUMMYFUNCTION("""COMPUTED_VALUE"""),6.0)</f>
        <v>6</v>
      </c>
      <c r="U77" s="311">
        <f>IFERROR(__xludf.DUMMYFUNCTION("""COMPUTED_VALUE"""),0.0)</f>
        <v>0</v>
      </c>
      <c r="V77" s="311">
        <f>IFERROR(__xludf.DUMMYFUNCTION("""COMPUTED_VALUE"""),0.0)</f>
        <v>0</v>
      </c>
      <c r="W77" s="311">
        <f>IFERROR(__xludf.DUMMYFUNCTION("""COMPUTED_VALUE"""),0.0)</f>
        <v>0</v>
      </c>
      <c r="X77" s="311">
        <f>IFERROR(__xludf.DUMMYFUNCTION("""COMPUTED_VALUE"""),0.0)</f>
        <v>0</v>
      </c>
      <c r="Y77" s="311">
        <f>IFERROR(__xludf.DUMMYFUNCTION("""COMPUTED_VALUE"""),0.0)</f>
        <v>0</v>
      </c>
      <c r="Z77" s="311">
        <f>IFERROR(__xludf.DUMMYFUNCTION("""COMPUTED_VALUE"""),-6.0)</f>
        <v>-6</v>
      </c>
      <c r="AA77" s="311">
        <f>IFERROR(__xludf.DUMMYFUNCTION("""COMPUTED_VALUE"""),0.0)</f>
        <v>0</v>
      </c>
      <c r="AB77" s="311">
        <f>IFERROR(__xludf.DUMMYFUNCTION("""COMPUTED_VALUE"""),0.0)</f>
        <v>0</v>
      </c>
      <c r="AC77" s="311">
        <f>IFERROR(__xludf.DUMMYFUNCTION("""COMPUTED_VALUE"""),0.0)</f>
        <v>0</v>
      </c>
      <c r="AD77" s="311">
        <f>IFERROR(__xludf.DUMMYFUNCTION("""COMPUTED_VALUE"""),0.0)</f>
        <v>0</v>
      </c>
      <c r="AE77" s="311">
        <f>IFERROR(__xludf.DUMMYFUNCTION("""COMPUTED_VALUE"""),0.0)</f>
        <v>0</v>
      </c>
      <c r="AF77" s="311" t="str">
        <f>IFERROR(__xludf.DUMMYFUNCTION("""COMPUTED_VALUE"""),"")</f>
        <v/>
      </c>
      <c r="AG77" s="311">
        <f>IFERROR(__xludf.DUMMYFUNCTION("""COMPUTED_VALUE"""),0.0)</f>
        <v>0</v>
      </c>
      <c r="AH77" s="311">
        <f>IFERROR(__xludf.DUMMYFUNCTION("""COMPUTED_VALUE"""),0.0)</f>
        <v>0</v>
      </c>
      <c r="AI77" s="311">
        <f>IFERROR(__xludf.DUMMYFUNCTION("""COMPUTED_VALUE"""),0.0)</f>
        <v>0</v>
      </c>
      <c r="AJ77" s="311">
        <f>IFERROR(__xludf.DUMMYFUNCTION("ROWS(QUERY(Entregas_BD!D:AM,""select D where D ='""&amp;D77&amp;""'"",1))-1"),1.0)</f>
        <v>1</v>
      </c>
    </row>
    <row r="78" ht="22.5" customHeight="1">
      <c r="A78" s="310" t="str">
        <f>IFERROR(__xludf.DUMMYFUNCTION("""COMPUTED_VALUE"""),"")</f>
        <v/>
      </c>
      <c r="B78" s="310" t="str">
        <f>IFERROR(__xludf.DUMMYFUNCTION("""COMPUTED_VALUE"""),"")</f>
        <v/>
      </c>
      <c r="C78" s="310">
        <f>IFERROR(__xludf.DUMMYFUNCTION("""COMPUTED_VALUE"""),171.0)</f>
        <v>171</v>
      </c>
      <c r="D78" s="310" t="str">
        <f>IFERROR(__xludf.DUMMYFUNCTION("""COMPUTED_VALUE"""),"Posto Regional de Policia Técnico Científica de São Gonçalo")</f>
        <v>Posto Regional de Policia Técnico Científica de São Gonçalo</v>
      </c>
      <c r="E78" s="310" t="str">
        <f>IFERROR(__xludf.DUMMYFUNCTION("""COMPUTED_VALUE"""),"REGIAO METROPOLITANA")</f>
        <v>REGIAO METROPOLITANA</v>
      </c>
      <c r="F78" s="310" t="str">
        <f>IFERROR(__xludf.DUMMYFUNCTION("""COMPUTED_VALUE"""),"São Gonçalo")</f>
        <v>São Gonçalo</v>
      </c>
      <c r="G78" s="310" t="str">
        <f>IFERROR(__xludf.DUMMYFUNCTION("""COMPUTED_VALUE"""),"Tribobó")</f>
        <v>Tribobó</v>
      </c>
      <c r="H78" s="310" t="str">
        <f>IFERROR(__xludf.DUMMYFUNCTION("""COMPUTED_VALUE"""),"Unidade básica - BAIXA COMPLEXIDADE")</f>
        <v>Unidade básica - BAIXA COMPLEXIDADE</v>
      </c>
      <c r="I78" s="310" t="str">
        <f>IFERROR(__xludf.DUMMYFUNCTION("""COMPUTED_VALUE"""),"Público")</f>
        <v>Público</v>
      </c>
      <c r="J78" s="310" t="str">
        <f>IFERROR(__xludf.DUMMYFUNCTION("""COMPUTED_VALUE"""),"")</f>
        <v/>
      </c>
      <c r="K78" s="310" t="str">
        <f>IFERROR(__xludf.DUMMYFUNCTION("""COMPUTED_VALUE"""),"")</f>
        <v/>
      </c>
      <c r="L78" s="310" t="str">
        <f>IFERROR(__xludf.DUMMYFUNCTION("""COMPUTED_VALUE"""),"")</f>
        <v/>
      </c>
      <c r="M78" s="310" t="str">
        <f>IFERROR(__xludf.DUMMYFUNCTION("""COMPUTED_VALUE"""),"")</f>
        <v/>
      </c>
      <c r="N78" s="310">
        <f>IFERROR(__xludf.DUMMYFUNCTION("""COMPUTED_VALUE"""),0.0)</f>
        <v>0</v>
      </c>
      <c r="O78" s="310">
        <f>IFERROR(__xludf.DUMMYFUNCTION("""COMPUTED_VALUE"""),0.0)</f>
        <v>0</v>
      </c>
      <c r="P78" s="310">
        <f>IFERROR(__xludf.DUMMYFUNCTION("""COMPUTED_VALUE"""),0.0)</f>
        <v>0</v>
      </c>
      <c r="Q78" s="310">
        <f>IFERROR(__xludf.DUMMYFUNCTION("""COMPUTED_VALUE"""),0.0)</f>
        <v>0</v>
      </c>
      <c r="R78" s="310">
        <f>IFERROR(__xludf.DUMMYFUNCTION("""COMPUTED_VALUE"""),0.0)</f>
        <v>0</v>
      </c>
      <c r="S78" s="310">
        <f>IFERROR(__xludf.DUMMYFUNCTION("""COMPUTED_VALUE"""),0.0)</f>
        <v>0</v>
      </c>
      <c r="T78" s="310">
        <f>IFERROR(__xludf.DUMMYFUNCTION("""COMPUTED_VALUE"""),100.0)</f>
        <v>100</v>
      </c>
      <c r="U78" s="310">
        <f>IFERROR(__xludf.DUMMYFUNCTION("""COMPUTED_VALUE"""),0.0)</f>
        <v>0</v>
      </c>
      <c r="V78" s="310">
        <f>IFERROR(__xludf.DUMMYFUNCTION("""COMPUTED_VALUE"""),0.0)</f>
        <v>0</v>
      </c>
      <c r="W78" s="310">
        <f>IFERROR(__xludf.DUMMYFUNCTION("""COMPUTED_VALUE"""),50.0)</f>
        <v>50</v>
      </c>
      <c r="X78" s="310">
        <f>IFERROR(__xludf.DUMMYFUNCTION("""COMPUTED_VALUE"""),0.0)</f>
        <v>0</v>
      </c>
      <c r="Y78" s="310">
        <f>IFERROR(__xludf.DUMMYFUNCTION("""COMPUTED_VALUE"""),0.0)</f>
        <v>0</v>
      </c>
      <c r="Z78" s="310">
        <f>IFERROR(__xludf.DUMMYFUNCTION("""COMPUTED_VALUE"""),-100.0)</f>
        <v>-100</v>
      </c>
      <c r="AA78" s="310">
        <f>IFERROR(__xludf.DUMMYFUNCTION("""COMPUTED_VALUE"""),0.0)</f>
        <v>0</v>
      </c>
      <c r="AB78" s="310">
        <f>IFERROR(__xludf.DUMMYFUNCTION("""COMPUTED_VALUE"""),0.0)</f>
        <v>0</v>
      </c>
      <c r="AC78" s="310">
        <f>IFERROR(__xludf.DUMMYFUNCTION("""COMPUTED_VALUE"""),-50.0)</f>
        <v>-50</v>
      </c>
      <c r="AD78" s="310">
        <f>IFERROR(__xludf.DUMMYFUNCTION("""COMPUTED_VALUE"""),0.0)</f>
        <v>0</v>
      </c>
      <c r="AE78" s="310">
        <f>IFERROR(__xludf.DUMMYFUNCTION("""COMPUTED_VALUE"""),0.0)</f>
        <v>0</v>
      </c>
      <c r="AF78" s="310" t="str">
        <f>IFERROR(__xludf.DUMMYFUNCTION("""COMPUTED_VALUE"""),"")</f>
        <v/>
      </c>
      <c r="AG78" s="310">
        <f>IFERROR(__xludf.DUMMYFUNCTION("""COMPUTED_VALUE"""),0.0)</f>
        <v>0</v>
      </c>
      <c r="AH78" s="310">
        <f>IFERROR(__xludf.DUMMYFUNCTION("""COMPUTED_VALUE"""),0.0)</f>
        <v>0</v>
      </c>
      <c r="AI78" s="310">
        <f>IFERROR(__xludf.DUMMYFUNCTION("""COMPUTED_VALUE"""),0.0)</f>
        <v>0</v>
      </c>
      <c r="AJ78" s="310">
        <f>IFERROR(__xludf.DUMMYFUNCTION("ROWS(QUERY(Entregas_BD!D:AM,""select D where D ='""&amp;D78&amp;""'"",1))-1"),1.0)</f>
        <v>1</v>
      </c>
    </row>
    <row r="79" ht="22.5" customHeight="1">
      <c r="A79" s="311" t="str">
        <f>IFERROR(__xludf.DUMMYFUNCTION("""COMPUTED_VALUE"""),"")</f>
        <v/>
      </c>
      <c r="B79" s="311" t="str">
        <f>IFERROR(__xludf.DUMMYFUNCTION("""COMPUTED_VALUE"""),"")</f>
        <v/>
      </c>
      <c r="C79" s="311">
        <f>IFERROR(__xludf.DUMMYFUNCTION("""COMPUTED_VALUE"""),177.0)</f>
        <v>177</v>
      </c>
      <c r="D79" s="311" t="str">
        <f>IFERROR(__xludf.DUMMYFUNCTION("""COMPUTED_VALUE"""),"SAMU de Duque de Caxias")</f>
        <v>SAMU de Duque de Caxias</v>
      </c>
      <c r="E79" s="311" t="str">
        <f>IFERROR(__xludf.DUMMYFUNCTION("""COMPUTED_VALUE"""),"BAIXADA FLUMINENSE")</f>
        <v>BAIXADA FLUMINENSE</v>
      </c>
      <c r="F79" s="311" t="str">
        <f>IFERROR(__xludf.DUMMYFUNCTION("""COMPUTED_VALUE"""),"Duque de Caxias")</f>
        <v>Duque de Caxias</v>
      </c>
      <c r="G79" s="311" t="str">
        <f>IFERROR(__xludf.DUMMYFUNCTION("""COMPUTED_VALUE"""),"Parque Beira Mar")</f>
        <v>Parque Beira Mar</v>
      </c>
      <c r="H79" s="311" t="str">
        <f>IFERROR(__xludf.DUMMYFUNCTION("""COMPUTED_VALUE"""),"Unidade básica - BAIXA COMPLEXIDADE")</f>
        <v>Unidade básica - BAIXA COMPLEXIDADE</v>
      </c>
      <c r="I79" s="311" t="str">
        <f>IFERROR(__xludf.DUMMYFUNCTION("""COMPUTED_VALUE"""),"Público")</f>
        <v>Público</v>
      </c>
      <c r="J79" s="311" t="str">
        <f>IFERROR(__xludf.DUMMYFUNCTION("""COMPUTED_VALUE"""),"")</f>
        <v/>
      </c>
      <c r="K79" s="311" t="str">
        <f>IFERROR(__xludf.DUMMYFUNCTION("""COMPUTED_VALUE"""),"")</f>
        <v/>
      </c>
      <c r="L79" s="311" t="str">
        <f>IFERROR(__xludf.DUMMYFUNCTION("""COMPUTED_VALUE"""),"")</f>
        <v/>
      </c>
      <c r="M79" s="311" t="str">
        <f>IFERROR(__xludf.DUMMYFUNCTION("""COMPUTED_VALUE"""),"")</f>
        <v/>
      </c>
      <c r="N79" s="311">
        <f>IFERROR(__xludf.DUMMYFUNCTION("""COMPUTED_VALUE"""),0.0)</f>
        <v>0</v>
      </c>
      <c r="O79" s="311">
        <f>IFERROR(__xludf.DUMMYFUNCTION("""COMPUTED_VALUE"""),0.0)</f>
        <v>0</v>
      </c>
      <c r="P79" s="311">
        <f>IFERROR(__xludf.DUMMYFUNCTION("""COMPUTED_VALUE"""),0.0)</f>
        <v>0</v>
      </c>
      <c r="Q79" s="311">
        <f>IFERROR(__xludf.DUMMYFUNCTION("""COMPUTED_VALUE"""),0.0)</f>
        <v>0</v>
      </c>
      <c r="R79" s="311">
        <f>IFERROR(__xludf.DUMMYFUNCTION("""COMPUTED_VALUE"""),0.0)</f>
        <v>0</v>
      </c>
      <c r="S79" s="311">
        <f>IFERROR(__xludf.DUMMYFUNCTION("""COMPUTED_VALUE"""),0.0)</f>
        <v>0</v>
      </c>
      <c r="T79" s="311">
        <f>IFERROR(__xludf.DUMMYFUNCTION("""COMPUTED_VALUE"""),120.0)</f>
        <v>120</v>
      </c>
      <c r="U79" s="311">
        <f>IFERROR(__xludf.DUMMYFUNCTION("""COMPUTED_VALUE"""),0.0)</f>
        <v>0</v>
      </c>
      <c r="V79" s="311">
        <f>IFERROR(__xludf.DUMMYFUNCTION("""COMPUTED_VALUE"""),0.0)</f>
        <v>0</v>
      </c>
      <c r="W79" s="311">
        <f>IFERROR(__xludf.DUMMYFUNCTION("""COMPUTED_VALUE"""),0.0)</f>
        <v>0</v>
      </c>
      <c r="X79" s="311">
        <f>IFERROR(__xludf.DUMMYFUNCTION("""COMPUTED_VALUE"""),0.0)</f>
        <v>0</v>
      </c>
      <c r="Y79" s="311">
        <f>IFERROR(__xludf.DUMMYFUNCTION("""COMPUTED_VALUE"""),0.0)</f>
        <v>0</v>
      </c>
      <c r="Z79" s="311">
        <f>IFERROR(__xludf.DUMMYFUNCTION("""COMPUTED_VALUE"""),-120.0)</f>
        <v>-120</v>
      </c>
      <c r="AA79" s="311">
        <f>IFERROR(__xludf.DUMMYFUNCTION("""COMPUTED_VALUE"""),0.0)</f>
        <v>0</v>
      </c>
      <c r="AB79" s="311">
        <f>IFERROR(__xludf.DUMMYFUNCTION("""COMPUTED_VALUE"""),0.0)</f>
        <v>0</v>
      </c>
      <c r="AC79" s="311">
        <f>IFERROR(__xludf.DUMMYFUNCTION("""COMPUTED_VALUE"""),0.0)</f>
        <v>0</v>
      </c>
      <c r="AD79" s="311">
        <f>IFERROR(__xludf.DUMMYFUNCTION("""COMPUTED_VALUE"""),0.0)</f>
        <v>0</v>
      </c>
      <c r="AE79" s="311">
        <f>IFERROR(__xludf.DUMMYFUNCTION("""COMPUTED_VALUE"""),0.0)</f>
        <v>0</v>
      </c>
      <c r="AF79" s="311" t="str">
        <f>IFERROR(__xludf.DUMMYFUNCTION("""COMPUTED_VALUE"""),"")</f>
        <v/>
      </c>
      <c r="AG79" s="311">
        <f>IFERROR(__xludf.DUMMYFUNCTION("""COMPUTED_VALUE"""),0.0)</f>
        <v>0</v>
      </c>
      <c r="AH79" s="311">
        <f>IFERROR(__xludf.DUMMYFUNCTION("""COMPUTED_VALUE"""),0.0)</f>
        <v>0</v>
      </c>
      <c r="AI79" s="311">
        <f>IFERROR(__xludf.DUMMYFUNCTION("""COMPUTED_VALUE"""),0.0)</f>
        <v>0</v>
      </c>
      <c r="AJ79" s="311">
        <f>IFERROR(__xludf.DUMMYFUNCTION("ROWS(QUERY(Entregas_BD!D:AM,""select D where D ='""&amp;D79&amp;""'"",1))-1"),1.0)</f>
        <v>1</v>
      </c>
    </row>
    <row r="80" ht="22.5" customHeight="1">
      <c r="A80" s="310" t="str">
        <f>IFERROR(__xludf.DUMMYFUNCTION("""COMPUTED_VALUE"""),"")</f>
        <v/>
      </c>
      <c r="B80" s="310" t="str">
        <f>IFERROR(__xludf.DUMMYFUNCTION("""COMPUTED_VALUE"""),"")</f>
        <v/>
      </c>
      <c r="C80" s="310">
        <f>IFERROR(__xludf.DUMMYFUNCTION("""COMPUTED_VALUE"""),178.0)</f>
        <v>178</v>
      </c>
      <c r="D80" s="310" t="str">
        <f>IFERROR(__xludf.DUMMYFUNCTION("""COMPUTED_VALUE"""),"SAMU do Município de São João de Meriti")</f>
        <v>SAMU do Município de São João de Meriti</v>
      </c>
      <c r="E80" s="310" t="str">
        <f>IFERROR(__xludf.DUMMYFUNCTION("""COMPUTED_VALUE"""),"BAIXADA FLUMINENSE")</f>
        <v>BAIXADA FLUMINENSE</v>
      </c>
      <c r="F80" s="310" t="str">
        <f>IFERROR(__xludf.DUMMYFUNCTION("""COMPUTED_VALUE"""),"Sao Joao de Meriti")</f>
        <v>Sao Joao de Meriti</v>
      </c>
      <c r="G80" s="310" t="str">
        <f>IFERROR(__xludf.DUMMYFUNCTION("""COMPUTED_VALUE"""),"Jardim Meriti")</f>
        <v>Jardim Meriti</v>
      </c>
      <c r="H80" s="310" t="str">
        <f>IFERROR(__xludf.DUMMYFUNCTION("""COMPUTED_VALUE"""),"Unidade básica - BAIXA COMPLEXIDADE")</f>
        <v>Unidade básica - BAIXA COMPLEXIDADE</v>
      </c>
      <c r="I80" s="310" t="str">
        <f>IFERROR(__xludf.DUMMYFUNCTION("""COMPUTED_VALUE"""),"Público")</f>
        <v>Público</v>
      </c>
      <c r="J80" s="310" t="str">
        <f>IFERROR(__xludf.DUMMYFUNCTION("""COMPUTED_VALUE"""),"")</f>
        <v/>
      </c>
      <c r="K80" s="310" t="str">
        <f>IFERROR(__xludf.DUMMYFUNCTION("""COMPUTED_VALUE"""),"")</f>
        <v/>
      </c>
      <c r="L80" s="310" t="str">
        <f>IFERROR(__xludf.DUMMYFUNCTION("""COMPUTED_VALUE"""),"")</f>
        <v/>
      </c>
      <c r="M80" s="310" t="str">
        <f>IFERROR(__xludf.DUMMYFUNCTION("""COMPUTED_VALUE"""),"")</f>
        <v/>
      </c>
      <c r="N80" s="310">
        <f>IFERROR(__xludf.DUMMYFUNCTION("""COMPUTED_VALUE"""),0.0)</f>
        <v>0</v>
      </c>
      <c r="O80" s="310">
        <f>IFERROR(__xludf.DUMMYFUNCTION("""COMPUTED_VALUE"""),0.0)</f>
        <v>0</v>
      </c>
      <c r="P80" s="310">
        <f>IFERROR(__xludf.DUMMYFUNCTION("""COMPUTED_VALUE"""),0.0)</f>
        <v>0</v>
      </c>
      <c r="Q80" s="310">
        <f>IFERROR(__xludf.DUMMYFUNCTION("""COMPUTED_VALUE"""),0.0)</f>
        <v>0</v>
      </c>
      <c r="R80" s="310">
        <f>IFERROR(__xludf.DUMMYFUNCTION("""COMPUTED_VALUE"""),0.0)</f>
        <v>0</v>
      </c>
      <c r="S80" s="310">
        <f>IFERROR(__xludf.DUMMYFUNCTION("""COMPUTED_VALUE"""),0.0)</f>
        <v>0</v>
      </c>
      <c r="T80" s="310">
        <f>IFERROR(__xludf.DUMMYFUNCTION("""COMPUTED_VALUE"""),120.0)</f>
        <v>120</v>
      </c>
      <c r="U80" s="310">
        <f>IFERROR(__xludf.DUMMYFUNCTION("""COMPUTED_VALUE"""),0.0)</f>
        <v>0</v>
      </c>
      <c r="V80" s="310">
        <f>IFERROR(__xludf.DUMMYFUNCTION("""COMPUTED_VALUE"""),0.0)</f>
        <v>0</v>
      </c>
      <c r="W80" s="310">
        <f>IFERROR(__xludf.DUMMYFUNCTION("""COMPUTED_VALUE"""),0.0)</f>
        <v>0</v>
      </c>
      <c r="X80" s="310">
        <f>IFERROR(__xludf.DUMMYFUNCTION("""COMPUTED_VALUE"""),0.0)</f>
        <v>0</v>
      </c>
      <c r="Y80" s="310">
        <f>IFERROR(__xludf.DUMMYFUNCTION("""COMPUTED_VALUE"""),0.0)</f>
        <v>0</v>
      </c>
      <c r="Z80" s="310">
        <f>IFERROR(__xludf.DUMMYFUNCTION("""COMPUTED_VALUE"""),-120.0)</f>
        <v>-120</v>
      </c>
      <c r="AA80" s="310">
        <f>IFERROR(__xludf.DUMMYFUNCTION("""COMPUTED_VALUE"""),0.0)</f>
        <v>0</v>
      </c>
      <c r="AB80" s="310">
        <f>IFERROR(__xludf.DUMMYFUNCTION("""COMPUTED_VALUE"""),0.0)</f>
        <v>0</v>
      </c>
      <c r="AC80" s="310">
        <f>IFERROR(__xludf.DUMMYFUNCTION("""COMPUTED_VALUE"""),0.0)</f>
        <v>0</v>
      </c>
      <c r="AD80" s="310">
        <f>IFERROR(__xludf.DUMMYFUNCTION("""COMPUTED_VALUE"""),0.0)</f>
        <v>0</v>
      </c>
      <c r="AE80" s="310">
        <f>IFERROR(__xludf.DUMMYFUNCTION("""COMPUTED_VALUE"""),0.0)</f>
        <v>0</v>
      </c>
      <c r="AF80" s="310" t="str">
        <f>IFERROR(__xludf.DUMMYFUNCTION("""COMPUTED_VALUE"""),"")</f>
        <v/>
      </c>
      <c r="AG80" s="310">
        <f>IFERROR(__xludf.DUMMYFUNCTION("""COMPUTED_VALUE"""),0.0)</f>
        <v>0</v>
      </c>
      <c r="AH80" s="310">
        <f>IFERROR(__xludf.DUMMYFUNCTION("""COMPUTED_VALUE"""),0.0)</f>
        <v>0</v>
      </c>
      <c r="AI80" s="310">
        <f>IFERROR(__xludf.DUMMYFUNCTION("""COMPUTED_VALUE"""),0.0)</f>
        <v>0</v>
      </c>
      <c r="AJ80" s="310">
        <f>IFERROR(__xludf.DUMMYFUNCTION("ROWS(QUERY(Entregas_BD!D:AM,""select D where D ='""&amp;D80&amp;""'"",1))-1"),1.0)</f>
        <v>1</v>
      </c>
    </row>
    <row r="81" ht="22.5" customHeight="1">
      <c r="A81" s="311" t="str">
        <f>IFERROR(__xludf.DUMMYFUNCTION("""COMPUTED_VALUE"""),"")</f>
        <v/>
      </c>
      <c r="B81" s="311" t="str">
        <f>IFERROR(__xludf.DUMMYFUNCTION("""COMPUTED_VALUE"""),"")</f>
        <v/>
      </c>
      <c r="C81" s="311">
        <f>IFERROR(__xludf.DUMMYFUNCTION("""COMPUTED_VALUE"""),186.0)</f>
        <v>186</v>
      </c>
      <c r="D81" s="311" t="str">
        <f>IFERROR(__xludf.DUMMYFUNCTION("""COMPUTED_VALUE"""),"UBS Otacilio da Silva")</f>
        <v>UBS Otacilio da Silva</v>
      </c>
      <c r="E81" s="311" t="str">
        <f>IFERROR(__xludf.DUMMYFUNCTION("""COMPUTED_VALUE"""),"BAIXADA FLUMINENSE")</f>
        <v>BAIXADA FLUMINENSE</v>
      </c>
      <c r="F81" s="311" t="str">
        <f>IFERROR(__xludf.DUMMYFUNCTION("""COMPUTED_VALUE"""),"Duque de Caxias")</f>
        <v>Duque de Caxias</v>
      </c>
      <c r="G81" s="311" t="str">
        <f>IFERROR(__xludf.DUMMYFUNCTION("""COMPUTED_VALUE"""),"Olavo Bilac")</f>
        <v>Olavo Bilac</v>
      </c>
      <c r="H81" s="311" t="str">
        <f>IFERROR(__xludf.DUMMYFUNCTION("""COMPUTED_VALUE"""),"Unidade básica - BAIXA COMPLEXIDADE")</f>
        <v>Unidade básica - BAIXA COMPLEXIDADE</v>
      </c>
      <c r="I81" s="311" t="str">
        <f>IFERROR(__xludf.DUMMYFUNCTION("""COMPUTED_VALUE"""),"Público")</f>
        <v>Público</v>
      </c>
      <c r="J81" s="311" t="str">
        <f>IFERROR(__xludf.DUMMYFUNCTION("""COMPUTED_VALUE"""),"")</f>
        <v/>
      </c>
      <c r="K81" s="311" t="str">
        <f>IFERROR(__xludf.DUMMYFUNCTION("""COMPUTED_VALUE"""),"")</f>
        <v/>
      </c>
      <c r="L81" s="311" t="str">
        <f>IFERROR(__xludf.DUMMYFUNCTION("""COMPUTED_VALUE"""),"")</f>
        <v/>
      </c>
      <c r="M81" s="311" t="str">
        <f>IFERROR(__xludf.DUMMYFUNCTION("""COMPUTED_VALUE"""),"")</f>
        <v/>
      </c>
      <c r="N81" s="311">
        <f>IFERROR(__xludf.DUMMYFUNCTION("""COMPUTED_VALUE"""),0.0)</f>
        <v>0</v>
      </c>
      <c r="O81" s="311">
        <f>IFERROR(__xludf.DUMMYFUNCTION("""COMPUTED_VALUE"""),0.0)</f>
        <v>0</v>
      </c>
      <c r="P81" s="311">
        <f>IFERROR(__xludf.DUMMYFUNCTION("""COMPUTED_VALUE"""),0.0)</f>
        <v>0</v>
      </c>
      <c r="Q81" s="311">
        <f>IFERROR(__xludf.DUMMYFUNCTION("""COMPUTED_VALUE"""),0.0)</f>
        <v>0</v>
      </c>
      <c r="R81" s="311">
        <f>IFERROR(__xludf.DUMMYFUNCTION("""COMPUTED_VALUE"""),0.0)</f>
        <v>0</v>
      </c>
      <c r="S81" s="311">
        <f>IFERROR(__xludf.DUMMYFUNCTION("""COMPUTED_VALUE"""),0.0)</f>
        <v>0</v>
      </c>
      <c r="T81" s="311">
        <f>IFERROR(__xludf.DUMMYFUNCTION("""COMPUTED_VALUE"""),25.0)</f>
        <v>25</v>
      </c>
      <c r="U81" s="311">
        <f>IFERROR(__xludf.DUMMYFUNCTION("""COMPUTED_VALUE"""),0.0)</f>
        <v>0</v>
      </c>
      <c r="V81" s="311">
        <f>IFERROR(__xludf.DUMMYFUNCTION("""COMPUTED_VALUE"""),0.0)</f>
        <v>0</v>
      </c>
      <c r="W81" s="311">
        <f>IFERROR(__xludf.DUMMYFUNCTION("""COMPUTED_VALUE"""),0.0)</f>
        <v>0</v>
      </c>
      <c r="X81" s="311">
        <f>IFERROR(__xludf.DUMMYFUNCTION("""COMPUTED_VALUE"""),0.0)</f>
        <v>0</v>
      </c>
      <c r="Y81" s="311">
        <f>IFERROR(__xludf.DUMMYFUNCTION("""COMPUTED_VALUE"""),0.0)</f>
        <v>0</v>
      </c>
      <c r="Z81" s="311">
        <f>IFERROR(__xludf.DUMMYFUNCTION("""COMPUTED_VALUE"""),-25.0)</f>
        <v>-25</v>
      </c>
      <c r="AA81" s="311">
        <f>IFERROR(__xludf.DUMMYFUNCTION("""COMPUTED_VALUE"""),0.0)</f>
        <v>0</v>
      </c>
      <c r="AB81" s="311">
        <f>IFERROR(__xludf.DUMMYFUNCTION("""COMPUTED_VALUE"""),0.0)</f>
        <v>0</v>
      </c>
      <c r="AC81" s="311">
        <f>IFERROR(__xludf.DUMMYFUNCTION("""COMPUTED_VALUE"""),0.0)</f>
        <v>0</v>
      </c>
      <c r="AD81" s="311">
        <f>IFERROR(__xludf.DUMMYFUNCTION("""COMPUTED_VALUE"""),0.0)</f>
        <v>0</v>
      </c>
      <c r="AE81" s="311">
        <f>IFERROR(__xludf.DUMMYFUNCTION("""COMPUTED_VALUE"""),0.0)</f>
        <v>0</v>
      </c>
      <c r="AF81" s="311" t="str">
        <f>IFERROR(__xludf.DUMMYFUNCTION("""COMPUTED_VALUE"""),"")</f>
        <v/>
      </c>
      <c r="AG81" s="311">
        <f>IFERROR(__xludf.DUMMYFUNCTION("""COMPUTED_VALUE"""),0.0)</f>
        <v>0</v>
      </c>
      <c r="AH81" s="311">
        <f>IFERROR(__xludf.DUMMYFUNCTION("""COMPUTED_VALUE"""),0.0)</f>
        <v>0</v>
      </c>
      <c r="AI81" s="311">
        <f>IFERROR(__xludf.DUMMYFUNCTION("""COMPUTED_VALUE"""),0.0)</f>
        <v>0</v>
      </c>
      <c r="AJ81" s="311">
        <f>IFERROR(__xludf.DUMMYFUNCTION("ROWS(QUERY(Entregas_BD!D:AM,""select D where D ='""&amp;D81&amp;""'"",1))-1"),1.0)</f>
        <v>1</v>
      </c>
    </row>
    <row r="82" ht="22.5" customHeight="1">
      <c r="A82" s="310" t="str">
        <f>IFERROR(__xludf.DUMMYFUNCTION("""COMPUTED_VALUE"""),"")</f>
        <v/>
      </c>
      <c r="B82" s="310" t="str">
        <f>IFERROR(__xludf.DUMMYFUNCTION("""COMPUTED_VALUE"""),"")</f>
        <v/>
      </c>
      <c r="C82" s="310">
        <f>IFERROR(__xludf.DUMMYFUNCTION("""COMPUTED_VALUE"""),189.0)</f>
        <v>189</v>
      </c>
      <c r="D82" s="310" t="str">
        <f>IFERROR(__xludf.DUMMYFUNCTION("""COMPUTED_VALUE"""),"Hospital UNIMED BARRA")</f>
        <v>Hospital UNIMED BARRA</v>
      </c>
      <c r="E82" s="310" t="str">
        <f>IFERROR(__xludf.DUMMYFUNCTION("""COMPUTED_VALUE"""),"ZONA OESTE")</f>
        <v>ZONA OESTE</v>
      </c>
      <c r="F82" s="310" t="str">
        <f>IFERROR(__xludf.DUMMYFUNCTION("""COMPUTED_VALUE"""),"Rio de Janeiro")</f>
        <v>Rio de Janeiro</v>
      </c>
      <c r="G82" s="310" t="str">
        <f>IFERROR(__xludf.DUMMYFUNCTION("""COMPUTED_VALUE"""),"Barra da Tijuca")</f>
        <v>Barra da Tijuca</v>
      </c>
      <c r="H82" s="310" t="str">
        <f>IFERROR(__xludf.DUMMYFUNCTION("""COMPUTED_VALUE"""),"Referência - ALTA COMPLEXIDADE")</f>
        <v>Referência - ALTA COMPLEXIDADE</v>
      </c>
      <c r="I82" s="310" t="str">
        <f>IFERROR(__xludf.DUMMYFUNCTION("""COMPUTED_VALUE"""),"Privado")</f>
        <v>Privado</v>
      </c>
      <c r="J82" s="310" t="str">
        <f>IFERROR(__xludf.DUMMYFUNCTION("""COMPUTED_VALUE"""),"")</f>
        <v/>
      </c>
      <c r="K82" s="310" t="str">
        <f>IFERROR(__xludf.DUMMYFUNCTION("""COMPUTED_VALUE"""),"")</f>
        <v/>
      </c>
      <c r="L82" s="310" t="str">
        <f>IFERROR(__xludf.DUMMYFUNCTION("""COMPUTED_VALUE"""),"")</f>
        <v/>
      </c>
      <c r="M82" s="310" t="str">
        <f>IFERROR(__xludf.DUMMYFUNCTION("""COMPUTED_VALUE"""),"")</f>
        <v/>
      </c>
      <c r="N82" s="310">
        <f>IFERROR(__xludf.DUMMYFUNCTION("""COMPUTED_VALUE"""),0.0)</f>
        <v>0</v>
      </c>
      <c r="O82" s="310">
        <f>IFERROR(__xludf.DUMMYFUNCTION("""COMPUTED_VALUE"""),0.0)</f>
        <v>0</v>
      </c>
      <c r="P82" s="310">
        <f>IFERROR(__xludf.DUMMYFUNCTION("""COMPUTED_VALUE"""),0.0)</f>
        <v>0</v>
      </c>
      <c r="Q82" s="310">
        <f>IFERROR(__xludf.DUMMYFUNCTION("""COMPUTED_VALUE"""),0.0)</f>
        <v>0</v>
      </c>
      <c r="R82" s="310">
        <f>IFERROR(__xludf.DUMMYFUNCTION("""COMPUTED_VALUE"""),0.0)</f>
        <v>0</v>
      </c>
      <c r="S82" s="310">
        <f>IFERROR(__xludf.DUMMYFUNCTION("""COMPUTED_VALUE"""),0.0)</f>
        <v>0</v>
      </c>
      <c r="T82" s="310">
        <f>IFERROR(__xludf.DUMMYFUNCTION("""COMPUTED_VALUE"""),50.0)</f>
        <v>50</v>
      </c>
      <c r="U82" s="310">
        <f>IFERROR(__xludf.DUMMYFUNCTION("""COMPUTED_VALUE"""),0.0)</f>
        <v>0</v>
      </c>
      <c r="V82" s="310">
        <f>IFERROR(__xludf.DUMMYFUNCTION("""COMPUTED_VALUE"""),0.0)</f>
        <v>0</v>
      </c>
      <c r="W82" s="310">
        <f>IFERROR(__xludf.DUMMYFUNCTION("""COMPUTED_VALUE"""),0.0)</f>
        <v>0</v>
      </c>
      <c r="X82" s="310">
        <f>IFERROR(__xludf.DUMMYFUNCTION("""COMPUTED_VALUE"""),0.0)</f>
        <v>0</v>
      </c>
      <c r="Y82" s="310">
        <f>IFERROR(__xludf.DUMMYFUNCTION("""COMPUTED_VALUE"""),0.0)</f>
        <v>0</v>
      </c>
      <c r="Z82" s="310">
        <f>IFERROR(__xludf.DUMMYFUNCTION("""COMPUTED_VALUE"""),-50.0)</f>
        <v>-50</v>
      </c>
      <c r="AA82" s="310">
        <f>IFERROR(__xludf.DUMMYFUNCTION("""COMPUTED_VALUE"""),0.0)</f>
        <v>0</v>
      </c>
      <c r="AB82" s="310">
        <f>IFERROR(__xludf.DUMMYFUNCTION("""COMPUTED_VALUE"""),0.0)</f>
        <v>0</v>
      </c>
      <c r="AC82" s="310">
        <f>IFERROR(__xludf.DUMMYFUNCTION("""COMPUTED_VALUE"""),0.0)</f>
        <v>0</v>
      </c>
      <c r="AD82" s="310">
        <f>IFERROR(__xludf.DUMMYFUNCTION("""COMPUTED_VALUE"""),0.0)</f>
        <v>0</v>
      </c>
      <c r="AE82" s="310">
        <f>IFERROR(__xludf.DUMMYFUNCTION("""COMPUTED_VALUE"""),0.0)</f>
        <v>0</v>
      </c>
      <c r="AF82" s="310" t="str">
        <f>IFERROR(__xludf.DUMMYFUNCTION("""COMPUTED_VALUE"""),"")</f>
        <v/>
      </c>
      <c r="AG82" s="310">
        <f>IFERROR(__xludf.DUMMYFUNCTION("""COMPUTED_VALUE"""),0.0)</f>
        <v>0</v>
      </c>
      <c r="AH82" s="310">
        <f>IFERROR(__xludf.DUMMYFUNCTION("""COMPUTED_VALUE"""),0.0)</f>
        <v>0</v>
      </c>
      <c r="AI82" s="310">
        <f>IFERROR(__xludf.DUMMYFUNCTION("""COMPUTED_VALUE"""),0.0)</f>
        <v>0</v>
      </c>
      <c r="AJ82" s="310">
        <f>IFERROR(__xludf.DUMMYFUNCTION("ROWS(QUERY(Entregas_BD!D:AM,""select D where D ='""&amp;D82&amp;""'"",1))-1"),1.0)</f>
        <v>1</v>
      </c>
    </row>
    <row r="83" ht="22.5" customHeight="1">
      <c r="A83" s="311" t="str">
        <f>IFERROR(__xludf.DUMMYFUNCTION("""COMPUTED_VALUE"""),"")</f>
        <v/>
      </c>
      <c r="B83" s="311" t="str">
        <f>IFERROR(__xludf.DUMMYFUNCTION("""COMPUTED_VALUE"""),"")</f>
        <v/>
      </c>
      <c r="C83" s="311">
        <f>IFERROR(__xludf.DUMMYFUNCTION("""COMPUTED_VALUE"""),190.0)</f>
        <v>190</v>
      </c>
      <c r="D83" s="311" t="str">
        <f>IFERROR(__xludf.DUMMYFUNCTION("""COMPUTED_VALUE"""),"UPA 24h Dr. Mário Monteiro")</f>
        <v>UPA 24h Dr. Mário Monteiro</v>
      </c>
      <c r="E83" s="312" t="str">
        <f>IFERROR(__xludf.DUMMYFUNCTION("""COMPUTED_VALUE"""),"REGIAO METROPOLITANA")</f>
        <v>REGIAO METROPOLITANA</v>
      </c>
      <c r="F83" s="311" t="str">
        <f>IFERROR(__xludf.DUMMYFUNCTION("""COMPUTED_VALUE"""),"Niteroi")</f>
        <v>Niteroi</v>
      </c>
      <c r="G83" s="311" t="str">
        <f>IFERROR(__xludf.DUMMYFUNCTION("""COMPUTED_VALUE"""),"Regiao oceanica")</f>
        <v>Regiao oceanica</v>
      </c>
      <c r="H83" s="311" t="str">
        <f>IFERROR(__xludf.DUMMYFUNCTION("""COMPUTED_VALUE"""),"Grande emergência - MÉDIA COMPLEXIDADE")</f>
        <v>Grande emergência - MÉDIA COMPLEXIDADE</v>
      </c>
      <c r="I83" s="311" t="str">
        <f>IFERROR(__xludf.DUMMYFUNCTION("""COMPUTED_VALUE"""),"Público")</f>
        <v>Público</v>
      </c>
      <c r="J83" s="311" t="str">
        <f>IFERROR(__xludf.DUMMYFUNCTION("""COMPUTED_VALUE"""),"")</f>
        <v/>
      </c>
      <c r="K83" s="311" t="str">
        <f>IFERROR(__xludf.DUMMYFUNCTION("""COMPUTED_VALUE"""),"")</f>
        <v/>
      </c>
      <c r="L83" s="311" t="str">
        <f>IFERROR(__xludf.DUMMYFUNCTION("""COMPUTED_VALUE"""),"")</f>
        <v/>
      </c>
      <c r="M83" s="311" t="str">
        <f>IFERROR(__xludf.DUMMYFUNCTION("""COMPUTED_VALUE"""),"")</f>
        <v/>
      </c>
      <c r="N83" s="311">
        <f>IFERROR(__xludf.DUMMYFUNCTION("""COMPUTED_VALUE"""),0.0)</f>
        <v>0</v>
      </c>
      <c r="O83" s="311">
        <f>IFERROR(__xludf.DUMMYFUNCTION("""COMPUTED_VALUE"""),0.0)</f>
        <v>0</v>
      </c>
      <c r="P83" s="311">
        <f>IFERROR(__xludf.DUMMYFUNCTION("""COMPUTED_VALUE"""),0.0)</f>
        <v>0</v>
      </c>
      <c r="Q83" s="311">
        <f>IFERROR(__xludf.DUMMYFUNCTION("""COMPUTED_VALUE"""),0.0)</f>
        <v>0</v>
      </c>
      <c r="R83" s="311">
        <f>IFERROR(__xludf.DUMMYFUNCTION("""COMPUTED_VALUE"""),0.0)</f>
        <v>0</v>
      </c>
      <c r="S83" s="311">
        <f>IFERROR(__xludf.DUMMYFUNCTION("""COMPUTED_VALUE"""),0.0)</f>
        <v>0</v>
      </c>
      <c r="T83" s="311">
        <f>IFERROR(__xludf.DUMMYFUNCTION("""COMPUTED_VALUE"""),5.0)</f>
        <v>5</v>
      </c>
      <c r="U83" s="311">
        <f>IFERROR(__xludf.DUMMYFUNCTION("""COMPUTED_VALUE"""),0.0)</f>
        <v>0</v>
      </c>
      <c r="V83" s="311">
        <f>IFERROR(__xludf.DUMMYFUNCTION("""COMPUTED_VALUE"""),0.0)</f>
        <v>0</v>
      </c>
      <c r="W83" s="311">
        <f>IFERROR(__xludf.DUMMYFUNCTION("""COMPUTED_VALUE"""),0.0)</f>
        <v>0</v>
      </c>
      <c r="X83" s="311">
        <f>IFERROR(__xludf.DUMMYFUNCTION("""COMPUTED_VALUE"""),0.0)</f>
        <v>0</v>
      </c>
      <c r="Y83" s="311">
        <f>IFERROR(__xludf.DUMMYFUNCTION("""COMPUTED_VALUE"""),0.0)</f>
        <v>0</v>
      </c>
      <c r="Z83" s="311">
        <f>IFERROR(__xludf.DUMMYFUNCTION("""COMPUTED_VALUE"""),-5.0)</f>
        <v>-5</v>
      </c>
      <c r="AA83" s="311">
        <f>IFERROR(__xludf.DUMMYFUNCTION("""COMPUTED_VALUE"""),0.0)</f>
        <v>0</v>
      </c>
      <c r="AB83" s="311">
        <f>IFERROR(__xludf.DUMMYFUNCTION("""COMPUTED_VALUE"""),0.0)</f>
        <v>0</v>
      </c>
      <c r="AC83" s="311">
        <f>IFERROR(__xludf.DUMMYFUNCTION("""COMPUTED_VALUE"""),0.0)</f>
        <v>0</v>
      </c>
      <c r="AD83" s="311">
        <f>IFERROR(__xludf.DUMMYFUNCTION("""COMPUTED_VALUE"""),0.0)</f>
        <v>0</v>
      </c>
      <c r="AE83" s="311">
        <f>IFERROR(__xludf.DUMMYFUNCTION("""COMPUTED_VALUE"""),0.0)</f>
        <v>0</v>
      </c>
      <c r="AF83" s="311" t="str">
        <f>IFERROR(__xludf.DUMMYFUNCTION("""COMPUTED_VALUE"""),"")</f>
        <v/>
      </c>
      <c r="AG83" s="311">
        <f>IFERROR(__xludf.DUMMYFUNCTION("""COMPUTED_VALUE"""),0.0)</f>
        <v>0</v>
      </c>
      <c r="AH83" s="311">
        <f>IFERROR(__xludf.DUMMYFUNCTION("""COMPUTED_VALUE"""),0.0)</f>
        <v>0</v>
      </c>
      <c r="AI83" s="311">
        <f>IFERROR(__xludf.DUMMYFUNCTION("""COMPUTED_VALUE"""),0.0)</f>
        <v>0</v>
      </c>
      <c r="AJ83" s="311">
        <f>IFERROR(__xludf.DUMMYFUNCTION("ROWS(QUERY(Entregas_BD!D:AM,""select D where D ='""&amp;D83&amp;""'"",1))-1"),1.0)</f>
        <v>1</v>
      </c>
    </row>
    <row r="84" ht="22.5" customHeight="1">
      <c r="A84" s="310" t="str">
        <f>IFERROR(__xludf.DUMMYFUNCTION("""COMPUTED_VALUE"""),"")</f>
        <v/>
      </c>
      <c r="B84" s="310" t="str">
        <f>IFERROR(__xludf.DUMMYFUNCTION("""COMPUTED_VALUE"""),"")</f>
        <v/>
      </c>
      <c r="C84" s="310">
        <f>IFERROR(__xludf.DUMMYFUNCTION("""COMPUTED_VALUE"""),191.0)</f>
        <v>191</v>
      </c>
      <c r="D84" s="310" t="str">
        <f>IFERROR(__xludf.DUMMYFUNCTION("""COMPUTED_VALUE"""),"UPA 24h Manguinhos")</f>
        <v>UPA 24h Manguinhos</v>
      </c>
      <c r="E84" s="313" t="str">
        <f>IFERROR(__xludf.DUMMYFUNCTION("""COMPUTED_VALUE"""),"ZONA NORTE")</f>
        <v>ZONA NORTE</v>
      </c>
      <c r="F84" s="310" t="str">
        <f>IFERROR(__xludf.DUMMYFUNCTION("""COMPUTED_VALUE"""),"Rio de Janeiro")</f>
        <v>Rio de Janeiro</v>
      </c>
      <c r="G84" s="310" t="str">
        <f>IFERROR(__xludf.DUMMYFUNCTION("""COMPUTED_VALUE"""),"Benfica")</f>
        <v>Benfica</v>
      </c>
      <c r="H84" s="310" t="str">
        <f>IFERROR(__xludf.DUMMYFUNCTION("""COMPUTED_VALUE"""),"Grande emergência - MÉDIA COMPLEXIDADE")</f>
        <v>Grande emergência - MÉDIA COMPLEXIDADE</v>
      </c>
      <c r="I84" s="310" t="str">
        <f>IFERROR(__xludf.DUMMYFUNCTION("""COMPUTED_VALUE"""),"Público")</f>
        <v>Público</v>
      </c>
      <c r="J84" s="310" t="str">
        <f>IFERROR(__xludf.DUMMYFUNCTION("""COMPUTED_VALUE"""),"")</f>
        <v/>
      </c>
      <c r="K84" s="310" t="str">
        <f>IFERROR(__xludf.DUMMYFUNCTION("""COMPUTED_VALUE"""),"")</f>
        <v/>
      </c>
      <c r="L84" s="310" t="str">
        <f>IFERROR(__xludf.DUMMYFUNCTION("""COMPUTED_VALUE"""),"")</f>
        <v/>
      </c>
      <c r="M84" s="310" t="str">
        <f>IFERROR(__xludf.DUMMYFUNCTION("""COMPUTED_VALUE"""),"")</f>
        <v/>
      </c>
      <c r="N84" s="310">
        <f>IFERROR(__xludf.DUMMYFUNCTION("""COMPUTED_VALUE"""),0.0)</f>
        <v>0</v>
      </c>
      <c r="O84" s="310">
        <f>IFERROR(__xludf.DUMMYFUNCTION("""COMPUTED_VALUE"""),0.0)</f>
        <v>0</v>
      </c>
      <c r="P84" s="310">
        <f>IFERROR(__xludf.DUMMYFUNCTION("""COMPUTED_VALUE"""),0.0)</f>
        <v>0</v>
      </c>
      <c r="Q84" s="310">
        <f>IFERROR(__xludf.DUMMYFUNCTION("""COMPUTED_VALUE"""),0.0)</f>
        <v>0</v>
      </c>
      <c r="R84" s="310">
        <f>IFERROR(__xludf.DUMMYFUNCTION("""COMPUTED_VALUE"""),0.0)</f>
        <v>0</v>
      </c>
      <c r="S84" s="310">
        <f>IFERROR(__xludf.DUMMYFUNCTION("""COMPUTED_VALUE"""),0.0)</f>
        <v>0</v>
      </c>
      <c r="T84" s="310">
        <f>IFERROR(__xludf.DUMMYFUNCTION("""COMPUTED_VALUE"""),5.0)</f>
        <v>5</v>
      </c>
      <c r="U84" s="310">
        <f>IFERROR(__xludf.DUMMYFUNCTION("""COMPUTED_VALUE"""),0.0)</f>
        <v>0</v>
      </c>
      <c r="V84" s="310">
        <f>IFERROR(__xludf.DUMMYFUNCTION("""COMPUTED_VALUE"""),0.0)</f>
        <v>0</v>
      </c>
      <c r="W84" s="310">
        <f>IFERROR(__xludf.DUMMYFUNCTION("""COMPUTED_VALUE"""),0.0)</f>
        <v>0</v>
      </c>
      <c r="X84" s="310">
        <f>IFERROR(__xludf.DUMMYFUNCTION("""COMPUTED_VALUE"""),0.0)</f>
        <v>0</v>
      </c>
      <c r="Y84" s="310">
        <f>IFERROR(__xludf.DUMMYFUNCTION("""COMPUTED_VALUE"""),25.0)</f>
        <v>25</v>
      </c>
      <c r="Z84" s="310">
        <f>IFERROR(__xludf.DUMMYFUNCTION("""COMPUTED_VALUE"""),-5.0)</f>
        <v>-5</v>
      </c>
      <c r="AA84" s="310">
        <f>IFERROR(__xludf.DUMMYFUNCTION("""COMPUTED_VALUE"""),0.0)</f>
        <v>0</v>
      </c>
      <c r="AB84" s="310">
        <f>IFERROR(__xludf.DUMMYFUNCTION("""COMPUTED_VALUE"""),0.0)</f>
        <v>0</v>
      </c>
      <c r="AC84" s="310">
        <f>IFERROR(__xludf.DUMMYFUNCTION("""COMPUTED_VALUE"""),0.0)</f>
        <v>0</v>
      </c>
      <c r="AD84" s="310">
        <f>IFERROR(__xludf.DUMMYFUNCTION("""COMPUTED_VALUE"""),-25.0)</f>
        <v>-25</v>
      </c>
      <c r="AE84" s="310">
        <f>IFERROR(__xludf.DUMMYFUNCTION("""COMPUTED_VALUE"""),0.0)</f>
        <v>0</v>
      </c>
      <c r="AF84" s="310" t="str">
        <f>IFERROR(__xludf.DUMMYFUNCTION("""COMPUTED_VALUE"""),"")</f>
        <v/>
      </c>
      <c r="AG84" s="310">
        <f>IFERROR(__xludf.DUMMYFUNCTION("""COMPUTED_VALUE"""),0.0)</f>
        <v>0</v>
      </c>
      <c r="AH84" s="310">
        <f>IFERROR(__xludf.DUMMYFUNCTION("""COMPUTED_VALUE"""),0.0)</f>
        <v>0</v>
      </c>
      <c r="AI84" s="310">
        <f>IFERROR(__xludf.DUMMYFUNCTION("""COMPUTED_VALUE"""),0.0)</f>
        <v>0</v>
      </c>
      <c r="AJ84" s="310">
        <f>IFERROR(__xludf.DUMMYFUNCTION("ROWS(QUERY(Entregas_BD!D:AM,""select D where D ='""&amp;D84&amp;""'"",1))-1"),1.0)</f>
        <v>1</v>
      </c>
    </row>
    <row r="85" ht="22.5" customHeight="1">
      <c r="A85" s="311" t="str">
        <f>IFERROR(__xludf.DUMMYFUNCTION("""COMPUTED_VALUE"""),"")</f>
        <v/>
      </c>
      <c r="B85" s="311" t="str">
        <f>IFERROR(__xludf.DUMMYFUNCTION("""COMPUTED_VALUE"""),"")</f>
        <v/>
      </c>
      <c r="C85" s="311">
        <f>IFERROR(__xludf.DUMMYFUNCTION("""COMPUTED_VALUE"""),192.0)</f>
        <v>192</v>
      </c>
      <c r="D85" s="311" t="str">
        <f>IFERROR(__xludf.DUMMYFUNCTION("""COMPUTED_VALUE"""),"UPA Ângela Maria Brito")</f>
        <v>UPA Ângela Maria Brito</v>
      </c>
      <c r="E85" s="314" t="str">
        <f>IFERROR(__xludf.DUMMYFUNCTION("""COMPUTED_VALUE"""),"REGIAO METROPOLITANA")</f>
        <v>REGIAO METROPOLITANA</v>
      </c>
      <c r="F85" s="311" t="str">
        <f>IFERROR(__xludf.DUMMYFUNCTION("""COMPUTED_VALUE"""),"Niterói")</f>
        <v>Niterói</v>
      </c>
      <c r="G85" s="311" t="str">
        <f>IFERROR(__xludf.DUMMYFUNCTION("""COMPUTED_VALUE"""),"Centro / Silva Jardim")</f>
        <v>Centro / Silva Jardim</v>
      </c>
      <c r="H85" s="311" t="str">
        <f>IFERROR(__xludf.DUMMYFUNCTION("""COMPUTED_VALUE"""),"Grande emergência - MÉDIA COMPLEXIDADE")</f>
        <v>Grande emergência - MÉDIA COMPLEXIDADE</v>
      </c>
      <c r="I85" s="311" t="str">
        <f>IFERROR(__xludf.DUMMYFUNCTION("""COMPUTED_VALUE"""),"Público")</f>
        <v>Público</v>
      </c>
      <c r="J85" s="311" t="str">
        <f>IFERROR(__xludf.DUMMYFUNCTION("""COMPUTED_VALUE"""),"")</f>
        <v/>
      </c>
      <c r="K85" s="311" t="str">
        <f>IFERROR(__xludf.DUMMYFUNCTION("""COMPUTED_VALUE"""),"")</f>
        <v/>
      </c>
      <c r="L85" s="311" t="str">
        <f>IFERROR(__xludf.DUMMYFUNCTION("""COMPUTED_VALUE"""),"")</f>
        <v/>
      </c>
      <c r="M85" s="311" t="str">
        <f>IFERROR(__xludf.DUMMYFUNCTION("""COMPUTED_VALUE"""),"")</f>
        <v/>
      </c>
      <c r="N85" s="311">
        <f>IFERROR(__xludf.DUMMYFUNCTION("""COMPUTED_VALUE"""),0.0)</f>
        <v>0</v>
      </c>
      <c r="O85" s="311">
        <f>IFERROR(__xludf.DUMMYFUNCTION("""COMPUTED_VALUE"""),0.0)</f>
        <v>0</v>
      </c>
      <c r="P85" s="311">
        <f>IFERROR(__xludf.DUMMYFUNCTION("""COMPUTED_VALUE"""),0.0)</f>
        <v>0</v>
      </c>
      <c r="Q85" s="311">
        <f>IFERROR(__xludf.DUMMYFUNCTION("""COMPUTED_VALUE"""),0.0)</f>
        <v>0</v>
      </c>
      <c r="R85" s="311">
        <f>IFERROR(__xludf.DUMMYFUNCTION("""COMPUTED_VALUE"""),0.0)</f>
        <v>0</v>
      </c>
      <c r="S85" s="311">
        <f>IFERROR(__xludf.DUMMYFUNCTION("""COMPUTED_VALUE"""),0.0)</f>
        <v>0</v>
      </c>
      <c r="T85" s="311">
        <f>IFERROR(__xludf.DUMMYFUNCTION("""COMPUTED_VALUE"""),20.0)</f>
        <v>20</v>
      </c>
      <c r="U85" s="311">
        <f>IFERROR(__xludf.DUMMYFUNCTION("""COMPUTED_VALUE"""),0.0)</f>
        <v>0</v>
      </c>
      <c r="V85" s="311">
        <f>IFERROR(__xludf.DUMMYFUNCTION("""COMPUTED_VALUE"""),0.0)</f>
        <v>0</v>
      </c>
      <c r="W85" s="311">
        <f>IFERROR(__xludf.DUMMYFUNCTION("""COMPUTED_VALUE"""),0.0)</f>
        <v>0</v>
      </c>
      <c r="X85" s="311">
        <f>IFERROR(__xludf.DUMMYFUNCTION("""COMPUTED_VALUE"""),0.0)</f>
        <v>0</v>
      </c>
      <c r="Y85" s="311">
        <f>IFERROR(__xludf.DUMMYFUNCTION("""COMPUTED_VALUE"""),0.0)</f>
        <v>0</v>
      </c>
      <c r="Z85" s="311">
        <f>IFERROR(__xludf.DUMMYFUNCTION("""COMPUTED_VALUE"""),-20.0)</f>
        <v>-20</v>
      </c>
      <c r="AA85" s="311">
        <f>IFERROR(__xludf.DUMMYFUNCTION("""COMPUTED_VALUE"""),0.0)</f>
        <v>0</v>
      </c>
      <c r="AB85" s="311">
        <f>IFERROR(__xludf.DUMMYFUNCTION("""COMPUTED_VALUE"""),0.0)</f>
        <v>0</v>
      </c>
      <c r="AC85" s="311">
        <f>IFERROR(__xludf.DUMMYFUNCTION("""COMPUTED_VALUE"""),0.0)</f>
        <v>0</v>
      </c>
      <c r="AD85" s="311">
        <f>IFERROR(__xludf.DUMMYFUNCTION("""COMPUTED_VALUE"""),0.0)</f>
        <v>0</v>
      </c>
      <c r="AE85" s="311">
        <f>IFERROR(__xludf.DUMMYFUNCTION("""COMPUTED_VALUE"""),0.0)</f>
        <v>0</v>
      </c>
      <c r="AF85" s="311" t="str">
        <f>IFERROR(__xludf.DUMMYFUNCTION("""COMPUTED_VALUE"""),"")</f>
        <v/>
      </c>
      <c r="AG85" s="311">
        <f>IFERROR(__xludf.DUMMYFUNCTION("""COMPUTED_VALUE"""),0.0)</f>
        <v>0</v>
      </c>
      <c r="AH85" s="311">
        <f>IFERROR(__xludf.DUMMYFUNCTION("""COMPUTED_VALUE"""),0.0)</f>
        <v>0</v>
      </c>
      <c r="AI85" s="311">
        <f>IFERROR(__xludf.DUMMYFUNCTION("""COMPUTED_VALUE"""),0.0)</f>
        <v>0</v>
      </c>
      <c r="AJ85" s="311">
        <f>IFERROR(__xludf.DUMMYFUNCTION("ROWS(QUERY(Entregas_BD!D:AM,""select D where D ='""&amp;D85&amp;""'"",1))-1"),1.0)</f>
        <v>1</v>
      </c>
    </row>
    <row r="86" ht="22.5" customHeight="1">
      <c r="A86" s="310" t="str">
        <f>IFERROR(__xludf.DUMMYFUNCTION("""COMPUTED_VALUE"""),"")</f>
        <v/>
      </c>
      <c r="B86" s="310" t="str">
        <f>IFERROR(__xludf.DUMMYFUNCTION("""COMPUTED_VALUE"""),"")</f>
        <v/>
      </c>
      <c r="C86" s="310">
        <f>IFERROR(__xludf.DUMMYFUNCTION("""COMPUTED_VALUE"""),193.0)</f>
        <v>193</v>
      </c>
      <c r="D86" s="310" t="str">
        <f>IFERROR(__xludf.DUMMYFUNCTION("""COMPUTED_VALUE"""),"Upa Campo Grande 2")</f>
        <v>Upa Campo Grande 2</v>
      </c>
      <c r="E86" s="313" t="str">
        <f>IFERROR(__xludf.DUMMYFUNCTION("""COMPUTED_VALUE"""),"ZONA OESTE")</f>
        <v>ZONA OESTE</v>
      </c>
      <c r="F86" s="310" t="str">
        <f>IFERROR(__xludf.DUMMYFUNCTION("""COMPUTED_VALUE"""),"Rio de Janeiro")</f>
        <v>Rio de Janeiro</v>
      </c>
      <c r="G86" s="310" t="str">
        <f>IFERROR(__xludf.DUMMYFUNCTION("""COMPUTED_VALUE"""),"Campo Grande")</f>
        <v>Campo Grande</v>
      </c>
      <c r="H86" s="310" t="str">
        <f>IFERROR(__xludf.DUMMYFUNCTION("""COMPUTED_VALUE"""),"Grande emergência - MÉDIA COMPLEXIDADE")</f>
        <v>Grande emergência - MÉDIA COMPLEXIDADE</v>
      </c>
      <c r="I86" s="310" t="str">
        <f>IFERROR(__xludf.DUMMYFUNCTION("""COMPUTED_VALUE"""),"Público")</f>
        <v>Público</v>
      </c>
      <c r="J86" s="310" t="str">
        <f>IFERROR(__xludf.DUMMYFUNCTION("""COMPUTED_VALUE"""),"")</f>
        <v/>
      </c>
      <c r="K86" s="310" t="str">
        <f>IFERROR(__xludf.DUMMYFUNCTION("""COMPUTED_VALUE"""),"")</f>
        <v/>
      </c>
      <c r="L86" s="310" t="str">
        <f>IFERROR(__xludf.DUMMYFUNCTION("""COMPUTED_VALUE"""),"")</f>
        <v/>
      </c>
      <c r="M86" s="310" t="str">
        <f>IFERROR(__xludf.DUMMYFUNCTION("""COMPUTED_VALUE"""),"")</f>
        <v/>
      </c>
      <c r="N86" s="310">
        <f>IFERROR(__xludf.DUMMYFUNCTION("""COMPUTED_VALUE"""),0.0)</f>
        <v>0</v>
      </c>
      <c r="O86" s="310">
        <f>IFERROR(__xludf.DUMMYFUNCTION("""COMPUTED_VALUE"""),0.0)</f>
        <v>0</v>
      </c>
      <c r="P86" s="310">
        <f>IFERROR(__xludf.DUMMYFUNCTION("""COMPUTED_VALUE"""),0.0)</f>
        <v>0</v>
      </c>
      <c r="Q86" s="310">
        <f>IFERROR(__xludf.DUMMYFUNCTION("""COMPUTED_VALUE"""),0.0)</f>
        <v>0</v>
      </c>
      <c r="R86" s="310">
        <f>IFERROR(__xludf.DUMMYFUNCTION("""COMPUTED_VALUE"""),0.0)</f>
        <v>0</v>
      </c>
      <c r="S86" s="310">
        <f>IFERROR(__xludf.DUMMYFUNCTION("""COMPUTED_VALUE"""),0.0)</f>
        <v>0</v>
      </c>
      <c r="T86" s="310">
        <f>IFERROR(__xludf.DUMMYFUNCTION("""COMPUTED_VALUE"""),55.0)</f>
        <v>55</v>
      </c>
      <c r="U86" s="310">
        <f>IFERROR(__xludf.DUMMYFUNCTION("""COMPUTED_VALUE"""),0.0)</f>
        <v>0</v>
      </c>
      <c r="V86" s="310">
        <f>IFERROR(__xludf.DUMMYFUNCTION("""COMPUTED_VALUE"""),0.0)</f>
        <v>0</v>
      </c>
      <c r="W86" s="310">
        <f>IFERROR(__xludf.DUMMYFUNCTION("""COMPUTED_VALUE"""),25.0)</f>
        <v>25</v>
      </c>
      <c r="X86" s="310">
        <f>IFERROR(__xludf.DUMMYFUNCTION("""COMPUTED_VALUE"""),25.0)</f>
        <v>25</v>
      </c>
      <c r="Y86" s="310">
        <f>IFERROR(__xludf.DUMMYFUNCTION("""COMPUTED_VALUE"""),5.0)</f>
        <v>5</v>
      </c>
      <c r="Z86" s="310">
        <f>IFERROR(__xludf.DUMMYFUNCTION("""COMPUTED_VALUE"""),-55.0)</f>
        <v>-55</v>
      </c>
      <c r="AA86" s="310">
        <f>IFERROR(__xludf.DUMMYFUNCTION("""COMPUTED_VALUE"""),0.0)</f>
        <v>0</v>
      </c>
      <c r="AB86" s="310">
        <f>IFERROR(__xludf.DUMMYFUNCTION("""COMPUTED_VALUE"""),0.0)</f>
        <v>0</v>
      </c>
      <c r="AC86" s="310">
        <f>IFERROR(__xludf.DUMMYFUNCTION("""COMPUTED_VALUE"""),-25.0)</f>
        <v>-25</v>
      </c>
      <c r="AD86" s="310">
        <f>IFERROR(__xludf.DUMMYFUNCTION("""COMPUTED_VALUE"""),-5.0)</f>
        <v>-5</v>
      </c>
      <c r="AE86" s="310">
        <f>IFERROR(__xludf.DUMMYFUNCTION("""COMPUTED_VALUE"""),-25.0)</f>
        <v>-25</v>
      </c>
      <c r="AF86" s="310" t="str">
        <f>IFERROR(__xludf.DUMMYFUNCTION("""COMPUTED_VALUE"""),"")</f>
        <v/>
      </c>
      <c r="AG86" s="310">
        <f>IFERROR(__xludf.DUMMYFUNCTION("""COMPUTED_VALUE"""),0.0)</f>
        <v>0</v>
      </c>
      <c r="AH86" s="310">
        <f>IFERROR(__xludf.DUMMYFUNCTION("""COMPUTED_VALUE"""),0.0)</f>
        <v>0</v>
      </c>
      <c r="AI86" s="310">
        <f>IFERROR(__xludf.DUMMYFUNCTION("""COMPUTED_VALUE"""),0.0)</f>
        <v>0</v>
      </c>
      <c r="AJ86" s="310">
        <f>IFERROR(__xludf.DUMMYFUNCTION("ROWS(QUERY(Entregas_BD!D:AM,""select D where D ='""&amp;D86&amp;""'"",1))-1"),2.0)</f>
        <v>2</v>
      </c>
    </row>
    <row r="87" ht="22.5" customHeight="1">
      <c r="A87" s="311" t="str">
        <f>IFERROR(__xludf.DUMMYFUNCTION("""COMPUTED_VALUE"""),"")</f>
        <v/>
      </c>
      <c r="B87" s="311" t="str">
        <f>IFERROR(__xludf.DUMMYFUNCTION("""COMPUTED_VALUE"""),"")</f>
        <v/>
      </c>
      <c r="C87" s="311">
        <f>IFERROR(__xludf.DUMMYFUNCTION("""COMPUTED_VALUE"""),194.0)</f>
        <v>194</v>
      </c>
      <c r="D87" s="311" t="str">
        <f>IFERROR(__xludf.DUMMYFUNCTION("""COMPUTED_VALUE"""),"UPA Copacabana")</f>
        <v>UPA Copacabana</v>
      </c>
      <c r="E87" s="315" t="str">
        <f>IFERROR(__xludf.DUMMYFUNCTION("""COMPUTED_VALUE"""),"ZONA SUL")</f>
        <v>ZONA SUL</v>
      </c>
      <c r="F87" s="311" t="str">
        <f>IFERROR(__xludf.DUMMYFUNCTION("""COMPUTED_VALUE"""),"Rio de Janeiro")</f>
        <v>Rio de Janeiro</v>
      </c>
      <c r="G87" s="311" t="str">
        <f>IFERROR(__xludf.DUMMYFUNCTION("""COMPUTED_VALUE"""),"Copacabana")</f>
        <v>Copacabana</v>
      </c>
      <c r="H87" s="311" t="str">
        <f>IFERROR(__xludf.DUMMYFUNCTION("""COMPUTED_VALUE"""),"Grande emergência - MÉDIA COMPLEXIDADE")</f>
        <v>Grande emergência - MÉDIA COMPLEXIDADE</v>
      </c>
      <c r="I87" s="311" t="str">
        <f>IFERROR(__xludf.DUMMYFUNCTION("""COMPUTED_VALUE"""),"Público")</f>
        <v>Público</v>
      </c>
      <c r="J87" s="311" t="str">
        <f>IFERROR(__xludf.DUMMYFUNCTION("""COMPUTED_VALUE"""),"")</f>
        <v/>
      </c>
      <c r="K87" s="311" t="str">
        <f>IFERROR(__xludf.DUMMYFUNCTION("""COMPUTED_VALUE"""),"")</f>
        <v/>
      </c>
      <c r="L87" s="311" t="str">
        <f>IFERROR(__xludf.DUMMYFUNCTION("""COMPUTED_VALUE"""),"")</f>
        <v/>
      </c>
      <c r="M87" s="311" t="str">
        <f>IFERROR(__xludf.DUMMYFUNCTION("""COMPUTED_VALUE"""),"")</f>
        <v/>
      </c>
      <c r="N87" s="311">
        <f>IFERROR(__xludf.DUMMYFUNCTION("""COMPUTED_VALUE"""),0.0)</f>
        <v>0</v>
      </c>
      <c r="O87" s="311">
        <f>IFERROR(__xludf.DUMMYFUNCTION("""COMPUTED_VALUE"""),0.0)</f>
        <v>0</v>
      </c>
      <c r="P87" s="311">
        <f>IFERROR(__xludf.DUMMYFUNCTION("""COMPUTED_VALUE"""),0.0)</f>
        <v>0</v>
      </c>
      <c r="Q87" s="311">
        <f>IFERROR(__xludf.DUMMYFUNCTION("""COMPUTED_VALUE"""),0.0)</f>
        <v>0</v>
      </c>
      <c r="R87" s="311">
        <f>IFERROR(__xludf.DUMMYFUNCTION("""COMPUTED_VALUE"""),0.0)</f>
        <v>0</v>
      </c>
      <c r="S87" s="311">
        <f>IFERROR(__xludf.DUMMYFUNCTION("""COMPUTED_VALUE"""),0.0)</f>
        <v>0</v>
      </c>
      <c r="T87" s="311">
        <f>IFERROR(__xludf.DUMMYFUNCTION("""COMPUTED_VALUE"""),20.0)</f>
        <v>20</v>
      </c>
      <c r="U87" s="311">
        <f>IFERROR(__xludf.DUMMYFUNCTION("""COMPUTED_VALUE"""),0.0)</f>
        <v>0</v>
      </c>
      <c r="V87" s="311">
        <f>IFERROR(__xludf.DUMMYFUNCTION("""COMPUTED_VALUE"""),0.0)</f>
        <v>0</v>
      </c>
      <c r="W87" s="311">
        <f>IFERROR(__xludf.DUMMYFUNCTION("""COMPUTED_VALUE"""),0.0)</f>
        <v>0</v>
      </c>
      <c r="X87" s="311">
        <f>IFERROR(__xludf.DUMMYFUNCTION("""COMPUTED_VALUE"""),25.0)</f>
        <v>25</v>
      </c>
      <c r="Y87" s="311">
        <f>IFERROR(__xludf.DUMMYFUNCTION("""COMPUTED_VALUE"""),0.0)</f>
        <v>0</v>
      </c>
      <c r="Z87" s="311">
        <f>IFERROR(__xludf.DUMMYFUNCTION("""COMPUTED_VALUE"""),-20.0)</f>
        <v>-20</v>
      </c>
      <c r="AA87" s="311">
        <f>IFERROR(__xludf.DUMMYFUNCTION("""COMPUTED_VALUE"""),0.0)</f>
        <v>0</v>
      </c>
      <c r="AB87" s="311">
        <f>IFERROR(__xludf.DUMMYFUNCTION("""COMPUTED_VALUE"""),0.0)</f>
        <v>0</v>
      </c>
      <c r="AC87" s="311">
        <f>IFERROR(__xludf.DUMMYFUNCTION("""COMPUTED_VALUE"""),0.0)</f>
        <v>0</v>
      </c>
      <c r="AD87" s="311">
        <f>IFERROR(__xludf.DUMMYFUNCTION("""COMPUTED_VALUE"""),0.0)</f>
        <v>0</v>
      </c>
      <c r="AE87" s="311">
        <f>IFERROR(__xludf.DUMMYFUNCTION("""COMPUTED_VALUE"""),-25.0)</f>
        <v>-25</v>
      </c>
      <c r="AF87" s="311" t="str">
        <f>IFERROR(__xludf.DUMMYFUNCTION("""COMPUTED_VALUE"""),"")</f>
        <v/>
      </c>
      <c r="AG87" s="311">
        <f>IFERROR(__xludf.DUMMYFUNCTION("""COMPUTED_VALUE"""),0.0)</f>
        <v>0</v>
      </c>
      <c r="AH87" s="311">
        <f>IFERROR(__xludf.DUMMYFUNCTION("""COMPUTED_VALUE"""),0.0)</f>
        <v>0</v>
      </c>
      <c r="AI87" s="311">
        <f>IFERROR(__xludf.DUMMYFUNCTION("""COMPUTED_VALUE"""),0.0)</f>
        <v>0</v>
      </c>
      <c r="AJ87" s="311">
        <f>IFERROR(__xludf.DUMMYFUNCTION("ROWS(QUERY(Entregas_BD!D:AM,""select D where D ='""&amp;D87&amp;""'"",1))-1"),1.0)</f>
        <v>1</v>
      </c>
    </row>
    <row r="88" ht="22.5" customHeight="1">
      <c r="A88" s="310" t="str">
        <f>IFERROR(__xludf.DUMMYFUNCTION("""COMPUTED_VALUE"""),"")</f>
        <v/>
      </c>
      <c r="B88" s="310" t="str">
        <f>IFERROR(__xludf.DUMMYFUNCTION("""COMPUTED_VALUE"""),"")</f>
        <v/>
      </c>
      <c r="C88" s="310">
        <f>IFERROR(__xludf.DUMMYFUNCTION("""COMPUTED_VALUE"""),197.0)</f>
        <v>197</v>
      </c>
      <c r="D88" s="310" t="str">
        <f>IFERROR(__xludf.DUMMYFUNCTION("""COMPUTED_VALUE"""),"Upa engenho de dentro")</f>
        <v>Upa engenho de dentro</v>
      </c>
      <c r="E88" s="313" t="str">
        <f>IFERROR(__xludf.DUMMYFUNCTION("""COMPUTED_VALUE"""),"ZONA NORTE")</f>
        <v>ZONA NORTE</v>
      </c>
      <c r="F88" s="310" t="str">
        <f>IFERROR(__xludf.DUMMYFUNCTION("""COMPUTED_VALUE"""),"Rio de Janeiro")</f>
        <v>Rio de Janeiro</v>
      </c>
      <c r="G88" s="310" t="str">
        <f>IFERROR(__xludf.DUMMYFUNCTION("""COMPUTED_VALUE"""),"Engenho de dentro")</f>
        <v>Engenho de dentro</v>
      </c>
      <c r="H88" s="310" t="str">
        <f>IFERROR(__xludf.DUMMYFUNCTION("""COMPUTED_VALUE"""),"Grande emergência - MÉDIA COMPLEXIDADE")</f>
        <v>Grande emergência - MÉDIA COMPLEXIDADE</v>
      </c>
      <c r="I88" s="310" t="str">
        <f>IFERROR(__xludf.DUMMYFUNCTION("""COMPUTED_VALUE"""),"Público")</f>
        <v>Público</v>
      </c>
      <c r="J88" s="310" t="str">
        <f>IFERROR(__xludf.DUMMYFUNCTION("""COMPUTED_VALUE"""),"")</f>
        <v/>
      </c>
      <c r="K88" s="310" t="str">
        <f>IFERROR(__xludf.DUMMYFUNCTION("""COMPUTED_VALUE"""),"")</f>
        <v/>
      </c>
      <c r="L88" s="310" t="str">
        <f>IFERROR(__xludf.DUMMYFUNCTION("""COMPUTED_VALUE"""),"")</f>
        <v/>
      </c>
      <c r="M88" s="310" t="str">
        <f>IFERROR(__xludf.DUMMYFUNCTION("""COMPUTED_VALUE"""),"")</f>
        <v/>
      </c>
      <c r="N88" s="310">
        <f>IFERROR(__xludf.DUMMYFUNCTION("""COMPUTED_VALUE"""),0.0)</f>
        <v>0</v>
      </c>
      <c r="O88" s="310">
        <f>IFERROR(__xludf.DUMMYFUNCTION("""COMPUTED_VALUE"""),0.0)</f>
        <v>0</v>
      </c>
      <c r="P88" s="310">
        <f>IFERROR(__xludf.DUMMYFUNCTION("""COMPUTED_VALUE"""),0.0)</f>
        <v>0</v>
      </c>
      <c r="Q88" s="310">
        <f>IFERROR(__xludf.DUMMYFUNCTION("""COMPUTED_VALUE"""),0.0)</f>
        <v>0</v>
      </c>
      <c r="R88" s="310">
        <f>IFERROR(__xludf.DUMMYFUNCTION("""COMPUTED_VALUE"""),0.0)</f>
        <v>0</v>
      </c>
      <c r="S88" s="310">
        <f>IFERROR(__xludf.DUMMYFUNCTION("""COMPUTED_VALUE"""),0.0)</f>
        <v>0</v>
      </c>
      <c r="T88" s="310">
        <f>IFERROR(__xludf.DUMMYFUNCTION("""COMPUTED_VALUE"""),0.0)</f>
        <v>0</v>
      </c>
      <c r="U88" s="310">
        <f>IFERROR(__xludf.DUMMYFUNCTION("""COMPUTED_VALUE"""),0.0)</f>
        <v>0</v>
      </c>
      <c r="V88" s="310">
        <f>IFERROR(__xludf.DUMMYFUNCTION("""COMPUTED_VALUE"""),0.0)</f>
        <v>0</v>
      </c>
      <c r="W88" s="310">
        <f>IFERROR(__xludf.DUMMYFUNCTION("""COMPUTED_VALUE"""),0.0)</f>
        <v>0</v>
      </c>
      <c r="X88" s="310">
        <f>IFERROR(__xludf.DUMMYFUNCTION("""COMPUTED_VALUE"""),25.0)</f>
        <v>25</v>
      </c>
      <c r="Y88" s="310">
        <f>IFERROR(__xludf.DUMMYFUNCTION("""COMPUTED_VALUE"""),5.0)</f>
        <v>5</v>
      </c>
      <c r="Z88" s="310">
        <f>IFERROR(__xludf.DUMMYFUNCTION("""COMPUTED_VALUE"""),0.0)</f>
        <v>0</v>
      </c>
      <c r="AA88" s="310">
        <f>IFERROR(__xludf.DUMMYFUNCTION("""COMPUTED_VALUE"""),0.0)</f>
        <v>0</v>
      </c>
      <c r="AB88" s="310">
        <f>IFERROR(__xludf.DUMMYFUNCTION("""COMPUTED_VALUE"""),0.0)</f>
        <v>0</v>
      </c>
      <c r="AC88" s="310">
        <f>IFERROR(__xludf.DUMMYFUNCTION("""COMPUTED_VALUE"""),0.0)</f>
        <v>0</v>
      </c>
      <c r="AD88" s="310">
        <f>IFERROR(__xludf.DUMMYFUNCTION("""COMPUTED_VALUE"""),-5.0)</f>
        <v>-5</v>
      </c>
      <c r="AE88" s="310">
        <f>IFERROR(__xludf.DUMMYFUNCTION("""COMPUTED_VALUE"""),-25.0)</f>
        <v>-25</v>
      </c>
      <c r="AF88" s="310" t="str">
        <f>IFERROR(__xludf.DUMMYFUNCTION("""COMPUTED_VALUE"""),"")</f>
        <v/>
      </c>
      <c r="AG88" s="310">
        <f>IFERROR(__xludf.DUMMYFUNCTION("""COMPUTED_VALUE"""),0.0)</f>
        <v>0</v>
      </c>
      <c r="AH88" s="310">
        <f>IFERROR(__xludf.DUMMYFUNCTION("""COMPUTED_VALUE"""),0.0)</f>
        <v>0</v>
      </c>
      <c r="AI88" s="310">
        <f>IFERROR(__xludf.DUMMYFUNCTION("""COMPUTED_VALUE"""),0.0)</f>
        <v>0</v>
      </c>
      <c r="AJ88" s="310">
        <f>IFERROR(__xludf.DUMMYFUNCTION("ROWS(QUERY(Entregas_BD!D:AM,""select D where D ='""&amp;D88&amp;""'"",1))-1"),1.0)</f>
        <v>1</v>
      </c>
    </row>
    <row r="89" ht="22.5" customHeight="1">
      <c r="A89" s="311" t="str">
        <f>IFERROR(__xludf.DUMMYFUNCTION("""COMPUTED_VALUE"""),"")</f>
        <v/>
      </c>
      <c r="B89" s="311" t="str">
        <f>IFERROR(__xludf.DUMMYFUNCTION("""COMPUTED_VALUE"""),"")</f>
        <v/>
      </c>
      <c r="C89" s="311">
        <f>IFERROR(__xludf.DUMMYFUNCTION("""COMPUTED_VALUE"""),198.0)</f>
        <v>198</v>
      </c>
      <c r="D89" s="311" t="str">
        <f>IFERROR(__xludf.DUMMYFUNCTION("""COMPUTED_VALUE"""),"UPA Irajá")</f>
        <v>UPA Irajá</v>
      </c>
      <c r="E89" s="315" t="str">
        <f>IFERROR(__xludf.DUMMYFUNCTION("""COMPUTED_VALUE"""),"ZONA NORTE")</f>
        <v>ZONA NORTE</v>
      </c>
      <c r="F89" s="311" t="str">
        <f>IFERROR(__xludf.DUMMYFUNCTION("""COMPUTED_VALUE"""),"Rio de Janeiro")</f>
        <v>Rio de Janeiro</v>
      </c>
      <c r="G89" s="311" t="str">
        <f>IFERROR(__xludf.DUMMYFUNCTION("""COMPUTED_VALUE"""),"Iraja")</f>
        <v>Iraja</v>
      </c>
      <c r="H89" s="311" t="str">
        <f>IFERROR(__xludf.DUMMYFUNCTION("""COMPUTED_VALUE"""),"Grande emergência - MÉDIA COMPLEXIDADE")</f>
        <v>Grande emergência - MÉDIA COMPLEXIDADE</v>
      </c>
      <c r="I89" s="311" t="str">
        <f>IFERROR(__xludf.DUMMYFUNCTION("""COMPUTED_VALUE"""),"Público")</f>
        <v>Público</v>
      </c>
      <c r="J89" s="311" t="str">
        <f>IFERROR(__xludf.DUMMYFUNCTION("""COMPUTED_VALUE"""),"")</f>
        <v/>
      </c>
      <c r="K89" s="311" t="str">
        <f>IFERROR(__xludf.DUMMYFUNCTION("""COMPUTED_VALUE"""),"")</f>
        <v/>
      </c>
      <c r="L89" s="311" t="str">
        <f>IFERROR(__xludf.DUMMYFUNCTION("""COMPUTED_VALUE"""),"")</f>
        <v/>
      </c>
      <c r="M89" s="311" t="str">
        <f>IFERROR(__xludf.DUMMYFUNCTION("""COMPUTED_VALUE"""),"")</f>
        <v/>
      </c>
      <c r="N89" s="311">
        <f>IFERROR(__xludf.DUMMYFUNCTION("""COMPUTED_VALUE"""),0.0)</f>
        <v>0</v>
      </c>
      <c r="O89" s="311">
        <f>IFERROR(__xludf.DUMMYFUNCTION("""COMPUTED_VALUE"""),0.0)</f>
        <v>0</v>
      </c>
      <c r="P89" s="311">
        <f>IFERROR(__xludf.DUMMYFUNCTION("""COMPUTED_VALUE"""),0.0)</f>
        <v>0</v>
      </c>
      <c r="Q89" s="311">
        <f>IFERROR(__xludf.DUMMYFUNCTION("""COMPUTED_VALUE"""),0.0)</f>
        <v>0</v>
      </c>
      <c r="R89" s="311">
        <f>IFERROR(__xludf.DUMMYFUNCTION("""COMPUTED_VALUE"""),0.0)</f>
        <v>0</v>
      </c>
      <c r="S89" s="311">
        <f>IFERROR(__xludf.DUMMYFUNCTION("""COMPUTED_VALUE"""),0.0)</f>
        <v>0</v>
      </c>
      <c r="T89" s="311">
        <f>IFERROR(__xludf.DUMMYFUNCTION("""COMPUTED_VALUE"""),50.0)</f>
        <v>50</v>
      </c>
      <c r="U89" s="311">
        <f>IFERROR(__xludf.DUMMYFUNCTION("""COMPUTED_VALUE"""),0.0)</f>
        <v>0</v>
      </c>
      <c r="V89" s="311">
        <f>IFERROR(__xludf.DUMMYFUNCTION("""COMPUTED_VALUE"""),0.0)</f>
        <v>0</v>
      </c>
      <c r="W89" s="311">
        <f>IFERROR(__xludf.DUMMYFUNCTION("""COMPUTED_VALUE"""),0.0)</f>
        <v>0</v>
      </c>
      <c r="X89" s="311">
        <f>IFERROR(__xludf.DUMMYFUNCTION("""COMPUTED_VALUE"""),25.0)</f>
        <v>25</v>
      </c>
      <c r="Y89" s="311">
        <f>IFERROR(__xludf.DUMMYFUNCTION("""COMPUTED_VALUE"""),0.0)</f>
        <v>0</v>
      </c>
      <c r="Z89" s="311">
        <f>IFERROR(__xludf.DUMMYFUNCTION("""COMPUTED_VALUE"""),-50.0)</f>
        <v>-50</v>
      </c>
      <c r="AA89" s="311">
        <f>IFERROR(__xludf.DUMMYFUNCTION("""COMPUTED_VALUE"""),0.0)</f>
        <v>0</v>
      </c>
      <c r="AB89" s="311">
        <f>IFERROR(__xludf.DUMMYFUNCTION("""COMPUTED_VALUE"""),0.0)</f>
        <v>0</v>
      </c>
      <c r="AC89" s="311">
        <f>IFERROR(__xludf.DUMMYFUNCTION("""COMPUTED_VALUE"""),0.0)</f>
        <v>0</v>
      </c>
      <c r="AD89" s="311">
        <f>IFERROR(__xludf.DUMMYFUNCTION("""COMPUTED_VALUE"""),0.0)</f>
        <v>0</v>
      </c>
      <c r="AE89" s="311">
        <f>IFERROR(__xludf.DUMMYFUNCTION("""COMPUTED_VALUE"""),-25.0)</f>
        <v>-25</v>
      </c>
      <c r="AF89" s="311" t="str">
        <f>IFERROR(__xludf.DUMMYFUNCTION("""COMPUTED_VALUE"""),"")</f>
        <v/>
      </c>
      <c r="AG89" s="311">
        <f>IFERROR(__xludf.DUMMYFUNCTION("""COMPUTED_VALUE"""),0.0)</f>
        <v>0</v>
      </c>
      <c r="AH89" s="311">
        <f>IFERROR(__xludf.DUMMYFUNCTION("""COMPUTED_VALUE"""),0.0)</f>
        <v>0</v>
      </c>
      <c r="AI89" s="311">
        <f>IFERROR(__xludf.DUMMYFUNCTION("""COMPUTED_VALUE"""),0.0)</f>
        <v>0</v>
      </c>
      <c r="AJ89" s="311">
        <f>IFERROR(__xludf.DUMMYFUNCTION("ROWS(QUERY(Entregas_BD!D:AM,""select D where D ='""&amp;D89&amp;""'"",1))-1"),1.0)</f>
        <v>1</v>
      </c>
    </row>
    <row r="90" ht="22.5" customHeight="1">
      <c r="A90" s="310" t="str">
        <f>IFERROR(__xludf.DUMMYFUNCTION("""COMPUTED_VALUE"""),"")</f>
        <v/>
      </c>
      <c r="B90" s="310" t="str">
        <f>IFERROR(__xludf.DUMMYFUNCTION("""COMPUTED_VALUE"""),"")</f>
        <v/>
      </c>
      <c r="C90" s="310">
        <f>IFERROR(__xludf.DUMMYFUNCTION("""COMPUTED_VALUE"""),199.0)</f>
        <v>199</v>
      </c>
      <c r="D90" s="310" t="str">
        <f>IFERROR(__xludf.DUMMYFUNCTION("""COMPUTED_VALUE"""),"UPA Jardim Iris- Sao Joao de Meriti")</f>
        <v>UPA Jardim Iris- Sao Joao de Meriti</v>
      </c>
      <c r="E90" s="313" t="str">
        <f>IFERROR(__xludf.DUMMYFUNCTION("""COMPUTED_VALUE"""),"BAIXADA FLUMINENSE")</f>
        <v>BAIXADA FLUMINENSE</v>
      </c>
      <c r="F90" s="310" t="str">
        <f>IFERROR(__xludf.DUMMYFUNCTION("""COMPUTED_VALUE"""),"Rio de Janeiro")</f>
        <v>Rio de Janeiro</v>
      </c>
      <c r="G90" s="310" t="str">
        <f>IFERROR(__xludf.DUMMYFUNCTION("""COMPUTED_VALUE"""),"Jardim Iris")</f>
        <v>Jardim Iris</v>
      </c>
      <c r="H90" s="310" t="str">
        <f>IFERROR(__xludf.DUMMYFUNCTION("""COMPUTED_VALUE"""),"Referência - ALTA COMPLEXIDADE")</f>
        <v>Referência - ALTA COMPLEXIDADE</v>
      </c>
      <c r="I90" s="310" t="str">
        <f>IFERROR(__xludf.DUMMYFUNCTION("""COMPUTED_VALUE"""),"Público")</f>
        <v>Público</v>
      </c>
      <c r="J90" s="310" t="str">
        <f>IFERROR(__xludf.DUMMYFUNCTION("""COMPUTED_VALUE"""),"")</f>
        <v/>
      </c>
      <c r="K90" s="310" t="str">
        <f>IFERROR(__xludf.DUMMYFUNCTION("""COMPUTED_VALUE"""),"")</f>
        <v/>
      </c>
      <c r="L90" s="310" t="str">
        <f>IFERROR(__xludf.DUMMYFUNCTION("""COMPUTED_VALUE"""),"")</f>
        <v/>
      </c>
      <c r="M90" s="310" t="str">
        <f>IFERROR(__xludf.DUMMYFUNCTION("""COMPUTED_VALUE"""),"")</f>
        <v/>
      </c>
      <c r="N90" s="310">
        <f>IFERROR(__xludf.DUMMYFUNCTION("""COMPUTED_VALUE"""),0.0)</f>
        <v>0</v>
      </c>
      <c r="O90" s="310">
        <f>IFERROR(__xludf.DUMMYFUNCTION("""COMPUTED_VALUE"""),0.0)</f>
        <v>0</v>
      </c>
      <c r="P90" s="310">
        <f>IFERROR(__xludf.DUMMYFUNCTION("""COMPUTED_VALUE"""),0.0)</f>
        <v>0</v>
      </c>
      <c r="Q90" s="310">
        <f>IFERROR(__xludf.DUMMYFUNCTION("""COMPUTED_VALUE"""),0.0)</f>
        <v>0</v>
      </c>
      <c r="R90" s="310">
        <f>IFERROR(__xludf.DUMMYFUNCTION("""COMPUTED_VALUE"""),0.0)</f>
        <v>0</v>
      </c>
      <c r="S90" s="310">
        <f>IFERROR(__xludf.DUMMYFUNCTION("""COMPUTED_VALUE"""),0.0)</f>
        <v>0</v>
      </c>
      <c r="T90" s="310">
        <f>IFERROR(__xludf.DUMMYFUNCTION("""COMPUTED_VALUE"""),55.0)</f>
        <v>55</v>
      </c>
      <c r="U90" s="310">
        <f>IFERROR(__xludf.DUMMYFUNCTION("""COMPUTED_VALUE"""),0.0)</f>
        <v>0</v>
      </c>
      <c r="V90" s="310">
        <f>IFERROR(__xludf.DUMMYFUNCTION("""COMPUTED_VALUE"""),0.0)</f>
        <v>0</v>
      </c>
      <c r="W90" s="310">
        <f>IFERROR(__xludf.DUMMYFUNCTION("""COMPUTED_VALUE"""),0.0)</f>
        <v>0</v>
      </c>
      <c r="X90" s="310">
        <f>IFERROR(__xludf.DUMMYFUNCTION("""COMPUTED_VALUE"""),0.0)</f>
        <v>0</v>
      </c>
      <c r="Y90" s="310">
        <f>IFERROR(__xludf.DUMMYFUNCTION("""COMPUTED_VALUE"""),6.0)</f>
        <v>6</v>
      </c>
      <c r="Z90" s="310">
        <f>IFERROR(__xludf.DUMMYFUNCTION("""COMPUTED_VALUE"""),-55.0)</f>
        <v>-55</v>
      </c>
      <c r="AA90" s="310">
        <f>IFERROR(__xludf.DUMMYFUNCTION("""COMPUTED_VALUE"""),0.0)</f>
        <v>0</v>
      </c>
      <c r="AB90" s="310">
        <f>IFERROR(__xludf.DUMMYFUNCTION("""COMPUTED_VALUE"""),0.0)</f>
        <v>0</v>
      </c>
      <c r="AC90" s="310">
        <f>IFERROR(__xludf.DUMMYFUNCTION("""COMPUTED_VALUE"""),0.0)</f>
        <v>0</v>
      </c>
      <c r="AD90" s="310">
        <f>IFERROR(__xludf.DUMMYFUNCTION("""COMPUTED_VALUE"""),-6.0)</f>
        <v>-6</v>
      </c>
      <c r="AE90" s="310">
        <f>IFERROR(__xludf.DUMMYFUNCTION("""COMPUTED_VALUE"""),0.0)</f>
        <v>0</v>
      </c>
      <c r="AF90" s="310" t="str">
        <f>IFERROR(__xludf.DUMMYFUNCTION("""COMPUTED_VALUE"""),"")</f>
        <v/>
      </c>
      <c r="AG90" s="310">
        <f>IFERROR(__xludf.DUMMYFUNCTION("""COMPUTED_VALUE"""),0.0)</f>
        <v>0</v>
      </c>
      <c r="AH90" s="310">
        <f>IFERROR(__xludf.DUMMYFUNCTION("""COMPUTED_VALUE"""),0.0)</f>
        <v>0</v>
      </c>
      <c r="AI90" s="310">
        <f>IFERROR(__xludf.DUMMYFUNCTION("""COMPUTED_VALUE"""),0.0)</f>
        <v>0</v>
      </c>
      <c r="AJ90" s="310">
        <f>IFERROR(__xludf.DUMMYFUNCTION("ROWS(QUERY(Entregas_BD!D:AM,""select D where D ='""&amp;D90&amp;""'"",1))-1"),1.0)</f>
        <v>1</v>
      </c>
    </row>
    <row r="91" ht="22.5" customHeight="1">
      <c r="A91" s="311" t="str">
        <f>IFERROR(__xludf.DUMMYFUNCTION("""COMPUTED_VALUE"""),"")</f>
        <v/>
      </c>
      <c r="B91" s="311" t="str">
        <f>IFERROR(__xludf.DUMMYFUNCTION("""COMPUTED_VALUE"""),"")</f>
        <v/>
      </c>
      <c r="C91" s="311">
        <f>IFERROR(__xludf.DUMMYFUNCTION("""COMPUTED_VALUE"""),201.0)</f>
        <v>201</v>
      </c>
      <c r="D91" s="311" t="str">
        <f>IFERROR(__xludf.DUMMYFUNCTION("""COMPUTED_VALUE"""),"Upa Rocinha")</f>
        <v>Upa Rocinha</v>
      </c>
      <c r="E91" s="315" t="str">
        <f>IFERROR(__xludf.DUMMYFUNCTION("""COMPUTED_VALUE"""),"ZONA SUL")</f>
        <v>ZONA SUL</v>
      </c>
      <c r="F91" s="311" t="str">
        <f>IFERROR(__xludf.DUMMYFUNCTION("""COMPUTED_VALUE"""),"Rio de Janeiro")</f>
        <v>Rio de Janeiro</v>
      </c>
      <c r="G91" s="311" t="str">
        <f>IFERROR(__xludf.DUMMYFUNCTION("""COMPUTED_VALUE"""),"Rocinha")</f>
        <v>Rocinha</v>
      </c>
      <c r="H91" s="311" t="str">
        <f>IFERROR(__xludf.DUMMYFUNCTION("""COMPUTED_VALUE"""),"Grande emergência - MÉDIA COMPLEXIDADE")</f>
        <v>Grande emergência - MÉDIA COMPLEXIDADE</v>
      </c>
      <c r="I91" s="311" t="str">
        <f>IFERROR(__xludf.DUMMYFUNCTION("""COMPUTED_VALUE"""),"Público")</f>
        <v>Público</v>
      </c>
      <c r="J91" s="311" t="str">
        <f>IFERROR(__xludf.DUMMYFUNCTION("""COMPUTED_VALUE"""),"")</f>
        <v/>
      </c>
      <c r="K91" s="311" t="str">
        <f>IFERROR(__xludf.DUMMYFUNCTION("""COMPUTED_VALUE"""),"")</f>
        <v/>
      </c>
      <c r="L91" s="311" t="str">
        <f>IFERROR(__xludf.DUMMYFUNCTION("""COMPUTED_VALUE"""),"")</f>
        <v/>
      </c>
      <c r="M91" s="311" t="str">
        <f>IFERROR(__xludf.DUMMYFUNCTION("""COMPUTED_VALUE"""),"")</f>
        <v/>
      </c>
      <c r="N91" s="311">
        <f>IFERROR(__xludf.DUMMYFUNCTION("""COMPUTED_VALUE"""),0.0)</f>
        <v>0</v>
      </c>
      <c r="O91" s="311">
        <f>IFERROR(__xludf.DUMMYFUNCTION("""COMPUTED_VALUE"""),0.0)</f>
        <v>0</v>
      </c>
      <c r="P91" s="311">
        <f>IFERROR(__xludf.DUMMYFUNCTION("""COMPUTED_VALUE"""),0.0)</f>
        <v>0</v>
      </c>
      <c r="Q91" s="311">
        <f>IFERROR(__xludf.DUMMYFUNCTION("""COMPUTED_VALUE"""),0.0)</f>
        <v>0</v>
      </c>
      <c r="R91" s="311">
        <f>IFERROR(__xludf.DUMMYFUNCTION("""COMPUTED_VALUE"""),0.0)</f>
        <v>0</v>
      </c>
      <c r="S91" s="311">
        <f>IFERROR(__xludf.DUMMYFUNCTION("""COMPUTED_VALUE"""),0.0)</f>
        <v>0</v>
      </c>
      <c r="T91" s="311">
        <f>IFERROR(__xludf.DUMMYFUNCTION("""COMPUTED_VALUE"""),5.0)</f>
        <v>5</v>
      </c>
      <c r="U91" s="311">
        <f>IFERROR(__xludf.DUMMYFUNCTION("""COMPUTED_VALUE"""),0.0)</f>
        <v>0</v>
      </c>
      <c r="V91" s="311">
        <f>IFERROR(__xludf.DUMMYFUNCTION("""COMPUTED_VALUE"""),0.0)</f>
        <v>0</v>
      </c>
      <c r="W91" s="311">
        <f>IFERROR(__xludf.DUMMYFUNCTION("""COMPUTED_VALUE"""),0.0)</f>
        <v>0</v>
      </c>
      <c r="X91" s="311">
        <f>IFERROR(__xludf.DUMMYFUNCTION("""COMPUTED_VALUE"""),10.0)</f>
        <v>10</v>
      </c>
      <c r="Y91" s="311">
        <f>IFERROR(__xludf.DUMMYFUNCTION("""COMPUTED_VALUE"""),7.5)</f>
        <v>7.5</v>
      </c>
      <c r="Z91" s="311">
        <f>IFERROR(__xludf.DUMMYFUNCTION("""COMPUTED_VALUE"""),-5.0)</f>
        <v>-5</v>
      </c>
      <c r="AA91" s="311">
        <f>IFERROR(__xludf.DUMMYFUNCTION("""COMPUTED_VALUE"""),0.0)</f>
        <v>0</v>
      </c>
      <c r="AB91" s="311">
        <f>IFERROR(__xludf.DUMMYFUNCTION("""COMPUTED_VALUE"""),0.0)</f>
        <v>0</v>
      </c>
      <c r="AC91" s="311">
        <f>IFERROR(__xludf.DUMMYFUNCTION("""COMPUTED_VALUE"""),0.0)</f>
        <v>0</v>
      </c>
      <c r="AD91" s="311">
        <f>IFERROR(__xludf.DUMMYFUNCTION("""COMPUTED_VALUE"""),-7.5)</f>
        <v>-7.5</v>
      </c>
      <c r="AE91" s="311">
        <f>IFERROR(__xludf.DUMMYFUNCTION("""COMPUTED_VALUE"""),-10.0)</f>
        <v>-10</v>
      </c>
      <c r="AF91" s="311" t="str">
        <f>IFERROR(__xludf.DUMMYFUNCTION("""COMPUTED_VALUE"""),"")</f>
        <v/>
      </c>
      <c r="AG91" s="311">
        <f>IFERROR(__xludf.DUMMYFUNCTION("""COMPUTED_VALUE"""),0.0)</f>
        <v>0</v>
      </c>
      <c r="AH91" s="311">
        <f>IFERROR(__xludf.DUMMYFUNCTION("""COMPUTED_VALUE"""),0.0)</f>
        <v>0</v>
      </c>
      <c r="AI91" s="311">
        <f>IFERROR(__xludf.DUMMYFUNCTION("""COMPUTED_VALUE"""),0.0)</f>
        <v>0</v>
      </c>
      <c r="AJ91" s="311">
        <f>IFERROR(__xludf.DUMMYFUNCTION("ROWS(QUERY(Entregas_BD!D:AM,""select D where D ='""&amp;D91&amp;""'"",1))-1"),1.0)</f>
        <v>1</v>
      </c>
    </row>
    <row r="92" ht="22.5" customHeight="1">
      <c r="A92" s="310" t="str">
        <f>IFERROR(__xludf.DUMMYFUNCTION("""COMPUTED_VALUE"""),"")</f>
        <v/>
      </c>
      <c r="B92" s="310" t="str">
        <f>IFERROR(__xludf.DUMMYFUNCTION("""COMPUTED_VALUE"""),"")</f>
        <v/>
      </c>
      <c r="C92" s="310">
        <f>IFERROR(__xludf.DUMMYFUNCTION("""COMPUTED_VALUE"""),202.0)</f>
        <v>202</v>
      </c>
      <c r="D92" s="310" t="str">
        <f>IFERROR(__xludf.DUMMYFUNCTION("""COMPUTED_VALUE"""),"UPA Tijuca")</f>
        <v>UPA Tijuca</v>
      </c>
      <c r="E92" s="313" t="str">
        <f>IFERROR(__xludf.DUMMYFUNCTION("""COMPUTED_VALUE"""),"ZONA NORTE")</f>
        <v>ZONA NORTE</v>
      </c>
      <c r="F92" s="310" t="str">
        <f>IFERROR(__xludf.DUMMYFUNCTION("""COMPUTED_VALUE"""),"Rio de Janeiro")</f>
        <v>Rio de Janeiro</v>
      </c>
      <c r="G92" s="310" t="str">
        <f>IFERROR(__xludf.DUMMYFUNCTION("""COMPUTED_VALUE"""),"Tijuca")</f>
        <v>Tijuca</v>
      </c>
      <c r="H92" s="310" t="str">
        <f>IFERROR(__xludf.DUMMYFUNCTION("""COMPUTED_VALUE"""),"Grande emergência - MÉDIA COMPLEXIDADE")</f>
        <v>Grande emergência - MÉDIA COMPLEXIDADE</v>
      </c>
      <c r="I92" s="310" t="str">
        <f>IFERROR(__xludf.DUMMYFUNCTION("""COMPUTED_VALUE"""),"Público")</f>
        <v>Público</v>
      </c>
      <c r="J92" s="310" t="str">
        <f>IFERROR(__xludf.DUMMYFUNCTION("""COMPUTED_VALUE"""),"")</f>
        <v/>
      </c>
      <c r="K92" s="310" t="str">
        <f>IFERROR(__xludf.DUMMYFUNCTION("""COMPUTED_VALUE"""),"")</f>
        <v/>
      </c>
      <c r="L92" s="310" t="str">
        <f>IFERROR(__xludf.DUMMYFUNCTION("""COMPUTED_VALUE"""),"")</f>
        <v/>
      </c>
      <c r="M92" s="310" t="str">
        <f>IFERROR(__xludf.DUMMYFUNCTION("""COMPUTED_VALUE"""),"")</f>
        <v/>
      </c>
      <c r="N92" s="310">
        <f>IFERROR(__xludf.DUMMYFUNCTION("""COMPUTED_VALUE"""),0.0)</f>
        <v>0</v>
      </c>
      <c r="O92" s="310">
        <f>IFERROR(__xludf.DUMMYFUNCTION("""COMPUTED_VALUE"""),0.0)</f>
        <v>0</v>
      </c>
      <c r="P92" s="310">
        <f>IFERROR(__xludf.DUMMYFUNCTION("""COMPUTED_VALUE"""),0.0)</f>
        <v>0</v>
      </c>
      <c r="Q92" s="310">
        <f>IFERROR(__xludf.DUMMYFUNCTION("""COMPUTED_VALUE"""),0.0)</f>
        <v>0</v>
      </c>
      <c r="R92" s="310">
        <f>IFERROR(__xludf.DUMMYFUNCTION("""COMPUTED_VALUE"""),0.0)</f>
        <v>0</v>
      </c>
      <c r="S92" s="310">
        <f>IFERROR(__xludf.DUMMYFUNCTION("""COMPUTED_VALUE"""),0.0)</f>
        <v>0</v>
      </c>
      <c r="T92" s="310">
        <f>IFERROR(__xludf.DUMMYFUNCTION("""COMPUTED_VALUE"""),5.0)</f>
        <v>5</v>
      </c>
      <c r="U92" s="310">
        <f>IFERROR(__xludf.DUMMYFUNCTION("""COMPUTED_VALUE"""),0.0)</f>
        <v>0</v>
      </c>
      <c r="V92" s="310">
        <f>IFERROR(__xludf.DUMMYFUNCTION("""COMPUTED_VALUE"""),0.0)</f>
        <v>0</v>
      </c>
      <c r="W92" s="310">
        <f>IFERROR(__xludf.DUMMYFUNCTION("""COMPUTED_VALUE"""),0.0)</f>
        <v>0</v>
      </c>
      <c r="X92" s="310">
        <f>IFERROR(__xludf.DUMMYFUNCTION("""COMPUTED_VALUE"""),0.0)</f>
        <v>0</v>
      </c>
      <c r="Y92" s="310">
        <f>IFERROR(__xludf.DUMMYFUNCTION("""COMPUTED_VALUE"""),0.0)</f>
        <v>0</v>
      </c>
      <c r="Z92" s="310">
        <f>IFERROR(__xludf.DUMMYFUNCTION("""COMPUTED_VALUE"""),-5.0)</f>
        <v>-5</v>
      </c>
      <c r="AA92" s="310">
        <f>IFERROR(__xludf.DUMMYFUNCTION("""COMPUTED_VALUE"""),0.0)</f>
        <v>0</v>
      </c>
      <c r="AB92" s="310">
        <f>IFERROR(__xludf.DUMMYFUNCTION("""COMPUTED_VALUE"""),0.0)</f>
        <v>0</v>
      </c>
      <c r="AC92" s="310">
        <f>IFERROR(__xludf.DUMMYFUNCTION("""COMPUTED_VALUE"""),0.0)</f>
        <v>0</v>
      </c>
      <c r="AD92" s="310">
        <f>IFERROR(__xludf.DUMMYFUNCTION("""COMPUTED_VALUE"""),0.0)</f>
        <v>0</v>
      </c>
      <c r="AE92" s="310">
        <f>IFERROR(__xludf.DUMMYFUNCTION("""COMPUTED_VALUE"""),0.0)</f>
        <v>0</v>
      </c>
      <c r="AF92" s="310" t="str">
        <f>IFERROR(__xludf.DUMMYFUNCTION("""COMPUTED_VALUE"""),"")</f>
        <v/>
      </c>
      <c r="AG92" s="310">
        <f>IFERROR(__xludf.DUMMYFUNCTION("""COMPUTED_VALUE"""),0.0)</f>
        <v>0</v>
      </c>
      <c r="AH92" s="310">
        <f>IFERROR(__xludf.DUMMYFUNCTION("""COMPUTED_VALUE"""),0.0)</f>
        <v>0</v>
      </c>
      <c r="AI92" s="310">
        <f>IFERROR(__xludf.DUMMYFUNCTION("""COMPUTED_VALUE"""),0.0)</f>
        <v>0</v>
      </c>
      <c r="AJ92" s="310">
        <f>IFERROR(__xludf.DUMMYFUNCTION("ROWS(QUERY(Entregas_BD!D:AM,""select D where D ='""&amp;D92&amp;""'"",1))-1"),2.0)</f>
        <v>2</v>
      </c>
    </row>
    <row r="93" ht="22.5" customHeight="1">
      <c r="A93" s="311" t="str">
        <f>IFERROR(__xludf.DUMMYFUNCTION("""COMPUTED_VALUE"""),"")</f>
        <v/>
      </c>
      <c r="B93" s="311" t="str">
        <f>IFERROR(__xludf.DUMMYFUNCTION("""COMPUTED_VALUE"""),"")</f>
        <v/>
      </c>
      <c r="C93" s="311">
        <f>IFERROR(__xludf.DUMMYFUNCTION("""COMPUTED_VALUE"""),207.0)</f>
        <v>207</v>
      </c>
      <c r="D93" s="311" t="str">
        <f>IFERROR(__xludf.DUMMYFUNCTION("""COMPUTED_VALUE"""),"HOSPITAL UNIVERSITÁRIO DE VASSOURAS - HUV")</f>
        <v>HOSPITAL UNIVERSITÁRIO DE VASSOURAS - HUV</v>
      </c>
      <c r="E93" s="315" t="str">
        <f>IFERROR(__xludf.DUMMYFUNCTION("""COMPUTED_VALUE"""),"REGIAO SERRANA")</f>
        <v>REGIAO SERRANA</v>
      </c>
      <c r="F93" s="311" t="str">
        <f>IFERROR(__xludf.DUMMYFUNCTION("""COMPUTED_VALUE"""),"VASSOURAS")</f>
        <v>VASSOURAS</v>
      </c>
      <c r="G93" s="311" t="str">
        <f>IFERROR(__xludf.DUMMYFUNCTION("""COMPUTED_VALUE"""),"MADRUGA")</f>
        <v>MADRUGA</v>
      </c>
      <c r="H93" s="311" t="str">
        <f>IFERROR(__xludf.DUMMYFUNCTION("""COMPUTED_VALUE"""),"Referência - ALTA COMPLEXIDADE")</f>
        <v>Referência - ALTA COMPLEXIDADE</v>
      </c>
      <c r="I93" s="311" t="str">
        <f>IFERROR(__xludf.DUMMYFUNCTION("""COMPUTED_VALUE"""),"Público")</f>
        <v>Público</v>
      </c>
      <c r="J93" s="311" t="str">
        <f>IFERROR(__xludf.DUMMYFUNCTION("""COMPUTED_VALUE"""),"")</f>
        <v/>
      </c>
      <c r="K93" s="311" t="str">
        <f>IFERROR(__xludf.DUMMYFUNCTION("""COMPUTED_VALUE"""),"")</f>
        <v/>
      </c>
      <c r="L93" s="311" t="str">
        <f>IFERROR(__xludf.DUMMYFUNCTION("""COMPUTED_VALUE"""),"")</f>
        <v/>
      </c>
      <c r="M93" s="311" t="str">
        <f>IFERROR(__xludf.DUMMYFUNCTION("""COMPUTED_VALUE"""),"")</f>
        <v/>
      </c>
      <c r="N93" s="311">
        <f>IFERROR(__xludf.DUMMYFUNCTION("""COMPUTED_VALUE"""),0.0)</f>
        <v>0</v>
      </c>
      <c r="O93" s="311">
        <f>IFERROR(__xludf.DUMMYFUNCTION("""COMPUTED_VALUE"""),0.0)</f>
        <v>0</v>
      </c>
      <c r="P93" s="311">
        <f>IFERROR(__xludf.DUMMYFUNCTION("""COMPUTED_VALUE"""),0.0)</f>
        <v>0</v>
      </c>
      <c r="Q93" s="311">
        <f>IFERROR(__xludf.DUMMYFUNCTION("""COMPUTED_VALUE"""),0.0)</f>
        <v>0</v>
      </c>
      <c r="R93" s="311">
        <f>IFERROR(__xludf.DUMMYFUNCTION("""COMPUTED_VALUE"""),0.0)</f>
        <v>0</v>
      </c>
      <c r="S93" s="311">
        <f>IFERROR(__xludf.DUMMYFUNCTION("""COMPUTED_VALUE"""),0.0)</f>
        <v>0</v>
      </c>
      <c r="T93" s="311">
        <f>IFERROR(__xludf.DUMMYFUNCTION("""COMPUTED_VALUE"""),250.0)</f>
        <v>250</v>
      </c>
      <c r="U93" s="311">
        <f>IFERROR(__xludf.DUMMYFUNCTION("""COMPUTED_VALUE"""),0.0)</f>
        <v>0</v>
      </c>
      <c r="V93" s="311">
        <f>IFERROR(__xludf.DUMMYFUNCTION("""COMPUTED_VALUE"""),0.0)</f>
        <v>0</v>
      </c>
      <c r="W93" s="311">
        <f>IFERROR(__xludf.DUMMYFUNCTION("""COMPUTED_VALUE"""),0.0)</f>
        <v>0</v>
      </c>
      <c r="X93" s="311">
        <f>IFERROR(__xludf.DUMMYFUNCTION("""COMPUTED_VALUE"""),0.0)</f>
        <v>0</v>
      </c>
      <c r="Y93" s="311">
        <f>IFERROR(__xludf.DUMMYFUNCTION("""COMPUTED_VALUE"""),0.0)</f>
        <v>0</v>
      </c>
      <c r="Z93" s="311">
        <f>IFERROR(__xludf.DUMMYFUNCTION("""COMPUTED_VALUE"""),-250.0)</f>
        <v>-250</v>
      </c>
      <c r="AA93" s="311">
        <f>IFERROR(__xludf.DUMMYFUNCTION("""COMPUTED_VALUE"""),0.0)</f>
        <v>0</v>
      </c>
      <c r="AB93" s="311">
        <f>IFERROR(__xludf.DUMMYFUNCTION("""COMPUTED_VALUE"""),0.0)</f>
        <v>0</v>
      </c>
      <c r="AC93" s="311">
        <f>IFERROR(__xludf.DUMMYFUNCTION("""COMPUTED_VALUE"""),0.0)</f>
        <v>0</v>
      </c>
      <c r="AD93" s="311">
        <f>IFERROR(__xludf.DUMMYFUNCTION("""COMPUTED_VALUE"""),0.0)</f>
        <v>0</v>
      </c>
      <c r="AE93" s="311">
        <f>IFERROR(__xludf.DUMMYFUNCTION("""COMPUTED_VALUE"""),0.0)</f>
        <v>0</v>
      </c>
      <c r="AF93" s="311" t="str">
        <f>IFERROR(__xludf.DUMMYFUNCTION("""COMPUTED_VALUE"""),"")</f>
        <v/>
      </c>
      <c r="AG93" s="311">
        <f>IFERROR(__xludf.DUMMYFUNCTION("""COMPUTED_VALUE"""),0.0)</f>
        <v>0</v>
      </c>
      <c r="AH93" s="311">
        <f>IFERROR(__xludf.DUMMYFUNCTION("""COMPUTED_VALUE"""),0.0)</f>
        <v>0</v>
      </c>
      <c r="AI93" s="311">
        <f>IFERROR(__xludf.DUMMYFUNCTION("""COMPUTED_VALUE"""),0.0)</f>
        <v>0</v>
      </c>
      <c r="AJ93" s="311">
        <f>IFERROR(__xludf.DUMMYFUNCTION("ROWS(QUERY(Entregas_BD!D:AM,""select D where D ='""&amp;D93&amp;""'"",1))-1"),1.0)</f>
        <v>1</v>
      </c>
    </row>
    <row r="94" ht="22.5" customHeight="1">
      <c r="A94" s="310" t="str">
        <f>IFERROR(__xludf.DUMMYFUNCTION("""COMPUTED_VALUE"""),"")</f>
        <v/>
      </c>
      <c r="B94" s="310" t="str">
        <f>IFERROR(__xludf.DUMMYFUNCTION("""COMPUTED_VALUE"""),"")</f>
        <v/>
      </c>
      <c r="C94" s="310">
        <f>IFERROR(__xludf.DUMMYFUNCTION("""COMPUTED_VALUE"""),208.0)</f>
        <v>208</v>
      </c>
      <c r="D94" s="310" t="str">
        <f>IFERROR(__xludf.DUMMYFUNCTION("""COMPUTED_VALUE"""),"UPA Cabuçu")</f>
        <v>UPA Cabuçu</v>
      </c>
      <c r="E94" s="313" t="str">
        <f>IFERROR(__xludf.DUMMYFUNCTION("""COMPUTED_VALUE"""),"BAIXADA FLUMINENSE")</f>
        <v>BAIXADA FLUMINENSE</v>
      </c>
      <c r="F94" s="310" t="str">
        <f>IFERROR(__xludf.DUMMYFUNCTION("""COMPUTED_VALUE"""),"Nova Iguaçu")</f>
        <v>Nova Iguaçu</v>
      </c>
      <c r="G94" s="310" t="str">
        <f>IFERROR(__xludf.DUMMYFUNCTION("""COMPUTED_VALUE"""),"Cabuçu")</f>
        <v>Cabuçu</v>
      </c>
      <c r="H94" s="310" t="str">
        <f>IFERROR(__xludf.DUMMYFUNCTION("""COMPUTED_VALUE"""),"Grande emergência - MÉDIA COMPLEXIDADE")</f>
        <v>Grande emergência - MÉDIA COMPLEXIDADE</v>
      </c>
      <c r="I94" s="310" t="str">
        <f>IFERROR(__xludf.DUMMYFUNCTION("""COMPUTED_VALUE"""),"Público")</f>
        <v>Público</v>
      </c>
      <c r="J94" s="310" t="str">
        <f>IFERROR(__xludf.DUMMYFUNCTION("""COMPUTED_VALUE"""),"")</f>
        <v/>
      </c>
      <c r="K94" s="310" t="str">
        <f>IFERROR(__xludf.DUMMYFUNCTION("""COMPUTED_VALUE"""),"")</f>
        <v/>
      </c>
      <c r="L94" s="310" t="str">
        <f>IFERROR(__xludf.DUMMYFUNCTION("""COMPUTED_VALUE"""),"")</f>
        <v/>
      </c>
      <c r="M94" s="310" t="str">
        <f>IFERROR(__xludf.DUMMYFUNCTION("""COMPUTED_VALUE"""),"")</f>
        <v/>
      </c>
      <c r="N94" s="310">
        <f>IFERROR(__xludf.DUMMYFUNCTION("""COMPUTED_VALUE"""),0.0)</f>
        <v>0</v>
      </c>
      <c r="O94" s="310">
        <f>IFERROR(__xludf.DUMMYFUNCTION("""COMPUTED_VALUE"""),0.0)</f>
        <v>0</v>
      </c>
      <c r="P94" s="310">
        <f>IFERROR(__xludf.DUMMYFUNCTION("""COMPUTED_VALUE"""),0.0)</f>
        <v>0</v>
      </c>
      <c r="Q94" s="310">
        <f>IFERROR(__xludf.DUMMYFUNCTION("""COMPUTED_VALUE"""),0.0)</f>
        <v>0</v>
      </c>
      <c r="R94" s="310">
        <f>IFERROR(__xludf.DUMMYFUNCTION("""COMPUTED_VALUE"""),0.0)</f>
        <v>0</v>
      </c>
      <c r="S94" s="310">
        <f>IFERROR(__xludf.DUMMYFUNCTION("""COMPUTED_VALUE"""),0.0)</f>
        <v>0</v>
      </c>
      <c r="T94" s="310">
        <f>IFERROR(__xludf.DUMMYFUNCTION("""COMPUTED_VALUE"""),50.0)</f>
        <v>50</v>
      </c>
      <c r="U94" s="310">
        <f>IFERROR(__xludf.DUMMYFUNCTION("""COMPUTED_VALUE"""),0.0)</f>
        <v>0</v>
      </c>
      <c r="V94" s="310">
        <f>IFERROR(__xludf.DUMMYFUNCTION("""COMPUTED_VALUE"""),0.0)</f>
        <v>0</v>
      </c>
      <c r="W94" s="310">
        <f>IFERROR(__xludf.DUMMYFUNCTION("""COMPUTED_VALUE"""),0.0)</f>
        <v>0</v>
      </c>
      <c r="X94" s="310">
        <f>IFERROR(__xludf.DUMMYFUNCTION("""COMPUTED_VALUE"""),0.0)</f>
        <v>0</v>
      </c>
      <c r="Y94" s="310">
        <f>IFERROR(__xludf.DUMMYFUNCTION("""COMPUTED_VALUE"""),0.0)</f>
        <v>0</v>
      </c>
      <c r="Z94" s="310">
        <f>IFERROR(__xludf.DUMMYFUNCTION("""COMPUTED_VALUE"""),-50.0)</f>
        <v>-50</v>
      </c>
      <c r="AA94" s="310">
        <f>IFERROR(__xludf.DUMMYFUNCTION("""COMPUTED_VALUE"""),0.0)</f>
        <v>0</v>
      </c>
      <c r="AB94" s="310">
        <f>IFERROR(__xludf.DUMMYFUNCTION("""COMPUTED_VALUE"""),0.0)</f>
        <v>0</v>
      </c>
      <c r="AC94" s="310">
        <f>IFERROR(__xludf.DUMMYFUNCTION("""COMPUTED_VALUE"""),0.0)</f>
        <v>0</v>
      </c>
      <c r="AD94" s="310">
        <f>IFERROR(__xludf.DUMMYFUNCTION("""COMPUTED_VALUE"""),0.0)</f>
        <v>0</v>
      </c>
      <c r="AE94" s="310">
        <f>IFERROR(__xludf.DUMMYFUNCTION("""COMPUTED_VALUE"""),0.0)</f>
        <v>0</v>
      </c>
      <c r="AF94" s="310" t="str">
        <f>IFERROR(__xludf.DUMMYFUNCTION("""COMPUTED_VALUE"""),"")</f>
        <v/>
      </c>
      <c r="AG94" s="310">
        <f>IFERROR(__xludf.DUMMYFUNCTION("""COMPUTED_VALUE"""),0.0)</f>
        <v>0</v>
      </c>
      <c r="AH94" s="310">
        <f>IFERROR(__xludf.DUMMYFUNCTION("""COMPUTED_VALUE"""),0.0)</f>
        <v>0</v>
      </c>
      <c r="AI94" s="310">
        <f>IFERROR(__xludf.DUMMYFUNCTION("""COMPUTED_VALUE"""),0.0)</f>
        <v>0</v>
      </c>
      <c r="AJ94" s="310">
        <f>IFERROR(__xludf.DUMMYFUNCTION("ROWS(QUERY(Entregas_BD!D:AM,""select D where D ='""&amp;D94&amp;""'"",1))-1"),1.0)</f>
        <v>1</v>
      </c>
    </row>
    <row r="95" ht="22.5" customHeight="1">
      <c r="A95" s="311" t="str">
        <f>IFERROR(__xludf.DUMMYFUNCTION("""COMPUTED_VALUE"""),"")</f>
        <v/>
      </c>
      <c r="B95" s="311" t="str">
        <f>IFERROR(__xludf.DUMMYFUNCTION("""COMPUTED_VALUE"""),"")</f>
        <v/>
      </c>
      <c r="C95" s="311">
        <f>IFERROR(__xludf.DUMMYFUNCTION("""COMPUTED_VALUE"""),210.0)</f>
        <v>210</v>
      </c>
      <c r="D95" s="311" t="str">
        <f>IFERROR(__xludf.DUMMYFUNCTION("""COMPUTED_VALUE"""),"Upa Copacabana")</f>
        <v>Upa Copacabana</v>
      </c>
      <c r="E95" s="312" t="str">
        <f>IFERROR(__xludf.DUMMYFUNCTION("""COMPUTED_VALUE"""),"ZONA SUL")</f>
        <v>ZONA SUL</v>
      </c>
      <c r="F95" s="311" t="str">
        <f>IFERROR(__xludf.DUMMYFUNCTION("""COMPUTED_VALUE"""),"Rio de Janeiro")</f>
        <v>Rio de Janeiro</v>
      </c>
      <c r="G95" s="311" t="str">
        <f>IFERROR(__xludf.DUMMYFUNCTION("""COMPUTED_VALUE"""),"Copacabana")</f>
        <v>Copacabana</v>
      </c>
      <c r="H95" s="311" t="str">
        <f>IFERROR(__xludf.DUMMYFUNCTION("""COMPUTED_VALUE"""),"Grande emergência - MÉDIA COMPLEXIDADE")</f>
        <v>Grande emergência - MÉDIA COMPLEXIDADE</v>
      </c>
      <c r="I95" s="311" t="str">
        <f>IFERROR(__xludf.DUMMYFUNCTION("""COMPUTED_VALUE"""),"Público")</f>
        <v>Público</v>
      </c>
      <c r="J95" s="311" t="str">
        <f>IFERROR(__xludf.DUMMYFUNCTION("""COMPUTED_VALUE"""),"")</f>
        <v/>
      </c>
      <c r="K95" s="311" t="str">
        <f>IFERROR(__xludf.DUMMYFUNCTION("""COMPUTED_VALUE"""),"")</f>
        <v/>
      </c>
      <c r="L95" s="311" t="str">
        <f>IFERROR(__xludf.DUMMYFUNCTION("""COMPUTED_VALUE"""),"")</f>
        <v/>
      </c>
      <c r="M95" s="311" t="str">
        <f>IFERROR(__xludf.DUMMYFUNCTION("""COMPUTED_VALUE"""),"")</f>
        <v/>
      </c>
      <c r="N95" s="311">
        <f>IFERROR(__xludf.DUMMYFUNCTION("""COMPUTED_VALUE"""),0.0)</f>
        <v>0</v>
      </c>
      <c r="O95" s="311">
        <f>IFERROR(__xludf.DUMMYFUNCTION("""COMPUTED_VALUE"""),0.0)</f>
        <v>0</v>
      </c>
      <c r="P95" s="311">
        <f>IFERROR(__xludf.DUMMYFUNCTION("""COMPUTED_VALUE"""),0.0)</f>
        <v>0</v>
      </c>
      <c r="Q95" s="311">
        <f>IFERROR(__xludf.DUMMYFUNCTION("""COMPUTED_VALUE"""),0.0)</f>
        <v>0</v>
      </c>
      <c r="R95" s="311">
        <f>IFERROR(__xludf.DUMMYFUNCTION("""COMPUTED_VALUE"""),0.0)</f>
        <v>0</v>
      </c>
      <c r="S95" s="311">
        <f>IFERROR(__xludf.DUMMYFUNCTION("""COMPUTED_VALUE"""),0.0)</f>
        <v>0</v>
      </c>
      <c r="T95" s="311">
        <f>IFERROR(__xludf.DUMMYFUNCTION("""COMPUTED_VALUE"""),50.0)</f>
        <v>50</v>
      </c>
      <c r="U95" s="311">
        <f>IFERROR(__xludf.DUMMYFUNCTION("""COMPUTED_VALUE"""),0.0)</f>
        <v>0</v>
      </c>
      <c r="V95" s="311">
        <f>IFERROR(__xludf.DUMMYFUNCTION("""COMPUTED_VALUE"""),0.0)</f>
        <v>0</v>
      </c>
      <c r="W95" s="311">
        <f>IFERROR(__xludf.DUMMYFUNCTION("""COMPUTED_VALUE"""),0.0)</f>
        <v>0</v>
      </c>
      <c r="X95" s="311">
        <f>IFERROR(__xludf.DUMMYFUNCTION("""COMPUTED_VALUE"""),0.0)</f>
        <v>0</v>
      </c>
      <c r="Y95" s="311">
        <f>IFERROR(__xludf.DUMMYFUNCTION("""COMPUTED_VALUE"""),6.0)</f>
        <v>6</v>
      </c>
      <c r="Z95" s="311">
        <f>IFERROR(__xludf.DUMMYFUNCTION("""COMPUTED_VALUE"""),-50.0)</f>
        <v>-50</v>
      </c>
      <c r="AA95" s="311">
        <f>IFERROR(__xludf.DUMMYFUNCTION("""COMPUTED_VALUE"""),0.0)</f>
        <v>0</v>
      </c>
      <c r="AB95" s="311">
        <f>IFERROR(__xludf.DUMMYFUNCTION("""COMPUTED_VALUE"""),0.0)</f>
        <v>0</v>
      </c>
      <c r="AC95" s="311">
        <f>IFERROR(__xludf.DUMMYFUNCTION("""COMPUTED_VALUE"""),0.0)</f>
        <v>0</v>
      </c>
      <c r="AD95" s="311">
        <f>IFERROR(__xludf.DUMMYFUNCTION("""COMPUTED_VALUE"""),-6.0)</f>
        <v>-6</v>
      </c>
      <c r="AE95" s="311">
        <f>IFERROR(__xludf.DUMMYFUNCTION("""COMPUTED_VALUE"""),0.0)</f>
        <v>0</v>
      </c>
      <c r="AF95" s="311" t="str">
        <f>IFERROR(__xludf.DUMMYFUNCTION("""COMPUTED_VALUE"""),"")</f>
        <v/>
      </c>
      <c r="AG95" s="311">
        <f>IFERROR(__xludf.DUMMYFUNCTION("""COMPUTED_VALUE"""),0.0)</f>
        <v>0</v>
      </c>
      <c r="AH95" s="311">
        <f>IFERROR(__xludf.DUMMYFUNCTION("""COMPUTED_VALUE"""),0.0)</f>
        <v>0</v>
      </c>
      <c r="AI95" s="311">
        <f>IFERROR(__xludf.DUMMYFUNCTION("""COMPUTED_VALUE"""),0.0)</f>
        <v>0</v>
      </c>
      <c r="AJ95" s="311">
        <f>IFERROR(__xludf.DUMMYFUNCTION("ROWS(QUERY(Entregas_BD!D:AM,""select D where D ='""&amp;D95&amp;""'"",1))-1"),1.0)</f>
        <v>1</v>
      </c>
    </row>
    <row r="96" ht="22.5" customHeight="1">
      <c r="A96" s="310" t="str">
        <f>IFERROR(__xludf.DUMMYFUNCTION("""COMPUTED_VALUE"""),"")</f>
        <v/>
      </c>
      <c r="B96" s="310" t="str">
        <f>IFERROR(__xludf.DUMMYFUNCTION("""COMPUTED_VALUE"""),"")</f>
        <v/>
      </c>
      <c r="C96" s="310">
        <f>IFERROR(__xludf.DUMMYFUNCTION("""COMPUTED_VALUE"""),212.0)</f>
        <v>212</v>
      </c>
      <c r="D96" s="310" t="str">
        <f>IFERROR(__xludf.DUMMYFUNCTION("""COMPUTED_VALUE"""),"Upa tamoios")</f>
        <v>Upa tamoios</v>
      </c>
      <c r="E96" s="313" t="str">
        <f>IFERROR(__xludf.DUMMYFUNCTION("""COMPUTED_VALUE"""),"REGIAO DOS LAGOS")</f>
        <v>REGIAO DOS LAGOS</v>
      </c>
      <c r="F96" s="310" t="str">
        <f>IFERROR(__xludf.DUMMYFUNCTION("""COMPUTED_VALUE"""),"Cabo frio")</f>
        <v>Cabo frio</v>
      </c>
      <c r="G96" s="310" t="str">
        <f>IFERROR(__xludf.DUMMYFUNCTION("""COMPUTED_VALUE"""),"Tamoios")</f>
        <v>Tamoios</v>
      </c>
      <c r="H96" s="310" t="str">
        <f>IFERROR(__xludf.DUMMYFUNCTION("""COMPUTED_VALUE"""),"Grande emergência - MÉDIA COMPLEXIDADE")</f>
        <v>Grande emergência - MÉDIA COMPLEXIDADE</v>
      </c>
      <c r="I96" s="310" t="str">
        <f>IFERROR(__xludf.DUMMYFUNCTION("""COMPUTED_VALUE"""),"Público")</f>
        <v>Público</v>
      </c>
      <c r="J96" s="310" t="str">
        <f>IFERROR(__xludf.DUMMYFUNCTION("""COMPUTED_VALUE"""),"")</f>
        <v/>
      </c>
      <c r="K96" s="310" t="str">
        <f>IFERROR(__xludf.DUMMYFUNCTION("""COMPUTED_VALUE"""),"")</f>
        <v/>
      </c>
      <c r="L96" s="310" t="str">
        <f>IFERROR(__xludf.DUMMYFUNCTION("""COMPUTED_VALUE"""),"")</f>
        <v/>
      </c>
      <c r="M96" s="310" t="str">
        <f>IFERROR(__xludf.DUMMYFUNCTION("""COMPUTED_VALUE"""),"")</f>
        <v/>
      </c>
      <c r="N96" s="310">
        <f>IFERROR(__xludf.DUMMYFUNCTION("""COMPUTED_VALUE"""),0.0)</f>
        <v>0</v>
      </c>
      <c r="O96" s="310">
        <f>IFERROR(__xludf.DUMMYFUNCTION("""COMPUTED_VALUE"""),0.0)</f>
        <v>0</v>
      </c>
      <c r="P96" s="310">
        <f>IFERROR(__xludf.DUMMYFUNCTION("""COMPUTED_VALUE"""),0.0)</f>
        <v>0</v>
      </c>
      <c r="Q96" s="310">
        <f>IFERROR(__xludf.DUMMYFUNCTION("""COMPUTED_VALUE"""),0.0)</f>
        <v>0</v>
      </c>
      <c r="R96" s="310">
        <f>IFERROR(__xludf.DUMMYFUNCTION("""COMPUTED_VALUE"""),0.0)</f>
        <v>0</v>
      </c>
      <c r="S96" s="310">
        <f>IFERROR(__xludf.DUMMYFUNCTION("""COMPUTED_VALUE"""),0.0)</f>
        <v>0</v>
      </c>
      <c r="T96" s="310">
        <f>IFERROR(__xludf.DUMMYFUNCTION("""COMPUTED_VALUE"""),50.0)</f>
        <v>50</v>
      </c>
      <c r="U96" s="310">
        <f>IFERROR(__xludf.DUMMYFUNCTION("""COMPUTED_VALUE"""),0.0)</f>
        <v>0</v>
      </c>
      <c r="V96" s="310">
        <f>IFERROR(__xludf.DUMMYFUNCTION("""COMPUTED_VALUE"""),0.0)</f>
        <v>0</v>
      </c>
      <c r="W96" s="310">
        <f>IFERROR(__xludf.DUMMYFUNCTION("""COMPUTED_VALUE"""),0.0)</f>
        <v>0</v>
      </c>
      <c r="X96" s="310">
        <f>IFERROR(__xludf.DUMMYFUNCTION("""COMPUTED_VALUE"""),0.0)</f>
        <v>0</v>
      </c>
      <c r="Y96" s="310">
        <f>IFERROR(__xludf.DUMMYFUNCTION("""COMPUTED_VALUE"""),0.0)</f>
        <v>0</v>
      </c>
      <c r="Z96" s="310">
        <f>IFERROR(__xludf.DUMMYFUNCTION("""COMPUTED_VALUE"""),-50.0)</f>
        <v>-50</v>
      </c>
      <c r="AA96" s="310">
        <f>IFERROR(__xludf.DUMMYFUNCTION("""COMPUTED_VALUE"""),0.0)</f>
        <v>0</v>
      </c>
      <c r="AB96" s="310">
        <f>IFERROR(__xludf.DUMMYFUNCTION("""COMPUTED_VALUE"""),0.0)</f>
        <v>0</v>
      </c>
      <c r="AC96" s="310">
        <f>IFERROR(__xludf.DUMMYFUNCTION("""COMPUTED_VALUE"""),0.0)</f>
        <v>0</v>
      </c>
      <c r="AD96" s="310">
        <f>IFERROR(__xludf.DUMMYFUNCTION("""COMPUTED_VALUE"""),0.0)</f>
        <v>0</v>
      </c>
      <c r="AE96" s="310">
        <f>IFERROR(__xludf.DUMMYFUNCTION("""COMPUTED_VALUE"""),0.0)</f>
        <v>0</v>
      </c>
      <c r="AF96" s="310" t="str">
        <f>IFERROR(__xludf.DUMMYFUNCTION("""COMPUTED_VALUE"""),"")</f>
        <v/>
      </c>
      <c r="AG96" s="310">
        <f>IFERROR(__xludf.DUMMYFUNCTION("""COMPUTED_VALUE"""),0.0)</f>
        <v>0</v>
      </c>
      <c r="AH96" s="310">
        <f>IFERROR(__xludf.DUMMYFUNCTION("""COMPUTED_VALUE"""),0.0)</f>
        <v>0</v>
      </c>
      <c r="AI96" s="310">
        <f>IFERROR(__xludf.DUMMYFUNCTION("""COMPUTED_VALUE"""),0.0)</f>
        <v>0</v>
      </c>
      <c r="AJ96" s="310">
        <f>IFERROR(__xludf.DUMMYFUNCTION("ROWS(QUERY(Entregas_BD!D:AM,""select D where D ='""&amp;D96&amp;""'"",1))-1"),1.0)</f>
        <v>1</v>
      </c>
    </row>
    <row r="97" ht="22.5" customHeight="1">
      <c r="A97" s="311" t="str">
        <f>IFERROR(__xludf.DUMMYFUNCTION("""COMPUTED_VALUE"""),"")</f>
        <v/>
      </c>
      <c r="B97" s="311" t="str">
        <f>IFERROR(__xludf.DUMMYFUNCTION("""COMPUTED_VALUE"""),"")</f>
        <v/>
      </c>
      <c r="C97" s="311">
        <f>IFERROR(__xludf.DUMMYFUNCTION("""COMPUTED_VALUE"""),213.0)</f>
        <v>213</v>
      </c>
      <c r="D97" s="311" t="str">
        <f>IFERROR(__xludf.DUMMYFUNCTION("""COMPUTED_VALUE"""),"Hospital Geral de Guarus")</f>
        <v>Hospital Geral de Guarus</v>
      </c>
      <c r="E97" s="315" t="str">
        <f>IFERROR(__xludf.DUMMYFUNCTION("""COMPUTED_VALUE"""),"REGIAO NORTE")</f>
        <v>REGIAO NORTE</v>
      </c>
      <c r="F97" s="311" t="str">
        <f>IFERROR(__xludf.DUMMYFUNCTION("""COMPUTED_VALUE"""),"Campos dos Goytacazes")</f>
        <v>Campos dos Goytacazes</v>
      </c>
      <c r="G97" s="311" t="str">
        <f>IFERROR(__xludf.DUMMYFUNCTION("""COMPUTED_VALUE"""),"Guarus")</f>
        <v>Guarus</v>
      </c>
      <c r="H97" s="311" t="str">
        <f>IFERROR(__xludf.DUMMYFUNCTION("""COMPUTED_VALUE"""),"Referência - ALTA COMPLEXIDADE")</f>
        <v>Referência - ALTA COMPLEXIDADE</v>
      </c>
      <c r="I97" s="311" t="str">
        <f>IFERROR(__xludf.DUMMYFUNCTION("""COMPUTED_VALUE"""),"Público")</f>
        <v>Público</v>
      </c>
      <c r="J97" s="311" t="str">
        <f>IFERROR(__xludf.DUMMYFUNCTION("""COMPUTED_VALUE"""),"")</f>
        <v/>
      </c>
      <c r="K97" s="311" t="str">
        <f>IFERROR(__xludf.DUMMYFUNCTION("""COMPUTED_VALUE"""),"")</f>
        <v/>
      </c>
      <c r="L97" s="311" t="str">
        <f>IFERROR(__xludf.DUMMYFUNCTION("""COMPUTED_VALUE"""),"")</f>
        <v/>
      </c>
      <c r="M97" s="311" t="str">
        <f>IFERROR(__xludf.DUMMYFUNCTION("""COMPUTED_VALUE"""),"")</f>
        <v/>
      </c>
      <c r="N97" s="311">
        <f>IFERROR(__xludf.DUMMYFUNCTION("""COMPUTED_VALUE"""),0.0)</f>
        <v>0</v>
      </c>
      <c r="O97" s="311">
        <f>IFERROR(__xludf.DUMMYFUNCTION("""COMPUTED_VALUE"""),0.0)</f>
        <v>0</v>
      </c>
      <c r="P97" s="311">
        <f>IFERROR(__xludf.DUMMYFUNCTION("""COMPUTED_VALUE"""),0.0)</f>
        <v>0</v>
      </c>
      <c r="Q97" s="311">
        <f>IFERROR(__xludf.DUMMYFUNCTION("""COMPUTED_VALUE"""),0.0)</f>
        <v>0</v>
      </c>
      <c r="R97" s="311">
        <f>IFERROR(__xludf.DUMMYFUNCTION("""COMPUTED_VALUE"""),0.0)</f>
        <v>0</v>
      </c>
      <c r="S97" s="311">
        <f>IFERROR(__xludf.DUMMYFUNCTION("""COMPUTED_VALUE"""),0.0)</f>
        <v>0</v>
      </c>
      <c r="T97" s="311">
        <f>IFERROR(__xludf.DUMMYFUNCTION("""COMPUTED_VALUE"""),50.0)</f>
        <v>50</v>
      </c>
      <c r="U97" s="311">
        <f>IFERROR(__xludf.DUMMYFUNCTION("""COMPUTED_VALUE"""),0.0)</f>
        <v>0</v>
      </c>
      <c r="V97" s="311">
        <f>IFERROR(__xludf.DUMMYFUNCTION("""COMPUTED_VALUE"""),0.0)</f>
        <v>0</v>
      </c>
      <c r="W97" s="311">
        <f>IFERROR(__xludf.DUMMYFUNCTION("""COMPUTED_VALUE"""),0.0)</f>
        <v>0</v>
      </c>
      <c r="X97" s="311">
        <f>IFERROR(__xludf.DUMMYFUNCTION("""COMPUTED_VALUE"""),0.0)</f>
        <v>0</v>
      </c>
      <c r="Y97" s="311">
        <f>IFERROR(__xludf.DUMMYFUNCTION("""COMPUTED_VALUE"""),0.0)</f>
        <v>0</v>
      </c>
      <c r="Z97" s="311">
        <f>IFERROR(__xludf.DUMMYFUNCTION("""COMPUTED_VALUE"""),-50.0)</f>
        <v>-50</v>
      </c>
      <c r="AA97" s="311">
        <f>IFERROR(__xludf.DUMMYFUNCTION("""COMPUTED_VALUE"""),0.0)</f>
        <v>0</v>
      </c>
      <c r="AB97" s="311">
        <f>IFERROR(__xludf.DUMMYFUNCTION("""COMPUTED_VALUE"""),0.0)</f>
        <v>0</v>
      </c>
      <c r="AC97" s="311">
        <f>IFERROR(__xludf.DUMMYFUNCTION("""COMPUTED_VALUE"""),0.0)</f>
        <v>0</v>
      </c>
      <c r="AD97" s="311">
        <f>IFERROR(__xludf.DUMMYFUNCTION("""COMPUTED_VALUE"""),0.0)</f>
        <v>0</v>
      </c>
      <c r="AE97" s="311">
        <f>IFERROR(__xludf.DUMMYFUNCTION("""COMPUTED_VALUE"""),0.0)</f>
        <v>0</v>
      </c>
      <c r="AF97" s="311" t="str">
        <f>IFERROR(__xludf.DUMMYFUNCTION("""COMPUTED_VALUE"""),"")</f>
        <v/>
      </c>
      <c r="AG97" s="311">
        <f>IFERROR(__xludf.DUMMYFUNCTION("""COMPUTED_VALUE"""),0.0)</f>
        <v>0</v>
      </c>
      <c r="AH97" s="311">
        <f>IFERROR(__xludf.DUMMYFUNCTION("""COMPUTED_VALUE"""),0.0)</f>
        <v>0</v>
      </c>
      <c r="AI97" s="311">
        <f>IFERROR(__xludf.DUMMYFUNCTION("""COMPUTED_VALUE"""),0.0)</f>
        <v>0</v>
      </c>
      <c r="AJ97" s="311">
        <f>IFERROR(__xludf.DUMMYFUNCTION("ROWS(QUERY(Entregas_BD!D:AM,""select D where D ='""&amp;D97&amp;""'"",1))-1"),3.0)</f>
        <v>3</v>
      </c>
    </row>
    <row r="98" ht="22.5" customHeight="1">
      <c r="A98" s="310" t="str">
        <f>IFERROR(__xludf.DUMMYFUNCTION("""COMPUTED_VALUE"""),"")</f>
        <v/>
      </c>
      <c r="B98" s="310" t="str">
        <f>IFERROR(__xludf.DUMMYFUNCTION("""COMPUTED_VALUE"""),"")</f>
        <v/>
      </c>
      <c r="C98" s="310">
        <f>IFERROR(__xludf.DUMMYFUNCTION("""COMPUTED_VALUE"""),215.0)</f>
        <v>215</v>
      </c>
      <c r="D98" s="310" t="str">
        <f>IFERROR(__xludf.DUMMYFUNCTION("""COMPUTED_VALUE"""),"UPA 24hs Barra de Macae RJ")</f>
        <v>UPA 24hs Barra de Macae RJ</v>
      </c>
      <c r="E98" s="313" t="str">
        <f>IFERROR(__xludf.DUMMYFUNCTION("""COMPUTED_VALUE"""),"REGIAO DOS LAGOS")</f>
        <v>REGIAO DOS LAGOS</v>
      </c>
      <c r="F98" s="310" t="str">
        <f>IFERROR(__xludf.DUMMYFUNCTION("""COMPUTED_VALUE"""),"Macae")</f>
        <v>Macae</v>
      </c>
      <c r="G98" s="310" t="str">
        <f>IFERROR(__xludf.DUMMYFUNCTION("""COMPUTED_VALUE"""),"Barra de Macae")</f>
        <v>Barra de Macae</v>
      </c>
      <c r="H98" s="310" t="str">
        <f>IFERROR(__xludf.DUMMYFUNCTION("""COMPUTED_VALUE"""),"Grande emergência - MÉDIA COMPLEXIDADE")</f>
        <v>Grande emergência - MÉDIA COMPLEXIDADE</v>
      </c>
      <c r="I98" s="310" t="str">
        <f>IFERROR(__xludf.DUMMYFUNCTION("""COMPUTED_VALUE"""),"Público")</f>
        <v>Público</v>
      </c>
      <c r="J98" s="310" t="str">
        <f>IFERROR(__xludf.DUMMYFUNCTION("""COMPUTED_VALUE"""),"")</f>
        <v/>
      </c>
      <c r="K98" s="310" t="str">
        <f>IFERROR(__xludf.DUMMYFUNCTION("""COMPUTED_VALUE"""),"")</f>
        <v/>
      </c>
      <c r="L98" s="310" t="str">
        <f>IFERROR(__xludf.DUMMYFUNCTION("""COMPUTED_VALUE"""),"")</f>
        <v/>
      </c>
      <c r="M98" s="310" t="str">
        <f>IFERROR(__xludf.DUMMYFUNCTION("""COMPUTED_VALUE"""),"")</f>
        <v/>
      </c>
      <c r="N98" s="310">
        <f>IFERROR(__xludf.DUMMYFUNCTION("""COMPUTED_VALUE"""),0.0)</f>
        <v>0</v>
      </c>
      <c r="O98" s="310">
        <f>IFERROR(__xludf.DUMMYFUNCTION("""COMPUTED_VALUE"""),0.0)</f>
        <v>0</v>
      </c>
      <c r="P98" s="310">
        <f>IFERROR(__xludf.DUMMYFUNCTION("""COMPUTED_VALUE"""),0.0)</f>
        <v>0</v>
      </c>
      <c r="Q98" s="310">
        <f>IFERROR(__xludf.DUMMYFUNCTION("""COMPUTED_VALUE"""),0.0)</f>
        <v>0</v>
      </c>
      <c r="R98" s="310">
        <f>IFERROR(__xludf.DUMMYFUNCTION("""COMPUTED_VALUE"""),0.0)</f>
        <v>0</v>
      </c>
      <c r="S98" s="310">
        <f>IFERROR(__xludf.DUMMYFUNCTION("""COMPUTED_VALUE"""),0.0)</f>
        <v>0</v>
      </c>
      <c r="T98" s="310">
        <f>IFERROR(__xludf.DUMMYFUNCTION("""COMPUTED_VALUE"""),50.0)</f>
        <v>50</v>
      </c>
      <c r="U98" s="310">
        <f>IFERROR(__xludf.DUMMYFUNCTION("""COMPUTED_VALUE"""),0.0)</f>
        <v>0</v>
      </c>
      <c r="V98" s="310">
        <f>IFERROR(__xludf.DUMMYFUNCTION("""COMPUTED_VALUE"""),0.0)</f>
        <v>0</v>
      </c>
      <c r="W98" s="310">
        <f>IFERROR(__xludf.DUMMYFUNCTION("""COMPUTED_VALUE"""),0.0)</f>
        <v>0</v>
      </c>
      <c r="X98" s="310">
        <f>IFERROR(__xludf.DUMMYFUNCTION("""COMPUTED_VALUE"""),0.0)</f>
        <v>0</v>
      </c>
      <c r="Y98" s="310">
        <f>IFERROR(__xludf.DUMMYFUNCTION("""COMPUTED_VALUE"""),0.0)</f>
        <v>0</v>
      </c>
      <c r="Z98" s="310">
        <f>IFERROR(__xludf.DUMMYFUNCTION("""COMPUTED_VALUE"""),-50.0)</f>
        <v>-50</v>
      </c>
      <c r="AA98" s="310">
        <f>IFERROR(__xludf.DUMMYFUNCTION("""COMPUTED_VALUE"""),0.0)</f>
        <v>0</v>
      </c>
      <c r="AB98" s="310">
        <f>IFERROR(__xludf.DUMMYFUNCTION("""COMPUTED_VALUE"""),0.0)</f>
        <v>0</v>
      </c>
      <c r="AC98" s="310">
        <f>IFERROR(__xludf.DUMMYFUNCTION("""COMPUTED_VALUE"""),0.0)</f>
        <v>0</v>
      </c>
      <c r="AD98" s="310">
        <f>IFERROR(__xludf.DUMMYFUNCTION("""COMPUTED_VALUE"""),0.0)</f>
        <v>0</v>
      </c>
      <c r="AE98" s="310">
        <f>IFERROR(__xludf.DUMMYFUNCTION("""COMPUTED_VALUE"""),0.0)</f>
        <v>0</v>
      </c>
      <c r="AF98" s="310" t="str">
        <f>IFERROR(__xludf.DUMMYFUNCTION("""COMPUTED_VALUE"""),"")</f>
        <v/>
      </c>
      <c r="AG98" s="310">
        <f>IFERROR(__xludf.DUMMYFUNCTION("""COMPUTED_VALUE"""),0.0)</f>
        <v>0</v>
      </c>
      <c r="AH98" s="310">
        <f>IFERROR(__xludf.DUMMYFUNCTION("""COMPUTED_VALUE"""),0.0)</f>
        <v>0</v>
      </c>
      <c r="AI98" s="310">
        <f>IFERROR(__xludf.DUMMYFUNCTION("""COMPUTED_VALUE"""),0.0)</f>
        <v>0</v>
      </c>
      <c r="AJ98" s="310">
        <f>IFERROR(__xludf.DUMMYFUNCTION("ROWS(QUERY(Entregas_BD!D:AM,""select D where D ='""&amp;D98&amp;""'"",1))-1"),1.0)</f>
        <v>1</v>
      </c>
    </row>
    <row r="99" ht="22.5" customHeight="1">
      <c r="A99" s="311" t="str">
        <f>IFERROR(__xludf.DUMMYFUNCTION("""COMPUTED_VALUE"""),"")</f>
        <v/>
      </c>
      <c r="B99" s="311" t="str">
        <f>IFERROR(__xludf.DUMMYFUNCTION("""COMPUTED_VALUE"""),"")</f>
        <v/>
      </c>
      <c r="C99" s="311">
        <f>IFERROR(__xludf.DUMMYFUNCTION("""COMPUTED_VALUE"""),216.0)</f>
        <v>216</v>
      </c>
      <c r="D99" s="311" t="str">
        <f>IFERROR(__xludf.DUMMYFUNCTION("""COMPUTED_VALUE"""),"Santa casa de São João da Barra ")</f>
        <v>Santa casa de São João da Barra </v>
      </c>
      <c r="E99" s="312" t="str">
        <f>IFERROR(__xludf.DUMMYFUNCTION("""COMPUTED_VALUE"""),"REGIAO NORTE")</f>
        <v>REGIAO NORTE</v>
      </c>
      <c r="F99" s="311" t="str">
        <f>IFERROR(__xludf.DUMMYFUNCTION("""COMPUTED_VALUE"""),"Sao Joao da Barra")</f>
        <v>Sao Joao da Barra</v>
      </c>
      <c r="G99" s="311" t="str">
        <f>IFERROR(__xludf.DUMMYFUNCTION("""COMPUTED_VALUE"""),"Centro")</f>
        <v>Centro</v>
      </c>
      <c r="H99" s="311" t="str">
        <f>IFERROR(__xludf.DUMMYFUNCTION("""COMPUTED_VALUE"""),"Grande emergência - MÉDIA COMPLEXIDADE")</f>
        <v>Grande emergência - MÉDIA COMPLEXIDADE</v>
      </c>
      <c r="I99" s="311" t="str">
        <f>IFERROR(__xludf.DUMMYFUNCTION("""COMPUTED_VALUE"""),"Público")</f>
        <v>Público</v>
      </c>
      <c r="J99" s="311" t="str">
        <f>IFERROR(__xludf.DUMMYFUNCTION("""COMPUTED_VALUE"""),"")</f>
        <v/>
      </c>
      <c r="K99" s="311" t="str">
        <f>IFERROR(__xludf.DUMMYFUNCTION("""COMPUTED_VALUE"""),"")</f>
        <v/>
      </c>
      <c r="L99" s="311" t="str">
        <f>IFERROR(__xludf.DUMMYFUNCTION("""COMPUTED_VALUE"""),"")</f>
        <v/>
      </c>
      <c r="M99" s="311" t="str">
        <f>IFERROR(__xludf.DUMMYFUNCTION("""COMPUTED_VALUE"""),"")</f>
        <v/>
      </c>
      <c r="N99" s="311">
        <f>IFERROR(__xludf.DUMMYFUNCTION("""COMPUTED_VALUE"""),0.0)</f>
        <v>0</v>
      </c>
      <c r="O99" s="311">
        <f>IFERROR(__xludf.DUMMYFUNCTION("""COMPUTED_VALUE"""),0.0)</f>
        <v>0</v>
      </c>
      <c r="P99" s="311">
        <f>IFERROR(__xludf.DUMMYFUNCTION("""COMPUTED_VALUE"""),0.0)</f>
        <v>0</v>
      </c>
      <c r="Q99" s="311">
        <f>IFERROR(__xludf.DUMMYFUNCTION("""COMPUTED_VALUE"""),0.0)</f>
        <v>0</v>
      </c>
      <c r="R99" s="311">
        <f>IFERROR(__xludf.DUMMYFUNCTION("""COMPUTED_VALUE"""),0.0)</f>
        <v>0</v>
      </c>
      <c r="S99" s="311">
        <f>IFERROR(__xludf.DUMMYFUNCTION("""COMPUTED_VALUE"""),0.0)</f>
        <v>0</v>
      </c>
      <c r="T99" s="311">
        <f>IFERROR(__xludf.DUMMYFUNCTION("""COMPUTED_VALUE"""),150.0)</f>
        <v>150</v>
      </c>
      <c r="U99" s="311">
        <f>IFERROR(__xludf.DUMMYFUNCTION("""COMPUTED_VALUE"""),0.0)</f>
        <v>0</v>
      </c>
      <c r="V99" s="311">
        <f>IFERROR(__xludf.DUMMYFUNCTION("""COMPUTED_VALUE"""),0.0)</f>
        <v>0</v>
      </c>
      <c r="W99" s="311">
        <f>IFERROR(__xludf.DUMMYFUNCTION("""COMPUTED_VALUE"""),25.0)</f>
        <v>25</v>
      </c>
      <c r="X99" s="311">
        <f>IFERROR(__xludf.DUMMYFUNCTION("""COMPUTED_VALUE"""),0.0)</f>
        <v>0</v>
      </c>
      <c r="Y99" s="311">
        <f>IFERROR(__xludf.DUMMYFUNCTION("""COMPUTED_VALUE"""),0.0)</f>
        <v>0</v>
      </c>
      <c r="Z99" s="311">
        <f>IFERROR(__xludf.DUMMYFUNCTION("""COMPUTED_VALUE"""),-150.0)</f>
        <v>-150</v>
      </c>
      <c r="AA99" s="311">
        <f>IFERROR(__xludf.DUMMYFUNCTION("""COMPUTED_VALUE"""),0.0)</f>
        <v>0</v>
      </c>
      <c r="AB99" s="311">
        <f>IFERROR(__xludf.DUMMYFUNCTION("""COMPUTED_VALUE"""),0.0)</f>
        <v>0</v>
      </c>
      <c r="AC99" s="311">
        <f>IFERROR(__xludf.DUMMYFUNCTION("""COMPUTED_VALUE"""),-25.0)</f>
        <v>-25</v>
      </c>
      <c r="AD99" s="311">
        <f>IFERROR(__xludf.DUMMYFUNCTION("""COMPUTED_VALUE"""),0.0)</f>
        <v>0</v>
      </c>
      <c r="AE99" s="311">
        <f>IFERROR(__xludf.DUMMYFUNCTION("""COMPUTED_VALUE"""),0.0)</f>
        <v>0</v>
      </c>
      <c r="AF99" s="311" t="str">
        <f>IFERROR(__xludf.DUMMYFUNCTION("""COMPUTED_VALUE"""),"")</f>
        <v/>
      </c>
      <c r="AG99" s="311">
        <f>IFERROR(__xludf.DUMMYFUNCTION("""COMPUTED_VALUE"""),0.0)</f>
        <v>0</v>
      </c>
      <c r="AH99" s="311">
        <f>IFERROR(__xludf.DUMMYFUNCTION("""COMPUTED_VALUE"""),0.0)</f>
        <v>0</v>
      </c>
      <c r="AI99" s="311">
        <f>IFERROR(__xludf.DUMMYFUNCTION("""COMPUTED_VALUE"""),0.0)</f>
        <v>0</v>
      </c>
      <c r="AJ99" s="311">
        <f>IFERROR(__xludf.DUMMYFUNCTION("ROWS(QUERY(Entregas_BD!D:AM,""select D where D ='""&amp;D99&amp;""'"",1))-1"),1.0)</f>
        <v>1</v>
      </c>
    </row>
    <row r="100" ht="22.5" customHeight="1">
      <c r="A100" s="310" t="str">
        <f>IFERROR(__xludf.DUMMYFUNCTION("""COMPUTED_VALUE"""),"")</f>
        <v/>
      </c>
      <c r="B100" s="310" t="str">
        <f>IFERROR(__xludf.DUMMYFUNCTION("""COMPUTED_VALUE"""),"")</f>
        <v/>
      </c>
      <c r="C100" s="310">
        <f>IFERROR(__xludf.DUMMYFUNCTION("""COMPUTED_VALUE"""),217.0)</f>
        <v>217</v>
      </c>
      <c r="D100" s="310" t="str">
        <f>IFERROR(__xludf.DUMMYFUNCTION("""COMPUTED_VALUE"""),"Hospital Municipal Angela Maria Simoes Menezes")</f>
        <v>Hospital Municipal Angela Maria Simoes Menezes</v>
      </c>
      <c r="E100" s="313" t="str">
        <f>IFERROR(__xludf.DUMMYFUNCTION("""COMPUTED_VALUE"""),"REGIAO DOS LAGOS")</f>
        <v>REGIAO DOS LAGOS</v>
      </c>
      <c r="F100" s="310" t="str">
        <f>IFERROR(__xludf.DUMMYFUNCTION("""COMPUTED_VALUE"""),"Casimiro de Abreu")</f>
        <v>Casimiro de Abreu</v>
      </c>
      <c r="G100" s="310" t="str">
        <f>IFERROR(__xludf.DUMMYFUNCTION("""COMPUTED_VALUE"""),"Santa Ely")</f>
        <v>Santa Ely</v>
      </c>
      <c r="H100" s="310" t="str">
        <f>IFERROR(__xludf.DUMMYFUNCTION("""COMPUTED_VALUE"""),"Grande emergência - MÉDIA COMPLEXIDADE")</f>
        <v>Grande emergência - MÉDIA COMPLEXIDADE</v>
      </c>
      <c r="I100" s="310" t="str">
        <f>IFERROR(__xludf.DUMMYFUNCTION("""COMPUTED_VALUE"""),"Público")</f>
        <v>Público</v>
      </c>
      <c r="J100" s="310" t="str">
        <f>IFERROR(__xludf.DUMMYFUNCTION("""COMPUTED_VALUE"""),"")</f>
        <v/>
      </c>
      <c r="K100" s="310" t="str">
        <f>IFERROR(__xludf.DUMMYFUNCTION("""COMPUTED_VALUE"""),"")</f>
        <v/>
      </c>
      <c r="L100" s="310" t="str">
        <f>IFERROR(__xludf.DUMMYFUNCTION("""COMPUTED_VALUE"""),"")</f>
        <v/>
      </c>
      <c r="M100" s="310" t="str">
        <f>IFERROR(__xludf.DUMMYFUNCTION("""COMPUTED_VALUE"""),"")</f>
        <v/>
      </c>
      <c r="N100" s="310">
        <f>IFERROR(__xludf.DUMMYFUNCTION("""COMPUTED_VALUE"""),0.0)</f>
        <v>0</v>
      </c>
      <c r="O100" s="310">
        <f>IFERROR(__xludf.DUMMYFUNCTION("""COMPUTED_VALUE"""),0.0)</f>
        <v>0</v>
      </c>
      <c r="P100" s="310">
        <f>IFERROR(__xludf.DUMMYFUNCTION("""COMPUTED_VALUE"""),0.0)</f>
        <v>0</v>
      </c>
      <c r="Q100" s="310">
        <f>IFERROR(__xludf.DUMMYFUNCTION("""COMPUTED_VALUE"""),0.0)</f>
        <v>0</v>
      </c>
      <c r="R100" s="310">
        <f>IFERROR(__xludf.DUMMYFUNCTION("""COMPUTED_VALUE"""),0.0)</f>
        <v>0</v>
      </c>
      <c r="S100" s="310">
        <f>IFERROR(__xludf.DUMMYFUNCTION("""COMPUTED_VALUE"""),0.0)</f>
        <v>0</v>
      </c>
      <c r="T100" s="310">
        <f>IFERROR(__xludf.DUMMYFUNCTION("""COMPUTED_VALUE"""),50.0)</f>
        <v>50</v>
      </c>
      <c r="U100" s="310">
        <f>IFERROR(__xludf.DUMMYFUNCTION("""COMPUTED_VALUE"""),0.0)</f>
        <v>0</v>
      </c>
      <c r="V100" s="310">
        <f>IFERROR(__xludf.DUMMYFUNCTION("""COMPUTED_VALUE"""),0.0)</f>
        <v>0</v>
      </c>
      <c r="W100" s="310">
        <f>IFERROR(__xludf.DUMMYFUNCTION("""COMPUTED_VALUE"""),0.0)</f>
        <v>0</v>
      </c>
      <c r="X100" s="310">
        <f>IFERROR(__xludf.DUMMYFUNCTION("""COMPUTED_VALUE"""),0.0)</f>
        <v>0</v>
      </c>
      <c r="Y100" s="310">
        <f>IFERROR(__xludf.DUMMYFUNCTION("""COMPUTED_VALUE"""),0.0)</f>
        <v>0</v>
      </c>
      <c r="Z100" s="310">
        <f>IFERROR(__xludf.DUMMYFUNCTION("""COMPUTED_VALUE"""),-50.0)</f>
        <v>-50</v>
      </c>
      <c r="AA100" s="310">
        <f>IFERROR(__xludf.DUMMYFUNCTION("""COMPUTED_VALUE"""),0.0)</f>
        <v>0</v>
      </c>
      <c r="AB100" s="310">
        <f>IFERROR(__xludf.DUMMYFUNCTION("""COMPUTED_VALUE"""),0.0)</f>
        <v>0</v>
      </c>
      <c r="AC100" s="310">
        <f>IFERROR(__xludf.DUMMYFUNCTION("""COMPUTED_VALUE"""),0.0)</f>
        <v>0</v>
      </c>
      <c r="AD100" s="310">
        <f>IFERROR(__xludf.DUMMYFUNCTION("""COMPUTED_VALUE"""),0.0)</f>
        <v>0</v>
      </c>
      <c r="AE100" s="310">
        <f>IFERROR(__xludf.DUMMYFUNCTION("""COMPUTED_VALUE"""),0.0)</f>
        <v>0</v>
      </c>
      <c r="AF100" s="310" t="str">
        <f>IFERROR(__xludf.DUMMYFUNCTION("""COMPUTED_VALUE"""),"")</f>
        <v/>
      </c>
      <c r="AG100" s="310">
        <f>IFERROR(__xludf.DUMMYFUNCTION("""COMPUTED_VALUE"""),0.0)</f>
        <v>0</v>
      </c>
      <c r="AH100" s="310">
        <f>IFERROR(__xludf.DUMMYFUNCTION("""COMPUTED_VALUE"""),0.0)</f>
        <v>0</v>
      </c>
      <c r="AI100" s="310">
        <f>IFERROR(__xludf.DUMMYFUNCTION("""COMPUTED_VALUE"""),0.0)</f>
        <v>0</v>
      </c>
      <c r="AJ100" s="310">
        <f>IFERROR(__xludf.DUMMYFUNCTION("ROWS(QUERY(Entregas_BD!D:AM,""select D where D ='""&amp;D100&amp;""'"",1))-1"),1.0)</f>
        <v>1</v>
      </c>
    </row>
    <row r="101" ht="22.5" customHeight="1">
      <c r="A101" s="311" t="str">
        <f>IFERROR(__xludf.DUMMYFUNCTION("""COMPUTED_VALUE"""),"")</f>
        <v/>
      </c>
      <c r="B101" s="311" t="str">
        <f>IFERROR(__xludf.DUMMYFUNCTION("""COMPUTED_VALUE"""),"")</f>
        <v/>
      </c>
      <c r="C101" s="311">
        <f>IFERROR(__xludf.DUMMYFUNCTION("""COMPUTED_VALUE"""),219.0)</f>
        <v>219</v>
      </c>
      <c r="D101" s="311" t="str">
        <f>IFERROR(__xludf.DUMMYFUNCTION("""COMPUTED_VALUE"""),"Hospital Estadual Eduardo Rabello")</f>
        <v>Hospital Estadual Eduardo Rabello</v>
      </c>
      <c r="E101" s="315" t="str">
        <f>IFERROR(__xludf.DUMMYFUNCTION("""COMPUTED_VALUE"""),"ZONA OESTE")</f>
        <v>ZONA OESTE</v>
      </c>
      <c r="F101" s="311" t="str">
        <f>IFERROR(__xludf.DUMMYFUNCTION("""COMPUTED_VALUE"""),"Rio de Janeiro")</f>
        <v>Rio de Janeiro</v>
      </c>
      <c r="G101" s="311" t="str">
        <f>IFERROR(__xludf.DUMMYFUNCTION("""COMPUTED_VALUE"""),"Senador Vasconcelos")</f>
        <v>Senador Vasconcelos</v>
      </c>
      <c r="H101" s="311" t="str">
        <f>IFERROR(__xludf.DUMMYFUNCTION("""COMPUTED_VALUE"""),"Referência - ALTA COMPLEXIDADE")</f>
        <v>Referência - ALTA COMPLEXIDADE</v>
      </c>
      <c r="I101" s="311" t="str">
        <f>IFERROR(__xludf.DUMMYFUNCTION("""COMPUTED_VALUE"""),"Público")</f>
        <v>Público</v>
      </c>
      <c r="J101" s="311" t="str">
        <f>IFERROR(__xludf.DUMMYFUNCTION("""COMPUTED_VALUE"""),"")</f>
        <v/>
      </c>
      <c r="K101" s="311" t="str">
        <f>IFERROR(__xludf.DUMMYFUNCTION("""COMPUTED_VALUE"""),"")</f>
        <v/>
      </c>
      <c r="L101" s="311" t="str">
        <f>IFERROR(__xludf.DUMMYFUNCTION("""COMPUTED_VALUE"""),"")</f>
        <v/>
      </c>
      <c r="M101" s="311" t="str">
        <f>IFERROR(__xludf.DUMMYFUNCTION("""COMPUTED_VALUE"""),"")</f>
        <v/>
      </c>
      <c r="N101" s="311">
        <f>IFERROR(__xludf.DUMMYFUNCTION("""COMPUTED_VALUE"""),0.0)</f>
        <v>0</v>
      </c>
      <c r="O101" s="311">
        <f>IFERROR(__xludf.DUMMYFUNCTION("""COMPUTED_VALUE"""),0.0)</f>
        <v>0</v>
      </c>
      <c r="P101" s="311">
        <f>IFERROR(__xludf.DUMMYFUNCTION("""COMPUTED_VALUE"""),0.0)</f>
        <v>0</v>
      </c>
      <c r="Q101" s="311">
        <f>IFERROR(__xludf.DUMMYFUNCTION("""COMPUTED_VALUE"""),0.0)</f>
        <v>0</v>
      </c>
      <c r="R101" s="311">
        <f>IFERROR(__xludf.DUMMYFUNCTION("""COMPUTED_VALUE"""),0.0)</f>
        <v>0</v>
      </c>
      <c r="S101" s="311">
        <f>IFERROR(__xludf.DUMMYFUNCTION("""COMPUTED_VALUE"""),0.0)</f>
        <v>0</v>
      </c>
      <c r="T101" s="311">
        <f>IFERROR(__xludf.DUMMYFUNCTION("""COMPUTED_VALUE"""),100.0)</f>
        <v>100</v>
      </c>
      <c r="U101" s="311">
        <f>IFERROR(__xludf.DUMMYFUNCTION("""COMPUTED_VALUE"""),0.0)</f>
        <v>0</v>
      </c>
      <c r="V101" s="311">
        <f>IFERROR(__xludf.DUMMYFUNCTION("""COMPUTED_VALUE"""),0.0)</f>
        <v>0</v>
      </c>
      <c r="W101" s="311">
        <f>IFERROR(__xludf.DUMMYFUNCTION("""COMPUTED_VALUE"""),0.0)</f>
        <v>0</v>
      </c>
      <c r="X101" s="311">
        <f>IFERROR(__xludf.DUMMYFUNCTION("""COMPUTED_VALUE"""),0.0)</f>
        <v>0</v>
      </c>
      <c r="Y101" s="311">
        <f>IFERROR(__xludf.DUMMYFUNCTION("""COMPUTED_VALUE"""),0.0)</f>
        <v>0</v>
      </c>
      <c r="Z101" s="311">
        <f>IFERROR(__xludf.DUMMYFUNCTION("""COMPUTED_VALUE"""),-100.0)</f>
        <v>-100</v>
      </c>
      <c r="AA101" s="311">
        <f>IFERROR(__xludf.DUMMYFUNCTION("""COMPUTED_VALUE"""),0.0)</f>
        <v>0</v>
      </c>
      <c r="AB101" s="311">
        <f>IFERROR(__xludf.DUMMYFUNCTION("""COMPUTED_VALUE"""),0.0)</f>
        <v>0</v>
      </c>
      <c r="AC101" s="311">
        <f>IFERROR(__xludf.DUMMYFUNCTION("""COMPUTED_VALUE"""),0.0)</f>
        <v>0</v>
      </c>
      <c r="AD101" s="311">
        <f>IFERROR(__xludf.DUMMYFUNCTION("""COMPUTED_VALUE"""),0.0)</f>
        <v>0</v>
      </c>
      <c r="AE101" s="311">
        <f>IFERROR(__xludf.DUMMYFUNCTION("""COMPUTED_VALUE"""),0.0)</f>
        <v>0</v>
      </c>
      <c r="AF101" s="311" t="str">
        <f>IFERROR(__xludf.DUMMYFUNCTION("""COMPUTED_VALUE"""),"")</f>
        <v/>
      </c>
      <c r="AG101" s="311">
        <f>IFERROR(__xludf.DUMMYFUNCTION("""COMPUTED_VALUE"""),0.0)</f>
        <v>0</v>
      </c>
      <c r="AH101" s="311">
        <f>IFERROR(__xludf.DUMMYFUNCTION("""COMPUTED_VALUE"""),0.0)</f>
        <v>0</v>
      </c>
      <c r="AI101" s="311">
        <f>IFERROR(__xludf.DUMMYFUNCTION("""COMPUTED_VALUE"""),0.0)</f>
        <v>0</v>
      </c>
      <c r="AJ101" s="311">
        <f>IFERROR(__xludf.DUMMYFUNCTION("ROWS(QUERY(Entregas_BD!D:AM,""select D where D ='""&amp;D101&amp;""'"",1))-1"),1.0)</f>
        <v>1</v>
      </c>
    </row>
    <row r="102" ht="22.5" customHeight="1">
      <c r="A102" s="310" t="str">
        <f>IFERROR(__xludf.DUMMYFUNCTION("""COMPUTED_VALUE"""),"")</f>
        <v/>
      </c>
      <c r="B102" s="310" t="str">
        <f>IFERROR(__xludf.DUMMYFUNCTION("""COMPUTED_VALUE"""),"")</f>
        <v/>
      </c>
      <c r="C102" s="310">
        <f>IFERROR(__xludf.DUMMYFUNCTION("""COMPUTED_VALUE"""),220.0)</f>
        <v>220</v>
      </c>
      <c r="D102" s="310" t="str">
        <f>IFERROR(__xludf.DUMMYFUNCTION("""COMPUTED_VALUE"""),"Testagem Covid-19 e Vacinacao")</f>
        <v>Testagem Covid-19 e Vacinacao</v>
      </c>
      <c r="E102" s="313" t="str">
        <f>IFERROR(__xludf.DUMMYFUNCTION("""COMPUTED_VALUE"""),"ZONA NORTE")</f>
        <v>ZONA NORTE</v>
      </c>
      <c r="F102" s="310" t="str">
        <f>IFERROR(__xludf.DUMMYFUNCTION("""COMPUTED_VALUE"""),"rio de janeiro")</f>
        <v>rio de janeiro</v>
      </c>
      <c r="G102" s="310" t="str">
        <f>IFERROR(__xludf.DUMMYFUNCTION("""COMPUTED_VALUE"""),"Cidade Universitaria")</f>
        <v>Cidade Universitaria</v>
      </c>
      <c r="H102" s="310" t="str">
        <f>IFERROR(__xludf.DUMMYFUNCTION("""COMPUTED_VALUE"""),"Unidade básica - BAIXA COMPLEXIDADE")</f>
        <v>Unidade básica - BAIXA COMPLEXIDADE</v>
      </c>
      <c r="I102" s="310" t="str">
        <f>IFERROR(__xludf.DUMMYFUNCTION("""COMPUTED_VALUE"""),"Público")</f>
        <v>Público</v>
      </c>
      <c r="J102" s="310" t="str">
        <f>IFERROR(__xludf.DUMMYFUNCTION("""COMPUTED_VALUE"""),"")</f>
        <v/>
      </c>
      <c r="K102" s="310" t="str">
        <f>IFERROR(__xludf.DUMMYFUNCTION("""COMPUTED_VALUE"""),"")</f>
        <v/>
      </c>
      <c r="L102" s="310" t="str">
        <f>IFERROR(__xludf.DUMMYFUNCTION("""COMPUTED_VALUE"""),"")</f>
        <v/>
      </c>
      <c r="M102" s="310" t="str">
        <f>IFERROR(__xludf.DUMMYFUNCTION("""COMPUTED_VALUE"""),"")</f>
        <v/>
      </c>
      <c r="N102" s="310">
        <f>IFERROR(__xludf.DUMMYFUNCTION("""COMPUTED_VALUE"""),0.0)</f>
        <v>0</v>
      </c>
      <c r="O102" s="310">
        <f>IFERROR(__xludf.DUMMYFUNCTION("""COMPUTED_VALUE"""),0.0)</f>
        <v>0</v>
      </c>
      <c r="P102" s="310">
        <f>IFERROR(__xludf.DUMMYFUNCTION("""COMPUTED_VALUE"""),0.0)</f>
        <v>0</v>
      </c>
      <c r="Q102" s="310">
        <f>IFERROR(__xludf.DUMMYFUNCTION("""COMPUTED_VALUE"""),0.0)</f>
        <v>0</v>
      </c>
      <c r="R102" s="310">
        <f>IFERROR(__xludf.DUMMYFUNCTION("""COMPUTED_VALUE"""),0.0)</f>
        <v>0</v>
      </c>
      <c r="S102" s="310">
        <f>IFERROR(__xludf.DUMMYFUNCTION("""COMPUTED_VALUE"""),0.0)</f>
        <v>0</v>
      </c>
      <c r="T102" s="310">
        <f>IFERROR(__xludf.DUMMYFUNCTION("""COMPUTED_VALUE"""),100.0)</f>
        <v>100</v>
      </c>
      <c r="U102" s="310">
        <f>IFERROR(__xludf.DUMMYFUNCTION("""COMPUTED_VALUE"""),0.0)</f>
        <v>0</v>
      </c>
      <c r="V102" s="310">
        <f>IFERROR(__xludf.DUMMYFUNCTION("""COMPUTED_VALUE"""),0.0)</f>
        <v>0</v>
      </c>
      <c r="W102" s="310">
        <f>IFERROR(__xludf.DUMMYFUNCTION("""COMPUTED_VALUE"""),0.0)</f>
        <v>0</v>
      </c>
      <c r="X102" s="310">
        <f>IFERROR(__xludf.DUMMYFUNCTION("""COMPUTED_VALUE"""),0.0)</f>
        <v>0</v>
      </c>
      <c r="Y102" s="310">
        <f>IFERROR(__xludf.DUMMYFUNCTION("""COMPUTED_VALUE"""),0.0)</f>
        <v>0</v>
      </c>
      <c r="Z102" s="310">
        <f>IFERROR(__xludf.DUMMYFUNCTION("""COMPUTED_VALUE"""),-100.0)</f>
        <v>-100</v>
      </c>
      <c r="AA102" s="310">
        <f>IFERROR(__xludf.DUMMYFUNCTION("""COMPUTED_VALUE"""),0.0)</f>
        <v>0</v>
      </c>
      <c r="AB102" s="310">
        <f>IFERROR(__xludf.DUMMYFUNCTION("""COMPUTED_VALUE"""),0.0)</f>
        <v>0</v>
      </c>
      <c r="AC102" s="310">
        <f>IFERROR(__xludf.DUMMYFUNCTION("""COMPUTED_VALUE"""),0.0)</f>
        <v>0</v>
      </c>
      <c r="AD102" s="310">
        <f>IFERROR(__xludf.DUMMYFUNCTION("""COMPUTED_VALUE"""),0.0)</f>
        <v>0</v>
      </c>
      <c r="AE102" s="310">
        <f>IFERROR(__xludf.DUMMYFUNCTION("""COMPUTED_VALUE"""),0.0)</f>
        <v>0</v>
      </c>
      <c r="AF102" s="310" t="str">
        <f>IFERROR(__xludf.DUMMYFUNCTION("""COMPUTED_VALUE"""),"")</f>
        <v/>
      </c>
      <c r="AG102" s="310">
        <f>IFERROR(__xludf.DUMMYFUNCTION("""COMPUTED_VALUE"""),0.0)</f>
        <v>0</v>
      </c>
      <c r="AH102" s="310">
        <f>IFERROR(__xludf.DUMMYFUNCTION("""COMPUTED_VALUE"""),0.0)</f>
        <v>0</v>
      </c>
      <c r="AI102" s="310">
        <f>IFERROR(__xludf.DUMMYFUNCTION("""COMPUTED_VALUE"""),0.0)</f>
        <v>0</v>
      </c>
      <c r="AJ102" s="310">
        <f>IFERROR(__xludf.DUMMYFUNCTION("ROWS(QUERY(Entregas_BD!D:AM,""select D where D ='""&amp;D102&amp;""'"",1))-1"),1.0)</f>
        <v>1</v>
      </c>
    </row>
    <row r="103" ht="22.5" customHeight="1">
      <c r="A103" s="311" t="str">
        <f>IFERROR(__xludf.DUMMYFUNCTION("""COMPUTED_VALUE"""),"")</f>
        <v/>
      </c>
      <c r="B103" s="311" t="str">
        <f>IFERROR(__xludf.DUMMYFUNCTION("""COMPUTED_VALUE"""),"")</f>
        <v/>
      </c>
      <c r="C103" s="311">
        <f>IFERROR(__xludf.DUMMYFUNCTION("""COMPUTED_VALUE"""),221.0)</f>
        <v>221</v>
      </c>
      <c r="D103" s="311" t="str">
        <f>IFERROR(__xludf.DUMMYFUNCTION("""COMPUTED_VALUE"""),"Instituto Oswaldo Cruz-IOC/FIOCRUZ")</f>
        <v>Instituto Oswaldo Cruz-IOC/FIOCRUZ</v>
      </c>
      <c r="E103" s="315" t="str">
        <f>IFERROR(__xludf.DUMMYFUNCTION("""COMPUTED_VALUE"""),"ZONA NORTE")</f>
        <v>ZONA NORTE</v>
      </c>
      <c r="F103" s="311" t="str">
        <f>IFERROR(__xludf.DUMMYFUNCTION("""COMPUTED_VALUE"""),"Rio de Janeiro")</f>
        <v>Rio de Janeiro</v>
      </c>
      <c r="G103" s="311" t="str">
        <f>IFERROR(__xludf.DUMMYFUNCTION("""COMPUTED_VALUE"""),"Manguinhos")</f>
        <v>Manguinhos</v>
      </c>
      <c r="H103" s="311" t="str">
        <f>IFERROR(__xludf.DUMMYFUNCTION("""COMPUTED_VALUE"""),"Intituição de pesquisa avançasda")</f>
        <v>Intituição de pesquisa avançasda</v>
      </c>
      <c r="I103" s="311" t="str">
        <f>IFERROR(__xludf.DUMMYFUNCTION("""COMPUTED_VALUE"""),"Público")</f>
        <v>Público</v>
      </c>
      <c r="J103" s="311" t="str">
        <f>IFERROR(__xludf.DUMMYFUNCTION("""COMPUTED_VALUE"""),"")</f>
        <v/>
      </c>
      <c r="K103" s="311" t="str">
        <f>IFERROR(__xludf.DUMMYFUNCTION("""COMPUTED_VALUE"""),"")</f>
        <v/>
      </c>
      <c r="L103" s="311" t="str">
        <f>IFERROR(__xludf.DUMMYFUNCTION("""COMPUTED_VALUE"""),"")</f>
        <v/>
      </c>
      <c r="M103" s="311" t="str">
        <f>IFERROR(__xludf.DUMMYFUNCTION("""COMPUTED_VALUE"""),"")</f>
        <v/>
      </c>
      <c r="N103" s="311">
        <f>IFERROR(__xludf.DUMMYFUNCTION("""COMPUTED_VALUE"""),0.0)</f>
        <v>0</v>
      </c>
      <c r="O103" s="311">
        <f>IFERROR(__xludf.DUMMYFUNCTION("""COMPUTED_VALUE"""),0.0)</f>
        <v>0</v>
      </c>
      <c r="P103" s="311">
        <f>IFERROR(__xludf.DUMMYFUNCTION("""COMPUTED_VALUE"""),0.0)</f>
        <v>0</v>
      </c>
      <c r="Q103" s="311">
        <f>IFERROR(__xludf.DUMMYFUNCTION("""COMPUTED_VALUE"""),0.0)</f>
        <v>0</v>
      </c>
      <c r="R103" s="311">
        <f>IFERROR(__xludf.DUMMYFUNCTION("""COMPUTED_VALUE"""),0.0)</f>
        <v>0</v>
      </c>
      <c r="S103" s="311">
        <f>IFERROR(__xludf.DUMMYFUNCTION("""COMPUTED_VALUE"""),0.0)</f>
        <v>0</v>
      </c>
      <c r="T103" s="311">
        <f>IFERROR(__xludf.DUMMYFUNCTION("""COMPUTED_VALUE"""),0.0)</f>
        <v>0</v>
      </c>
      <c r="U103" s="311">
        <f>IFERROR(__xludf.DUMMYFUNCTION("""COMPUTED_VALUE"""),0.0)</f>
        <v>0</v>
      </c>
      <c r="V103" s="311">
        <f>IFERROR(__xludf.DUMMYFUNCTION("""COMPUTED_VALUE"""),0.0)</f>
        <v>0</v>
      </c>
      <c r="W103" s="311">
        <f>IFERROR(__xludf.DUMMYFUNCTION("""COMPUTED_VALUE"""),100.0)</f>
        <v>100</v>
      </c>
      <c r="X103" s="311">
        <f>IFERROR(__xludf.DUMMYFUNCTION("""COMPUTED_VALUE"""),0.0)</f>
        <v>0</v>
      </c>
      <c r="Y103" s="311">
        <f>IFERROR(__xludf.DUMMYFUNCTION("""COMPUTED_VALUE"""),0.0)</f>
        <v>0</v>
      </c>
      <c r="Z103" s="311">
        <f>IFERROR(__xludf.DUMMYFUNCTION("""COMPUTED_VALUE"""),0.0)</f>
        <v>0</v>
      </c>
      <c r="AA103" s="311">
        <f>IFERROR(__xludf.DUMMYFUNCTION("""COMPUTED_VALUE"""),0.0)</f>
        <v>0</v>
      </c>
      <c r="AB103" s="311">
        <f>IFERROR(__xludf.DUMMYFUNCTION("""COMPUTED_VALUE"""),0.0)</f>
        <v>0</v>
      </c>
      <c r="AC103" s="311">
        <f>IFERROR(__xludf.DUMMYFUNCTION("""COMPUTED_VALUE"""),-100.0)</f>
        <v>-100</v>
      </c>
      <c r="AD103" s="311">
        <f>IFERROR(__xludf.DUMMYFUNCTION("""COMPUTED_VALUE"""),0.0)</f>
        <v>0</v>
      </c>
      <c r="AE103" s="311">
        <f>IFERROR(__xludf.DUMMYFUNCTION("""COMPUTED_VALUE"""),0.0)</f>
        <v>0</v>
      </c>
      <c r="AF103" s="311" t="str">
        <f>IFERROR(__xludf.DUMMYFUNCTION("""COMPUTED_VALUE"""),"")</f>
        <v/>
      </c>
      <c r="AG103" s="311">
        <f>IFERROR(__xludf.DUMMYFUNCTION("""COMPUTED_VALUE"""),0.0)</f>
        <v>0</v>
      </c>
      <c r="AH103" s="311">
        <f>IFERROR(__xludf.DUMMYFUNCTION("""COMPUTED_VALUE"""),0.0)</f>
        <v>0</v>
      </c>
      <c r="AI103" s="311">
        <f>IFERROR(__xludf.DUMMYFUNCTION("""COMPUTED_VALUE"""),0.0)</f>
        <v>0</v>
      </c>
      <c r="AJ103" s="311">
        <f>IFERROR(__xludf.DUMMYFUNCTION("ROWS(QUERY(Entregas_BD!D:AM,""select D where D ='""&amp;D103&amp;""'"",1))-1"),1.0)</f>
        <v>1</v>
      </c>
    </row>
    <row r="104" ht="22.5" customHeight="1">
      <c r="A104" s="310" t="str">
        <f>IFERROR(__xludf.DUMMYFUNCTION("""COMPUTED_VALUE"""),"")</f>
        <v/>
      </c>
      <c r="B104" s="310" t="str">
        <f>IFERROR(__xludf.DUMMYFUNCTION("""COMPUTED_VALUE"""),"")</f>
        <v/>
      </c>
      <c r="C104" s="310">
        <f>IFERROR(__xludf.DUMMYFUNCTION("""COMPUTED_VALUE"""),222.0)</f>
        <v>222</v>
      </c>
      <c r="D104" s="310" t="str">
        <f>IFERROR(__xludf.DUMMYFUNCTION("""COMPUTED_VALUE"""),"Escola de Enfermagem Anna Nery")</f>
        <v>Escola de Enfermagem Anna Nery</v>
      </c>
      <c r="E104" s="313" t="str">
        <f>IFERROR(__xludf.DUMMYFUNCTION("""COMPUTED_VALUE"""),"CENTRO")</f>
        <v>CENTRO</v>
      </c>
      <c r="F104" s="310" t="str">
        <f>IFERROR(__xludf.DUMMYFUNCTION("""COMPUTED_VALUE"""),"Rio de Janeiro")</f>
        <v>Rio de Janeiro</v>
      </c>
      <c r="G104" s="310" t="str">
        <f>IFERROR(__xludf.DUMMYFUNCTION("""COMPUTED_VALUE"""),"Cidade Nova")</f>
        <v>Cidade Nova</v>
      </c>
      <c r="H104" s="310" t="str">
        <f>IFERROR(__xludf.DUMMYFUNCTION("""COMPUTED_VALUE"""),"Unidade básica - BAIXA COMPLEXIDADE")</f>
        <v>Unidade básica - BAIXA COMPLEXIDADE</v>
      </c>
      <c r="I104" s="310" t="str">
        <f>IFERROR(__xludf.DUMMYFUNCTION("""COMPUTED_VALUE"""),"Público")</f>
        <v>Público</v>
      </c>
      <c r="J104" s="310" t="str">
        <f>IFERROR(__xludf.DUMMYFUNCTION("""COMPUTED_VALUE"""),"")</f>
        <v/>
      </c>
      <c r="K104" s="310" t="str">
        <f>IFERROR(__xludf.DUMMYFUNCTION("""COMPUTED_VALUE"""),"")</f>
        <v/>
      </c>
      <c r="L104" s="310" t="str">
        <f>IFERROR(__xludf.DUMMYFUNCTION("""COMPUTED_VALUE"""),"")</f>
        <v/>
      </c>
      <c r="M104" s="310" t="str">
        <f>IFERROR(__xludf.DUMMYFUNCTION("""COMPUTED_VALUE"""),"")</f>
        <v/>
      </c>
      <c r="N104" s="310">
        <f>IFERROR(__xludf.DUMMYFUNCTION("""COMPUTED_VALUE"""),0.0)</f>
        <v>0</v>
      </c>
      <c r="O104" s="310">
        <f>IFERROR(__xludf.DUMMYFUNCTION("""COMPUTED_VALUE"""),0.0)</f>
        <v>0</v>
      </c>
      <c r="P104" s="310">
        <f>IFERROR(__xludf.DUMMYFUNCTION("""COMPUTED_VALUE"""),0.0)</f>
        <v>0</v>
      </c>
      <c r="Q104" s="310">
        <f>IFERROR(__xludf.DUMMYFUNCTION("""COMPUTED_VALUE"""),0.0)</f>
        <v>0</v>
      </c>
      <c r="R104" s="310">
        <f>IFERROR(__xludf.DUMMYFUNCTION("""COMPUTED_VALUE"""),0.0)</f>
        <v>0</v>
      </c>
      <c r="S104" s="310">
        <f>IFERROR(__xludf.DUMMYFUNCTION("""COMPUTED_VALUE"""),0.0)</f>
        <v>0</v>
      </c>
      <c r="T104" s="310">
        <f>IFERROR(__xludf.DUMMYFUNCTION("""COMPUTED_VALUE"""),50.0)</f>
        <v>50</v>
      </c>
      <c r="U104" s="310">
        <f>IFERROR(__xludf.DUMMYFUNCTION("""COMPUTED_VALUE"""),0.0)</f>
        <v>0</v>
      </c>
      <c r="V104" s="310">
        <f>IFERROR(__xludf.DUMMYFUNCTION("""COMPUTED_VALUE"""),0.0)</f>
        <v>0</v>
      </c>
      <c r="W104" s="310">
        <f>IFERROR(__xludf.DUMMYFUNCTION("""COMPUTED_VALUE"""),0.0)</f>
        <v>0</v>
      </c>
      <c r="X104" s="310">
        <f>IFERROR(__xludf.DUMMYFUNCTION("""COMPUTED_VALUE"""),0.0)</f>
        <v>0</v>
      </c>
      <c r="Y104" s="310">
        <f>IFERROR(__xludf.DUMMYFUNCTION("""COMPUTED_VALUE"""),12.0)</f>
        <v>12</v>
      </c>
      <c r="Z104" s="310">
        <f>IFERROR(__xludf.DUMMYFUNCTION("""COMPUTED_VALUE"""),-50.0)</f>
        <v>-50</v>
      </c>
      <c r="AA104" s="310">
        <f>IFERROR(__xludf.DUMMYFUNCTION("""COMPUTED_VALUE"""),0.0)</f>
        <v>0</v>
      </c>
      <c r="AB104" s="310">
        <f>IFERROR(__xludf.DUMMYFUNCTION("""COMPUTED_VALUE"""),0.0)</f>
        <v>0</v>
      </c>
      <c r="AC104" s="310">
        <f>IFERROR(__xludf.DUMMYFUNCTION("""COMPUTED_VALUE"""),0.0)</f>
        <v>0</v>
      </c>
      <c r="AD104" s="310">
        <f>IFERROR(__xludf.DUMMYFUNCTION("""COMPUTED_VALUE"""),-12.0)</f>
        <v>-12</v>
      </c>
      <c r="AE104" s="310">
        <f>IFERROR(__xludf.DUMMYFUNCTION("""COMPUTED_VALUE"""),0.0)</f>
        <v>0</v>
      </c>
      <c r="AF104" s="310" t="str">
        <f>IFERROR(__xludf.DUMMYFUNCTION("""COMPUTED_VALUE"""),"")</f>
        <v/>
      </c>
      <c r="AG104" s="310">
        <f>IFERROR(__xludf.DUMMYFUNCTION("""COMPUTED_VALUE"""),0.0)</f>
        <v>0</v>
      </c>
      <c r="AH104" s="310">
        <f>IFERROR(__xludf.DUMMYFUNCTION("""COMPUTED_VALUE"""),0.0)</f>
        <v>0</v>
      </c>
      <c r="AI104" s="310">
        <f>IFERROR(__xludf.DUMMYFUNCTION("""COMPUTED_VALUE"""),0.0)</f>
        <v>0</v>
      </c>
      <c r="AJ104" s="310">
        <f>IFERROR(__xludf.DUMMYFUNCTION("ROWS(QUERY(Entregas_BD!D:AM,""select D where D ='""&amp;D104&amp;""'"",1))-1"),1.0)</f>
        <v>1</v>
      </c>
    </row>
    <row r="105" ht="22.5" customHeight="1">
      <c r="A105" s="311" t="str">
        <f>IFERROR(__xludf.DUMMYFUNCTION("""COMPUTED_VALUE"""),"")</f>
        <v/>
      </c>
      <c r="B105" s="311" t="str">
        <f>IFERROR(__xludf.DUMMYFUNCTION("""COMPUTED_VALUE"""),"")</f>
        <v/>
      </c>
      <c r="C105" s="311">
        <f>IFERROR(__xludf.DUMMYFUNCTION("""COMPUTED_VALUE"""),223.0)</f>
        <v>223</v>
      </c>
      <c r="D105" s="311" t="str">
        <f>IFERROR(__xludf.DUMMYFUNCTION("""COMPUTED_VALUE"""),"Maternidade Escola da UFRJ")</f>
        <v>Maternidade Escola da UFRJ</v>
      </c>
      <c r="E105" s="315" t="str">
        <f>IFERROR(__xludf.DUMMYFUNCTION("""COMPUTED_VALUE"""),"REGIAO METROPOLITANA")</f>
        <v>REGIAO METROPOLITANA</v>
      </c>
      <c r="F105" s="311" t="str">
        <f>IFERROR(__xludf.DUMMYFUNCTION("""COMPUTED_VALUE"""),"Rio de Janeiro")</f>
        <v>Rio de Janeiro</v>
      </c>
      <c r="G105" s="311" t="str">
        <f>IFERROR(__xludf.DUMMYFUNCTION("""COMPUTED_VALUE"""),"Laranjeiras")</f>
        <v>Laranjeiras</v>
      </c>
      <c r="H105" s="311" t="str">
        <f>IFERROR(__xludf.DUMMYFUNCTION("""COMPUTED_VALUE"""),"Referência - ALTA COMPLEXIDADE")</f>
        <v>Referência - ALTA COMPLEXIDADE</v>
      </c>
      <c r="I105" s="311" t="str">
        <f>IFERROR(__xludf.DUMMYFUNCTION("""COMPUTED_VALUE"""),"Público")</f>
        <v>Público</v>
      </c>
      <c r="J105" s="311" t="str">
        <f>IFERROR(__xludf.DUMMYFUNCTION("""COMPUTED_VALUE"""),"")</f>
        <v/>
      </c>
      <c r="K105" s="311" t="str">
        <f>IFERROR(__xludf.DUMMYFUNCTION("""COMPUTED_VALUE"""),"")</f>
        <v/>
      </c>
      <c r="L105" s="311" t="str">
        <f>IFERROR(__xludf.DUMMYFUNCTION("""COMPUTED_VALUE"""),"")</f>
        <v/>
      </c>
      <c r="M105" s="311" t="str">
        <f>IFERROR(__xludf.DUMMYFUNCTION("""COMPUTED_VALUE"""),"")</f>
        <v/>
      </c>
      <c r="N105" s="311">
        <f>IFERROR(__xludf.DUMMYFUNCTION("""COMPUTED_VALUE"""),0.0)</f>
        <v>0</v>
      </c>
      <c r="O105" s="311">
        <f>IFERROR(__xludf.DUMMYFUNCTION("""COMPUTED_VALUE"""),0.0)</f>
        <v>0</v>
      </c>
      <c r="P105" s="311">
        <f>IFERROR(__xludf.DUMMYFUNCTION("""COMPUTED_VALUE"""),0.0)</f>
        <v>0</v>
      </c>
      <c r="Q105" s="311">
        <f>IFERROR(__xludf.DUMMYFUNCTION("""COMPUTED_VALUE"""),0.0)</f>
        <v>0</v>
      </c>
      <c r="R105" s="311">
        <f>IFERROR(__xludf.DUMMYFUNCTION("""COMPUTED_VALUE"""),0.0)</f>
        <v>0</v>
      </c>
      <c r="S105" s="311">
        <f>IFERROR(__xludf.DUMMYFUNCTION("""COMPUTED_VALUE"""),0.0)</f>
        <v>0</v>
      </c>
      <c r="T105" s="311">
        <f>IFERROR(__xludf.DUMMYFUNCTION("""COMPUTED_VALUE"""),50.0)</f>
        <v>50</v>
      </c>
      <c r="U105" s="311">
        <f>IFERROR(__xludf.DUMMYFUNCTION("""COMPUTED_VALUE"""),0.0)</f>
        <v>0</v>
      </c>
      <c r="V105" s="311">
        <f>IFERROR(__xludf.DUMMYFUNCTION("""COMPUTED_VALUE"""),0.0)</f>
        <v>0</v>
      </c>
      <c r="W105" s="311">
        <f>IFERROR(__xludf.DUMMYFUNCTION("""COMPUTED_VALUE"""),0.0)</f>
        <v>0</v>
      </c>
      <c r="X105" s="311">
        <f>IFERROR(__xludf.DUMMYFUNCTION("""COMPUTED_VALUE"""),0.0)</f>
        <v>0</v>
      </c>
      <c r="Y105" s="311">
        <f>IFERROR(__xludf.DUMMYFUNCTION("""COMPUTED_VALUE"""),12.0)</f>
        <v>12</v>
      </c>
      <c r="Z105" s="311">
        <f>IFERROR(__xludf.DUMMYFUNCTION("""COMPUTED_VALUE"""),-50.0)</f>
        <v>-50</v>
      </c>
      <c r="AA105" s="311">
        <f>IFERROR(__xludf.DUMMYFUNCTION("""COMPUTED_VALUE"""),0.0)</f>
        <v>0</v>
      </c>
      <c r="AB105" s="311">
        <f>IFERROR(__xludf.DUMMYFUNCTION("""COMPUTED_VALUE"""),0.0)</f>
        <v>0</v>
      </c>
      <c r="AC105" s="311">
        <f>IFERROR(__xludf.DUMMYFUNCTION("""COMPUTED_VALUE"""),0.0)</f>
        <v>0</v>
      </c>
      <c r="AD105" s="311">
        <f>IFERROR(__xludf.DUMMYFUNCTION("""COMPUTED_VALUE"""),-12.0)</f>
        <v>-12</v>
      </c>
      <c r="AE105" s="311">
        <f>IFERROR(__xludf.DUMMYFUNCTION("""COMPUTED_VALUE"""),0.0)</f>
        <v>0</v>
      </c>
      <c r="AF105" s="311" t="str">
        <f>IFERROR(__xludf.DUMMYFUNCTION("""COMPUTED_VALUE"""),"")</f>
        <v/>
      </c>
      <c r="AG105" s="311">
        <f>IFERROR(__xludf.DUMMYFUNCTION("""COMPUTED_VALUE"""),0.0)</f>
        <v>0</v>
      </c>
      <c r="AH105" s="311">
        <f>IFERROR(__xludf.DUMMYFUNCTION("""COMPUTED_VALUE"""),0.0)</f>
        <v>0</v>
      </c>
      <c r="AI105" s="311">
        <f>IFERROR(__xludf.DUMMYFUNCTION("""COMPUTED_VALUE"""),0.0)</f>
        <v>0</v>
      </c>
      <c r="AJ105" s="311">
        <f>IFERROR(__xludf.DUMMYFUNCTION("ROWS(QUERY(Entregas_BD!D:AM,""select D where D ='""&amp;D105&amp;""'"",1))-1"),1.0)</f>
        <v>1</v>
      </c>
    </row>
    <row r="106" ht="22.5" customHeight="1">
      <c r="A106" s="310" t="str">
        <f>IFERROR(__xludf.DUMMYFUNCTION("""COMPUTED_VALUE"""),"")</f>
        <v/>
      </c>
      <c r="B106" s="310" t="str">
        <f>IFERROR(__xludf.DUMMYFUNCTION("""COMPUTED_VALUE"""),"")</f>
        <v/>
      </c>
      <c r="C106" s="310">
        <f>IFERROR(__xludf.DUMMYFUNCTION("""COMPUTED_VALUE"""),225.0)</f>
        <v>225</v>
      </c>
      <c r="D106" s="310" t="str">
        <f>IFERROR(__xludf.DUMMYFUNCTION("""COMPUTED_VALUE"""),"Coordenacao de atencao primaria a saude - cap 52")</f>
        <v>Coordenacao de atencao primaria a saude - cap 52</v>
      </c>
      <c r="E106" s="313" t="str">
        <f>IFERROR(__xludf.DUMMYFUNCTION("""COMPUTED_VALUE"""),"ZONA OESTE")</f>
        <v>ZONA OESTE</v>
      </c>
      <c r="F106" s="310" t="str">
        <f>IFERROR(__xludf.DUMMYFUNCTION("""COMPUTED_VALUE"""),"Inhoaiba")</f>
        <v>Inhoaiba</v>
      </c>
      <c r="G106" s="310" t="str">
        <f>IFERROR(__xludf.DUMMYFUNCTION("""COMPUTED_VALUE"""),"Campo Grande")</f>
        <v>Campo Grande</v>
      </c>
      <c r="H106" s="310" t="str">
        <f>IFERROR(__xludf.DUMMYFUNCTION("""COMPUTED_VALUE"""),"Unidade básica - BAIXA COMPLEXIDADE")</f>
        <v>Unidade básica - BAIXA COMPLEXIDADE</v>
      </c>
      <c r="I106" s="310" t="str">
        <f>IFERROR(__xludf.DUMMYFUNCTION("""COMPUTED_VALUE"""),"Público")</f>
        <v>Público</v>
      </c>
      <c r="J106" s="310" t="str">
        <f>IFERROR(__xludf.DUMMYFUNCTION("""COMPUTED_VALUE"""),"")</f>
        <v/>
      </c>
      <c r="K106" s="310" t="str">
        <f>IFERROR(__xludf.DUMMYFUNCTION("""COMPUTED_VALUE"""),"")</f>
        <v/>
      </c>
      <c r="L106" s="310" t="str">
        <f>IFERROR(__xludf.DUMMYFUNCTION("""COMPUTED_VALUE"""),"")</f>
        <v/>
      </c>
      <c r="M106" s="310" t="str">
        <f>IFERROR(__xludf.DUMMYFUNCTION("""COMPUTED_VALUE"""),"")</f>
        <v/>
      </c>
      <c r="N106" s="310">
        <f>IFERROR(__xludf.DUMMYFUNCTION("""COMPUTED_VALUE"""),0.0)</f>
        <v>0</v>
      </c>
      <c r="O106" s="310">
        <f>IFERROR(__xludf.DUMMYFUNCTION("""COMPUTED_VALUE"""),0.0)</f>
        <v>0</v>
      </c>
      <c r="P106" s="310">
        <f>IFERROR(__xludf.DUMMYFUNCTION("""COMPUTED_VALUE"""),0.0)</f>
        <v>0</v>
      </c>
      <c r="Q106" s="310">
        <f>IFERROR(__xludf.DUMMYFUNCTION("""COMPUTED_VALUE"""),0.0)</f>
        <v>0</v>
      </c>
      <c r="R106" s="310">
        <f>IFERROR(__xludf.DUMMYFUNCTION("""COMPUTED_VALUE"""),0.0)</f>
        <v>0</v>
      </c>
      <c r="S106" s="310">
        <f>IFERROR(__xludf.DUMMYFUNCTION("""COMPUTED_VALUE"""),0.0)</f>
        <v>0</v>
      </c>
      <c r="T106" s="310">
        <f>IFERROR(__xludf.DUMMYFUNCTION("""COMPUTED_VALUE"""),400.0)</f>
        <v>400</v>
      </c>
      <c r="U106" s="310">
        <f>IFERROR(__xludf.DUMMYFUNCTION("""COMPUTED_VALUE"""),0.0)</f>
        <v>0</v>
      </c>
      <c r="V106" s="310">
        <f>IFERROR(__xludf.DUMMYFUNCTION("""COMPUTED_VALUE"""),0.0)</f>
        <v>0</v>
      </c>
      <c r="W106" s="310">
        <f>IFERROR(__xludf.DUMMYFUNCTION("""COMPUTED_VALUE"""),0.0)</f>
        <v>0</v>
      </c>
      <c r="X106" s="310">
        <f>IFERROR(__xludf.DUMMYFUNCTION("""COMPUTED_VALUE"""),0.0)</f>
        <v>0</v>
      </c>
      <c r="Y106" s="310">
        <f>IFERROR(__xludf.DUMMYFUNCTION("""COMPUTED_VALUE"""),0.0)</f>
        <v>0</v>
      </c>
      <c r="Z106" s="310">
        <f>IFERROR(__xludf.DUMMYFUNCTION("""COMPUTED_VALUE"""),-400.0)</f>
        <v>-400</v>
      </c>
      <c r="AA106" s="310">
        <f>IFERROR(__xludf.DUMMYFUNCTION("""COMPUTED_VALUE"""),0.0)</f>
        <v>0</v>
      </c>
      <c r="AB106" s="310">
        <f>IFERROR(__xludf.DUMMYFUNCTION("""COMPUTED_VALUE"""),0.0)</f>
        <v>0</v>
      </c>
      <c r="AC106" s="310">
        <f>IFERROR(__xludf.DUMMYFUNCTION("""COMPUTED_VALUE"""),0.0)</f>
        <v>0</v>
      </c>
      <c r="AD106" s="310">
        <f>IFERROR(__xludf.DUMMYFUNCTION("""COMPUTED_VALUE"""),0.0)</f>
        <v>0</v>
      </c>
      <c r="AE106" s="310">
        <f>IFERROR(__xludf.DUMMYFUNCTION("""COMPUTED_VALUE"""),0.0)</f>
        <v>0</v>
      </c>
      <c r="AF106" s="310" t="str">
        <f>IFERROR(__xludf.DUMMYFUNCTION("""COMPUTED_VALUE"""),"")</f>
        <v/>
      </c>
      <c r="AG106" s="310">
        <f>IFERROR(__xludf.DUMMYFUNCTION("""COMPUTED_VALUE"""),0.0)</f>
        <v>0</v>
      </c>
      <c r="AH106" s="310">
        <f>IFERROR(__xludf.DUMMYFUNCTION("""COMPUTED_VALUE"""),0.0)</f>
        <v>0</v>
      </c>
      <c r="AI106" s="310">
        <f>IFERROR(__xludf.DUMMYFUNCTION("""COMPUTED_VALUE"""),0.0)</f>
        <v>0</v>
      </c>
      <c r="AJ106" s="310">
        <f>IFERROR(__xludf.DUMMYFUNCTION("ROWS(QUERY(Entregas_BD!D:AM,""select D where D ='""&amp;D106&amp;""'"",1))-1"),2.0)</f>
        <v>2</v>
      </c>
    </row>
    <row r="107" ht="22.5" customHeight="1">
      <c r="A107" s="311" t="str">
        <f>IFERROR(__xludf.DUMMYFUNCTION("""COMPUTED_VALUE"""),"")</f>
        <v/>
      </c>
      <c r="B107" s="311" t="str">
        <f>IFERROR(__xludf.DUMMYFUNCTION("""COMPUTED_VALUE"""),"")</f>
        <v/>
      </c>
      <c r="C107" s="311">
        <f>IFERROR(__xludf.DUMMYFUNCTION("""COMPUTED_VALUE"""),226.0)</f>
        <v>226</v>
      </c>
      <c r="D107" s="311" t="str">
        <f>IFERROR(__xludf.DUMMYFUNCTION("""COMPUTED_VALUE"""),"Hospital Ferreira Machado")</f>
        <v>Hospital Ferreira Machado</v>
      </c>
      <c r="E107" s="315" t="str">
        <f>IFERROR(__xludf.DUMMYFUNCTION("""COMPUTED_VALUE"""),"REGIAO NORTE")</f>
        <v>REGIAO NORTE</v>
      </c>
      <c r="F107" s="311" t="str">
        <f>IFERROR(__xludf.DUMMYFUNCTION("""COMPUTED_VALUE"""),"Campos dos Goytacazes")</f>
        <v>Campos dos Goytacazes</v>
      </c>
      <c r="G107" s="311" t="str">
        <f>IFERROR(__xludf.DUMMYFUNCTION("""COMPUTED_VALUE"""),"Centro")</f>
        <v>Centro</v>
      </c>
      <c r="H107" s="311" t="str">
        <f>IFERROR(__xludf.DUMMYFUNCTION("""COMPUTED_VALUE"""),"Grande emergência - MÉDIA COMPLEXIDADE")</f>
        <v>Grande emergência - MÉDIA COMPLEXIDADE</v>
      </c>
      <c r="I107" s="311" t="str">
        <f>IFERROR(__xludf.DUMMYFUNCTION("""COMPUTED_VALUE"""),"Público")</f>
        <v>Público</v>
      </c>
      <c r="J107" s="311" t="str">
        <f>IFERROR(__xludf.DUMMYFUNCTION("""COMPUTED_VALUE"""),"")</f>
        <v/>
      </c>
      <c r="K107" s="311" t="str">
        <f>IFERROR(__xludf.DUMMYFUNCTION("""COMPUTED_VALUE"""),"")</f>
        <v/>
      </c>
      <c r="L107" s="311" t="str">
        <f>IFERROR(__xludf.DUMMYFUNCTION("""COMPUTED_VALUE"""),"")</f>
        <v/>
      </c>
      <c r="M107" s="311" t="str">
        <f>IFERROR(__xludf.DUMMYFUNCTION("""COMPUTED_VALUE"""),"")</f>
        <v/>
      </c>
      <c r="N107" s="311">
        <f>IFERROR(__xludf.DUMMYFUNCTION("""COMPUTED_VALUE"""),0.0)</f>
        <v>0</v>
      </c>
      <c r="O107" s="311">
        <f>IFERROR(__xludf.DUMMYFUNCTION("""COMPUTED_VALUE"""),0.0)</f>
        <v>0</v>
      </c>
      <c r="P107" s="311">
        <f>IFERROR(__xludf.DUMMYFUNCTION("""COMPUTED_VALUE"""),0.0)</f>
        <v>0</v>
      </c>
      <c r="Q107" s="311">
        <f>IFERROR(__xludf.DUMMYFUNCTION("""COMPUTED_VALUE"""),0.0)</f>
        <v>0</v>
      </c>
      <c r="R107" s="311">
        <f>IFERROR(__xludf.DUMMYFUNCTION("""COMPUTED_VALUE"""),0.0)</f>
        <v>0</v>
      </c>
      <c r="S107" s="311">
        <f>IFERROR(__xludf.DUMMYFUNCTION("""COMPUTED_VALUE"""),0.0)</f>
        <v>0</v>
      </c>
      <c r="T107" s="311">
        <f>IFERROR(__xludf.DUMMYFUNCTION("""COMPUTED_VALUE"""),100.0)</f>
        <v>100</v>
      </c>
      <c r="U107" s="311">
        <f>IFERROR(__xludf.DUMMYFUNCTION("""COMPUTED_VALUE"""),0.0)</f>
        <v>0</v>
      </c>
      <c r="V107" s="311">
        <f>IFERROR(__xludf.DUMMYFUNCTION("""COMPUTED_VALUE"""),0.0)</f>
        <v>0</v>
      </c>
      <c r="W107" s="311">
        <f>IFERROR(__xludf.DUMMYFUNCTION("""COMPUTED_VALUE"""),0.0)</f>
        <v>0</v>
      </c>
      <c r="X107" s="311">
        <f>IFERROR(__xludf.DUMMYFUNCTION("""COMPUTED_VALUE"""),0.0)</f>
        <v>0</v>
      </c>
      <c r="Y107" s="311">
        <f>IFERROR(__xludf.DUMMYFUNCTION("""COMPUTED_VALUE"""),0.0)</f>
        <v>0</v>
      </c>
      <c r="Z107" s="311">
        <f>IFERROR(__xludf.DUMMYFUNCTION("""COMPUTED_VALUE"""),-100.0)</f>
        <v>-100</v>
      </c>
      <c r="AA107" s="311">
        <f>IFERROR(__xludf.DUMMYFUNCTION("""COMPUTED_VALUE"""),0.0)</f>
        <v>0</v>
      </c>
      <c r="AB107" s="311">
        <f>IFERROR(__xludf.DUMMYFUNCTION("""COMPUTED_VALUE"""),0.0)</f>
        <v>0</v>
      </c>
      <c r="AC107" s="311">
        <f>IFERROR(__xludf.DUMMYFUNCTION("""COMPUTED_VALUE"""),0.0)</f>
        <v>0</v>
      </c>
      <c r="AD107" s="311">
        <f>IFERROR(__xludf.DUMMYFUNCTION("""COMPUTED_VALUE"""),0.0)</f>
        <v>0</v>
      </c>
      <c r="AE107" s="311">
        <f>IFERROR(__xludf.DUMMYFUNCTION("""COMPUTED_VALUE"""),0.0)</f>
        <v>0</v>
      </c>
      <c r="AF107" s="311" t="str">
        <f>IFERROR(__xludf.DUMMYFUNCTION("""COMPUTED_VALUE"""),"")</f>
        <v/>
      </c>
      <c r="AG107" s="311">
        <f>IFERROR(__xludf.DUMMYFUNCTION("""COMPUTED_VALUE"""),0.0)</f>
        <v>0</v>
      </c>
      <c r="AH107" s="311">
        <f>IFERROR(__xludf.DUMMYFUNCTION("""COMPUTED_VALUE"""),0.0)</f>
        <v>0</v>
      </c>
      <c r="AI107" s="311">
        <f>IFERROR(__xludf.DUMMYFUNCTION("""COMPUTED_VALUE"""),0.0)</f>
        <v>0</v>
      </c>
      <c r="AJ107" s="311">
        <f>IFERROR(__xludf.DUMMYFUNCTION("ROWS(QUERY(Entregas_BD!D:AM,""select D where D ='""&amp;D107&amp;""'"",1))-1"),2.0)</f>
        <v>2</v>
      </c>
    </row>
    <row r="108" ht="22.5" customHeight="1">
      <c r="A108" s="310" t="str">
        <f>IFERROR(__xludf.DUMMYFUNCTION("""COMPUTED_VALUE"""),"")</f>
        <v/>
      </c>
      <c r="B108" s="310" t="str">
        <f>IFERROR(__xludf.DUMMYFUNCTION("""COMPUTED_VALUE"""),"")</f>
        <v/>
      </c>
      <c r="C108" s="310">
        <f>IFERROR(__xludf.DUMMYFUNCTION("""COMPUTED_VALUE"""),232.0)</f>
        <v>232</v>
      </c>
      <c r="D108" s="310" t="str">
        <f>IFERROR(__xludf.DUMMYFUNCTION("""COMPUTED_VALUE"""),"UPA Jacarepagua")</f>
        <v>UPA Jacarepagua</v>
      </c>
      <c r="E108" s="313" t="str">
        <f>IFERROR(__xludf.DUMMYFUNCTION("""COMPUTED_VALUE"""),"ZONA OESTE")</f>
        <v>ZONA OESTE</v>
      </c>
      <c r="F108" s="310" t="str">
        <f>IFERROR(__xludf.DUMMYFUNCTION("""COMPUTED_VALUE"""),"Rio de Janeiro")</f>
        <v>Rio de Janeiro</v>
      </c>
      <c r="G108" s="310" t="str">
        <f>IFERROR(__xludf.DUMMYFUNCTION("""COMPUTED_VALUE"""),"Taquara -Jacarepagua")</f>
        <v>Taquara -Jacarepagua</v>
      </c>
      <c r="H108" s="310" t="str">
        <f>IFERROR(__xludf.DUMMYFUNCTION("""COMPUTED_VALUE"""),"Grande emergência - MÉDIA COMPLEXIDADE
")</f>
        <v>Grande emergência - MÉDIA COMPLEXIDADE
</v>
      </c>
      <c r="I108" s="310" t="str">
        <f>IFERROR(__xludf.DUMMYFUNCTION("""COMPUTED_VALUE"""),"Público")</f>
        <v>Público</v>
      </c>
      <c r="J108" s="310" t="str">
        <f>IFERROR(__xludf.DUMMYFUNCTION("""COMPUTED_VALUE"""),"")</f>
        <v/>
      </c>
      <c r="K108" s="310" t="str">
        <f>IFERROR(__xludf.DUMMYFUNCTION("""COMPUTED_VALUE"""),"")</f>
        <v/>
      </c>
      <c r="L108" s="310" t="str">
        <f>IFERROR(__xludf.DUMMYFUNCTION("""COMPUTED_VALUE"""),"")</f>
        <v/>
      </c>
      <c r="M108" s="310" t="str">
        <f>IFERROR(__xludf.DUMMYFUNCTION("""COMPUTED_VALUE"""),"")</f>
        <v/>
      </c>
      <c r="N108" s="310">
        <f>IFERROR(__xludf.DUMMYFUNCTION("""COMPUTED_VALUE"""),0.0)</f>
        <v>0</v>
      </c>
      <c r="O108" s="310">
        <f>IFERROR(__xludf.DUMMYFUNCTION("""COMPUTED_VALUE"""),0.0)</f>
        <v>0</v>
      </c>
      <c r="P108" s="310">
        <f>IFERROR(__xludf.DUMMYFUNCTION("""COMPUTED_VALUE"""),0.0)</f>
        <v>0</v>
      </c>
      <c r="Q108" s="310">
        <f>IFERROR(__xludf.DUMMYFUNCTION("""COMPUTED_VALUE"""),0.0)</f>
        <v>0</v>
      </c>
      <c r="R108" s="310">
        <f>IFERROR(__xludf.DUMMYFUNCTION("""COMPUTED_VALUE"""),0.0)</f>
        <v>0</v>
      </c>
      <c r="S108" s="310">
        <f>IFERROR(__xludf.DUMMYFUNCTION("""COMPUTED_VALUE"""),0.0)</f>
        <v>0</v>
      </c>
      <c r="T108" s="310">
        <f>IFERROR(__xludf.DUMMYFUNCTION("""COMPUTED_VALUE"""),50.0)</f>
        <v>50</v>
      </c>
      <c r="U108" s="310">
        <f>IFERROR(__xludf.DUMMYFUNCTION("""COMPUTED_VALUE"""),0.0)</f>
        <v>0</v>
      </c>
      <c r="V108" s="310">
        <f>IFERROR(__xludf.DUMMYFUNCTION("""COMPUTED_VALUE"""),0.0)</f>
        <v>0</v>
      </c>
      <c r="W108" s="310">
        <f>IFERROR(__xludf.DUMMYFUNCTION("""COMPUTED_VALUE"""),50.0)</f>
        <v>50</v>
      </c>
      <c r="X108" s="310">
        <f>IFERROR(__xludf.DUMMYFUNCTION("""COMPUTED_VALUE"""),0.0)</f>
        <v>0</v>
      </c>
      <c r="Y108" s="310">
        <f>IFERROR(__xludf.DUMMYFUNCTION("""COMPUTED_VALUE"""),6.0)</f>
        <v>6</v>
      </c>
      <c r="Z108" s="310">
        <f>IFERROR(__xludf.DUMMYFUNCTION("""COMPUTED_VALUE"""),-50.0)</f>
        <v>-50</v>
      </c>
      <c r="AA108" s="310">
        <f>IFERROR(__xludf.DUMMYFUNCTION("""COMPUTED_VALUE"""),0.0)</f>
        <v>0</v>
      </c>
      <c r="AB108" s="310">
        <f>IFERROR(__xludf.DUMMYFUNCTION("""COMPUTED_VALUE"""),0.0)</f>
        <v>0</v>
      </c>
      <c r="AC108" s="310">
        <f>IFERROR(__xludf.DUMMYFUNCTION("""COMPUTED_VALUE"""),-50.0)</f>
        <v>-50</v>
      </c>
      <c r="AD108" s="310">
        <f>IFERROR(__xludf.DUMMYFUNCTION("""COMPUTED_VALUE"""),-6.0)</f>
        <v>-6</v>
      </c>
      <c r="AE108" s="310">
        <f>IFERROR(__xludf.DUMMYFUNCTION("""COMPUTED_VALUE"""),0.0)</f>
        <v>0</v>
      </c>
      <c r="AF108" s="310" t="str">
        <f>IFERROR(__xludf.DUMMYFUNCTION("""COMPUTED_VALUE"""),"")</f>
        <v/>
      </c>
      <c r="AG108" s="310">
        <f>IFERROR(__xludf.DUMMYFUNCTION("""COMPUTED_VALUE"""),0.0)</f>
        <v>0</v>
      </c>
      <c r="AH108" s="310">
        <f>IFERROR(__xludf.DUMMYFUNCTION("""COMPUTED_VALUE"""),0.0)</f>
        <v>0</v>
      </c>
      <c r="AI108" s="310">
        <f>IFERROR(__xludf.DUMMYFUNCTION("""COMPUTED_VALUE"""),0.0)</f>
        <v>0</v>
      </c>
      <c r="AJ108" s="310">
        <f>IFERROR(__xludf.DUMMYFUNCTION("ROWS(QUERY(Entregas_BD!D:AM,""select D where D ='""&amp;D108&amp;""'"",1))-1"),1.0)</f>
        <v>1</v>
      </c>
    </row>
    <row r="109" ht="22.5" customHeight="1">
      <c r="A109" s="311" t="str">
        <f>IFERROR(__xludf.DUMMYFUNCTION("""COMPUTED_VALUE"""),"")</f>
        <v/>
      </c>
      <c r="B109" s="311" t="str">
        <f>IFERROR(__xludf.DUMMYFUNCTION("""COMPUTED_VALUE"""),"")</f>
        <v/>
      </c>
      <c r="C109" s="311">
        <f>IFERROR(__xludf.DUMMYFUNCTION("""COMPUTED_VALUE"""),233.0)</f>
        <v>233</v>
      </c>
      <c r="D109" s="311" t="str">
        <f>IFERROR(__xludf.DUMMYFUNCTION("""COMPUTED_VALUE"""),"HOSPITAL MUNICIPAL DR MUNR RAFFUL")</f>
        <v>HOSPITAL MUNICIPAL DR MUNR RAFFUL</v>
      </c>
      <c r="E109" s="315" t="str">
        <f>IFERROR(__xludf.DUMMYFUNCTION("""COMPUTED_VALUE"""),"REGIAO MEDIO PARAIBA")</f>
        <v>REGIAO MEDIO PARAIBA</v>
      </c>
      <c r="F109" s="311" t="str">
        <f>IFERROR(__xludf.DUMMYFUNCTION("""COMPUTED_VALUE"""),"Volta Redonda")</f>
        <v>Volta Redonda</v>
      </c>
      <c r="G109" s="311" t="str">
        <f>IFERROR(__xludf.DUMMYFUNCTION("""COMPUTED_VALUE"""),"Retiro")</f>
        <v>Retiro</v>
      </c>
      <c r="H109" s="311" t="str">
        <f>IFERROR(__xludf.DUMMYFUNCTION("""COMPUTED_VALUE"""),"Hospital de Apoio - MÉDIA COMPLEXIDADE
")</f>
        <v>Hospital de Apoio - MÉDIA COMPLEXIDADE
</v>
      </c>
      <c r="I109" s="311" t="str">
        <f>IFERROR(__xludf.DUMMYFUNCTION("""COMPUTED_VALUE"""),"Público")</f>
        <v>Público</v>
      </c>
      <c r="J109" s="311" t="str">
        <f>IFERROR(__xludf.DUMMYFUNCTION("""COMPUTED_VALUE"""),"")</f>
        <v/>
      </c>
      <c r="K109" s="311" t="str">
        <f>IFERROR(__xludf.DUMMYFUNCTION("""COMPUTED_VALUE"""),"")</f>
        <v/>
      </c>
      <c r="L109" s="311" t="str">
        <f>IFERROR(__xludf.DUMMYFUNCTION("""COMPUTED_VALUE"""),"")</f>
        <v/>
      </c>
      <c r="M109" s="311" t="str">
        <f>IFERROR(__xludf.DUMMYFUNCTION("""COMPUTED_VALUE"""),"")</f>
        <v/>
      </c>
      <c r="N109" s="311">
        <f>IFERROR(__xludf.DUMMYFUNCTION("""COMPUTED_VALUE"""),0.0)</f>
        <v>0</v>
      </c>
      <c r="O109" s="311">
        <f>IFERROR(__xludf.DUMMYFUNCTION("""COMPUTED_VALUE"""),0.0)</f>
        <v>0</v>
      </c>
      <c r="P109" s="311">
        <f>IFERROR(__xludf.DUMMYFUNCTION("""COMPUTED_VALUE"""),0.0)</f>
        <v>0</v>
      </c>
      <c r="Q109" s="311">
        <f>IFERROR(__xludf.DUMMYFUNCTION("""COMPUTED_VALUE"""),0.0)</f>
        <v>0</v>
      </c>
      <c r="R109" s="311">
        <f>IFERROR(__xludf.DUMMYFUNCTION("""COMPUTED_VALUE"""),0.0)</f>
        <v>0</v>
      </c>
      <c r="S109" s="311">
        <f>IFERROR(__xludf.DUMMYFUNCTION("""COMPUTED_VALUE"""),0.0)</f>
        <v>0</v>
      </c>
      <c r="T109" s="311">
        <f>IFERROR(__xludf.DUMMYFUNCTION("""COMPUTED_VALUE"""),100.0)</f>
        <v>100</v>
      </c>
      <c r="U109" s="311">
        <f>IFERROR(__xludf.DUMMYFUNCTION("""COMPUTED_VALUE"""),0.0)</f>
        <v>0</v>
      </c>
      <c r="V109" s="311">
        <f>IFERROR(__xludf.DUMMYFUNCTION("""COMPUTED_VALUE"""),0.0)</f>
        <v>0</v>
      </c>
      <c r="W109" s="311">
        <f>IFERROR(__xludf.DUMMYFUNCTION("""COMPUTED_VALUE"""),100.0)</f>
        <v>100</v>
      </c>
      <c r="X109" s="311">
        <f>IFERROR(__xludf.DUMMYFUNCTION("""COMPUTED_VALUE"""),0.0)</f>
        <v>0</v>
      </c>
      <c r="Y109" s="311">
        <f>IFERROR(__xludf.DUMMYFUNCTION("""COMPUTED_VALUE"""),0.0)</f>
        <v>0</v>
      </c>
      <c r="Z109" s="311">
        <f>IFERROR(__xludf.DUMMYFUNCTION("""COMPUTED_VALUE"""),-100.0)</f>
        <v>-100</v>
      </c>
      <c r="AA109" s="311">
        <f>IFERROR(__xludf.DUMMYFUNCTION("""COMPUTED_VALUE"""),0.0)</f>
        <v>0</v>
      </c>
      <c r="AB109" s="311">
        <f>IFERROR(__xludf.DUMMYFUNCTION("""COMPUTED_VALUE"""),0.0)</f>
        <v>0</v>
      </c>
      <c r="AC109" s="311">
        <f>IFERROR(__xludf.DUMMYFUNCTION("""COMPUTED_VALUE"""),-100.0)</f>
        <v>-100</v>
      </c>
      <c r="AD109" s="311">
        <f>IFERROR(__xludf.DUMMYFUNCTION("""COMPUTED_VALUE"""),0.0)</f>
        <v>0</v>
      </c>
      <c r="AE109" s="311">
        <f>IFERROR(__xludf.DUMMYFUNCTION("""COMPUTED_VALUE"""),0.0)</f>
        <v>0</v>
      </c>
      <c r="AF109" s="311" t="str">
        <f>IFERROR(__xludf.DUMMYFUNCTION("""COMPUTED_VALUE"""),"")</f>
        <v/>
      </c>
      <c r="AG109" s="311">
        <f>IFERROR(__xludf.DUMMYFUNCTION("""COMPUTED_VALUE"""),0.0)</f>
        <v>0</v>
      </c>
      <c r="AH109" s="311">
        <f>IFERROR(__xludf.DUMMYFUNCTION("""COMPUTED_VALUE"""),0.0)</f>
        <v>0</v>
      </c>
      <c r="AI109" s="311">
        <f>IFERROR(__xludf.DUMMYFUNCTION("""COMPUTED_VALUE"""),0.0)</f>
        <v>0</v>
      </c>
      <c r="AJ109" s="311">
        <f>IFERROR(__xludf.DUMMYFUNCTION("ROWS(QUERY(Entregas_BD!D:AM,""select D where D ='""&amp;D109&amp;""'"",1))-1"),1.0)</f>
        <v>1</v>
      </c>
    </row>
    <row r="110" ht="22.5" customHeight="1">
      <c r="A110" s="310" t="str">
        <f>IFERROR(__xludf.DUMMYFUNCTION("""COMPUTED_VALUE"""),"")</f>
        <v/>
      </c>
      <c r="B110" s="310" t="str">
        <f>IFERROR(__xludf.DUMMYFUNCTION("""COMPUTED_VALUE"""),"")</f>
        <v/>
      </c>
      <c r="C110" s="310">
        <f>IFERROR(__xludf.DUMMYFUNCTION("""COMPUTED_VALUE"""),235.0)</f>
        <v>235</v>
      </c>
      <c r="D110" s="310" t="str">
        <f>IFERROR(__xludf.DUMMYFUNCTION("""COMPUTED_VALUE"""),"Hospital Municipal Rocha Maia")</f>
        <v>Hospital Municipal Rocha Maia</v>
      </c>
      <c r="E110" s="313" t="str">
        <f>IFERROR(__xludf.DUMMYFUNCTION("""COMPUTED_VALUE"""),"ZONA SUL")</f>
        <v>ZONA SUL</v>
      </c>
      <c r="F110" s="310" t="str">
        <f>IFERROR(__xludf.DUMMYFUNCTION("""COMPUTED_VALUE"""),"Rio de Janeiro")</f>
        <v>Rio de Janeiro</v>
      </c>
      <c r="G110" s="310" t="str">
        <f>IFERROR(__xludf.DUMMYFUNCTION("""COMPUTED_VALUE"""),"Botafogo")</f>
        <v>Botafogo</v>
      </c>
      <c r="H110" s="310" t="str">
        <f>IFERROR(__xludf.DUMMYFUNCTION("""COMPUTED_VALUE"""),"Hospital de Apoio - MÉDIA COMPLEXIDADE
")</f>
        <v>Hospital de Apoio - MÉDIA COMPLEXIDADE
</v>
      </c>
      <c r="I110" s="310" t="str">
        <f>IFERROR(__xludf.DUMMYFUNCTION("""COMPUTED_VALUE"""),"Público")</f>
        <v>Público</v>
      </c>
      <c r="J110" s="310" t="str">
        <f>IFERROR(__xludf.DUMMYFUNCTION("""COMPUTED_VALUE"""),"")</f>
        <v/>
      </c>
      <c r="K110" s="310" t="str">
        <f>IFERROR(__xludf.DUMMYFUNCTION("""COMPUTED_VALUE"""),"")</f>
        <v/>
      </c>
      <c r="L110" s="310" t="str">
        <f>IFERROR(__xludf.DUMMYFUNCTION("""COMPUTED_VALUE"""),"")</f>
        <v/>
      </c>
      <c r="M110" s="310" t="str">
        <f>IFERROR(__xludf.DUMMYFUNCTION("""COMPUTED_VALUE"""),"")</f>
        <v/>
      </c>
      <c r="N110" s="310">
        <f>IFERROR(__xludf.DUMMYFUNCTION("""COMPUTED_VALUE"""),0.0)</f>
        <v>0</v>
      </c>
      <c r="O110" s="310">
        <f>IFERROR(__xludf.DUMMYFUNCTION("""COMPUTED_VALUE"""),0.0)</f>
        <v>0</v>
      </c>
      <c r="P110" s="310">
        <f>IFERROR(__xludf.DUMMYFUNCTION("""COMPUTED_VALUE"""),0.0)</f>
        <v>0</v>
      </c>
      <c r="Q110" s="310">
        <f>IFERROR(__xludf.DUMMYFUNCTION("""COMPUTED_VALUE"""),0.0)</f>
        <v>0</v>
      </c>
      <c r="R110" s="310">
        <f>IFERROR(__xludf.DUMMYFUNCTION("""COMPUTED_VALUE"""),0.0)</f>
        <v>0</v>
      </c>
      <c r="S110" s="310">
        <f>IFERROR(__xludf.DUMMYFUNCTION("""COMPUTED_VALUE"""),0.0)</f>
        <v>0</v>
      </c>
      <c r="T110" s="310">
        <f>IFERROR(__xludf.DUMMYFUNCTION("""COMPUTED_VALUE"""),100.0)</f>
        <v>100</v>
      </c>
      <c r="U110" s="310">
        <f>IFERROR(__xludf.DUMMYFUNCTION("""COMPUTED_VALUE"""),0.0)</f>
        <v>0</v>
      </c>
      <c r="V110" s="310">
        <f>IFERROR(__xludf.DUMMYFUNCTION("""COMPUTED_VALUE"""),0.0)</f>
        <v>0</v>
      </c>
      <c r="W110" s="310">
        <f>IFERROR(__xludf.DUMMYFUNCTION("""COMPUTED_VALUE"""),0.0)</f>
        <v>0</v>
      </c>
      <c r="X110" s="310">
        <f>IFERROR(__xludf.DUMMYFUNCTION("""COMPUTED_VALUE"""),0.0)</f>
        <v>0</v>
      </c>
      <c r="Y110" s="310">
        <f>IFERROR(__xludf.DUMMYFUNCTION("""COMPUTED_VALUE"""),0.0)</f>
        <v>0</v>
      </c>
      <c r="Z110" s="310">
        <f>IFERROR(__xludf.DUMMYFUNCTION("""COMPUTED_VALUE"""),-100.0)</f>
        <v>-100</v>
      </c>
      <c r="AA110" s="310">
        <f>IFERROR(__xludf.DUMMYFUNCTION("""COMPUTED_VALUE"""),0.0)</f>
        <v>0</v>
      </c>
      <c r="AB110" s="310">
        <f>IFERROR(__xludf.DUMMYFUNCTION("""COMPUTED_VALUE"""),0.0)</f>
        <v>0</v>
      </c>
      <c r="AC110" s="310">
        <f>IFERROR(__xludf.DUMMYFUNCTION("""COMPUTED_VALUE"""),0.0)</f>
        <v>0</v>
      </c>
      <c r="AD110" s="310">
        <f>IFERROR(__xludf.DUMMYFUNCTION("""COMPUTED_VALUE"""),0.0)</f>
        <v>0</v>
      </c>
      <c r="AE110" s="310">
        <f>IFERROR(__xludf.DUMMYFUNCTION("""COMPUTED_VALUE"""),0.0)</f>
        <v>0</v>
      </c>
      <c r="AF110" s="310" t="str">
        <f>IFERROR(__xludf.DUMMYFUNCTION("""COMPUTED_VALUE"""),"")</f>
        <v/>
      </c>
      <c r="AG110" s="310">
        <f>IFERROR(__xludf.DUMMYFUNCTION("""COMPUTED_VALUE"""),0.0)</f>
        <v>0</v>
      </c>
      <c r="AH110" s="310">
        <f>IFERROR(__xludf.DUMMYFUNCTION("""COMPUTED_VALUE"""),0.0)</f>
        <v>0</v>
      </c>
      <c r="AI110" s="310">
        <f>IFERROR(__xludf.DUMMYFUNCTION("""COMPUTED_VALUE"""),0.0)</f>
        <v>0</v>
      </c>
      <c r="AJ110" s="310">
        <f>IFERROR(__xludf.DUMMYFUNCTION("ROWS(QUERY(Entregas_BD!D:AM,""select D where D ='""&amp;D110&amp;""'"",1))-1"),1.0)</f>
        <v>1</v>
      </c>
    </row>
    <row r="111" ht="22.5" customHeight="1">
      <c r="A111" s="311" t="str">
        <f>IFERROR(__xludf.DUMMYFUNCTION("""COMPUTED_VALUE"""),"")</f>
        <v/>
      </c>
      <c r="B111" s="311" t="str">
        <f>IFERROR(__xludf.DUMMYFUNCTION("""COMPUTED_VALUE"""),"")</f>
        <v/>
      </c>
      <c r="C111" s="311">
        <f>IFERROR(__xludf.DUMMYFUNCTION("""COMPUTED_VALUE"""),238.0)</f>
        <v>238</v>
      </c>
      <c r="D111" s="311" t="str">
        <f>IFERROR(__xludf.DUMMYFUNCTION("""COMPUTED_VALUE"""),"Hospital Central de Emergência de Cabo Frio")</f>
        <v>Hospital Central de Emergência de Cabo Frio</v>
      </c>
      <c r="E111" s="315" t="str">
        <f>IFERROR(__xludf.DUMMYFUNCTION("""COMPUTED_VALUE"""),"REGIAO DOS LAGOS")</f>
        <v>REGIAO DOS LAGOS</v>
      </c>
      <c r="F111" s="311" t="str">
        <f>IFERROR(__xludf.DUMMYFUNCTION("""COMPUTED_VALUE"""),"Cabo frio")</f>
        <v>Cabo frio</v>
      </c>
      <c r="G111" s="311" t="str">
        <f>IFERROR(__xludf.DUMMYFUNCTION("""COMPUTED_VALUE"""),"Sao Cristovao")</f>
        <v>Sao Cristovao</v>
      </c>
      <c r="H111" s="311" t="str">
        <f>IFERROR(__xludf.DUMMYFUNCTION("""COMPUTED_VALUE"""),"Grande emergência - MÉDIA COMPLEXIDADE
")</f>
        <v>Grande emergência - MÉDIA COMPLEXIDADE
</v>
      </c>
      <c r="I111" s="311" t="str">
        <f>IFERROR(__xludf.DUMMYFUNCTION("""COMPUTED_VALUE"""),"Público")</f>
        <v>Público</v>
      </c>
      <c r="J111" s="311" t="str">
        <f>IFERROR(__xludf.DUMMYFUNCTION("""COMPUTED_VALUE"""),"")</f>
        <v/>
      </c>
      <c r="K111" s="311" t="str">
        <f>IFERROR(__xludf.DUMMYFUNCTION("""COMPUTED_VALUE"""),"")</f>
        <v/>
      </c>
      <c r="L111" s="311" t="str">
        <f>IFERROR(__xludf.DUMMYFUNCTION("""COMPUTED_VALUE"""),"")</f>
        <v/>
      </c>
      <c r="M111" s="311" t="str">
        <f>IFERROR(__xludf.DUMMYFUNCTION("""COMPUTED_VALUE"""),"")</f>
        <v/>
      </c>
      <c r="N111" s="311">
        <f>IFERROR(__xludf.DUMMYFUNCTION("""COMPUTED_VALUE"""),0.0)</f>
        <v>0</v>
      </c>
      <c r="O111" s="311">
        <f>IFERROR(__xludf.DUMMYFUNCTION("""COMPUTED_VALUE"""),0.0)</f>
        <v>0</v>
      </c>
      <c r="P111" s="311">
        <f>IFERROR(__xludf.DUMMYFUNCTION("""COMPUTED_VALUE"""),0.0)</f>
        <v>0</v>
      </c>
      <c r="Q111" s="311">
        <f>IFERROR(__xludf.DUMMYFUNCTION("""COMPUTED_VALUE"""),0.0)</f>
        <v>0</v>
      </c>
      <c r="R111" s="311">
        <f>IFERROR(__xludf.DUMMYFUNCTION("""COMPUTED_VALUE"""),0.0)</f>
        <v>0</v>
      </c>
      <c r="S111" s="311">
        <f>IFERROR(__xludf.DUMMYFUNCTION("""COMPUTED_VALUE"""),0.0)</f>
        <v>0</v>
      </c>
      <c r="T111" s="311">
        <f>IFERROR(__xludf.DUMMYFUNCTION("""COMPUTED_VALUE"""),150.0)</f>
        <v>150</v>
      </c>
      <c r="U111" s="311">
        <f>IFERROR(__xludf.DUMMYFUNCTION("""COMPUTED_VALUE"""),0.0)</f>
        <v>0</v>
      </c>
      <c r="V111" s="311">
        <f>IFERROR(__xludf.DUMMYFUNCTION("""COMPUTED_VALUE"""),0.0)</f>
        <v>0</v>
      </c>
      <c r="W111" s="311">
        <f>IFERROR(__xludf.DUMMYFUNCTION("""COMPUTED_VALUE"""),0.0)</f>
        <v>0</v>
      </c>
      <c r="X111" s="311">
        <f>IFERROR(__xludf.DUMMYFUNCTION("""COMPUTED_VALUE"""),0.0)</f>
        <v>0</v>
      </c>
      <c r="Y111" s="311">
        <f>IFERROR(__xludf.DUMMYFUNCTION("""COMPUTED_VALUE"""),0.0)</f>
        <v>0</v>
      </c>
      <c r="Z111" s="311">
        <f>IFERROR(__xludf.DUMMYFUNCTION("""COMPUTED_VALUE"""),-150.0)</f>
        <v>-150</v>
      </c>
      <c r="AA111" s="311">
        <f>IFERROR(__xludf.DUMMYFUNCTION("""COMPUTED_VALUE"""),0.0)</f>
        <v>0</v>
      </c>
      <c r="AB111" s="311">
        <f>IFERROR(__xludf.DUMMYFUNCTION("""COMPUTED_VALUE"""),0.0)</f>
        <v>0</v>
      </c>
      <c r="AC111" s="311">
        <f>IFERROR(__xludf.DUMMYFUNCTION("""COMPUTED_VALUE"""),0.0)</f>
        <v>0</v>
      </c>
      <c r="AD111" s="311">
        <f>IFERROR(__xludf.DUMMYFUNCTION("""COMPUTED_VALUE"""),0.0)</f>
        <v>0</v>
      </c>
      <c r="AE111" s="311">
        <f>IFERROR(__xludf.DUMMYFUNCTION("""COMPUTED_VALUE"""),0.0)</f>
        <v>0</v>
      </c>
      <c r="AF111" s="311" t="str">
        <f>IFERROR(__xludf.DUMMYFUNCTION("""COMPUTED_VALUE"""),"")</f>
        <v/>
      </c>
      <c r="AG111" s="311">
        <f>IFERROR(__xludf.DUMMYFUNCTION("""COMPUTED_VALUE"""),0.0)</f>
        <v>0</v>
      </c>
      <c r="AH111" s="311">
        <f>IFERROR(__xludf.DUMMYFUNCTION("""COMPUTED_VALUE"""),0.0)</f>
        <v>0</v>
      </c>
      <c r="AI111" s="311">
        <f>IFERROR(__xludf.DUMMYFUNCTION("""COMPUTED_VALUE"""),0.0)</f>
        <v>0</v>
      </c>
      <c r="AJ111" s="311"/>
    </row>
    <row r="112" ht="22.5" customHeight="1">
      <c r="A112" s="310" t="str">
        <f>IFERROR(__xludf.DUMMYFUNCTION("""COMPUTED_VALUE"""),"")</f>
        <v/>
      </c>
      <c r="B112" s="310" t="str">
        <f>IFERROR(__xludf.DUMMYFUNCTION("""COMPUTED_VALUE"""),"")</f>
        <v/>
      </c>
      <c r="C112" s="310">
        <f>IFERROR(__xludf.DUMMYFUNCTION("""COMPUTED_VALUE"""),240.0)</f>
        <v>240</v>
      </c>
      <c r="D112" s="310" t="str">
        <f>IFERROR(__xludf.DUMMYFUNCTION("""COMPUTED_VALUE"""),"centro municipal de saude cesar pernetta")</f>
        <v>centro municipal de saude cesar pernetta</v>
      </c>
      <c r="E112" s="313" t="str">
        <f>IFERROR(__xludf.DUMMYFUNCTION("""COMPUTED_VALUE"""),"ZONA NORTE")</f>
        <v>ZONA NORTE</v>
      </c>
      <c r="F112" s="310" t="str">
        <f>IFERROR(__xludf.DUMMYFUNCTION("""COMPUTED_VALUE"""),"rio de janeiro")</f>
        <v>rio de janeiro</v>
      </c>
      <c r="G112" s="310" t="str">
        <f>IFERROR(__xludf.DUMMYFUNCTION("""COMPUTED_VALUE"""),"Meier")</f>
        <v>Meier</v>
      </c>
      <c r="H112" s="310" t="str">
        <f>IFERROR(__xludf.DUMMYFUNCTION("""COMPUTED_VALUE"""),"Unidade básica de saúde - BAIXA COMPLEXIDADE
")</f>
        <v>Unidade básica de saúde - BAIXA COMPLEXIDADE
</v>
      </c>
      <c r="I112" s="310" t="str">
        <f>IFERROR(__xludf.DUMMYFUNCTION("""COMPUTED_VALUE"""),"Público")</f>
        <v>Público</v>
      </c>
      <c r="J112" s="310" t="str">
        <f>IFERROR(__xludf.DUMMYFUNCTION("""COMPUTED_VALUE"""),"")</f>
        <v/>
      </c>
      <c r="K112" s="310" t="str">
        <f>IFERROR(__xludf.DUMMYFUNCTION("""COMPUTED_VALUE"""),"")</f>
        <v/>
      </c>
      <c r="L112" s="310" t="str">
        <f>IFERROR(__xludf.DUMMYFUNCTION("""COMPUTED_VALUE"""),"")</f>
        <v/>
      </c>
      <c r="M112" s="310" t="str">
        <f>IFERROR(__xludf.DUMMYFUNCTION("""COMPUTED_VALUE"""),"")</f>
        <v/>
      </c>
      <c r="N112" s="310">
        <f>IFERROR(__xludf.DUMMYFUNCTION("""COMPUTED_VALUE"""),0.0)</f>
        <v>0</v>
      </c>
      <c r="O112" s="310">
        <f>IFERROR(__xludf.DUMMYFUNCTION("""COMPUTED_VALUE"""),0.0)</f>
        <v>0</v>
      </c>
      <c r="P112" s="310">
        <f>IFERROR(__xludf.DUMMYFUNCTION("""COMPUTED_VALUE"""),0.0)</f>
        <v>0</v>
      </c>
      <c r="Q112" s="310">
        <f>IFERROR(__xludf.DUMMYFUNCTION("""COMPUTED_VALUE"""),0.0)</f>
        <v>0</v>
      </c>
      <c r="R112" s="310">
        <f>IFERROR(__xludf.DUMMYFUNCTION("""COMPUTED_VALUE"""),0.0)</f>
        <v>0</v>
      </c>
      <c r="S112" s="310">
        <f>IFERROR(__xludf.DUMMYFUNCTION("""COMPUTED_VALUE"""),0.0)</f>
        <v>0</v>
      </c>
      <c r="T112" s="310">
        <f>IFERROR(__xludf.DUMMYFUNCTION("""COMPUTED_VALUE"""),50.0)</f>
        <v>50</v>
      </c>
      <c r="U112" s="310">
        <f>IFERROR(__xludf.DUMMYFUNCTION("""COMPUTED_VALUE"""),0.0)</f>
        <v>0</v>
      </c>
      <c r="V112" s="310">
        <f>IFERROR(__xludf.DUMMYFUNCTION("""COMPUTED_VALUE"""),0.0)</f>
        <v>0</v>
      </c>
      <c r="W112" s="310">
        <f>IFERROR(__xludf.DUMMYFUNCTION("""COMPUTED_VALUE"""),25.0)</f>
        <v>25</v>
      </c>
      <c r="X112" s="310">
        <f>IFERROR(__xludf.DUMMYFUNCTION("""COMPUTED_VALUE"""),0.0)</f>
        <v>0</v>
      </c>
      <c r="Y112" s="310">
        <f>IFERROR(__xludf.DUMMYFUNCTION("""COMPUTED_VALUE"""),0.0)</f>
        <v>0</v>
      </c>
      <c r="Z112" s="310">
        <f>IFERROR(__xludf.DUMMYFUNCTION("""COMPUTED_VALUE"""),-50.0)</f>
        <v>-50</v>
      </c>
      <c r="AA112" s="310">
        <f>IFERROR(__xludf.DUMMYFUNCTION("""COMPUTED_VALUE"""),0.0)</f>
        <v>0</v>
      </c>
      <c r="AB112" s="310">
        <f>IFERROR(__xludf.DUMMYFUNCTION("""COMPUTED_VALUE"""),0.0)</f>
        <v>0</v>
      </c>
      <c r="AC112" s="310">
        <f>IFERROR(__xludf.DUMMYFUNCTION("""COMPUTED_VALUE"""),-25.0)</f>
        <v>-25</v>
      </c>
      <c r="AD112" s="310">
        <f>IFERROR(__xludf.DUMMYFUNCTION("""COMPUTED_VALUE"""),0.0)</f>
        <v>0</v>
      </c>
      <c r="AE112" s="310">
        <f>IFERROR(__xludf.DUMMYFUNCTION("""COMPUTED_VALUE"""),0.0)</f>
        <v>0</v>
      </c>
      <c r="AF112" s="310" t="str">
        <f>IFERROR(__xludf.DUMMYFUNCTION("""COMPUTED_VALUE"""),"")</f>
        <v/>
      </c>
      <c r="AG112" s="310">
        <f>IFERROR(__xludf.DUMMYFUNCTION("""COMPUTED_VALUE"""),0.0)</f>
        <v>0</v>
      </c>
      <c r="AH112" s="310">
        <f>IFERROR(__xludf.DUMMYFUNCTION("""COMPUTED_VALUE"""),0.0)</f>
        <v>0</v>
      </c>
      <c r="AI112" s="310">
        <f>IFERROR(__xludf.DUMMYFUNCTION("""COMPUTED_VALUE"""),0.0)</f>
        <v>0</v>
      </c>
      <c r="AJ112" s="310"/>
    </row>
    <row r="113" ht="22.5" customHeight="1">
      <c r="A113" s="311" t="str">
        <f>IFERROR(__xludf.DUMMYFUNCTION("""COMPUTED_VALUE"""),"")</f>
        <v/>
      </c>
      <c r="B113" s="311" t="str">
        <f>IFERROR(__xludf.DUMMYFUNCTION("""COMPUTED_VALUE"""),"")</f>
        <v/>
      </c>
      <c r="C113" s="311">
        <f>IFERROR(__xludf.DUMMYFUNCTION("""COMPUTED_VALUE"""),241.0)</f>
        <v>241</v>
      </c>
      <c r="D113" s="311" t="str">
        <f>IFERROR(__xludf.DUMMYFUNCTION("""COMPUTED_VALUE"""),"Faculdade de Odontologia da UFRJ")</f>
        <v>Faculdade de Odontologia da UFRJ</v>
      </c>
      <c r="E113" s="315" t="str">
        <f>IFERROR(__xludf.DUMMYFUNCTION("""COMPUTED_VALUE"""),"ZONA NORTE")</f>
        <v>ZONA NORTE</v>
      </c>
      <c r="F113" s="311" t="str">
        <f>IFERROR(__xludf.DUMMYFUNCTION("""COMPUTED_VALUE"""),"Rio de Janeiro")</f>
        <v>Rio de Janeiro</v>
      </c>
      <c r="G113" s="311" t="str">
        <f>IFERROR(__xludf.DUMMYFUNCTION("""COMPUTED_VALUE"""),"Ilha do Fundao - Cidade Universitaria")</f>
        <v>Ilha do Fundao - Cidade Universitaria</v>
      </c>
      <c r="H113" s="311" t="str">
        <f>IFERROR(__xludf.DUMMYFUNCTION("""COMPUTED_VALUE"""),"Unidade de atendimento publico odontológico
")</f>
        <v>Unidade de atendimento publico odontológico
</v>
      </c>
      <c r="I113" s="311" t="str">
        <f>IFERROR(__xludf.DUMMYFUNCTION("""COMPUTED_VALUE"""),"Público")</f>
        <v>Público</v>
      </c>
      <c r="J113" s="311" t="str">
        <f>IFERROR(__xludf.DUMMYFUNCTION("""COMPUTED_VALUE"""),"")</f>
        <v/>
      </c>
      <c r="K113" s="311" t="str">
        <f>IFERROR(__xludf.DUMMYFUNCTION("""COMPUTED_VALUE"""),"")</f>
        <v/>
      </c>
      <c r="L113" s="311" t="str">
        <f>IFERROR(__xludf.DUMMYFUNCTION("""COMPUTED_VALUE"""),"")</f>
        <v/>
      </c>
      <c r="M113" s="311" t="str">
        <f>IFERROR(__xludf.DUMMYFUNCTION("""COMPUTED_VALUE"""),"")</f>
        <v/>
      </c>
      <c r="N113" s="311">
        <f>IFERROR(__xludf.DUMMYFUNCTION("""COMPUTED_VALUE"""),0.0)</f>
        <v>0</v>
      </c>
      <c r="O113" s="311">
        <f>IFERROR(__xludf.DUMMYFUNCTION("""COMPUTED_VALUE"""),0.0)</f>
        <v>0</v>
      </c>
      <c r="P113" s="311">
        <f>IFERROR(__xludf.DUMMYFUNCTION("""COMPUTED_VALUE"""),0.0)</f>
        <v>0</v>
      </c>
      <c r="Q113" s="311">
        <f>IFERROR(__xludf.DUMMYFUNCTION("""COMPUTED_VALUE"""),0.0)</f>
        <v>0</v>
      </c>
      <c r="R113" s="311">
        <f>IFERROR(__xludf.DUMMYFUNCTION("""COMPUTED_VALUE"""),0.0)</f>
        <v>0</v>
      </c>
      <c r="S113" s="311">
        <f>IFERROR(__xludf.DUMMYFUNCTION("""COMPUTED_VALUE"""),0.0)</f>
        <v>0</v>
      </c>
      <c r="T113" s="311">
        <f>IFERROR(__xludf.DUMMYFUNCTION("""COMPUTED_VALUE"""),50.0)</f>
        <v>50</v>
      </c>
      <c r="U113" s="311">
        <f>IFERROR(__xludf.DUMMYFUNCTION("""COMPUTED_VALUE"""),0.0)</f>
        <v>0</v>
      </c>
      <c r="V113" s="311">
        <f>IFERROR(__xludf.DUMMYFUNCTION("""COMPUTED_VALUE"""),0.0)</f>
        <v>0</v>
      </c>
      <c r="W113" s="311">
        <f>IFERROR(__xludf.DUMMYFUNCTION("""COMPUTED_VALUE"""),0.0)</f>
        <v>0</v>
      </c>
      <c r="X113" s="311">
        <f>IFERROR(__xludf.DUMMYFUNCTION("""COMPUTED_VALUE"""),0.0)</f>
        <v>0</v>
      </c>
      <c r="Y113" s="311">
        <f>IFERROR(__xludf.DUMMYFUNCTION("""COMPUTED_VALUE"""),0.0)</f>
        <v>0</v>
      </c>
      <c r="Z113" s="311">
        <f>IFERROR(__xludf.DUMMYFUNCTION("""COMPUTED_VALUE"""),-50.0)</f>
        <v>-50</v>
      </c>
      <c r="AA113" s="311">
        <f>IFERROR(__xludf.DUMMYFUNCTION("""COMPUTED_VALUE"""),0.0)</f>
        <v>0</v>
      </c>
      <c r="AB113" s="311">
        <f>IFERROR(__xludf.DUMMYFUNCTION("""COMPUTED_VALUE"""),0.0)</f>
        <v>0</v>
      </c>
      <c r="AC113" s="311">
        <f>IFERROR(__xludf.DUMMYFUNCTION("""COMPUTED_VALUE"""),0.0)</f>
        <v>0</v>
      </c>
      <c r="AD113" s="311">
        <f>IFERROR(__xludf.DUMMYFUNCTION("""COMPUTED_VALUE"""),0.0)</f>
        <v>0</v>
      </c>
      <c r="AE113" s="311">
        <f>IFERROR(__xludf.DUMMYFUNCTION("""COMPUTED_VALUE"""),0.0)</f>
        <v>0</v>
      </c>
      <c r="AF113" s="311" t="str">
        <f>IFERROR(__xludf.DUMMYFUNCTION("""COMPUTED_VALUE"""),"")</f>
        <v/>
      </c>
      <c r="AG113" s="311">
        <f>IFERROR(__xludf.DUMMYFUNCTION("""COMPUTED_VALUE"""),0.0)</f>
        <v>0</v>
      </c>
      <c r="AH113" s="311">
        <f>IFERROR(__xludf.DUMMYFUNCTION("""COMPUTED_VALUE"""),0.0)</f>
        <v>0</v>
      </c>
      <c r="AI113" s="311">
        <f>IFERROR(__xludf.DUMMYFUNCTION("""COMPUTED_VALUE"""),0.0)</f>
        <v>0</v>
      </c>
      <c r="AJ113" s="311"/>
    </row>
    <row r="114" ht="22.5" customHeight="1">
      <c r="A114" s="310" t="str">
        <f>IFERROR(__xludf.DUMMYFUNCTION("""COMPUTED_VALUE"""),"")</f>
        <v/>
      </c>
      <c r="B114" s="310" t="str">
        <f>IFERROR(__xludf.DUMMYFUNCTION("""COMPUTED_VALUE"""),"")</f>
        <v/>
      </c>
      <c r="C114" s="310">
        <f>IFERROR(__xludf.DUMMYFUNCTION("""COMPUTED_VALUE"""),243.0)</f>
        <v>243</v>
      </c>
      <c r="D114" s="310" t="str">
        <f>IFERROR(__xludf.DUMMYFUNCTION("""COMPUTED_VALUE"""),"Clinica da Família Dr Moacyr A de Carvalho")</f>
        <v>Clinica da Família Dr Moacyr A de Carvalho</v>
      </c>
      <c r="E114" s="313" t="str">
        <f>IFERROR(__xludf.DUMMYFUNCTION("""COMPUTED_VALUE"""),"BAIXADA FLUMINENSE")</f>
        <v>BAIXADA FLUMINENSE</v>
      </c>
      <c r="F114" s="310" t="str">
        <f>IFERROR(__xludf.DUMMYFUNCTION("""COMPUTED_VALUE"""),"Nova Iguaçu")</f>
        <v>Nova Iguaçu</v>
      </c>
      <c r="G114" s="310" t="str">
        <f>IFERROR(__xludf.DUMMYFUNCTION("""COMPUTED_VALUE"""),"Austim")</f>
        <v>Austim</v>
      </c>
      <c r="H114" s="310" t="str">
        <f>IFERROR(__xludf.DUMMYFUNCTION("""COMPUTED_VALUE"""),"Unidade básica de saúde - BAIXA COMPLEXIDADE
")</f>
        <v>Unidade básica de saúde - BAIXA COMPLEXIDADE
</v>
      </c>
      <c r="I114" s="310" t="str">
        <f>IFERROR(__xludf.DUMMYFUNCTION("""COMPUTED_VALUE"""),"Público")</f>
        <v>Público</v>
      </c>
      <c r="J114" s="310" t="str">
        <f>IFERROR(__xludf.DUMMYFUNCTION("""COMPUTED_VALUE"""),"")</f>
        <v/>
      </c>
      <c r="K114" s="310" t="str">
        <f>IFERROR(__xludf.DUMMYFUNCTION("""COMPUTED_VALUE"""),"")</f>
        <v/>
      </c>
      <c r="L114" s="310" t="str">
        <f>IFERROR(__xludf.DUMMYFUNCTION("""COMPUTED_VALUE"""),"")</f>
        <v/>
      </c>
      <c r="M114" s="310" t="str">
        <f>IFERROR(__xludf.DUMMYFUNCTION("""COMPUTED_VALUE"""),"")</f>
        <v/>
      </c>
      <c r="N114" s="310">
        <f>IFERROR(__xludf.DUMMYFUNCTION("""COMPUTED_VALUE"""),0.0)</f>
        <v>0</v>
      </c>
      <c r="O114" s="310">
        <f>IFERROR(__xludf.DUMMYFUNCTION("""COMPUTED_VALUE"""),0.0)</f>
        <v>0</v>
      </c>
      <c r="P114" s="310">
        <f>IFERROR(__xludf.DUMMYFUNCTION("""COMPUTED_VALUE"""),0.0)</f>
        <v>0</v>
      </c>
      <c r="Q114" s="310">
        <f>IFERROR(__xludf.DUMMYFUNCTION("""COMPUTED_VALUE"""),0.0)</f>
        <v>0</v>
      </c>
      <c r="R114" s="310">
        <f>IFERROR(__xludf.DUMMYFUNCTION("""COMPUTED_VALUE"""),0.0)</f>
        <v>0</v>
      </c>
      <c r="S114" s="310">
        <f>IFERROR(__xludf.DUMMYFUNCTION("""COMPUTED_VALUE"""),0.0)</f>
        <v>0</v>
      </c>
      <c r="T114" s="310">
        <f>IFERROR(__xludf.DUMMYFUNCTION("""COMPUTED_VALUE"""),25.0)</f>
        <v>25</v>
      </c>
      <c r="U114" s="310">
        <f>IFERROR(__xludf.DUMMYFUNCTION("""COMPUTED_VALUE"""),0.0)</f>
        <v>0</v>
      </c>
      <c r="V114" s="310">
        <f>IFERROR(__xludf.DUMMYFUNCTION("""COMPUTED_VALUE"""),0.0)</f>
        <v>0</v>
      </c>
      <c r="W114" s="310">
        <f>IFERROR(__xludf.DUMMYFUNCTION("""COMPUTED_VALUE"""),0.0)</f>
        <v>0</v>
      </c>
      <c r="X114" s="310">
        <f>IFERROR(__xludf.DUMMYFUNCTION("""COMPUTED_VALUE"""),0.0)</f>
        <v>0</v>
      </c>
      <c r="Y114" s="310">
        <f>IFERROR(__xludf.DUMMYFUNCTION("""COMPUTED_VALUE"""),0.0)</f>
        <v>0</v>
      </c>
      <c r="Z114" s="310">
        <f>IFERROR(__xludf.DUMMYFUNCTION("""COMPUTED_VALUE"""),-25.0)</f>
        <v>-25</v>
      </c>
      <c r="AA114" s="310">
        <f>IFERROR(__xludf.DUMMYFUNCTION("""COMPUTED_VALUE"""),0.0)</f>
        <v>0</v>
      </c>
      <c r="AB114" s="310">
        <f>IFERROR(__xludf.DUMMYFUNCTION("""COMPUTED_VALUE"""),0.0)</f>
        <v>0</v>
      </c>
      <c r="AC114" s="310">
        <f>IFERROR(__xludf.DUMMYFUNCTION("""COMPUTED_VALUE"""),0.0)</f>
        <v>0</v>
      </c>
      <c r="AD114" s="310">
        <f>IFERROR(__xludf.DUMMYFUNCTION("""COMPUTED_VALUE"""),0.0)</f>
        <v>0</v>
      </c>
      <c r="AE114" s="310">
        <f>IFERROR(__xludf.DUMMYFUNCTION("""COMPUTED_VALUE"""),0.0)</f>
        <v>0</v>
      </c>
      <c r="AF114" s="310" t="str">
        <f>IFERROR(__xludf.DUMMYFUNCTION("""COMPUTED_VALUE"""),"")</f>
        <v/>
      </c>
      <c r="AG114" s="310">
        <f>IFERROR(__xludf.DUMMYFUNCTION("""COMPUTED_VALUE"""),0.0)</f>
        <v>0</v>
      </c>
      <c r="AH114" s="310">
        <f>IFERROR(__xludf.DUMMYFUNCTION("""COMPUTED_VALUE"""),0.0)</f>
        <v>0</v>
      </c>
      <c r="AI114" s="310">
        <f>IFERROR(__xludf.DUMMYFUNCTION("""COMPUTED_VALUE"""),0.0)</f>
        <v>0</v>
      </c>
      <c r="AJ114" s="310"/>
    </row>
    <row r="115" ht="22.5" customHeight="1">
      <c r="A115" s="311" t="str">
        <f>IFERROR(__xludf.DUMMYFUNCTION("""COMPUTED_VALUE"""),"")</f>
        <v/>
      </c>
      <c r="B115" s="311" t="str">
        <f>IFERROR(__xludf.DUMMYFUNCTION("""COMPUTED_VALUE"""),"")</f>
        <v/>
      </c>
      <c r="C115" s="311">
        <f>IFERROR(__xludf.DUMMYFUNCTION("""COMPUTED_VALUE"""),246.0)</f>
        <v>246</v>
      </c>
      <c r="D115" s="311" t="str">
        <f>IFERROR(__xludf.DUMMYFUNCTION("""COMPUTED_VALUE"""),"UBS Santa Lucia")</f>
        <v>UBS Santa Lucia</v>
      </c>
      <c r="E115" s="315" t="str">
        <f>IFERROR(__xludf.DUMMYFUNCTION("""COMPUTED_VALUE"""),"BAIXADA FLUMINENSE")</f>
        <v>BAIXADA FLUMINENSE</v>
      </c>
      <c r="F115" s="311" t="str">
        <f>IFERROR(__xludf.DUMMYFUNCTION("""COMPUTED_VALUE"""),"Duque de Caxias")</f>
        <v>Duque de Caxias</v>
      </c>
      <c r="G115" s="311" t="str">
        <f>IFERROR(__xludf.DUMMYFUNCTION("""COMPUTED_VALUE"""),"Santa Lucia")</f>
        <v>Santa Lucia</v>
      </c>
      <c r="H115" s="311" t="str">
        <f>IFERROR(__xludf.DUMMYFUNCTION("""COMPUTED_VALUE"""),"Unidade básica de saúde - BAIXA COMPLEXIDADE
")</f>
        <v>Unidade básica de saúde - BAIXA COMPLEXIDADE
</v>
      </c>
      <c r="I115" s="311" t="str">
        <f>IFERROR(__xludf.DUMMYFUNCTION("""COMPUTED_VALUE"""),"Público")</f>
        <v>Público</v>
      </c>
      <c r="J115" s="311" t="str">
        <f>IFERROR(__xludf.DUMMYFUNCTION("""COMPUTED_VALUE"""),"")</f>
        <v/>
      </c>
      <c r="K115" s="311" t="str">
        <f>IFERROR(__xludf.DUMMYFUNCTION("""COMPUTED_VALUE"""),"")</f>
        <v/>
      </c>
      <c r="L115" s="311" t="str">
        <f>IFERROR(__xludf.DUMMYFUNCTION("""COMPUTED_VALUE"""),"")</f>
        <v/>
      </c>
      <c r="M115" s="311" t="str">
        <f>IFERROR(__xludf.DUMMYFUNCTION("""COMPUTED_VALUE"""),"")</f>
        <v/>
      </c>
      <c r="N115" s="311">
        <f>IFERROR(__xludf.DUMMYFUNCTION("""COMPUTED_VALUE"""),0.0)</f>
        <v>0</v>
      </c>
      <c r="O115" s="311">
        <f>IFERROR(__xludf.DUMMYFUNCTION("""COMPUTED_VALUE"""),0.0)</f>
        <v>0</v>
      </c>
      <c r="P115" s="311">
        <f>IFERROR(__xludf.DUMMYFUNCTION("""COMPUTED_VALUE"""),0.0)</f>
        <v>0</v>
      </c>
      <c r="Q115" s="311">
        <f>IFERROR(__xludf.DUMMYFUNCTION("""COMPUTED_VALUE"""),0.0)</f>
        <v>0</v>
      </c>
      <c r="R115" s="311">
        <f>IFERROR(__xludf.DUMMYFUNCTION("""COMPUTED_VALUE"""),0.0)</f>
        <v>0</v>
      </c>
      <c r="S115" s="311">
        <f>IFERROR(__xludf.DUMMYFUNCTION("""COMPUTED_VALUE"""),0.0)</f>
        <v>0</v>
      </c>
      <c r="T115" s="311">
        <f>IFERROR(__xludf.DUMMYFUNCTION("""COMPUTED_VALUE"""),25.0)</f>
        <v>25</v>
      </c>
      <c r="U115" s="311">
        <f>IFERROR(__xludf.DUMMYFUNCTION("""COMPUTED_VALUE"""),0.0)</f>
        <v>0</v>
      </c>
      <c r="V115" s="311">
        <f>IFERROR(__xludf.DUMMYFUNCTION("""COMPUTED_VALUE"""),0.0)</f>
        <v>0</v>
      </c>
      <c r="W115" s="311">
        <f>IFERROR(__xludf.DUMMYFUNCTION("""COMPUTED_VALUE"""),0.0)</f>
        <v>0</v>
      </c>
      <c r="X115" s="311">
        <f>IFERROR(__xludf.DUMMYFUNCTION("""COMPUTED_VALUE"""),0.0)</f>
        <v>0</v>
      </c>
      <c r="Y115" s="311">
        <f>IFERROR(__xludf.DUMMYFUNCTION("""COMPUTED_VALUE"""),0.0)</f>
        <v>0</v>
      </c>
      <c r="Z115" s="311">
        <f>IFERROR(__xludf.DUMMYFUNCTION("""COMPUTED_VALUE"""),-25.0)</f>
        <v>-25</v>
      </c>
      <c r="AA115" s="311">
        <f>IFERROR(__xludf.DUMMYFUNCTION("""COMPUTED_VALUE"""),0.0)</f>
        <v>0</v>
      </c>
      <c r="AB115" s="311">
        <f>IFERROR(__xludf.DUMMYFUNCTION("""COMPUTED_VALUE"""),0.0)</f>
        <v>0</v>
      </c>
      <c r="AC115" s="311">
        <f>IFERROR(__xludf.DUMMYFUNCTION("""COMPUTED_VALUE"""),0.0)</f>
        <v>0</v>
      </c>
      <c r="AD115" s="311">
        <f>IFERROR(__xludf.DUMMYFUNCTION("""COMPUTED_VALUE"""),0.0)</f>
        <v>0</v>
      </c>
      <c r="AE115" s="311">
        <f>IFERROR(__xludf.DUMMYFUNCTION("""COMPUTED_VALUE"""),0.0)</f>
        <v>0</v>
      </c>
      <c r="AF115" s="311" t="str">
        <f>IFERROR(__xludf.DUMMYFUNCTION("""COMPUTED_VALUE"""),"")</f>
        <v/>
      </c>
      <c r="AG115" s="311">
        <f>IFERROR(__xludf.DUMMYFUNCTION("""COMPUTED_VALUE"""),0.0)</f>
        <v>0</v>
      </c>
      <c r="AH115" s="311">
        <f>IFERROR(__xludf.DUMMYFUNCTION("""COMPUTED_VALUE"""),0.0)</f>
        <v>0</v>
      </c>
      <c r="AI115" s="311">
        <f>IFERROR(__xludf.DUMMYFUNCTION("""COMPUTED_VALUE"""),0.0)</f>
        <v>0</v>
      </c>
      <c r="AJ115" s="311"/>
    </row>
    <row r="116" ht="22.5" customHeight="1">
      <c r="A116" s="310" t="str">
        <f>IFERROR(__xludf.DUMMYFUNCTION("""COMPUTED_VALUE"""),"")</f>
        <v/>
      </c>
      <c r="B116" s="310" t="str">
        <f>IFERROR(__xludf.DUMMYFUNCTION("""COMPUTED_VALUE"""),"")</f>
        <v/>
      </c>
      <c r="C116" s="310">
        <f>IFERROR(__xludf.DUMMYFUNCTION("""COMPUTED_VALUE"""),247.0)</f>
        <v>247</v>
      </c>
      <c r="D116" s="310" t="str">
        <f>IFERROR(__xludf.DUMMYFUNCTION("""COMPUTED_VALUE"""),"USF MANGUEIRINHA")</f>
        <v>USF MANGUEIRINHA</v>
      </c>
      <c r="E116" s="313" t="str">
        <f>IFERROR(__xludf.DUMMYFUNCTION("""COMPUTED_VALUE"""),"BAIXADA FLUMINENSE")</f>
        <v>BAIXADA FLUMINENSE</v>
      </c>
      <c r="F116" s="310" t="str">
        <f>IFERROR(__xludf.DUMMYFUNCTION("""COMPUTED_VALUE"""),"Duque de Caxias")</f>
        <v>Duque de Caxias</v>
      </c>
      <c r="G116" s="310" t="str">
        <f>IFERROR(__xludf.DUMMYFUNCTION("""COMPUTED_VALUE"""),"Centenario")</f>
        <v>Centenario</v>
      </c>
      <c r="H116" s="310" t="str">
        <f>IFERROR(__xludf.DUMMYFUNCTION("""COMPUTED_VALUE"""),"Unidade básica de saúde - BAIXA COMPLEXIDADE
")</f>
        <v>Unidade básica de saúde - BAIXA COMPLEXIDADE
</v>
      </c>
      <c r="I116" s="310" t="str">
        <f>IFERROR(__xludf.DUMMYFUNCTION("""COMPUTED_VALUE"""),"Público")</f>
        <v>Público</v>
      </c>
      <c r="J116" s="310" t="str">
        <f>IFERROR(__xludf.DUMMYFUNCTION("""COMPUTED_VALUE"""),"")</f>
        <v/>
      </c>
      <c r="K116" s="310" t="str">
        <f>IFERROR(__xludf.DUMMYFUNCTION("""COMPUTED_VALUE"""),"")</f>
        <v/>
      </c>
      <c r="L116" s="310" t="str">
        <f>IFERROR(__xludf.DUMMYFUNCTION("""COMPUTED_VALUE"""),"")</f>
        <v/>
      </c>
      <c r="M116" s="310" t="str">
        <f>IFERROR(__xludf.DUMMYFUNCTION("""COMPUTED_VALUE"""),"")</f>
        <v/>
      </c>
      <c r="N116" s="310">
        <f>IFERROR(__xludf.DUMMYFUNCTION("""COMPUTED_VALUE"""),0.0)</f>
        <v>0</v>
      </c>
      <c r="O116" s="310">
        <f>IFERROR(__xludf.DUMMYFUNCTION("""COMPUTED_VALUE"""),0.0)</f>
        <v>0</v>
      </c>
      <c r="P116" s="310">
        <f>IFERROR(__xludf.DUMMYFUNCTION("""COMPUTED_VALUE"""),0.0)</f>
        <v>0</v>
      </c>
      <c r="Q116" s="310">
        <f>IFERROR(__xludf.DUMMYFUNCTION("""COMPUTED_VALUE"""),0.0)</f>
        <v>0</v>
      </c>
      <c r="R116" s="310">
        <f>IFERROR(__xludf.DUMMYFUNCTION("""COMPUTED_VALUE"""),0.0)</f>
        <v>0</v>
      </c>
      <c r="S116" s="310">
        <f>IFERROR(__xludf.DUMMYFUNCTION("""COMPUTED_VALUE"""),0.0)</f>
        <v>0</v>
      </c>
      <c r="T116" s="310">
        <f>IFERROR(__xludf.DUMMYFUNCTION("""COMPUTED_VALUE"""),25.0)</f>
        <v>25</v>
      </c>
      <c r="U116" s="310">
        <f>IFERROR(__xludf.DUMMYFUNCTION("""COMPUTED_VALUE"""),0.0)</f>
        <v>0</v>
      </c>
      <c r="V116" s="310">
        <f>IFERROR(__xludf.DUMMYFUNCTION("""COMPUTED_VALUE"""),0.0)</f>
        <v>0</v>
      </c>
      <c r="W116" s="310">
        <f>IFERROR(__xludf.DUMMYFUNCTION("""COMPUTED_VALUE"""),0.0)</f>
        <v>0</v>
      </c>
      <c r="X116" s="310">
        <f>IFERROR(__xludf.DUMMYFUNCTION("""COMPUTED_VALUE"""),0.0)</f>
        <v>0</v>
      </c>
      <c r="Y116" s="310">
        <f>IFERROR(__xludf.DUMMYFUNCTION("""COMPUTED_VALUE"""),0.0)</f>
        <v>0</v>
      </c>
      <c r="Z116" s="310">
        <f>IFERROR(__xludf.DUMMYFUNCTION("""COMPUTED_VALUE"""),-25.0)</f>
        <v>-25</v>
      </c>
      <c r="AA116" s="310">
        <f>IFERROR(__xludf.DUMMYFUNCTION("""COMPUTED_VALUE"""),0.0)</f>
        <v>0</v>
      </c>
      <c r="AB116" s="310">
        <f>IFERROR(__xludf.DUMMYFUNCTION("""COMPUTED_VALUE"""),0.0)</f>
        <v>0</v>
      </c>
      <c r="AC116" s="310">
        <f>IFERROR(__xludf.DUMMYFUNCTION("""COMPUTED_VALUE"""),0.0)</f>
        <v>0</v>
      </c>
      <c r="AD116" s="310">
        <f>IFERROR(__xludf.DUMMYFUNCTION("""COMPUTED_VALUE"""),0.0)</f>
        <v>0</v>
      </c>
      <c r="AE116" s="310">
        <f>IFERROR(__xludf.DUMMYFUNCTION("""COMPUTED_VALUE"""),0.0)</f>
        <v>0</v>
      </c>
      <c r="AF116" s="310" t="str">
        <f>IFERROR(__xludf.DUMMYFUNCTION("""COMPUTED_VALUE"""),"")</f>
        <v/>
      </c>
      <c r="AG116" s="310">
        <f>IFERROR(__xludf.DUMMYFUNCTION("""COMPUTED_VALUE"""),0.0)</f>
        <v>0</v>
      </c>
      <c r="AH116" s="310">
        <f>IFERROR(__xludf.DUMMYFUNCTION("""COMPUTED_VALUE"""),0.0)</f>
        <v>0</v>
      </c>
      <c r="AI116" s="310">
        <f>IFERROR(__xludf.DUMMYFUNCTION("""COMPUTED_VALUE"""),0.0)</f>
        <v>0</v>
      </c>
      <c r="AJ116" s="310"/>
    </row>
    <row r="117" ht="22.5" customHeight="1">
      <c r="A117" s="311" t="str">
        <f>IFERROR(__xludf.DUMMYFUNCTION("""COMPUTED_VALUE"""),"")</f>
        <v/>
      </c>
      <c r="B117" s="311" t="str">
        <f>IFERROR(__xludf.DUMMYFUNCTION("""COMPUTED_VALUE"""),"")</f>
        <v/>
      </c>
      <c r="C117" s="311">
        <f>IFERROR(__xludf.DUMMYFUNCTION("""COMPUTED_VALUE"""),249.0)</f>
        <v>249</v>
      </c>
      <c r="D117" s="311" t="str">
        <f>IFERROR(__xludf.DUMMYFUNCTION("""COMPUTED_VALUE"""),"USF JARDIM GRAMACHO I, II, III, V")</f>
        <v>USF JARDIM GRAMACHO I, II, III, V</v>
      </c>
      <c r="E117" s="315" t="str">
        <f>IFERROR(__xludf.DUMMYFUNCTION("""COMPUTED_VALUE"""),"BAIXADA FLUMINENSE")</f>
        <v>BAIXADA FLUMINENSE</v>
      </c>
      <c r="F117" s="311" t="str">
        <f>IFERROR(__xludf.DUMMYFUNCTION("""COMPUTED_VALUE"""),"DUQUE DE CAXIAS")</f>
        <v>DUQUE DE CAXIAS</v>
      </c>
      <c r="G117" s="311" t="str">
        <f>IFERROR(__xludf.DUMMYFUNCTION("""COMPUTED_VALUE"""),"JARDIM GRAMACHO")</f>
        <v>JARDIM GRAMACHO</v>
      </c>
      <c r="H117" s="311" t="str">
        <f>IFERROR(__xludf.DUMMYFUNCTION("""COMPUTED_VALUE"""),"Unidade básica de saúde - BAIXA COMPLEXIDADE
")</f>
        <v>Unidade básica de saúde - BAIXA COMPLEXIDADE
</v>
      </c>
      <c r="I117" s="311" t="str">
        <f>IFERROR(__xludf.DUMMYFUNCTION("""COMPUTED_VALUE"""),"Público")</f>
        <v>Público</v>
      </c>
      <c r="J117" s="311" t="str">
        <f>IFERROR(__xludf.DUMMYFUNCTION("""COMPUTED_VALUE"""),"")</f>
        <v/>
      </c>
      <c r="K117" s="311" t="str">
        <f>IFERROR(__xludf.DUMMYFUNCTION("""COMPUTED_VALUE"""),"")</f>
        <v/>
      </c>
      <c r="L117" s="311" t="str">
        <f>IFERROR(__xludf.DUMMYFUNCTION("""COMPUTED_VALUE"""),"")</f>
        <v/>
      </c>
      <c r="M117" s="311" t="str">
        <f>IFERROR(__xludf.DUMMYFUNCTION("""COMPUTED_VALUE"""),"")</f>
        <v/>
      </c>
      <c r="N117" s="311">
        <f>IFERROR(__xludf.DUMMYFUNCTION("""COMPUTED_VALUE"""),0.0)</f>
        <v>0</v>
      </c>
      <c r="O117" s="311">
        <f>IFERROR(__xludf.DUMMYFUNCTION("""COMPUTED_VALUE"""),0.0)</f>
        <v>0</v>
      </c>
      <c r="P117" s="311">
        <f>IFERROR(__xludf.DUMMYFUNCTION("""COMPUTED_VALUE"""),0.0)</f>
        <v>0</v>
      </c>
      <c r="Q117" s="311">
        <f>IFERROR(__xludf.DUMMYFUNCTION("""COMPUTED_VALUE"""),0.0)</f>
        <v>0</v>
      </c>
      <c r="R117" s="311">
        <f>IFERROR(__xludf.DUMMYFUNCTION("""COMPUTED_VALUE"""),0.0)</f>
        <v>0</v>
      </c>
      <c r="S117" s="311">
        <f>IFERROR(__xludf.DUMMYFUNCTION("""COMPUTED_VALUE"""),0.0)</f>
        <v>0</v>
      </c>
      <c r="T117" s="311">
        <f>IFERROR(__xludf.DUMMYFUNCTION("""COMPUTED_VALUE"""),100.0)</f>
        <v>100</v>
      </c>
      <c r="U117" s="311">
        <f>IFERROR(__xludf.DUMMYFUNCTION("""COMPUTED_VALUE"""),0.0)</f>
        <v>0</v>
      </c>
      <c r="V117" s="311">
        <f>IFERROR(__xludf.DUMMYFUNCTION("""COMPUTED_VALUE"""),0.0)</f>
        <v>0</v>
      </c>
      <c r="W117" s="311">
        <f>IFERROR(__xludf.DUMMYFUNCTION("""COMPUTED_VALUE"""),0.0)</f>
        <v>0</v>
      </c>
      <c r="X117" s="311">
        <f>IFERROR(__xludf.DUMMYFUNCTION("""COMPUTED_VALUE"""),0.0)</f>
        <v>0</v>
      </c>
      <c r="Y117" s="311">
        <f>IFERROR(__xludf.DUMMYFUNCTION("""COMPUTED_VALUE"""),0.0)</f>
        <v>0</v>
      </c>
      <c r="Z117" s="311">
        <f>IFERROR(__xludf.DUMMYFUNCTION("""COMPUTED_VALUE"""),-100.0)</f>
        <v>-100</v>
      </c>
      <c r="AA117" s="311">
        <f>IFERROR(__xludf.DUMMYFUNCTION("""COMPUTED_VALUE"""),0.0)</f>
        <v>0</v>
      </c>
      <c r="AB117" s="311">
        <f>IFERROR(__xludf.DUMMYFUNCTION("""COMPUTED_VALUE"""),0.0)</f>
        <v>0</v>
      </c>
      <c r="AC117" s="311">
        <f>IFERROR(__xludf.DUMMYFUNCTION("""COMPUTED_VALUE"""),0.0)</f>
        <v>0</v>
      </c>
      <c r="AD117" s="311">
        <f>IFERROR(__xludf.DUMMYFUNCTION("""COMPUTED_VALUE"""),0.0)</f>
        <v>0</v>
      </c>
      <c r="AE117" s="311">
        <f>IFERROR(__xludf.DUMMYFUNCTION("""COMPUTED_VALUE"""),0.0)</f>
        <v>0</v>
      </c>
      <c r="AF117" s="311" t="str">
        <f>IFERROR(__xludf.DUMMYFUNCTION("""COMPUTED_VALUE"""),"")</f>
        <v/>
      </c>
      <c r="AG117" s="311">
        <f>IFERROR(__xludf.DUMMYFUNCTION("""COMPUTED_VALUE"""),0.0)</f>
        <v>0</v>
      </c>
      <c r="AH117" s="311">
        <f>IFERROR(__xludf.DUMMYFUNCTION("""COMPUTED_VALUE"""),0.0)</f>
        <v>0</v>
      </c>
      <c r="AI117" s="311">
        <f>IFERROR(__xludf.DUMMYFUNCTION("""COMPUTED_VALUE"""),0.0)</f>
        <v>0</v>
      </c>
      <c r="AJ117" s="311"/>
    </row>
    <row r="118" ht="22.5" customHeight="1">
      <c r="A118" s="310" t="str">
        <f>IFERROR(__xludf.DUMMYFUNCTION("""COMPUTED_VALUE"""),"")</f>
        <v/>
      </c>
      <c r="B118" s="310" t="str">
        <f>IFERROR(__xludf.DUMMYFUNCTION("""COMPUTED_VALUE"""),"")</f>
        <v/>
      </c>
      <c r="C118" s="310">
        <f>IFERROR(__xludf.DUMMYFUNCTION("""COMPUTED_VALUE"""),250.0)</f>
        <v>250</v>
      </c>
      <c r="D118" s="310" t="str">
        <f>IFERROR(__xludf.DUMMYFUNCTION("""COMPUTED_VALUE"""),"Jardim Gramacho IV")</f>
        <v>Jardim Gramacho IV</v>
      </c>
      <c r="E118" s="313" t="str">
        <f>IFERROR(__xludf.DUMMYFUNCTION("""COMPUTED_VALUE"""),"BAIXADA FLUMINENSE")</f>
        <v>BAIXADA FLUMINENSE</v>
      </c>
      <c r="F118" s="310" t="str">
        <f>IFERROR(__xludf.DUMMYFUNCTION("""COMPUTED_VALUE"""),"Duque de Caxias")</f>
        <v>Duque de Caxias</v>
      </c>
      <c r="G118" s="310" t="str">
        <f>IFERROR(__xludf.DUMMYFUNCTION("""COMPUTED_VALUE"""),"Jardim Gramacho")</f>
        <v>Jardim Gramacho</v>
      </c>
      <c r="H118" s="310" t="str">
        <f>IFERROR(__xludf.DUMMYFUNCTION("""COMPUTED_VALUE"""),"Unidade básica de saúde - BAIXA COMPLEXIDADE
")</f>
        <v>Unidade básica de saúde - BAIXA COMPLEXIDADE
</v>
      </c>
      <c r="I118" s="310" t="str">
        <f>IFERROR(__xludf.DUMMYFUNCTION("""COMPUTED_VALUE"""),"Público")</f>
        <v>Público</v>
      </c>
      <c r="J118" s="310" t="str">
        <f>IFERROR(__xludf.DUMMYFUNCTION("""COMPUTED_VALUE"""),"")</f>
        <v/>
      </c>
      <c r="K118" s="310" t="str">
        <f>IFERROR(__xludf.DUMMYFUNCTION("""COMPUTED_VALUE"""),"")</f>
        <v/>
      </c>
      <c r="L118" s="310" t="str">
        <f>IFERROR(__xludf.DUMMYFUNCTION("""COMPUTED_VALUE"""),"")</f>
        <v/>
      </c>
      <c r="M118" s="310" t="str">
        <f>IFERROR(__xludf.DUMMYFUNCTION("""COMPUTED_VALUE"""),"")</f>
        <v/>
      </c>
      <c r="N118" s="310">
        <f>IFERROR(__xludf.DUMMYFUNCTION("""COMPUTED_VALUE"""),0.0)</f>
        <v>0</v>
      </c>
      <c r="O118" s="310">
        <f>IFERROR(__xludf.DUMMYFUNCTION("""COMPUTED_VALUE"""),0.0)</f>
        <v>0</v>
      </c>
      <c r="P118" s="310">
        <f>IFERROR(__xludf.DUMMYFUNCTION("""COMPUTED_VALUE"""),0.0)</f>
        <v>0</v>
      </c>
      <c r="Q118" s="310">
        <f>IFERROR(__xludf.DUMMYFUNCTION("""COMPUTED_VALUE"""),0.0)</f>
        <v>0</v>
      </c>
      <c r="R118" s="310">
        <f>IFERROR(__xludf.DUMMYFUNCTION("""COMPUTED_VALUE"""),0.0)</f>
        <v>0</v>
      </c>
      <c r="S118" s="310">
        <f>IFERROR(__xludf.DUMMYFUNCTION("""COMPUTED_VALUE"""),0.0)</f>
        <v>0</v>
      </c>
      <c r="T118" s="310">
        <f>IFERROR(__xludf.DUMMYFUNCTION("""COMPUTED_VALUE"""),25.0)</f>
        <v>25</v>
      </c>
      <c r="U118" s="310">
        <f>IFERROR(__xludf.DUMMYFUNCTION("""COMPUTED_VALUE"""),0.0)</f>
        <v>0</v>
      </c>
      <c r="V118" s="310">
        <f>IFERROR(__xludf.DUMMYFUNCTION("""COMPUTED_VALUE"""),0.0)</f>
        <v>0</v>
      </c>
      <c r="W118" s="310">
        <f>IFERROR(__xludf.DUMMYFUNCTION("""COMPUTED_VALUE"""),0.0)</f>
        <v>0</v>
      </c>
      <c r="X118" s="310">
        <f>IFERROR(__xludf.DUMMYFUNCTION("""COMPUTED_VALUE"""),0.0)</f>
        <v>0</v>
      </c>
      <c r="Y118" s="310">
        <f>IFERROR(__xludf.DUMMYFUNCTION("""COMPUTED_VALUE"""),0.0)</f>
        <v>0</v>
      </c>
      <c r="Z118" s="310">
        <f>IFERROR(__xludf.DUMMYFUNCTION("""COMPUTED_VALUE"""),-25.0)</f>
        <v>-25</v>
      </c>
      <c r="AA118" s="310">
        <f>IFERROR(__xludf.DUMMYFUNCTION("""COMPUTED_VALUE"""),0.0)</f>
        <v>0</v>
      </c>
      <c r="AB118" s="310">
        <f>IFERROR(__xludf.DUMMYFUNCTION("""COMPUTED_VALUE"""),0.0)</f>
        <v>0</v>
      </c>
      <c r="AC118" s="310">
        <f>IFERROR(__xludf.DUMMYFUNCTION("""COMPUTED_VALUE"""),0.0)</f>
        <v>0</v>
      </c>
      <c r="AD118" s="310">
        <f>IFERROR(__xludf.DUMMYFUNCTION("""COMPUTED_VALUE"""),0.0)</f>
        <v>0</v>
      </c>
      <c r="AE118" s="310">
        <f>IFERROR(__xludf.DUMMYFUNCTION("""COMPUTED_VALUE"""),0.0)</f>
        <v>0</v>
      </c>
      <c r="AF118" s="310" t="str">
        <f>IFERROR(__xludf.DUMMYFUNCTION("""COMPUTED_VALUE"""),"")</f>
        <v/>
      </c>
      <c r="AG118" s="310">
        <f>IFERROR(__xludf.DUMMYFUNCTION("""COMPUTED_VALUE"""),0.0)</f>
        <v>0</v>
      </c>
      <c r="AH118" s="310">
        <f>IFERROR(__xludf.DUMMYFUNCTION("""COMPUTED_VALUE"""),0.0)</f>
        <v>0</v>
      </c>
      <c r="AI118" s="310">
        <f>IFERROR(__xludf.DUMMYFUNCTION("""COMPUTED_VALUE"""),0.0)</f>
        <v>0</v>
      </c>
      <c r="AJ118" s="310"/>
    </row>
    <row r="119" ht="22.5" customHeight="1">
      <c r="A119" s="311" t="str">
        <f>IFERROR(__xludf.DUMMYFUNCTION("""COMPUTED_VALUE"""),"")</f>
        <v/>
      </c>
      <c r="B119" s="311" t="str">
        <f>IFERROR(__xludf.DUMMYFUNCTION("""COMPUTED_VALUE"""),"")</f>
        <v/>
      </c>
      <c r="C119" s="311">
        <f>IFERROR(__xludf.DUMMYFUNCTION("""COMPUTED_VALUE"""),251.0)</f>
        <v>251</v>
      </c>
      <c r="D119" s="311" t="str">
        <f>IFERROR(__xludf.DUMMYFUNCTION("""COMPUTED_VALUE"""),"USF Trevo das Missões")</f>
        <v>USF Trevo das Missões</v>
      </c>
      <c r="E119" s="315" t="str">
        <f>IFERROR(__xludf.DUMMYFUNCTION("""COMPUTED_VALUE"""),"BAIXADA FLUMINENSE")</f>
        <v>BAIXADA FLUMINENSE</v>
      </c>
      <c r="F119" s="311" t="str">
        <f>IFERROR(__xludf.DUMMYFUNCTION("""COMPUTED_VALUE"""),"Duque de Caxias")</f>
        <v>Duque de Caxias</v>
      </c>
      <c r="G119" s="311" t="str">
        <f>IFERROR(__xludf.DUMMYFUNCTION("""COMPUTED_VALUE"""),"Trevo das Missoes")</f>
        <v>Trevo das Missoes</v>
      </c>
      <c r="H119" s="311" t="str">
        <f>IFERROR(__xludf.DUMMYFUNCTION("""COMPUTED_VALUE"""),"Unidade básica de saúde - BAIXA COMPLEXIDADE
")</f>
        <v>Unidade básica de saúde - BAIXA COMPLEXIDADE
</v>
      </c>
      <c r="I119" s="311" t="str">
        <f>IFERROR(__xludf.DUMMYFUNCTION("""COMPUTED_VALUE"""),"Público")</f>
        <v>Público</v>
      </c>
      <c r="J119" s="311" t="str">
        <f>IFERROR(__xludf.DUMMYFUNCTION("""COMPUTED_VALUE"""),"")</f>
        <v/>
      </c>
      <c r="K119" s="311" t="str">
        <f>IFERROR(__xludf.DUMMYFUNCTION("""COMPUTED_VALUE"""),"")</f>
        <v/>
      </c>
      <c r="L119" s="311" t="str">
        <f>IFERROR(__xludf.DUMMYFUNCTION("""COMPUTED_VALUE"""),"")</f>
        <v/>
      </c>
      <c r="M119" s="311" t="str">
        <f>IFERROR(__xludf.DUMMYFUNCTION("""COMPUTED_VALUE"""),"")</f>
        <v/>
      </c>
      <c r="N119" s="311">
        <f>IFERROR(__xludf.DUMMYFUNCTION("""COMPUTED_VALUE"""),0.0)</f>
        <v>0</v>
      </c>
      <c r="O119" s="311">
        <f>IFERROR(__xludf.DUMMYFUNCTION("""COMPUTED_VALUE"""),0.0)</f>
        <v>0</v>
      </c>
      <c r="P119" s="311">
        <f>IFERROR(__xludf.DUMMYFUNCTION("""COMPUTED_VALUE"""),0.0)</f>
        <v>0</v>
      </c>
      <c r="Q119" s="311">
        <f>IFERROR(__xludf.DUMMYFUNCTION("""COMPUTED_VALUE"""),0.0)</f>
        <v>0</v>
      </c>
      <c r="R119" s="311">
        <f>IFERROR(__xludf.DUMMYFUNCTION("""COMPUTED_VALUE"""),0.0)</f>
        <v>0</v>
      </c>
      <c r="S119" s="311">
        <f>IFERROR(__xludf.DUMMYFUNCTION("""COMPUTED_VALUE"""),0.0)</f>
        <v>0</v>
      </c>
      <c r="T119" s="311">
        <f>IFERROR(__xludf.DUMMYFUNCTION("""COMPUTED_VALUE"""),25.0)</f>
        <v>25</v>
      </c>
      <c r="U119" s="311">
        <f>IFERROR(__xludf.DUMMYFUNCTION("""COMPUTED_VALUE"""),0.0)</f>
        <v>0</v>
      </c>
      <c r="V119" s="311">
        <f>IFERROR(__xludf.DUMMYFUNCTION("""COMPUTED_VALUE"""),0.0)</f>
        <v>0</v>
      </c>
      <c r="W119" s="311">
        <f>IFERROR(__xludf.DUMMYFUNCTION("""COMPUTED_VALUE"""),0.0)</f>
        <v>0</v>
      </c>
      <c r="X119" s="311">
        <f>IFERROR(__xludf.DUMMYFUNCTION("""COMPUTED_VALUE"""),0.0)</f>
        <v>0</v>
      </c>
      <c r="Y119" s="311">
        <f>IFERROR(__xludf.DUMMYFUNCTION("""COMPUTED_VALUE"""),0.0)</f>
        <v>0</v>
      </c>
      <c r="Z119" s="311">
        <f>IFERROR(__xludf.DUMMYFUNCTION("""COMPUTED_VALUE"""),-25.0)</f>
        <v>-25</v>
      </c>
      <c r="AA119" s="311">
        <f>IFERROR(__xludf.DUMMYFUNCTION("""COMPUTED_VALUE"""),0.0)</f>
        <v>0</v>
      </c>
      <c r="AB119" s="311">
        <f>IFERROR(__xludf.DUMMYFUNCTION("""COMPUTED_VALUE"""),0.0)</f>
        <v>0</v>
      </c>
      <c r="AC119" s="311">
        <f>IFERROR(__xludf.DUMMYFUNCTION("""COMPUTED_VALUE"""),0.0)</f>
        <v>0</v>
      </c>
      <c r="AD119" s="311">
        <f>IFERROR(__xludf.DUMMYFUNCTION("""COMPUTED_VALUE"""),0.0)</f>
        <v>0</v>
      </c>
      <c r="AE119" s="311">
        <f>IFERROR(__xludf.DUMMYFUNCTION("""COMPUTED_VALUE"""),0.0)</f>
        <v>0</v>
      </c>
      <c r="AF119" s="311" t="str">
        <f>IFERROR(__xludf.DUMMYFUNCTION("""COMPUTED_VALUE"""),"")</f>
        <v/>
      </c>
      <c r="AG119" s="311">
        <f>IFERROR(__xludf.DUMMYFUNCTION("""COMPUTED_VALUE"""),0.0)</f>
        <v>0</v>
      </c>
      <c r="AH119" s="311">
        <f>IFERROR(__xludf.DUMMYFUNCTION("""COMPUTED_VALUE"""),0.0)</f>
        <v>0</v>
      </c>
      <c r="AI119" s="311">
        <f>IFERROR(__xludf.DUMMYFUNCTION("""COMPUTED_VALUE"""),0.0)</f>
        <v>0</v>
      </c>
      <c r="AJ119" s="311"/>
    </row>
    <row r="120" ht="22.5" customHeight="1">
      <c r="A120" s="310" t="str">
        <f>IFERROR(__xludf.DUMMYFUNCTION("""COMPUTED_VALUE"""),"")</f>
        <v/>
      </c>
      <c r="B120" s="310" t="str">
        <f>IFERROR(__xludf.DUMMYFUNCTION("""COMPUTED_VALUE"""),"")</f>
        <v/>
      </c>
      <c r="C120" s="310">
        <f>IFERROR(__xludf.DUMMYFUNCTION("""COMPUTED_VALUE"""),252.0)</f>
        <v>252</v>
      </c>
      <c r="D120" s="310" t="str">
        <f>IFERROR(__xludf.DUMMYFUNCTION("""COMPUTED_VALUE"""),"USF Beira Mar")</f>
        <v>USF Beira Mar</v>
      </c>
      <c r="E120" s="313" t="str">
        <f>IFERROR(__xludf.DUMMYFUNCTION("""COMPUTED_VALUE"""),"BAIXADA FLUMINENSE")</f>
        <v>BAIXADA FLUMINENSE</v>
      </c>
      <c r="F120" s="310" t="str">
        <f>IFERROR(__xludf.DUMMYFUNCTION("""COMPUTED_VALUE"""),"Duque de Caxias")</f>
        <v>Duque de Caxias</v>
      </c>
      <c r="G120" s="310" t="str">
        <f>IFERROR(__xludf.DUMMYFUNCTION("""COMPUTED_VALUE"""),"Parque Beira Mar")</f>
        <v>Parque Beira Mar</v>
      </c>
      <c r="H120" s="310" t="str">
        <f>IFERROR(__xludf.DUMMYFUNCTION("""COMPUTED_VALUE"""),"Unidade básica de saúde - BAIXA COMPLEXIDADE
")</f>
        <v>Unidade básica de saúde - BAIXA COMPLEXIDADE
</v>
      </c>
      <c r="I120" s="310" t="str">
        <f>IFERROR(__xludf.DUMMYFUNCTION("""COMPUTED_VALUE"""),"Público")</f>
        <v>Público</v>
      </c>
      <c r="J120" s="310" t="str">
        <f>IFERROR(__xludf.DUMMYFUNCTION("""COMPUTED_VALUE"""),"")</f>
        <v/>
      </c>
      <c r="K120" s="310" t="str">
        <f>IFERROR(__xludf.DUMMYFUNCTION("""COMPUTED_VALUE"""),"")</f>
        <v/>
      </c>
      <c r="L120" s="310" t="str">
        <f>IFERROR(__xludf.DUMMYFUNCTION("""COMPUTED_VALUE"""),"")</f>
        <v/>
      </c>
      <c r="M120" s="310" t="str">
        <f>IFERROR(__xludf.DUMMYFUNCTION("""COMPUTED_VALUE"""),"")</f>
        <v/>
      </c>
      <c r="N120" s="310">
        <f>IFERROR(__xludf.DUMMYFUNCTION("""COMPUTED_VALUE"""),0.0)</f>
        <v>0</v>
      </c>
      <c r="O120" s="310">
        <f>IFERROR(__xludf.DUMMYFUNCTION("""COMPUTED_VALUE"""),0.0)</f>
        <v>0</v>
      </c>
      <c r="P120" s="310">
        <f>IFERROR(__xludf.DUMMYFUNCTION("""COMPUTED_VALUE"""),0.0)</f>
        <v>0</v>
      </c>
      <c r="Q120" s="310">
        <f>IFERROR(__xludf.DUMMYFUNCTION("""COMPUTED_VALUE"""),0.0)</f>
        <v>0</v>
      </c>
      <c r="R120" s="310">
        <f>IFERROR(__xludf.DUMMYFUNCTION("""COMPUTED_VALUE"""),0.0)</f>
        <v>0</v>
      </c>
      <c r="S120" s="310">
        <f>IFERROR(__xludf.DUMMYFUNCTION("""COMPUTED_VALUE"""),0.0)</f>
        <v>0</v>
      </c>
      <c r="T120" s="310">
        <f>IFERROR(__xludf.DUMMYFUNCTION("""COMPUTED_VALUE"""),25.0)</f>
        <v>25</v>
      </c>
      <c r="U120" s="310">
        <f>IFERROR(__xludf.DUMMYFUNCTION("""COMPUTED_VALUE"""),0.0)</f>
        <v>0</v>
      </c>
      <c r="V120" s="310">
        <f>IFERROR(__xludf.DUMMYFUNCTION("""COMPUTED_VALUE"""),0.0)</f>
        <v>0</v>
      </c>
      <c r="W120" s="310">
        <f>IFERROR(__xludf.DUMMYFUNCTION("""COMPUTED_VALUE"""),0.0)</f>
        <v>0</v>
      </c>
      <c r="X120" s="310">
        <f>IFERROR(__xludf.DUMMYFUNCTION("""COMPUTED_VALUE"""),0.0)</f>
        <v>0</v>
      </c>
      <c r="Y120" s="310">
        <f>IFERROR(__xludf.DUMMYFUNCTION("""COMPUTED_VALUE"""),0.0)</f>
        <v>0</v>
      </c>
      <c r="Z120" s="310">
        <f>IFERROR(__xludf.DUMMYFUNCTION("""COMPUTED_VALUE"""),-25.0)</f>
        <v>-25</v>
      </c>
      <c r="AA120" s="310">
        <f>IFERROR(__xludf.DUMMYFUNCTION("""COMPUTED_VALUE"""),0.0)</f>
        <v>0</v>
      </c>
      <c r="AB120" s="310">
        <f>IFERROR(__xludf.DUMMYFUNCTION("""COMPUTED_VALUE"""),0.0)</f>
        <v>0</v>
      </c>
      <c r="AC120" s="310">
        <f>IFERROR(__xludf.DUMMYFUNCTION("""COMPUTED_VALUE"""),0.0)</f>
        <v>0</v>
      </c>
      <c r="AD120" s="310">
        <f>IFERROR(__xludf.DUMMYFUNCTION("""COMPUTED_VALUE"""),0.0)</f>
        <v>0</v>
      </c>
      <c r="AE120" s="310">
        <f>IFERROR(__xludf.DUMMYFUNCTION("""COMPUTED_VALUE"""),0.0)</f>
        <v>0</v>
      </c>
      <c r="AF120" s="310" t="str">
        <f>IFERROR(__xludf.DUMMYFUNCTION("""COMPUTED_VALUE"""),"")</f>
        <v/>
      </c>
      <c r="AG120" s="310">
        <f>IFERROR(__xludf.DUMMYFUNCTION("""COMPUTED_VALUE"""),0.0)</f>
        <v>0</v>
      </c>
      <c r="AH120" s="310">
        <f>IFERROR(__xludf.DUMMYFUNCTION("""COMPUTED_VALUE"""),0.0)</f>
        <v>0</v>
      </c>
      <c r="AI120" s="310">
        <f>IFERROR(__xludf.DUMMYFUNCTION("""COMPUTED_VALUE"""),0.0)</f>
        <v>0</v>
      </c>
      <c r="AJ120" s="310"/>
    </row>
    <row r="121" ht="22.5" customHeight="1">
      <c r="A121" s="311" t="str">
        <f>IFERROR(__xludf.DUMMYFUNCTION("""COMPUTED_VALUE"""),"")</f>
        <v/>
      </c>
      <c r="B121" s="311" t="str">
        <f>IFERROR(__xludf.DUMMYFUNCTION("""COMPUTED_VALUE"""),"")</f>
        <v/>
      </c>
      <c r="C121" s="311">
        <f>IFERROR(__xludf.DUMMYFUNCTION("""COMPUTED_VALUE"""),253.0)</f>
        <v>253</v>
      </c>
      <c r="D121" s="311" t="str">
        <f>IFERROR(__xludf.DUMMYFUNCTION("""COMPUTED_VALUE"""),"USF Parque Felicidade")</f>
        <v>USF Parque Felicidade</v>
      </c>
      <c r="E121" s="315" t="str">
        <f>IFERROR(__xludf.DUMMYFUNCTION("""COMPUTED_VALUE"""),"BAIXADA FLUMINENSE")</f>
        <v>BAIXADA FLUMINENSE</v>
      </c>
      <c r="F121" s="311" t="str">
        <f>IFERROR(__xludf.DUMMYFUNCTION("""COMPUTED_VALUE"""),"Duque de Caxias")</f>
        <v>Duque de Caxias</v>
      </c>
      <c r="G121" s="311" t="str">
        <f>IFERROR(__xludf.DUMMYFUNCTION("""COMPUTED_VALUE"""),"Parque Felicidade")</f>
        <v>Parque Felicidade</v>
      </c>
      <c r="H121" s="311" t="str">
        <f>IFERROR(__xludf.DUMMYFUNCTION("""COMPUTED_VALUE"""),"Unidade básica de saúde - BAIXA COMPLEXIDADE
")</f>
        <v>Unidade básica de saúde - BAIXA COMPLEXIDADE
</v>
      </c>
      <c r="I121" s="311" t="str">
        <f>IFERROR(__xludf.DUMMYFUNCTION("""COMPUTED_VALUE"""),"Público")</f>
        <v>Público</v>
      </c>
      <c r="J121" s="311" t="str">
        <f>IFERROR(__xludf.DUMMYFUNCTION("""COMPUTED_VALUE"""),"")</f>
        <v/>
      </c>
      <c r="K121" s="311" t="str">
        <f>IFERROR(__xludf.DUMMYFUNCTION("""COMPUTED_VALUE"""),"")</f>
        <v/>
      </c>
      <c r="L121" s="311" t="str">
        <f>IFERROR(__xludf.DUMMYFUNCTION("""COMPUTED_VALUE"""),"")</f>
        <v/>
      </c>
      <c r="M121" s="311" t="str">
        <f>IFERROR(__xludf.DUMMYFUNCTION("""COMPUTED_VALUE"""),"")</f>
        <v/>
      </c>
      <c r="N121" s="311">
        <f>IFERROR(__xludf.DUMMYFUNCTION("""COMPUTED_VALUE"""),0.0)</f>
        <v>0</v>
      </c>
      <c r="O121" s="311">
        <f>IFERROR(__xludf.DUMMYFUNCTION("""COMPUTED_VALUE"""),0.0)</f>
        <v>0</v>
      </c>
      <c r="P121" s="311">
        <f>IFERROR(__xludf.DUMMYFUNCTION("""COMPUTED_VALUE"""),0.0)</f>
        <v>0</v>
      </c>
      <c r="Q121" s="311">
        <f>IFERROR(__xludf.DUMMYFUNCTION("""COMPUTED_VALUE"""),0.0)</f>
        <v>0</v>
      </c>
      <c r="R121" s="311">
        <f>IFERROR(__xludf.DUMMYFUNCTION("""COMPUTED_VALUE"""),0.0)</f>
        <v>0</v>
      </c>
      <c r="S121" s="311">
        <f>IFERROR(__xludf.DUMMYFUNCTION("""COMPUTED_VALUE"""),0.0)</f>
        <v>0</v>
      </c>
      <c r="T121" s="311">
        <f>IFERROR(__xludf.DUMMYFUNCTION("""COMPUTED_VALUE"""),25.0)</f>
        <v>25</v>
      </c>
      <c r="U121" s="311">
        <f>IFERROR(__xludf.DUMMYFUNCTION("""COMPUTED_VALUE"""),0.0)</f>
        <v>0</v>
      </c>
      <c r="V121" s="311">
        <f>IFERROR(__xludf.DUMMYFUNCTION("""COMPUTED_VALUE"""),0.0)</f>
        <v>0</v>
      </c>
      <c r="W121" s="311">
        <f>IFERROR(__xludf.DUMMYFUNCTION("""COMPUTED_VALUE"""),0.0)</f>
        <v>0</v>
      </c>
      <c r="X121" s="311">
        <f>IFERROR(__xludf.DUMMYFUNCTION("""COMPUTED_VALUE"""),0.0)</f>
        <v>0</v>
      </c>
      <c r="Y121" s="311">
        <f>IFERROR(__xludf.DUMMYFUNCTION("""COMPUTED_VALUE"""),0.0)</f>
        <v>0</v>
      </c>
      <c r="Z121" s="311">
        <f>IFERROR(__xludf.DUMMYFUNCTION("""COMPUTED_VALUE"""),-25.0)</f>
        <v>-25</v>
      </c>
      <c r="AA121" s="311">
        <f>IFERROR(__xludf.DUMMYFUNCTION("""COMPUTED_VALUE"""),0.0)</f>
        <v>0</v>
      </c>
      <c r="AB121" s="311">
        <f>IFERROR(__xludf.DUMMYFUNCTION("""COMPUTED_VALUE"""),0.0)</f>
        <v>0</v>
      </c>
      <c r="AC121" s="311">
        <f>IFERROR(__xludf.DUMMYFUNCTION("""COMPUTED_VALUE"""),0.0)</f>
        <v>0</v>
      </c>
      <c r="AD121" s="311">
        <f>IFERROR(__xludf.DUMMYFUNCTION("""COMPUTED_VALUE"""),0.0)</f>
        <v>0</v>
      </c>
      <c r="AE121" s="311">
        <f>IFERROR(__xludf.DUMMYFUNCTION("""COMPUTED_VALUE"""),0.0)</f>
        <v>0</v>
      </c>
      <c r="AF121" s="311" t="str">
        <f>IFERROR(__xludf.DUMMYFUNCTION("""COMPUTED_VALUE"""),"")</f>
        <v/>
      </c>
      <c r="AG121" s="311">
        <f>IFERROR(__xludf.DUMMYFUNCTION("""COMPUTED_VALUE"""),0.0)</f>
        <v>0</v>
      </c>
      <c r="AH121" s="311">
        <f>IFERROR(__xludf.DUMMYFUNCTION("""COMPUTED_VALUE"""),0.0)</f>
        <v>0</v>
      </c>
      <c r="AI121" s="311">
        <f>IFERROR(__xludf.DUMMYFUNCTION("""COMPUTED_VALUE"""),0.0)</f>
        <v>0</v>
      </c>
      <c r="AJ121" s="311"/>
    </row>
    <row r="122" ht="22.5" customHeight="1">
      <c r="A122" s="310" t="str">
        <f>IFERROR(__xludf.DUMMYFUNCTION("""COMPUTED_VALUE"""),"")</f>
        <v/>
      </c>
      <c r="B122" s="310" t="str">
        <f>IFERROR(__xludf.DUMMYFUNCTION("""COMPUTED_VALUE"""),"")</f>
        <v/>
      </c>
      <c r="C122" s="310">
        <f>IFERROR(__xludf.DUMMYFUNCTION("""COMPUTED_VALUE"""),254.0)</f>
        <v>254</v>
      </c>
      <c r="D122" s="310" t="str">
        <f>IFERROR(__xludf.DUMMYFUNCTION("""COMPUTED_VALUE"""),"USF Gramacho")</f>
        <v>USF Gramacho</v>
      </c>
      <c r="E122" s="313" t="str">
        <f>IFERROR(__xludf.DUMMYFUNCTION("""COMPUTED_VALUE"""),"BAIXADA FLUMINENSE")</f>
        <v>BAIXADA FLUMINENSE</v>
      </c>
      <c r="F122" s="310" t="str">
        <f>IFERROR(__xludf.DUMMYFUNCTION("""COMPUTED_VALUE"""),"Duque de Caxias")</f>
        <v>Duque de Caxias</v>
      </c>
      <c r="G122" s="310" t="str">
        <f>IFERROR(__xludf.DUMMYFUNCTION("""COMPUTED_VALUE"""),"Gramacho")</f>
        <v>Gramacho</v>
      </c>
      <c r="H122" s="310" t="str">
        <f>IFERROR(__xludf.DUMMYFUNCTION("""COMPUTED_VALUE"""),"Unidade básica de saúde - BAIXA COMPLEXIDADE
")</f>
        <v>Unidade básica de saúde - BAIXA COMPLEXIDADE
</v>
      </c>
      <c r="I122" s="310" t="str">
        <f>IFERROR(__xludf.DUMMYFUNCTION("""COMPUTED_VALUE"""),"Público")</f>
        <v>Público</v>
      </c>
      <c r="J122" s="310" t="str">
        <f>IFERROR(__xludf.DUMMYFUNCTION("""COMPUTED_VALUE"""),"")</f>
        <v/>
      </c>
      <c r="K122" s="310" t="str">
        <f>IFERROR(__xludf.DUMMYFUNCTION("""COMPUTED_VALUE"""),"")</f>
        <v/>
      </c>
      <c r="L122" s="310" t="str">
        <f>IFERROR(__xludf.DUMMYFUNCTION("""COMPUTED_VALUE"""),"")</f>
        <v/>
      </c>
      <c r="M122" s="310" t="str">
        <f>IFERROR(__xludf.DUMMYFUNCTION("""COMPUTED_VALUE"""),"")</f>
        <v/>
      </c>
      <c r="N122" s="310">
        <f>IFERROR(__xludf.DUMMYFUNCTION("""COMPUTED_VALUE"""),0.0)</f>
        <v>0</v>
      </c>
      <c r="O122" s="310">
        <f>IFERROR(__xludf.DUMMYFUNCTION("""COMPUTED_VALUE"""),0.0)</f>
        <v>0</v>
      </c>
      <c r="P122" s="310">
        <f>IFERROR(__xludf.DUMMYFUNCTION("""COMPUTED_VALUE"""),0.0)</f>
        <v>0</v>
      </c>
      <c r="Q122" s="310">
        <f>IFERROR(__xludf.DUMMYFUNCTION("""COMPUTED_VALUE"""),0.0)</f>
        <v>0</v>
      </c>
      <c r="R122" s="310">
        <f>IFERROR(__xludf.DUMMYFUNCTION("""COMPUTED_VALUE"""),0.0)</f>
        <v>0</v>
      </c>
      <c r="S122" s="310">
        <f>IFERROR(__xludf.DUMMYFUNCTION("""COMPUTED_VALUE"""),0.0)</f>
        <v>0</v>
      </c>
      <c r="T122" s="310">
        <f>IFERROR(__xludf.DUMMYFUNCTION("""COMPUTED_VALUE"""),25.0)</f>
        <v>25</v>
      </c>
      <c r="U122" s="310">
        <f>IFERROR(__xludf.DUMMYFUNCTION("""COMPUTED_VALUE"""),0.0)</f>
        <v>0</v>
      </c>
      <c r="V122" s="310">
        <f>IFERROR(__xludf.DUMMYFUNCTION("""COMPUTED_VALUE"""),0.0)</f>
        <v>0</v>
      </c>
      <c r="W122" s="310">
        <f>IFERROR(__xludf.DUMMYFUNCTION("""COMPUTED_VALUE"""),0.0)</f>
        <v>0</v>
      </c>
      <c r="X122" s="310">
        <f>IFERROR(__xludf.DUMMYFUNCTION("""COMPUTED_VALUE"""),0.0)</f>
        <v>0</v>
      </c>
      <c r="Y122" s="310">
        <f>IFERROR(__xludf.DUMMYFUNCTION("""COMPUTED_VALUE"""),0.0)</f>
        <v>0</v>
      </c>
      <c r="Z122" s="310">
        <f>IFERROR(__xludf.DUMMYFUNCTION("""COMPUTED_VALUE"""),-25.0)</f>
        <v>-25</v>
      </c>
      <c r="AA122" s="310">
        <f>IFERROR(__xludf.DUMMYFUNCTION("""COMPUTED_VALUE"""),0.0)</f>
        <v>0</v>
      </c>
      <c r="AB122" s="310">
        <f>IFERROR(__xludf.DUMMYFUNCTION("""COMPUTED_VALUE"""),0.0)</f>
        <v>0</v>
      </c>
      <c r="AC122" s="310">
        <f>IFERROR(__xludf.DUMMYFUNCTION("""COMPUTED_VALUE"""),0.0)</f>
        <v>0</v>
      </c>
      <c r="AD122" s="310">
        <f>IFERROR(__xludf.DUMMYFUNCTION("""COMPUTED_VALUE"""),0.0)</f>
        <v>0</v>
      </c>
      <c r="AE122" s="310">
        <f>IFERROR(__xludf.DUMMYFUNCTION("""COMPUTED_VALUE"""),0.0)</f>
        <v>0</v>
      </c>
      <c r="AF122" s="310" t="str">
        <f>IFERROR(__xludf.DUMMYFUNCTION("""COMPUTED_VALUE"""),"")</f>
        <v/>
      </c>
      <c r="AG122" s="310">
        <f>IFERROR(__xludf.DUMMYFUNCTION("""COMPUTED_VALUE"""),0.0)</f>
        <v>0</v>
      </c>
      <c r="AH122" s="310">
        <f>IFERROR(__xludf.DUMMYFUNCTION("""COMPUTED_VALUE"""),0.0)</f>
        <v>0</v>
      </c>
      <c r="AI122" s="310">
        <f>IFERROR(__xludf.DUMMYFUNCTION("""COMPUTED_VALUE"""),0.0)</f>
        <v>0</v>
      </c>
      <c r="AJ122" s="310"/>
    </row>
    <row r="123" ht="22.5" customHeight="1">
      <c r="A123" s="311" t="str">
        <f>IFERROR(__xludf.DUMMYFUNCTION("""COMPUTED_VALUE"""),"")</f>
        <v/>
      </c>
      <c r="B123" s="311" t="str">
        <f>IFERROR(__xludf.DUMMYFUNCTION("""COMPUTED_VALUE"""),"")</f>
        <v/>
      </c>
      <c r="C123" s="311">
        <f>IFERROR(__xludf.DUMMYFUNCTION("""COMPUTED_VALUE"""),255.0)</f>
        <v>255</v>
      </c>
      <c r="D123" s="311" t="str">
        <f>IFERROR(__xludf.DUMMYFUNCTION("""COMPUTED_VALUE"""),"SERVICO DE ATENCAO DOMICILIAR - SAD")</f>
        <v>SERVICO DE ATENCAO DOMICILIAR - SAD</v>
      </c>
      <c r="E123" s="315" t="str">
        <f>IFERROR(__xludf.DUMMYFUNCTION("""COMPUTED_VALUE"""),"REGIAO METROPOLITANA")</f>
        <v>REGIAO METROPOLITANA</v>
      </c>
      <c r="F123" s="311" t="str">
        <f>IFERROR(__xludf.DUMMYFUNCTION("""COMPUTED_VALUE"""),"São Gonçalo")</f>
        <v>São Gonçalo</v>
      </c>
      <c r="G123" s="311" t="str">
        <f>IFERROR(__xludf.DUMMYFUNCTION("""COMPUTED_VALUE"""),"CENTRO")</f>
        <v>CENTRO</v>
      </c>
      <c r="H123" s="311" t="str">
        <f>IFERROR(__xludf.DUMMYFUNCTION("""COMPUTED_VALUE"""),"SERVIÇO DE ATENÇÃO DOMICILIAR - ATENÇÃO ESPECIALIZADA
")</f>
        <v>SERVIÇO DE ATENÇÃO DOMICILIAR - ATENÇÃO ESPECIALIZADA
</v>
      </c>
      <c r="I123" s="311" t="str">
        <f>IFERROR(__xludf.DUMMYFUNCTION("""COMPUTED_VALUE"""),"Público")</f>
        <v>Público</v>
      </c>
      <c r="J123" s="311" t="str">
        <f>IFERROR(__xludf.DUMMYFUNCTION("""COMPUTED_VALUE"""),"")</f>
        <v/>
      </c>
      <c r="K123" s="311" t="str">
        <f>IFERROR(__xludf.DUMMYFUNCTION("""COMPUTED_VALUE"""),"")</f>
        <v/>
      </c>
      <c r="L123" s="311" t="str">
        <f>IFERROR(__xludf.DUMMYFUNCTION("""COMPUTED_VALUE"""),"")</f>
        <v/>
      </c>
      <c r="M123" s="311" t="str">
        <f>IFERROR(__xludf.DUMMYFUNCTION("""COMPUTED_VALUE"""),"")</f>
        <v/>
      </c>
      <c r="N123" s="311">
        <f>IFERROR(__xludf.DUMMYFUNCTION("""COMPUTED_VALUE"""),0.0)</f>
        <v>0</v>
      </c>
      <c r="O123" s="311">
        <f>IFERROR(__xludf.DUMMYFUNCTION("""COMPUTED_VALUE"""),0.0)</f>
        <v>0</v>
      </c>
      <c r="P123" s="311">
        <f>IFERROR(__xludf.DUMMYFUNCTION("""COMPUTED_VALUE"""),0.0)</f>
        <v>0</v>
      </c>
      <c r="Q123" s="311">
        <f>IFERROR(__xludf.DUMMYFUNCTION("""COMPUTED_VALUE"""),0.0)</f>
        <v>0</v>
      </c>
      <c r="R123" s="311">
        <f>IFERROR(__xludf.DUMMYFUNCTION("""COMPUTED_VALUE"""),0.0)</f>
        <v>0</v>
      </c>
      <c r="S123" s="311">
        <f>IFERROR(__xludf.DUMMYFUNCTION("""COMPUTED_VALUE"""),0.0)</f>
        <v>0</v>
      </c>
      <c r="T123" s="311">
        <f>IFERROR(__xludf.DUMMYFUNCTION("""COMPUTED_VALUE"""),50.0)</f>
        <v>50</v>
      </c>
      <c r="U123" s="311">
        <f>IFERROR(__xludf.DUMMYFUNCTION("""COMPUTED_VALUE"""),0.0)</f>
        <v>0</v>
      </c>
      <c r="V123" s="311">
        <f>IFERROR(__xludf.DUMMYFUNCTION("""COMPUTED_VALUE"""),0.0)</f>
        <v>0</v>
      </c>
      <c r="W123" s="311">
        <f>IFERROR(__xludf.DUMMYFUNCTION("""COMPUTED_VALUE"""),0.0)</f>
        <v>0</v>
      </c>
      <c r="X123" s="311">
        <f>IFERROR(__xludf.DUMMYFUNCTION("""COMPUTED_VALUE"""),0.0)</f>
        <v>0</v>
      </c>
      <c r="Y123" s="311">
        <f>IFERROR(__xludf.DUMMYFUNCTION("""COMPUTED_VALUE"""),0.0)</f>
        <v>0</v>
      </c>
      <c r="Z123" s="311">
        <f>IFERROR(__xludf.DUMMYFUNCTION("""COMPUTED_VALUE"""),-50.0)</f>
        <v>-50</v>
      </c>
      <c r="AA123" s="311">
        <f>IFERROR(__xludf.DUMMYFUNCTION("""COMPUTED_VALUE"""),0.0)</f>
        <v>0</v>
      </c>
      <c r="AB123" s="311">
        <f>IFERROR(__xludf.DUMMYFUNCTION("""COMPUTED_VALUE"""),0.0)</f>
        <v>0</v>
      </c>
      <c r="AC123" s="311">
        <f>IFERROR(__xludf.DUMMYFUNCTION("""COMPUTED_VALUE"""),0.0)</f>
        <v>0</v>
      </c>
      <c r="AD123" s="311">
        <f>IFERROR(__xludf.DUMMYFUNCTION("""COMPUTED_VALUE"""),0.0)</f>
        <v>0</v>
      </c>
      <c r="AE123" s="311">
        <f>IFERROR(__xludf.DUMMYFUNCTION("""COMPUTED_VALUE"""),0.0)</f>
        <v>0</v>
      </c>
      <c r="AF123" s="311" t="str">
        <f>IFERROR(__xludf.DUMMYFUNCTION("""COMPUTED_VALUE"""),"")</f>
        <v/>
      </c>
      <c r="AG123" s="311">
        <f>IFERROR(__xludf.DUMMYFUNCTION("""COMPUTED_VALUE"""),0.0)</f>
        <v>0</v>
      </c>
      <c r="AH123" s="311">
        <f>IFERROR(__xludf.DUMMYFUNCTION("""COMPUTED_VALUE"""),0.0)</f>
        <v>0</v>
      </c>
      <c r="AI123" s="311">
        <f>IFERROR(__xludf.DUMMYFUNCTION("""COMPUTED_VALUE"""),0.0)</f>
        <v>0</v>
      </c>
      <c r="AJ123" s="311"/>
    </row>
    <row r="124" ht="22.5" customHeight="1">
      <c r="A124" s="310" t="str">
        <f>IFERROR(__xludf.DUMMYFUNCTION("""COMPUTED_VALUE"""),"")</f>
        <v/>
      </c>
      <c r="B124" s="310" t="str">
        <f>IFERROR(__xludf.DUMMYFUNCTION("""COMPUTED_VALUE"""),"")</f>
        <v/>
      </c>
      <c r="C124" s="310">
        <f>IFERROR(__xludf.DUMMYFUNCTION("""COMPUTED_VALUE"""),256.0)</f>
        <v>256</v>
      </c>
      <c r="D124" s="310" t="str">
        <f>IFERROR(__xludf.DUMMYFUNCTION("""COMPUTED_VALUE"""),"USF Dois Irmaos")</f>
        <v>USF Dois Irmaos</v>
      </c>
      <c r="E124" s="313" t="str">
        <f>IFERROR(__xludf.DUMMYFUNCTION("""COMPUTED_VALUE"""),"REGIAO METROPOLITANA")</f>
        <v>REGIAO METROPOLITANA</v>
      </c>
      <c r="F124" s="310" t="str">
        <f>IFERROR(__xludf.DUMMYFUNCTION("""COMPUTED_VALUE"""),"Duque de Caxias")</f>
        <v>Duque de Caxias</v>
      </c>
      <c r="G124" s="310" t="str">
        <f>IFERROR(__xludf.DUMMYFUNCTION("""COMPUTED_VALUE"""),"Parque Dois Irmaos")</f>
        <v>Parque Dois Irmaos</v>
      </c>
      <c r="H124" s="310" t="str">
        <f>IFERROR(__xludf.DUMMYFUNCTION("""COMPUTED_VALUE"""),"Unidade básica de saúde - BAIXA COMPLEXIDADE
")</f>
        <v>Unidade básica de saúde - BAIXA COMPLEXIDADE
</v>
      </c>
      <c r="I124" s="310" t="str">
        <f>IFERROR(__xludf.DUMMYFUNCTION("""COMPUTED_VALUE"""),"Público")</f>
        <v>Público</v>
      </c>
      <c r="J124" s="310" t="str">
        <f>IFERROR(__xludf.DUMMYFUNCTION("""COMPUTED_VALUE"""),"")</f>
        <v/>
      </c>
      <c r="K124" s="310" t="str">
        <f>IFERROR(__xludf.DUMMYFUNCTION("""COMPUTED_VALUE"""),"")</f>
        <v/>
      </c>
      <c r="L124" s="310" t="str">
        <f>IFERROR(__xludf.DUMMYFUNCTION("""COMPUTED_VALUE"""),"")</f>
        <v/>
      </c>
      <c r="M124" s="310" t="str">
        <f>IFERROR(__xludf.DUMMYFUNCTION("""COMPUTED_VALUE"""),"")</f>
        <v/>
      </c>
      <c r="N124" s="310">
        <f>IFERROR(__xludf.DUMMYFUNCTION("""COMPUTED_VALUE"""),0.0)</f>
        <v>0</v>
      </c>
      <c r="O124" s="310">
        <f>IFERROR(__xludf.DUMMYFUNCTION("""COMPUTED_VALUE"""),0.0)</f>
        <v>0</v>
      </c>
      <c r="P124" s="310">
        <f>IFERROR(__xludf.DUMMYFUNCTION("""COMPUTED_VALUE"""),0.0)</f>
        <v>0</v>
      </c>
      <c r="Q124" s="310">
        <f>IFERROR(__xludf.DUMMYFUNCTION("""COMPUTED_VALUE"""),0.0)</f>
        <v>0</v>
      </c>
      <c r="R124" s="310">
        <f>IFERROR(__xludf.DUMMYFUNCTION("""COMPUTED_VALUE"""),0.0)</f>
        <v>0</v>
      </c>
      <c r="S124" s="310">
        <f>IFERROR(__xludf.DUMMYFUNCTION("""COMPUTED_VALUE"""),0.0)</f>
        <v>0</v>
      </c>
      <c r="T124" s="310">
        <f>IFERROR(__xludf.DUMMYFUNCTION("""COMPUTED_VALUE"""),25.0)</f>
        <v>25</v>
      </c>
      <c r="U124" s="310">
        <f>IFERROR(__xludf.DUMMYFUNCTION("""COMPUTED_VALUE"""),0.0)</f>
        <v>0</v>
      </c>
      <c r="V124" s="310">
        <f>IFERROR(__xludf.DUMMYFUNCTION("""COMPUTED_VALUE"""),0.0)</f>
        <v>0</v>
      </c>
      <c r="W124" s="310">
        <f>IFERROR(__xludf.DUMMYFUNCTION("""COMPUTED_VALUE"""),0.0)</f>
        <v>0</v>
      </c>
      <c r="X124" s="310">
        <f>IFERROR(__xludf.DUMMYFUNCTION("""COMPUTED_VALUE"""),0.0)</f>
        <v>0</v>
      </c>
      <c r="Y124" s="310">
        <f>IFERROR(__xludf.DUMMYFUNCTION("""COMPUTED_VALUE"""),0.0)</f>
        <v>0</v>
      </c>
      <c r="Z124" s="310">
        <f>IFERROR(__xludf.DUMMYFUNCTION("""COMPUTED_VALUE"""),-25.0)</f>
        <v>-25</v>
      </c>
      <c r="AA124" s="310">
        <f>IFERROR(__xludf.DUMMYFUNCTION("""COMPUTED_VALUE"""),0.0)</f>
        <v>0</v>
      </c>
      <c r="AB124" s="310">
        <f>IFERROR(__xludf.DUMMYFUNCTION("""COMPUTED_VALUE"""),0.0)</f>
        <v>0</v>
      </c>
      <c r="AC124" s="310">
        <f>IFERROR(__xludf.DUMMYFUNCTION("""COMPUTED_VALUE"""),0.0)</f>
        <v>0</v>
      </c>
      <c r="AD124" s="310">
        <f>IFERROR(__xludf.DUMMYFUNCTION("""COMPUTED_VALUE"""),0.0)</f>
        <v>0</v>
      </c>
      <c r="AE124" s="310">
        <f>IFERROR(__xludf.DUMMYFUNCTION("""COMPUTED_VALUE"""),0.0)</f>
        <v>0</v>
      </c>
      <c r="AF124" s="310" t="str">
        <f>IFERROR(__xludf.DUMMYFUNCTION("""COMPUTED_VALUE"""),"")</f>
        <v/>
      </c>
      <c r="AG124" s="310">
        <f>IFERROR(__xludf.DUMMYFUNCTION("""COMPUTED_VALUE"""),0.0)</f>
        <v>0</v>
      </c>
      <c r="AH124" s="310">
        <f>IFERROR(__xludf.DUMMYFUNCTION("""COMPUTED_VALUE"""),0.0)</f>
        <v>0</v>
      </c>
      <c r="AI124" s="310">
        <f>IFERROR(__xludf.DUMMYFUNCTION("""COMPUTED_VALUE"""),0.0)</f>
        <v>0</v>
      </c>
      <c r="AJ124" s="310"/>
    </row>
    <row r="125" ht="22.5" customHeight="1">
      <c r="A125" s="311" t="str">
        <f>IFERROR(__xludf.DUMMYFUNCTION("""COMPUTED_VALUE"""),"")</f>
        <v/>
      </c>
      <c r="B125" s="311" t="str">
        <f>IFERROR(__xludf.DUMMYFUNCTION("""COMPUTED_VALUE"""),"")</f>
        <v/>
      </c>
      <c r="C125" s="311">
        <f>IFERROR(__xludf.DUMMYFUNCTION("""COMPUTED_VALUE"""),257.0)</f>
        <v>257</v>
      </c>
      <c r="D125" s="311" t="str">
        <f>IFERROR(__xludf.DUMMYFUNCTION("""COMPUTED_VALUE"""),"Posto Odontologico Professor Jose Herdy")</f>
        <v>Posto Odontologico Professor Jose Herdy</v>
      </c>
      <c r="E125" s="315" t="str">
        <f>IFERROR(__xludf.DUMMYFUNCTION("""COMPUTED_VALUE"""),"BAIXADA FLUMINENSE")</f>
        <v>BAIXADA FLUMINENSE</v>
      </c>
      <c r="F125" s="311" t="str">
        <f>IFERROR(__xludf.DUMMYFUNCTION("""COMPUTED_VALUE"""),"Duque de Caxias")</f>
        <v>Duque de Caxias</v>
      </c>
      <c r="G125" s="311" t="str">
        <f>IFERROR(__xludf.DUMMYFUNCTION("""COMPUTED_VALUE"""),"Parque Felicidade/ Vila Operaria")</f>
        <v>Parque Felicidade/ Vila Operaria</v>
      </c>
      <c r="H125" s="311" t="str">
        <f>IFERROR(__xludf.DUMMYFUNCTION("""COMPUTED_VALUE"""),"Unidade básica de saúde - BAIXA COMPLEXIDADE
")</f>
        <v>Unidade básica de saúde - BAIXA COMPLEXIDADE
</v>
      </c>
      <c r="I125" s="311" t="str">
        <f>IFERROR(__xludf.DUMMYFUNCTION("""COMPUTED_VALUE"""),"Público")</f>
        <v>Público</v>
      </c>
      <c r="J125" s="311" t="str">
        <f>IFERROR(__xludf.DUMMYFUNCTION("""COMPUTED_VALUE"""),"")</f>
        <v/>
      </c>
      <c r="K125" s="311" t="str">
        <f>IFERROR(__xludf.DUMMYFUNCTION("""COMPUTED_VALUE"""),"")</f>
        <v/>
      </c>
      <c r="L125" s="311" t="str">
        <f>IFERROR(__xludf.DUMMYFUNCTION("""COMPUTED_VALUE"""),"")</f>
        <v/>
      </c>
      <c r="M125" s="311" t="str">
        <f>IFERROR(__xludf.DUMMYFUNCTION("""COMPUTED_VALUE"""),"")</f>
        <v/>
      </c>
      <c r="N125" s="311">
        <f>IFERROR(__xludf.DUMMYFUNCTION("""COMPUTED_VALUE"""),0.0)</f>
        <v>0</v>
      </c>
      <c r="O125" s="311">
        <f>IFERROR(__xludf.DUMMYFUNCTION("""COMPUTED_VALUE"""),0.0)</f>
        <v>0</v>
      </c>
      <c r="P125" s="311">
        <f>IFERROR(__xludf.DUMMYFUNCTION("""COMPUTED_VALUE"""),0.0)</f>
        <v>0</v>
      </c>
      <c r="Q125" s="311">
        <f>IFERROR(__xludf.DUMMYFUNCTION("""COMPUTED_VALUE"""),0.0)</f>
        <v>0</v>
      </c>
      <c r="R125" s="311">
        <f>IFERROR(__xludf.DUMMYFUNCTION("""COMPUTED_VALUE"""),0.0)</f>
        <v>0</v>
      </c>
      <c r="S125" s="311">
        <f>IFERROR(__xludf.DUMMYFUNCTION("""COMPUTED_VALUE"""),0.0)</f>
        <v>0</v>
      </c>
      <c r="T125" s="311">
        <f>IFERROR(__xludf.DUMMYFUNCTION("""COMPUTED_VALUE"""),50.0)</f>
        <v>50</v>
      </c>
      <c r="U125" s="311">
        <f>IFERROR(__xludf.DUMMYFUNCTION("""COMPUTED_VALUE"""),0.0)</f>
        <v>0</v>
      </c>
      <c r="V125" s="311">
        <f>IFERROR(__xludf.DUMMYFUNCTION("""COMPUTED_VALUE"""),0.0)</f>
        <v>0</v>
      </c>
      <c r="W125" s="311">
        <f>IFERROR(__xludf.DUMMYFUNCTION("""COMPUTED_VALUE"""),0.0)</f>
        <v>0</v>
      </c>
      <c r="X125" s="311">
        <f>IFERROR(__xludf.DUMMYFUNCTION("""COMPUTED_VALUE"""),0.0)</f>
        <v>0</v>
      </c>
      <c r="Y125" s="311">
        <f>IFERROR(__xludf.DUMMYFUNCTION("""COMPUTED_VALUE"""),0.0)</f>
        <v>0</v>
      </c>
      <c r="Z125" s="311">
        <f>IFERROR(__xludf.DUMMYFUNCTION("""COMPUTED_VALUE"""),-50.0)</f>
        <v>-50</v>
      </c>
      <c r="AA125" s="311">
        <f>IFERROR(__xludf.DUMMYFUNCTION("""COMPUTED_VALUE"""),0.0)</f>
        <v>0</v>
      </c>
      <c r="AB125" s="311">
        <f>IFERROR(__xludf.DUMMYFUNCTION("""COMPUTED_VALUE"""),0.0)</f>
        <v>0</v>
      </c>
      <c r="AC125" s="311">
        <f>IFERROR(__xludf.DUMMYFUNCTION("""COMPUTED_VALUE"""),0.0)</f>
        <v>0</v>
      </c>
      <c r="AD125" s="311">
        <f>IFERROR(__xludf.DUMMYFUNCTION("""COMPUTED_VALUE"""),0.0)</f>
        <v>0</v>
      </c>
      <c r="AE125" s="311">
        <f>IFERROR(__xludf.DUMMYFUNCTION("""COMPUTED_VALUE"""),0.0)</f>
        <v>0</v>
      </c>
      <c r="AF125" s="311" t="str">
        <f>IFERROR(__xludf.DUMMYFUNCTION("""COMPUTED_VALUE"""),"")</f>
        <v/>
      </c>
      <c r="AG125" s="311">
        <f>IFERROR(__xludf.DUMMYFUNCTION("""COMPUTED_VALUE"""),0.0)</f>
        <v>0</v>
      </c>
      <c r="AH125" s="311">
        <f>IFERROR(__xludf.DUMMYFUNCTION("""COMPUTED_VALUE"""),0.0)</f>
        <v>0</v>
      </c>
      <c r="AI125" s="311">
        <f>IFERROR(__xludf.DUMMYFUNCTION("""COMPUTED_VALUE"""),0.0)</f>
        <v>0</v>
      </c>
      <c r="AJ125" s="311"/>
    </row>
    <row r="126" ht="22.5" customHeight="1">
      <c r="A126" s="310" t="str">
        <f>IFERROR(__xludf.DUMMYFUNCTION("""COMPUTED_VALUE"""),"")</f>
        <v/>
      </c>
      <c r="B126" s="310" t="str">
        <f>IFERROR(__xludf.DUMMYFUNCTION("""COMPUTED_VALUE"""),"")</f>
        <v/>
      </c>
      <c r="C126" s="310">
        <f>IFERROR(__xludf.DUMMYFUNCTION("""COMPUTED_VALUE"""),258.0)</f>
        <v>258</v>
      </c>
      <c r="D126" s="310" t="str">
        <f>IFERROR(__xludf.DUMMYFUNCTION("""COMPUTED_VALUE"""),"CMS PROF. MARIO VITOR DE ASSIS PACHECO")</f>
        <v>CMS PROF. MARIO VITOR DE ASSIS PACHECO</v>
      </c>
      <c r="E126" s="313" t="str">
        <f>IFERROR(__xludf.DUMMYFUNCTION("""COMPUTED_VALUE"""),"ZONA OESTE")</f>
        <v>ZONA OESTE</v>
      </c>
      <c r="F126" s="310" t="str">
        <f>IFERROR(__xludf.DUMMYFUNCTION("""COMPUTED_VALUE"""),"RIO DE JANEIRO")</f>
        <v>RIO DE JANEIRO</v>
      </c>
      <c r="G126" s="310" t="str">
        <f>IFERROR(__xludf.DUMMYFUNCTION("""COMPUTED_VALUE"""),"CAMPO GRANDE")</f>
        <v>CAMPO GRANDE</v>
      </c>
      <c r="H126" s="310" t="str">
        <f>IFERROR(__xludf.DUMMYFUNCTION("""COMPUTED_VALUE"""),"Unidade básica de saúde - BAIXA COMPLEXIDADE
")</f>
        <v>Unidade básica de saúde - BAIXA COMPLEXIDADE
</v>
      </c>
      <c r="I126" s="310" t="str">
        <f>IFERROR(__xludf.DUMMYFUNCTION("""COMPUTED_VALUE"""),"Público")</f>
        <v>Público</v>
      </c>
      <c r="J126" s="310" t="str">
        <f>IFERROR(__xludf.DUMMYFUNCTION("""COMPUTED_VALUE"""),"")</f>
        <v/>
      </c>
      <c r="K126" s="310" t="str">
        <f>IFERROR(__xludf.DUMMYFUNCTION("""COMPUTED_VALUE"""),"")</f>
        <v/>
      </c>
      <c r="L126" s="310" t="str">
        <f>IFERROR(__xludf.DUMMYFUNCTION("""COMPUTED_VALUE"""),"")</f>
        <v/>
      </c>
      <c r="M126" s="310" t="str">
        <f>IFERROR(__xludf.DUMMYFUNCTION("""COMPUTED_VALUE"""),"")</f>
        <v/>
      </c>
      <c r="N126" s="310">
        <f>IFERROR(__xludf.DUMMYFUNCTION("""COMPUTED_VALUE"""),0.0)</f>
        <v>0</v>
      </c>
      <c r="O126" s="310">
        <f>IFERROR(__xludf.DUMMYFUNCTION("""COMPUTED_VALUE"""),0.0)</f>
        <v>0</v>
      </c>
      <c r="P126" s="310">
        <f>IFERROR(__xludf.DUMMYFUNCTION("""COMPUTED_VALUE"""),0.0)</f>
        <v>0</v>
      </c>
      <c r="Q126" s="310">
        <f>IFERROR(__xludf.DUMMYFUNCTION("""COMPUTED_VALUE"""),0.0)</f>
        <v>0</v>
      </c>
      <c r="R126" s="310">
        <f>IFERROR(__xludf.DUMMYFUNCTION("""COMPUTED_VALUE"""),0.0)</f>
        <v>0</v>
      </c>
      <c r="S126" s="310">
        <f>IFERROR(__xludf.DUMMYFUNCTION("""COMPUTED_VALUE"""),0.0)</f>
        <v>0</v>
      </c>
      <c r="T126" s="310">
        <f>IFERROR(__xludf.DUMMYFUNCTION("""COMPUTED_VALUE"""),25.0)</f>
        <v>25</v>
      </c>
      <c r="U126" s="310">
        <f>IFERROR(__xludf.DUMMYFUNCTION("""COMPUTED_VALUE"""),0.0)</f>
        <v>0</v>
      </c>
      <c r="V126" s="310">
        <f>IFERROR(__xludf.DUMMYFUNCTION("""COMPUTED_VALUE"""),0.0)</f>
        <v>0</v>
      </c>
      <c r="W126" s="310">
        <f>IFERROR(__xludf.DUMMYFUNCTION("""COMPUTED_VALUE"""),25.0)</f>
        <v>25</v>
      </c>
      <c r="X126" s="310">
        <f>IFERROR(__xludf.DUMMYFUNCTION("""COMPUTED_VALUE"""),0.0)</f>
        <v>0</v>
      </c>
      <c r="Y126" s="310">
        <f>IFERROR(__xludf.DUMMYFUNCTION("""COMPUTED_VALUE"""),0.0)</f>
        <v>0</v>
      </c>
      <c r="Z126" s="310">
        <f>IFERROR(__xludf.DUMMYFUNCTION("""COMPUTED_VALUE"""),-25.0)</f>
        <v>-25</v>
      </c>
      <c r="AA126" s="310">
        <f>IFERROR(__xludf.DUMMYFUNCTION("""COMPUTED_VALUE"""),0.0)</f>
        <v>0</v>
      </c>
      <c r="AB126" s="310">
        <f>IFERROR(__xludf.DUMMYFUNCTION("""COMPUTED_VALUE"""),0.0)</f>
        <v>0</v>
      </c>
      <c r="AC126" s="310">
        <f>IFERROR(__xludf.DUMMYFUNCTION("""COMPUTED_VALUE"""),-25.0)</f>
        <v>-25</v>
      </c>
      <c r="AD126" s="310">
        <f>IFERROR(__xludf.DUMMYFUNCTION("""COMPUTED_VALUE"""),0.0)</f>
        <v>0</v>
      </c>
      <c r="AE126" s="310">
        <f>IFERROR(__xludf.DUMMYFUNCTION("""COMPUTED_VALUE"""),0.0)</f>
        <v>0</v>
      </c>
      <c r="AF126" s="310" t="str">
        <f>IFERROR(__xludf.DUMMYFUNCTION("""COMPUTED_VALUE"""),"")</f>
        <v/>
      </c>
      <c r="AG126" s="310">
        <f>IFERROR(__xludf.DUMMYFUNCTION("""COMPUTED_VALUE"""),0.0)</f>
        <v>0</v>
      </c>
      <c r="AH126" s="310">
        <f>IFERROR(__xludf.DUMMYFUNCTION("""COMPUTED_VALUE"""),0.0)</f>
        <v>0</v>
      </c>
      <c r="AI126" s="310">
        <f>IFERROR(__xludf.DUMMYFUNCTION("""COMPUTED_VALUE"""),0.0)</f>
        <v>0</v>
      </c>
      <c r="AJ126" s="310"/>
    </row>
    <row r="127" ht="22.5" customHeight="1">
      <c r="A127" s="311" t="str">
        <f>IFERROR(__xludf.DUMMYFUNCTION("""COMPUTED_VALUE"""),"")</f>
        <v/>
      </c>
      <c r="B127" s="311" t="str">
        <f>IFERROR(__xludf.DUMMYFUNCTION("""COMPUTED_VALUE"""),"")</f>
        <v/>
      </c>
      <c r="C127" s="311">
        <f>IFERROR(__xludf.DUMMYFUNCTION("""COMPUTED_VALUE"""),259.0)</f>
        <v>259</v>
      </c>
      <c r="D127" s="311" t="str">
        <f>IFERROR(__xludf.DUMMYFUNCTION("""COMPUTED_VALUE"""),"Ceo centro de especialidades odontologica II imbarie")</f>
        <v>Ceo centro de especialidades odontologica II imbarie</v>
      </c>
      <c r="E127" s="315" t="str">
        <f>IFERROR(__xludf.DUMMYFUNCTION("""COMPUTED_VALUE"""),"BAIXADA FLUMINENSE")</f>
        <v>BAIXADA FLUMINENSE</v>
      </c>
      <c r="F127" s="311" t="str">
        <f>IFERROR(__xludf.DUMMYFUNCTION("""COMPUTED_VALUE"""),"Duque de caxias")</f>
        <v>Duque de caxias</v>
      </c>
      <c r="G127" s="311" t="str">
        <f>IFERROR(__xludf.DUMMYFUNCTION("""COMPUTED_VALUE"""),"Imbarie")</f>
        <v>Imbarie</v>
      </c>
      <c r="H127" s="311" t="str">
        <f>IFERROR(__xludf.DUMMYFUNCTION("""COMPUTED_VALUE"""),"Centro especialidade  odontológica media complexidade 
")</f>
        <v>Centro especialidade  odontológica media complexidade 
</v>
      </c>
      <c r="I127" s="311" t="str">
        <f>IFERROR(__xludf.DUMMYFUNCTION("""COMPUTED_VALUE"""),"Público")</f>
        <v>Público</v>
      </c>
      <c r="J127" s="311" t="str">
        <f>IFERROR(__xludf.DUMMYFUNCTION("""COMPUTED_VALUE"""),"")</f>
        <v/>
      </c>
      <c r="K127" s="311" t="str">
        <f>IFERROR(__xludf.DUMMYFUNCTION("""COMPUTED_VALUE"""),"")</f>
        <v/>
      </c>
      <c r="L127" s="311" t="str">
        <f>IFERROR(__xludf.DUMMYFUNCTION("""COMPUTED_VALUE"""),"")</f>
        <v/>
      </c>
      <c r="M127" s="311" t="str">
        <f>IFERROR(__xludf.DUMMYFUNCTION("""COMPUTED_VALUE"""),"")</f>
        <v/>
      </c>
      <c r="N127" s="311">
        <f>IFERROR(__xludf.DUMMYFUNCTION("""COMPUTED_VALUE"""),0.0)</f>
        <v>0</v>
      </c>
      <c r="O127" s="311">
        <f>IFERROR(__xludf.DUMMYFUNCTION("""COMPUTED_VALUE"""),0.0)</f>
        <v>0</v>
      </c>
      <c r="P127" s="311">
        <f>IFERROR(__xludf.DUMMYFUNCTION("""COMPUTED_VALUE"""),0.0)</f>
        <v>0</v>
      </c>
      <c r="Q127" s="311">
        <f>IFERROR(__xludf.DUMMYFUNCTION("""COMPUTED_VALUE"""),0.0)</f>
        <v>0</v>
      </c>
      <c r="R127" s="311">
        <f>IFERROR(__xludf.DUMMYFUNCTION("""COMPUTED_VALUE"""),0.0)</f>
        <v>0</v>
      </c>
      <c r="S127" s="311">
        <f>IFERROR(__xludf.DUMMYFUNCTION("""COMPUTED_VALUE"""),0.0)</f>
        <v>0</v>
      </c>
      <c r="T127" s="311">
        <f>IFERROR(__xludf.DUMMYFUNCTION("""COMPUTED_VALUE"""),50.0)</f>
        <v>50</v>
      </c>
      <c r="U127" s="311">
        <f>IFERROR(__xludf.DUMMYFUNCTION("""COMPUTED_VALUE"""),0.0)</f>
        <v>0</v>
      </c>
      <c r="V127" s="311">
        <f>IFERROR(__xludf.DUMMYFUNCTION("""COMPUTED_VALUE"""),0.0)</f>
        <v>0</v>
      </c>
      <c r="W127" s="311">
        <f>IFERROR(__xludf.DUMMYFUNCTION("""COMPUTED_VALUE"""),0.0)</f>
        <v>0</v>
      </c>
      <c r="X127" s="311">
        <f>IFERROR(__xludf.DUMMYFUNCTION("""COMPUTED_VALUE"""),0.0)</f>
        <v>0</v>
      </c>
      <c r="Y127" s="311">
        <f>IFERROR(__xludf.DUMMYFUNCTION("""COMPUTED_VALUE"""),0.0)</f>
        <v>0</v>
      </c>
      <c r="Z127" s="311">
        <f>IFERROR(__xludf.DUMMYFUNCTION("""COMPUTED_VALUE"""),-50.0)</f>
        <v>-50</v>
      </c>
      <c r="AA127" s="311">
        <f>IFERROR(__xludf.DUMMYFUNCTION("""COMPUTED_VALUE"""),0.0)</f>
        <v>0</v>
      </c>
      <c r="AB127" s="311">
        <f>IFERROR(__xludf.DUMMYFUNCTION("""COMPUTED_VALUE"""),0.0)</f>
        <v>0</v>
      </c>
      <c r="AC127" s="311">
        <f>IFERROR(__xludf.DUMMYFUNCTION("""COMPUTED_VALUE"""),0.0)</f>
        <v>0</v>
      </c>
      <c r="AD127" s="311">
        <f>IFERROR(__xludf.DUMMYFUNCTION("""COMPUTED_VALUE"""),0.0)</f>
        <v>0</v>
      </c>
      <c r="AE127" s="311">
        <f>IFERROR(__xludf.DUMMYFUNCTION("""COMPUTED_VALUE"""),0.0)</f>
        <v>0</v>
      </c>
      <c r="AF127" s="311" t="str">
        <f>IFERROR(__xludf.DUMMYFUNCTION("""COMPUTED_VALUE"""),"")</f>
        <v/>
      </c>
      <c r="AG127" s="311">
        <f>IFERROR(__xludf.DUMMYFUNCTION("""COMPUTED_VALUE"""),0.0)</f>
        <v>0</v>
      </c>
      <c r="AH127" s="311">
        <f>IFERROR(__xludf.DUMMYFUNCTION("""COMPUTED_VALUE"""),0.0)</f>
        <v>0</v>
      </c>
      <c r="AI127" s="311">
        <f>IFERROR(__xludf.DUMMYFUNCTION("""COMPUTED_VALUE"""),0.0)</f>
        <v>0</v>
      </c>
      <c r="AJ127" s="311"/>
    </row>
    <row r="128" ht="22.5" customHeight="1">
      <c r="A128" s="310" t="str">
        <f>IFERROR(__xludf.DUMMYFUNCTION("""COMPUTED_VALUE"""),"")</f>
        <v/>
      </c>
      <c r="B128" s="310" t="str">
        <f>IFERROR(__xludf.DUMMYFUNCTION("""COMPUTED_VALUE"""),"")</f>
        <v/>
      </c>
      <c r="C128" s="310">
        <f>IFERROR(__xludf.DUMMYFUNCTION("""COMPUTED_VALUE"""),260.0)</f>
        <v>260</v>
      </c>
      <c r="D128" s="310" t="str">
        <f>IFERROR(__xludf.DUMMYFUNCTION("""COMPUTED_VALUE"""),"UMPA - UNIDADE MUNICIPAL DE PRONTO ATENDIMENTO")</f>
        <v>UMPA - UNIDADE MUNICIPAL DE PRONTO ATENDIMENTO</v>
      </c>
      <c r="E128" s="313" t="str">
        <f>IFERROR(__xludf.DUMMYFUNCTION("""COMPUTED_VALUE"""),"REGIAO METROPOLITANA")</f>
        <v>REGIAO METROPOLITANA</v>
      </c>
      <c r="F128" s="310" t="str">
        <f>IFERROR(__xludf.DUMMYFUNCTION("""COMPUTED_VALUE"""),"SaO GONÇALO")</f>
        <v>SaO GONÇALO</v>
      </c>
      <c r="G128" s="310" t="str">
        <f>IFERROR(__xludf.DUMMYFUNCTION("""COMPUTED_VALUE"""),"PACHECO")</f>
        <v>PACHECO</v>
      </c>
      <c r="H128" s="310" t="str">
        <f>IFERROR(__xludf.DUMMYFUNCTION("""COMPUTED_VALUE"""),"UNIDADE MNICIPAL DE PRONTO ATENDIMENTO 24H
")</f>
        <v>UNIDADE MNICIPAL DE PRONTO ATENDIMENTO 24H
</v>
      </c>
      <c r="I128" s="310" t="str">
        <f>IFERROR(__xludf.DUMMYFUNCTION("""COMPUTED_VALUE"""),"Público")</f>
        <v>Público</v>
      </c>
      <c r="J128" s="310" t="str">
        <f>IFERROR(__xludf.DUMMYFUNCTION("""COMPUTED_VALUE"""),"")</f>
        <v/>
      </c>
      <c r="K128" s="310" t="str">
        <f>IFERROR(__xludf.DUMMYFUNCTION("""COMPUTED_VALUE"""),"")</f>
        <v/>
      </c>
      <c r="L128" s="310" t="str">
        <f>IFERROR(__xludf.DUMMYFUNCTION("""COMPUTED_VALUE"""),"")</f>
        <v/>
      </c>
      <c r="M128" s="310" t="str">
        <f>IFERROR(__xludf.DUMMYFUNCTION("""COMPUTED_VALUE"""),"")</f>
        <v/>
      </c>
      <c r="N128" s="310">
        <f>IFERROR(__xludf.DUMMYFUNCTION("""COMPUTED_VALUE"""),0.0)</f>
        <v>0</v>
      </c>
      <c r="O128" s="310">
        <f>IFERROR(__xludf.DUMMYFUNCTION("""COMPUTED_VALUE"""),0.0)</f>
        <v>0</v>
      </c>
      <c r="P128" s="310">
        <f>IFERROR(__xludf.DUMMYFUNCTION("""COMPUTED_VALUE"""),0.0)</f>
        <v>0</v>
      </c>
      <c r="Q128" s="310">
        <f>IFERROR(__xludf.DUMMYFUNCTION("""COMPUTED_VALUE"""),0.0)</f>
        <v>0</v>
      </c>
      <c r="R128" s="310">
        <f>IFERROR(__xludf.DUMMYFUNCTION("""COMPUTED_VALUE"""),0.0)</f>
        <v>0</v>
      </c>
      <c r="S128" s="310">
        <f>IFERROR(__xludf.DUMMYFUNCTION("""COMPUTED_VALUE"""),0.0)</f>
        <v>0</v>
      </c>
      <c r="T128" s="310">
        <f>IFERROR(__xludf.DUMMYFUNCTION("""COMPUTED_VALUE"""),50.0)</f>
        <v>50</v>
      </c>
      <c r="U128" s="310">
        <f>IFERROR(__xludf.DUMMYFUNCTION("""COMPUTED_VALUE"""),0.0)</f>
        <v>0</v>
      </c>
      <c r="V128" s="310">
        <f>IFERROR(__xludf.DUMMYFUNCTION("""COMPUTED_VALUE"""),0.0)</f>
        <v>0</v>
      </c>
      <c r="W128" s="310">
        <f>IFERROR(__xludf.DUMMYFUNCTION("""COMPUTED_VALUE"""),50.0)</f>
        <v>50</v>
      </c>
      <c r="X128" s="310">
        <f>IFERROR(__xludf.DUMMYFUNCTION("""COMPUTED_VALUE"""),0.0)</f>
        <v>0</v>
      </c>
      <c r="Y128" s="310">
        <f>IFERROR(__xludf.DUMMYFUNCTION("""COMPUTED_VALUE"""),0.0)</f>
        <v>0</v>
      </c>
      <c r="Z128" s="310">
        <f>IFERROR(__xludf.DUMMYFUNCTION("""COMPUTED_VALUE"""),-50.0)</f>
        <v>-50</v>
      </c>
      <c r="AA128" s="310">
        <f>IFERROR(__xludf.DUMMYFUNCTION("""COMPUTED_VALUE"""),0.0)</f>
        <v>0</v>
      </c>
      <c r="AB128" s="310">
        <f>IFERROR(__xludf.DUMMYFUNCTION("""COMPUTED_VALUE"""),0.0)</f>
        <v>0</v>
      </c>
      <c r="AC128" s="310">
        <f>IFERROR(__xludf.DUMMYFUNCTION("""COMPUTED_VALUE"""),-50.0)</f>
        <v>-50</v>
      </c>
      <c r="AD128" s="310">
        <f>IFERROR(__xludf.DUMMYFUNCTION("""COMPUTED_VALUE"""),0.0)</f>
        <v>0</v>
      </c>
      <c r="AE128" s="310">
        <f>IFERROR(__xludf.DUMMYFUNCTION("""COMPUTED_VALUE"""),0.0)</f>
        <v>0</v>
      </c>
      <c r="AF128" s="310" t="str">
        <f>IFERROR(__xludf.DUMMYFUNCTION("""COMPUTED_VALUE"""),"")</f>
        <v/>
      </c>
      <c r="AG128" s="310">
        <f>IFERROR(__xludf.DUMMYFUNCTION("""COMPUTED_VALUE"""),0.0)</f>
        <v>0</v>
      </c>
      <c r="AH128" s="310">
        <f>IFERROR(__xludf.DUMMYFUNCTION("""COMPUTED_VALUE"""),0.0)</f>
        <v>0</v>
      </c>
      <c r="AI128" s="310">
        <f>IFERROR(__xludf.DUMMYFUNCTION("""COMPUTED_VALUE"""),0.0)</f>
        <v>0</v>
      </c>
      <c r="AJ128" s="310"/>
    </row>
    <row r="129" ht="22.5" customHeight="1">
      <c r="A129" s="311" t="str">
        <f>IFERROR(__xludf.DUMMYFUNCTION("""COMPUTED_VALUE"""),"")</f>
        <v/>
      </c>
      <c r="B129" s="311" t="str">
        <f>IFERROR(__xludf.DUMMYFUNCTION("""COMPUTED_VALUE"""),"")</f>
        <v/>
      </c>
      <c r="C129" s="311">
        <f>IFERROR(__xludf.DUMMYFUNCTION("""COMPUTED_VALUE"""),262.0)</f>
        <v>262</v>
      </c>
      <c r="D129" s="311" t="str">
        <f>IFERROR(__xludf.DUMMYFUNCTION("""COMPUTED_VALUE"""),"CMS Joao Candido")</f>
        <v>CMS Joao Candido</v>
      </c>
      <c r="E129" s="315" t="str">
        <f>IFERROR(__xludf.DUMMYFUNCTION("""COMPUTED_VALUE"""),"ZONA NORTE")</f>
        <v>ZONA NORTE</v>
      </c>
      <c r="F129" s="311" t="str">
        <f>IFERROR(__xludf.DUMMYFUNCTION("""COMPUTED_VALUE"""),"rio de janeiro")</f>
        <v>rio de janeiro</v>
      </c>
      <c r="G129" s="311" t="str">
        <f>IFERROR(__xludf.DUMMYFUNCTION("""COMPUTED_VALUE"""),"Penha Circular")</f>
        <v>Penha Circular</v>
      </c>
      <c r="H129" s="311" t="str">
        <f>IFERROR(__xludf.DUMMYFUNCTION("""COMPUTED_VALUE"""),"Unidade básica de saúde - BAIXA COMPLEXIDADE
")</f>
        <v>Unidade básica de saúde - BAIXA COMPLEXIDADE
</v>
      </c>
      <c r="I129" s="311" t="str">
        <f>IFERROR(__xludf.DUMMYFUNCTION("""COMPUTED_VALUE"""),"Público")</f>
        <v>Público</v>
      </c>
      <c r="J129" s="311" t="str">
        <f>IFERROR(__xludf.DUMMYFUNCTION("""COMPUTED_VALUE"""),"")</f>
        <v/>
      </c>
      <c r="K129" s="311" t="str">
        <f>IFERROR(__xludf.DUMMYFUNCTION("""COMPUTED_VALUE"""),"")</f>
        <v/>
      </c>
      <c r="L129" s="311" t="str">
        <f>IFERROR(__xludf.DUMMYFUNCTION("""COMPUTED_VALUE"""),"")</f>
        <v/>
      </c>
      <c r="M129" s="311" t="str">
        <f>IFERROR(__xludf.DUMMYFUNCTION("""COMPUTED_VALUE"""),"")</f>
        <v/>
      </c>
      <c r="N129" s="311">
        <f>IFERROR(__xludf.DUMMYFUNCTION("""COMPUTED_VALUE"""),0.0)</f>
        <v>0</v>
      </c>
      <c r="O129" s="311">
        <f>IFERROR(__xludf.DUMMYFUNCTION("""COMPUTED_VALUE"""),0.0)</f>
        <v>0</v>
      </c>
      <c r="P129" s="311">
        <f>IFERROR(__xludf.DUMMYFUNCTION("""COMPUTED_VALUE"""),0.0)</f>
        <v>0</v>
      </c>
      <c r="Q129" s="311">
        <f>IFERROR(__xludf.DUMMYFUNCTION("""COMPUTED_VALUE"""),0.0)</f>
        <v>0</v>
      </c>
      <c r="R129" s="311">
        <f>IFERROR(__xludf.DUMMYFUNCTION("""COMPUTED_VALUE"""),0.0)</f>
        <v>0</v>
      </c>
      <c r="S129" s="311">
        <f>IFERROR(__xludf.DUMMYFUNCTION("""COMPUTED_VALUE"""),0.0)</f>
        <v>0</v>
      </c>
      <c r="T129" s="311">
        <f>IFERROR(__xludf.DUMMYFUNCTION("""COMPUTED_VALUE"""),25.0)</f>
        <v>25</v>
      </c>
      <c r="U129" s="311">
        <f>IFERROR(__xludf.DUMMYFUNCTION("""COMPUTED_VALUE"""),0.0)</f>
        <v>0</v>
      </c>
      <c r="V129" s="311">
        <f>IFERROR(__xludf.DUMMYFUNCTION("""COMPUTED_VALUE"""),0.0)</f>
        <v>0</v>
      </c>
      <c r="W129" s="311">
        <f>IFERROR(__xludf.DUMMYFUNCTION("""COMPUTED_VALUE"""),0.0)</f>
        <v>0</v>
      </c>
      <c r="X129" s="311">
        <f>IFERROR(__xludf.DUMMYFUNCTION("""COMPUTED_VALUE"""),0.0)</f>
        <v>0</v>
      </c>
      <c r="Y129" s="311">
        <f>IFERROR(__xludf.DUMMYFUNCTION("""COMPUTED_VALUE"""),0.0)</f>
        <v>0</v>
      </c>
      <c r="Z129" s="311">
        <f>IFERROR(__xludf.DUMMYFUNCTION("""COMPUTED_VALUE"""),-25.0)</f>
        <v>-25</v>
      </c>
      <c r="AA129" s="311">
        <f>IFERROR(__xludf.DUMMYFUNCTION("""COMPUTED_VALUE"""),0.0)</f>
        <v>0</v>
      </c>
      <c r="AB129" s="311">
        <f>IFERROR(__xludf.DUMMYFUNCTION("""COMPUTED_VALUE"""),0.0)</f>
        <v>0</v>
      </c>
      <c r="AC129" s="311">
        <f>IFERROR(__xludf.DUMMYFUNCTION("""COMPUTED_VALUE"""),0.0)</f>
        <v>0</v>
      </c>
      <c r="AD129" s="311">
        <f>IFERROR(__xludf.DUMMYFUNCTION("""COMPUTED_VALUE"""),0.0)</f>
        <v>0</v>
      </c>
      <c r="AE129" s="311">
        <f>IFERROR(__xludf.DUMMYFUNCTION("""COMPUTED_VALUE"""),0.0)</f>
        <v>0</v>
      </c>
      <c r="AF129" s="311" t="str">
        <f>IFERROR(__xludf.DUMMYFUNCTION("""COMPUTED_VALUE"""),"")</f>
        <v/>
      </c>
      <c r="AG129" s="311">
        <f>IFERROR(__xludf.DUMMYFUNCTION("""COMPUTED_VALUE"""),0.0)</f>
        <v>0</v>
      </c>
      <c r="AH129" s="311">
        <f>IFERROR(__xludf.DUMMYFUNCTION("""COMPUTED_VALUE"""),0.0)</f>
        <v>0</v>
      </c>
      <c r="AI129" s="311">
        <f>IFERROR(__xludf.DUMMYFUNCTION("""COMPUTED_VALUE"""),0.0)</f>
        <v>0</v>
      </c>
      <c r="AJ129" s="311"/>
    </row>
    <row r="130" ht="22.5" customHeight="1">
      <c r="A130" s="310" t="str">
        <f>IFERROR(__xludf.DUMMYFUNCTION("""COMPUTED_VALUE"""),"")</f>
        <v/>
      </c>
      <c r="B130" s="310" t="str">
        <f>IFERROR(__xludf.DUMMYFUNCTION("""COMPUTED_VALUE"""),"")</f>
        <v/>
      </c>
      <c r="C130" s="310">
        <f>IFERROR(__xludf.DUMMYFUNCTION("""COMPUTED_VALUE"""),273.0)</f>
        <v>273</v>
      </c>
      <c r="D130" s="310" t="str">
        <f>IFERROR(__xludf.DUMMYFUNCTION("""COMPUTED_VALUE"""),"USF Parque Comercial")</f>
        <v>USF Parque Comercial</v>
      </c>
      <c r="E130" s="313" t="str">
        <f>IFERROR(__xludf.DUMMYFUNCTION("""COMPUTED_VALUE"""),"BAIXADA FLUMINENSE")</f>
        <v>BAIXADA FLUMINENSE</v>
      </c>
      <c r="F130" s="310" t="str">
        <f>IFERROR(__xludf.DUMMYFUNCTION("""COMPUTED_VALUE"""),"Duque de Caxias")</f>
        <v>Duque de Caxias</v>
      </c>
      <c r="G130" s="310" t="str">
        <f>IFERROR(__xludf.DUMMYFUNCTION("""COMPUTED_VALUE"""),"Sao Bento")</f>
        <v>Sao Bento</v>
      </c>
      <c r="H130" s="310" t="str">
        <f>IFERROR(__xludf.DUMMYFUNCTION("""COMPUTED_VALUE"""),"Unidade básica de saúde - BAIXA COMPLEXIDADE
")</f>
        <v>Unidade básica de saúde - BAIXA COMPLEXIDADE
</v>
      </c>
      <c r="I130" s="310" t="str">
        <f>IFERROR(__xludf.DUMMYFUNCTION("""COMPUTED_VALUE"""),"Público")</f>
        <v>Público</v>
      </c>
      <c r="J130" s="310" t="str">
        <f>IFERROR(__xludf.DUMMYFUNCTION("""COMPUTED_VALUE"""),"")</f>
        <v/>
      </c>
      <c r="K130" s="310" t="str">
        <f>IFERROR(__xludf.DUMMYFUNCTION("""COMPUTED_VALUE"""),"")</f>
        <v/>
      </c>
      <c r="L130" s="310" t="str">
        <f>IFERROR(__xludf.DUMMYFUNCTION("""COMPUTED_VALUE"""),"")</f>
        <v/>
      </c>
      <c r="M130" s="310" t="str">
        <f>IFERROR(__xludf.DUMMYFUNCTION("""COMPUTED_VALUE"""),"")</f>
        <v/>
      </c>
      <c r="N130" s="310">
        <f>IFERROR(__xludf.DUMMYFUNCTION("""COMPUTED_VALUE"""),0.0)</f>
        <v>0</v>
      </c>
      <c r="O130" s="310">
        <f>IFERROR(__xludf.DUMMYFUNCTION("""COMPUTED_VALUE"""),0.0)</f>
        <v>0</v>
      </c>
      <c r="P130" s="310">
        <f>IFERROR(__xludf.DUMMYFUNCTION("""COMPUTED_VALUE"""),0.0)</f>
        <v>0</v>
      </c>
      <c r="Q130" s="310">
        <f>IFERROR(__xludf.DUMMYFUNCTION("""COMPUTED_VALUE"""),0.0)</f>
        <v>0</v>
      </c>
      <c r="R130" s="310">
        <f>IFERROR(__xludf.DUMMYFUNCTION("""COMPUTED_VALUE"""),0.0)</f>
        <v>0</v>
      </c>
      <c r="S130" s="310">
        <f>IFERROR(__xludf.DUMMYFUNCTION("""COMPUTED_VALUE"""),0.0)</f>
        <v>0</v>
      </c>
      <c r="T130" s="310">
        <f>IFERROR(__xludf.DUMMYFUNCTION("""COMPUTED_VALUE"""),0.0)</f>
        <v>0</v>
      </c>
      <c r="U130" s="310">
        <f>IFERROR(__xludf.DUMMYFUNCTION("""COMPUTED_VALUE"""),0.0)</f>
        <v>0</v>
      </c>
      <c r="V130" s="310">
        <f>IFERROR(__xludf.DUMMYFUNCTION("""COMPUTED_VALUE"""),0.0)</f>
        <v>0</v>
      </c>
      <c r="W130" s="310">
        <f>IFERROR(__xludf.DUMMYFUNCTION("""COMPUTED_VALUE"""),25.0)</f>
        <v>25</v>
      </c>
      <c r="X130" s="310">
        <f>IFERROR(__xludf.DUMMYFUNCTION("""COMPUTED_VALUE"""),0.0)</f>
        <v>0</v>
      </c>
      <c r="Y130" s="310">
        <f>IFERROR(__xludf.DUMMYFUNCTION("""COMPUTED_VALUE"""),0.0)</f>
        <v>0</v>
      </c>
      <c r="Z130" s="310">
        <f>IFERROR(__xludf.DUMMYFUNCTION("""COMPUTED_VALUE"""),0.0)</f>
        <v>0</v>
      </c>
      <c r="AA130" s="310">
        <f>IFERROR(__xludf.DUMMYFUNCTION("""COMPUTED_VALUE"""),0.0)</f>
        <v>0</v>
      </c>
      <c r="AB130" s="310">
        <f>IFERROR(__xludf.DUMMYFUNCTION("""COMPUTED_VALUE"""),0.0)</f>
        <v>0</v>
      </c>
      <c r="AC130" s="310">
        <f>IFERROR(__xludf.DUMMYFUNCTION("""COMPUTED_VALUE"""),-25.0)</f>
        <v>-25</v>
      </c>
      <c r="AD130" s="310">
        <f>IFERROR(__xludf.DUMMYFUNCTION("""COMPUTED_VALUE"""),0.0)</f>
        <v>0</v>
      </c>
      <c r="AE130" s="310">
        <f>IFERROR(__xludf.DUMMYFUNCTION("""COMPUTED_VALUE"""),0.0)</f>
        <v>0</v>
      </c>
      <c r="AF130" s="310" t="str">
        <f>IFERROR(__xludf.DUMMYFUNCTION("""COMPUTED_VALUE"""),"")</f>
        <v/>
      </c>
      <c r="AG130" s="310">
        <f>IFERROR(__xludf.DUMMYFUNCTION("""COMPUTED_VALUE"""),0.0)</f>
        <v>0</v>
      </c>
      <c r="AH130" s="310">
        <f>IFERROR(__xludf.DUMMYFUNCTION("""COMPUTED_VALUE"""),0.0)</f>
        <v>0</v>
      </c>
      <c r="AI130" s="310">
        <f>IFERROR(__xludf.DUMMYFUNCTION("""COMPUTED_VALUE"""),0.0)</f>
        <v>0</v>
      </c>
      <c r="AJ130" s="310"/>
    </row>
    <row r="131" ht="22.5" customHeight="1">
      <c r="A131" s="311" t="str">
        <f>IFERROR(__xludf.DUMMYFUNCTION("""COMPUTED_VALUE"""),"")</f>
        <v/>
      </c>
      <c r="B131" s="311" t="str">
        <f>IFERROR(__xludf.DUMMYFUNCTION("""COMPUTED_VALUE"""),"")</f>
        <v/>
      </c>
      <c r="C131" s="311">
        <f>IFERROR(__xludf.DUMMYFUNCTION("""COMPUTED_VALUE"""),274.0)</f>
        <v>274</v>
      </c>
      <c r="D131" s="311" t="str">
        <f>IFERROR(__xludf.DUMMYFUNCTION("""COMPUTED_VALUE"""),"USF Parque Esperança")</f>
        <v>USF Parque Esperança</v>
      </c>
      <c r="E131" s="315" t="str">
        <f>IFERROR(__xludf.DUMMYFUNCTION("""COMPUTED_VALUE"""),"BAIXADA FLUMINENSE")</f>
        <v>BAIXADA FLUMINENSE</v>
      </c>
      <c r="F131" s="311" t="str">
        <f>IFERROR(__xludf.DUMMYFUNCTION("""COMPUTED_VALUE"""),"Duque de Caxias")</f>
        <v>Duque de Caxias</v>
      </c>
      <c r="G131" s="311" t="str">
        <f>IFERROR(__xludf.DUMMYFUNCTION("""COMPUTED_VALUE"""),"Jardim Vila Nova")</f>
        <v>Jardim Vila Nova</v>
      </c>
      <c r="H131" s="311" t="str">
        <f>IFERROR(__xludf.DUMMYFUNCTION("""COMPUTED_VALUE"""),"Unidade básica de saúde - BAIXA COMPLEXIDADE
")</f>
        <v>Unidade básica de saúde - BAIXA COMPLEXIDADE
</v>
      </c>
      <c r="I131" s="311" t="str">
        <f>IFERROR(__xludf.DUMMYFUNCTION("""COMPUTED_VALUE"""),"Público")</f>
        <v>Público</v>
      </c>
      <c r="J131" s="311" t="str">
        <f>IFERROR(__xludf.DUMMYFUNCTION("""COMPUTED_VALUE"""),"")</f>
        <v/>
      </c>
      <c r="K131" s="311" t="str">
        <f>IFERROR(__xludf.DUMMYFUNCTION("""COMPUTED_VALUE"""),"")</f>
        <v/>
      </c>
      <c r="L131" s="311" t="str">
        <f>IFERROR(__xludf.DUMMYFUNCTION("""COMPUTED_VALUE"""),"")</f>
        <v/>
      </c>
      <c r="M131" s="311" t="str">
        <f>IFERROR(__xludf.DUMMYFUNCTION("""COMPUTED_VALUE"""),"")</f>
        <v/>
      </c>
      <c r="N131" s="311">
        <f>IFERROR(__xludf.DUMMYFUNCTION("""COMPUTED_VALUE"""),0.0)</f>
        <v>0</v>
      </c>
      <c r="O131" s="311">
        <f>IFERROR(__xludf.DUMMYFUNCTION("""COMPUTED_VALUE"""),0.0)</f>
        <v>0</v>
      </c>
      <c r="P131" s="311">
        <f>IFERROR(__xludf.DUMMYFUNCTION("""COMPUTED_VALUE"""),0.0)</f>
        <v>0</v>
      </c>
      <c r="Q131" s="311">
        <f>IFERROR(__xludf.DUMMYFUNCTION("""COMPUTED_VALUE"""),0.0)</f>
        <v>0</v>
      </c>
      <c r="R131" s="311">
        <f>IFERROR(__xludf.DUMMYFUNCTION("""COMPUTED_VALUE"""),0.0)</f>
        <v>0</v>
      </c>
      <c r="S131" s="311">
        <f>IFERROR(__xludf.DUMMYFUNCTION("""COMPUTED_VALUE"""),0.0)</f>
        <v>0</v>
      </c>
      <c r="T131" s="311">
        <f>IFERROR(__xludf.DUMMYFUNCTION("""COMPUTED_VALUE"""),25.0)</f>
        <v>25</v>
      </c>
      <c r="U131" s="311">
        <f>IFERROR(__xludf.DUMMYFUNCTION("""COMPUTED_VALUE"""),0.0)</f>
        <v>0</v>
      </c>
      <c r="V131" s="311">
        <f>IFERROR(__xludf.DUMMYFUNCTION("""COMPUTED_VALUE"""),0.0)</f>
        <v>0</v>
      </c>
      <c r="W131" s="311">
        <f>IFERROR(__xludf.DUMMYFUNCTION("""COMPUTED_VALUE"""),0.0)</f>
        <v>0</v>
      </c>
      <c r="X131" s="311">
        <f>IFERROR(__xludf.DUMMYFUNCTION("""COMPUTED_VALUE"""),0.0)</f>
        <v>0</v>
      </c>
      <c r="Y131" s="311">
        <f>IFERROR(__xludf.DUMMYFUNCTION("""COMPUTED_VALUE"""),0.0)</f>
        <v>0</v>
      </c>
      <c r="Z131" s="311">
        <f>IFERROR(__xludf.DUMMYFUNCTION("""COMPUTED_VALUE"""),-25.0)</f>
        <v>-25</v>
      </c>
      <c r="AA131" s="311">
        <f>IFERROR(__xludf.DUMMYFUNCTION("""COMPUTED_VALUE"""),0.0)</f>
        <v>0</v>
      </c>
      <c r="AB131" s="311">
        <f>IFERROR(__xludf.DUMMYFUNCTION("""COMPUTED_VALUE"""),0.0)</f>
        <v>0</v>
      </c>
      <c r="AC131" s="311">
        <f>IFERROR(__xludf.DUMMYFUNCTION("""COMPUTED_VALUE"""),0.0)</f>
        <v>0</v>
      </c>
      <c r="AD131" s="311">
        <f>IFERROR(__xludf.DUMMYFUNCTION("""COMPUTED_VALUE"""),0.0)</f>
        <v>0</v>
      </c>
      <c r="AE131" s="311">
        <f>IFERROR(__xludf.DUMMYFUNCTION("""COMPUTED_VALUE"""),0.0)</f>
        <v>0</v>
      </c>
      <c r="AF131" s="311" t="str">
        <f>IFERROR(__xludf.DUMMYFUNCTION("""COMPUTED_VALUE"""),"")</f>
        <v/>
      </c>
      <c r="AG131" s="311">
        <f>IFERROR(__xludf.DUMMYFUNCTION("""COMPUTED_VALUE"""),0.0)</f>
        <v>0</v>
      </c>
      <c r="AH131" s="311">
        <f>IFERROR(__xludf.DUMMYFUNCTION("""COMPUTED_VALUE"""),0.0)</f>
        <v>0</v>
      </c>
      <c r="AI131" s="311">
        <f>IFERROR(__xludf.DUMMYFUNCTION("""COMPUTED_VALUE"""),0.0)</f>
        <v>0</v>
      </c>
      <c r="AJ131" s="311"/>
    </row>
    <row r="132" ht="22.5" customHeight="1">
      <c r="A132" s="310" t="str">
        <f>IFERROR(__xludf.DUMMYFUNCTION("""COMPUTED_VALUE"""),"")</f>
        <v/>
      </c>
      <c r="B132" s="310" t="str">
        <f>IFERROR(__xludf.DUMMYFUNCTION("""COMPUTED_VALUE"""),"")</f>
        <v/>
      </c>
      <c r="C132" s="310">
        <f>IFERROR(__xludf.DUMMYFUNCTION("""COMPUTED_VALUE"""),275.0)</f>
        <v>275</v>
      </c>
      <c r="D132" s="310" t="str">
        <f>IFERROR(__xludf.DUMMYFUNCTION("""COMPUTED_VALUE"""),"UPA CIDADE DE DEUS")</f>
        <v>UPA CIDADE DE DEUS</v>
      </c>
      <c r="E132" s="313" t="str">
        <f>IFERROR(__xludf.DUMMYFUNCTION("""COMPUTED_VALUE"""),"ZONA OESTE")</f>
        <v>ZONA OESTE</v>
      </c>
      <c r="F132" s="310" t="str">
        <f>IFERROR(__xludf.DUMMYFUNCTION("""COMPUTED_VALUE"""),"RIO DE JANEIRO")</f>
        <v>RIO DE JANEIRO</v>
      </c>
      <c r="G132" s="310" t="str">
        <f>IFERROR(__xludf.DUMMYFUNCTION("""COMPUTED_VALUE"""),"CIDADE DE DEUS")</f>
        <v>CIDADE DE DEUS</v>
      </c>
      <c r="H132" s="310" t="str">
        <f>IFERROR(__xludf.DUMMYFUNCTION("""COMPUTED_VALUE"""),"UPA - UNIDADE DE PRONTO ATENDIMENTO - MEDIA COMPLEXIDADE
")</f>
        <v>UPA - UNIDADE DE PRONTO ATENDIMENTO - MEDIA COMPLEXIDADE
</v>
      </c>
      <c r="I132" s="310" t="str">
        <f>IFERROR(__xludf.DUMMYFUNCTION("""COMPUTED_VALUE"""),"Público")</f>
        <v>Público</v>
      </c>
      <c r="J132" s="310" t="str">
        <f>IFERROR(__xludf.DUMMYFUNCTION("""COMPUTED_VALUE"""),"")</f>
        <v/>
      </c>
      <c r="K132" s="310" t="str">
        <f>IFERROR(__xludf.DUMMYFUNCTION("""COMPUTED_VALUE"""),"")</f>
        <v/>
      </c>
      <c r="L132" s="310" t="str">
        <f>IFERROR(__xludf.DUMMYFUNCTION("""COMPUTED_VALUE"""),"")</f>
        <v/>
      </c>
      <c r="M132" s="310" t="str">
        <f>IFERROR(__xludf.DUMMYFUNCTION("""COMPUTED_VALUE"""),"")</f>
        <v/>
      </c>
      <c r="N132" s="310">
        <f>IFERROR(__xludf.DUMMYFUNCTION("""COMPUTED_VALUE"""),0.0)</f>
        <v>0</v>
      </c>
      <c r="O132" s="310">
        <f>IFERROR(__xludf.DUMMYFUNCTION("""COMPUTED_VALUE"""),0.0)</f>
        <v>0</v>
      </c>
      <c r="P132" s="310">
        <f>IFERROR(__xludf.DUMMYFUNCTION("""COMPUTED_VALUE"""),0.0)</f>
        <v>0</v>
      </c>
      <c r="Q132" s="310">
        <f>IFERROR(__xludf.DUMMYFUNCTION("""COMPUTED_VALUE"""),0.0)</f>
        <v>0</v>
      </c>
      <c r="R132" s="310">
        <f>IFERROR(__xludf.DUMMYFUNCTION("""COMPUTED_VALUE"""),0.0)</f>
        <v>0</v>
      </c>
      <c r="S132" s="310">
        <f>IFERROR(__xludf.DUMMYFUNCTION("""COMPUTED_VALUE"""),0.0)</f>
        <v>0</v>
      </c>
      <c r="T132" s="310">
        <f>IFERROR(__xludf.DUMMYFUNCTION("""COMPUTED_VALUE"""),50.0)</f>
        <v>50</v>
      </c>
      <c r="U132" s="310">
        <f>IFERROR(__xludf.DUMMYFUNCTION("""COMPUTED_VALUE"""),0.0)</f>
        <v>0</v>
      </c>
      <c r="V132" s="310">
        <f>IFERROR(__xludf.DUMMYFUNCTION("""COMPUTED_VALUE"""),0.0)</f>
        <v>0</v>
      </c>
      <c r="W132" s="310">
        <f>IFERROR(__xludf.DUMMYFUNCTION("""COMPUTED_VALUE"""),25.0)</f>
        <v>25</v>
      </c>
      <c r="X132" s="310">
        <f>IFERROR(__xludf.DUMMYFUNCTION("""COMPUTED_VALUE"""),0.0)</f>
        <v>0</v>
      </c>
      <c r="Y132" s="310">
        <f>IFERROR(__xludf.DUMMYFUNCTION("""COMPUTED_VALUE"""),0.0)</f>
        <v>0</v>
      </c>
      <c r="Z132" s="310">
        <f>IFERROR(__xludf.DUMMYFUNCTION("""COMPUTED_VALUE"""),-50.0)</f>
        <v>-50</v>
      </c>
      <c r="AA132" s="310">
        <f>IFERROR(__xludf.DUMMYFUNCTION("""COMPUTED_VALUE"""),0.0)</f>
        <v>0</v>
      </c>
      <c r="AB132" s="310">
        <f>IFERROR(__xludf.DUMMYFUNCTION("""COMPUTED_VALUE"""),0.0)</f>
        <v>0</v>
      </c>
      <c r="AC132" s="310">
        <f>IFERROR(__xludf.DUMMYFUNCTION("""COMPUTED_VALUE"""),-25.0)</f>
        <v>-25</v>
      </c>
      <c r="AD132" s="310">
        <f>IFERROR(__xludf.DUMMYFUNCTION("""COMPUTED_VALUE"""),0.0)</f>
        <v>0</v>
      </c>
      <c r="AE132" s="310">
        <f>IFERROR(__xludf.DUMMYFUNCTION("""COMPUTED_VALUE"""),0.0)</f>
        <v>0</v>
      </c>
      <c r="AF132" s="310" t="str">
        <f>IFERROR(__xludf.DUMMYFUNCTION("""COMPUTED_VALUE"""),"")</f>
        <v/>
      </c>
      <c r="AG132" s="310">
        <f>IFERROR(__xludf.DUMMYFUNCTION("""COMPUTED_VALUE"""),0.0)</f>
        <v>0</v>
      </c>
      <c r="AH132" s="310">
        <f>IFERROR(__xludf.DUMMYFUNCTION("""COMPUTED_VALUE"""),0.0)</f>
        <v>0</v>
      </c>
      <c r="AI132" s="310">
        <f>IFERROR(__xludf.DUMMYFUNCTION("""COMPUTED_VALUE"""),0.0)</f>
        <v>0</v>
      </c>
      <c r="AJ132" s="310"/>
    </row>
    <row r="133" ht="22.5" customHeight="1">
      <c r="A133" s="311" t="str">
        <f>IFERROR(__xludf.DUMMYFUNCTION("""COMPUTED_VALUE"""),"")</f>
        <v/>
      </c>
      <c r="B133" s="311" t="str">
        <f>IFERROR(__xludf.DUMMYFUNCTION("""COMPUTED_VALUE"""),"")</f>
        <v/>
      </c>
      <c r="C133" s="311">
        <f>IFERROR(__xludf.DUMMYFUNCTION("""COMPUTED_VALUE"""),276.0)</f>
        <v>276</v>
      </c>
      <c r="D133" s="311" t="str">
        <f>IFERROR(__xludf.DUMMYFUNCTION("""COMPUTED_VALUE"""),"USF Nova Campinas")</f>
        <v>USF Nova Campinas</v>
      </c>
      <c r="E133" s="315" t="str">
        <f>IFERROR(__xludf.DUMMYFUNCTION("""COMPUTED_VALUE"""),"BAIXADA FLUMINENSE")</f>
        <v>BAIXADA FLUMINENSE</v>
      </c>
      <c r="F133" s="311" t="str">
        <f>IFERROR(__xludf.DUMMYFUNCTION("""COMPUTED_VALUE"""),"Duque de Caxias")</f>
        <v>Duque de Caxias</v>
      </c>
      <c r="G133" s="311" t="str">
        <f>IFERROR(__xludf.DUMMYFUNCTION("""COMPUTED_VALUE"""),"Nova Campinas")</f>
        <v>Nova Campinas</v>
      </c>
      <c r="H133" s="311" t="str">
        <f>IFERROR(__xludf.DUMMYFUNCTION("""COMPUTED_VALUE"""),"Unidade básica de saúde - BAIXA COMPLEXIDADE
")</f>
        <v>Unidade básica de saúde - BAIXA COMPLEXIDADE
</v>
      </c>
      <c r="I133" s="311" t="str">
        <f>IFERROR(__xludf.DUMMYFUNCTION("""COMPUTED_VALUE"""),"Público")</f>
        <v>Público</v>
      </c>
      <c r="J133" s="311" t="str">
        <f>IFERROR(__xludf.DUMMYFUNCTION("""COMPUTED_VALUE"""),"")</f>
        <v/>
      </c>
      <c r="K133" s="311" t="str">
        <f>IFERROR(__xludf.DUMMYFUNCTION("""COMPUTED_VALUE"""),"")</f>
        <v/>
      </c>
      <c r="L133" s="311" t="str">
        <f>IFERROR(__xludf.DUMMYFUNCTION("""COMPUTED_VALUE"""),"")</f>
        <v/>
      </c>
      <c r="M133" s="311" t="str">
        <f>IFERROR(__xludf.DUMMYFUNCTION("""COMPUTED_VALUE"""),"")</f>
        <v/>
      </c>
      <c r="N133" s="311">
        <f>IFERROR(__xludf.DUMMYFUNCTION("""COMPUTED_VALUE"""),0.0)</f>
        <v>0</v>
      </c>
      <c r="O133" s="311">
        <f>IFERROR(__xludf.DUMMYFUNCTION("""COMPUTED_VALUE"""),0.0)</f>
        <v>0</v>
      </c>
      <c r="P133" s="311">
        <f>IFERROR(__xludf.DUMMYFUNCTION("""COMPUTED_VALUE"""),0.0)</f>
        <v>0</v>
      </c>
      <c r="Q133" s="311">
        <f>IFERROR(__xludf.DUMMYFUNCTION("""COMPUTED_VALUE"""),0.0)</f>
        <v>0</v>
      </c>
      <c r="R133" s="311">
        <f>IFERROR(__xludf.DUMMYFUNCTION("""COMPUTED_VALUE"""),0.0)</f>
        <v>0</v>
      </c>
      <c r="S133" s="311">
        <f>IFERROR(__xludf.DUMMYFUNCTION("""COMPUTED_VALUE"""),0.0)</f>
        <v>0</v>
      </c>
      <c r="T133" s="311">
        <f>IFERROR(__xludf.DUMMYFUNCTION("""COMPUTED_VALUE"""),25.0)</f>
        <v>25</v>
      </c>
      <c r="U133" s="311">
        <f>IFERROR(__xludf.DUMMYFUNCTION("""COMPUTED_VALUE"""),0.0)</f>
        <v>0</v>
      </c>
      <c r="V133" s="311">
        <f>IFERROR(__xludf.DUMMYFUNCTION("""COMPUTED_VALUE"""),0.0)</f>
        <v>0</v>
      </c>
      <c r="W133" s="311">
        <f>IFERROR(__xludf.DUMMYFUNCTION("""COMPUTED_VALUE"""),0.0)</f>
        <v>0</v>
      </c>
      <c r="X133" s="311">
        <f>IFERROR(__xludf.DUMMYFUNCTION("""COMPUTED_VALUE"""),0.0)</f>
        <v>0</v>
      </c>
      <c r="Y133" s="311">
        <f>IFERROR(__xludf.DUMMYFUNCTION("""COMPUTED_VALUE"""),0.0)</f>
        <v>0</v>
      </c>
      <c r="Z133" s="311">
        <f>IFERROR(__xludf.DUMMYFUNCTION("""COMPUTED_VALUE"""),-25.0)</f>
        <v>-25</v>
      </c>
      <c r="AA133" s="311">
        <f>IFERROR(__xludf.DUMMYFUNCTION("""COMPUTED_VALUE"""),0.0)</f>
        <v>0</v>
      </c>
      <c r="AB133" s="311">
        <f>IFERROR(__xludf.DUMMYFUNCTION("""COMPUTED_VALUE"""),0.0)</f>
        <v>0</v>
      </c>
      <c r="AC133" s="311">
        <f>IFERROR(__xludf.DUMMYFUNCTION("""COMPUTED_VALUE"""),0.0)</f>
        <v>0</v>
      </c>
      <c r="AD133" s="311">
        <f>IFERROR(__xludf.DUMMYFUNCTION("""COMPUTED_VALUE"""),0.0)</f>
        <v>0</v>
      </c>
      <c r="AE133" s="311">
        <f>IFERROR(__xludf.DUMMYFUNCTION("""COMPUTED_VALUE"""),0.0)</f>
        <v>0</v>
      </c>
      <c r="AF133" s="311" t="str">
        <f>IFERROR(__xludf.DUMMYFUNCTION("""COMPUTED_VALUE"""),"")</f>
        <v/>
      </c>
      <c r="AG133" s="311">
        <f>IFERROR(__xludf.DUMMYFUNCTION("""COMPUTED_VALUE"""),0.0)</f>
        <v>0</v>
      </c>
      <c r="AH133" s="311">
        <f>IFERROR(__xludf.DUMMYFUNCTION("""COMPUTED_VALUE"""),0.0)</f>
        <v>0</v>
      </c>
      <c r="AI133" s="311">
        <f>IFERROR(__xludf.DUMMYFUNCTION("""COMPUTED_VALUE"""),0.0)</f>
        <v>0</v>
      </c>
      <c r="AJ133" s="311"/>
    </row>
    <row r="134" ht="22.5" customHeight="1">
      <c r="A134" s="310" t="str">
        <f>IFERROR(__xludf.DUMMYFUNCTION("""COMPUTED_VALUE"""),"")</f>
        <v/>
      </c>
      <c r="B134" s="310" t="str">
        <f>IFERROR(__xludf.DUMMYFUNCTION("""COMPUTED_VALUE"""),"")</f>
        <v/>
      </c>
      <c r="C134" s="310">
        <f>IFERROR(__xludf.DUMMYFUNCTION("""COMPUTED_VALUE"""),277.0)</f>
        <v>277</v>
      </c>
      <c r="D134" s="310" t="str">
        <f>IFERROR(__xludf.DUMMYFUNCTION("""COMPUTED_VALUE"""),"USF Parada Angelica")</f>
        <v>USF Parada Angelica</v>
      </c>
      <c r="E134" s="313" t="str">
        <f>IFERROR(__xludf.DUMMYFUNCTION("""COMPUTED_VALUE"""),"BAIXADA FLUMINENSE")</f>
        <v>BAIXADA FLUMINENSE</v>
      </c>
      <c r="F134" s="310" t="str">
        <f>IFERROR(__xludf.DUMMYFUNCTION("""COMPUTED_VALUE"""),"Duque de Caxias")</f>
        <v>Duque de Caxias</v>
      </c>
      <c r="G134" s="310" t="str">
        <f>IFERROR(__xludf.DUMMYFUNCTION("""COMPUTED_VALUE"""),"Parada Angelica")</f>
        <v>Parada Angelica</v>
      </c>
      <c r="H134" s="310" t="str">
        <f>IFERROR(__xludf.DUMMYFUNCTION("""COMPUTED_VALUE"""),"Unidade básica de saúde - BAIXA COMPLEXIDADE
")</f>
        <v>Unidade básica de saúde - BAIXA COMPLEXIDADE
</v>
      </c>
      <c r="I134" s="310" t="str">
        <f>IFERROR(__xludf.DUMMYFUNCTION("""COMPUTED_VALUE"""),"Público")</f>
        <v>Público</v>
      </c>
      <c r="J134" s="310" t="str">
        <f>IFERROR(__xludf.DUMMYFUNCTION("""COMPUTED_VALUE"""),"")</f>
        <v/>
      </c>
      <c r="K134" s="310" t="str">
        <f>IFERROR(__xludf.DUMMYFUNCTION("""COMPUTED_VALUE"""),"")</f>
        <v/>
      </c>
      <c r="L134" s="310" t="str">
        <f>IFERROR(__xludf.DUMMYFUNCTION("""COMPUTED_VALUE"""),"")</f>
        <v/>
      </c>
      <c r="M134" s="310" t="str">
        <f>IFERROR(__xludf.DUMMYFUNCTION("""COMPUTED_VALUE"""),"")</f>
        <v/>
      </c>
      <c r="N134" s="310">
        <f>IFERROR(__xludf.DUMMYFUNCTION("""COMPUTED_VALUE"""),0.0)</f>
        <v>0</v>
      </c>
      <c r="O134" s="310">
        <f>IFERROR(__xludf.DUMMYFUNCTION("""COMPUTED_VALUE"""),0.0)</f>
        <v>0</v>
      </c>
      <c r="P134" s="310">
        <f>IFERROR(__xludf.DUMMYFUNCTION("""COMPUTED_VALUE"""),0.0)</f>
        <v>0</v>
      </c>
      <c r="Q134" s="310">
        <f>IFERROR(__xludf.DUMMYFUNCTION("""COMPUTED_VALUE"""),0.0)</f>
        <v>0</v>
      </c>
      <c r="R134" s="310">
        <f>IFERROR(__xludf.DUMMYFUNCTION("""COMPUTED_VALUE"""),0.0)</f>
        <v>0</v>
      </c>
      <c r="S134" s="310">
        <f>IFERROR(__xludf.DUMMYFUNCTION("""COMPUTED_VALUE"""),0.0)</f>
        <v>0</v>
      </c>
      <c r="T134" s="310">
        <f>IFERROR(__xludf.DUMMYFUNCTION("""COMPUTED_VALUE"""),25.0)</f>
        <v>25</v>
      </c>
      <c r="U134" s="310">
        <f>IFERROR(__xludf.DUMMYFUNCTION("""COMPUTED_VALUE"""),0.0)</f>
        <v>0</v>
      </c>
      <c r="V134" s="310">
        <f>IFERROR(__xludf.DUMMYFUNCTION("""COMPUTED_VALUE"""),0.0)</f>
        <v>0</v>
      </c>
      <c r="W134" s="310">
        <f>IFERROR(__xludf.DUMMYFUNCTION("""COMPUTED_VALUE"""),0.0)</f>
        <v>0</v>
      </c>
      <c r="X134" s="310">
        <f>IFERROR(__xludf.DUMMYFUNCTION("""COMPUTED_VALUE"""),0.0)</f>
        <v>0</v>
      </c>
      <c r="Y134" s="310">
        <f>IFERROR(__xludf.DUMMYFUNCTION("""COMPUTED_VALUE"""),0.0)</f>
        <v>0</v>
      </c>
      <c r="Z134" s="310">
        <f>IFERROR(__xludf.DUMMYFUNCTION("""COMPUTED_VALUE"""),-25.0)</f>
        <v>-25</v>
      </c>
      <c r="AA134" s="310">
        <f>IFERROR(__xludf.DUMMYFUNCTION("""COMPUTED_VALUE"""),0.0)</f>
        <v>0</v>
      </c>
      <c r="AB134" s="310">
        <f>IFERROR(__xludf.DUMMYFUNCTION("""COMPUTED_VALUE"""),0.0)</f>
        <v>0</v>
      </c>
      <c r="AC134" s="310">
        <f>IFERROR(__xludf.DUMMYFUNCTION("""COMPUTED_VALUE"""),0.0)</f>
        <v>0</v>
      </c>
      <c r="AD134" s="310">
        <f>IFERROR(__xludf.DUMMYFUNCTION("""COMPUTED_VALUE"""),0.0)</f>
        <v>0</v>
      </c>
      <c r="AE134" s="310">
        <f>IFERROR(__xludf.DUMMYFUNCTION("""COMPUTED_VALUE"""),0.0)</f>
        <v>0</v>
      </c>
      <c r="AF134" s="310" t="str">
        <f>IFERROR(__xludf.DUMMYFUNCTION("""COMPUTED_VALUE"""),"")</f>
        <v/>
      </c>
      <c r="AG134" s="310">
        <f>IFERROR(__xludf.DUMMYFUNCTION("""COMPUTED_VALUE"""),0.0)</f>
        <v>0</v>
      </c>
      <c r="AH134" s="310">
        <f>IFERROR(__xludf.DUMMYFUNCTION("""COMPUTED_VALUE"""),0.0)</f>
        <v>0</v>
      </c>
      <c r="AI134" s="310">
        <f>IFERROR(__xludf.DUMMYFUNCTION("""COMPUTED_VALUE"""),0.0)</f>
        <v>0</v>
      </c>
      <c r="AJ134" s="310"/>
    </row>
    <row r="135" ht="22.5" customHeight="1">
      <c r="A135" s="311" t="str">
        <f>IFERROR(__xludf.DUMMYFUNCTION("""COMPUTED_VALUE"""),"")</f>
        <v/>
      </c>
      <c r="B135" s="311" t="str">
        <f>IFERROR(__xludf.DUMMYFUNCTION("""COMPUTED_VALUE"""),"")</f>
        <v/>
      </c>
      <c r="C135" s="311">
        <f>IFERROR(__xludf.DUMMYFUNCTION("""COMPUTED_VALUE"""),279.0)</f>
        <v>279</v>
      </c>
      <c r="D135" s="311" t="str">
        <f>IFERROR(__xludf.DUMMYFUNCTION("""COMPUTED_VALUE"""),"USF Parque Eldorado")</f>
        <v>USF Parque Eldorado</v>
      </c>
      <c r="E135" s="315" t="str">
        <f>IFERROR(__xludf.DUMMYFUNCTION("""COMPUTED_VALUE"""),"BAIXADA FLUMINENSE")</f>
        <v>BAIXADA FLUMINENSE</v>
      </c>
      <c r="F135" s="311" t="str">
        <f>IFERROR(__xludf.DUMMYFUNCTION("""COMPUTED_VALUE"""),"Duque de Caxias")</f>
        <v>Duque de Caxias</v>
      </c>
      <c r="G135" s="311" t="str">
        <f>IFERROR(__xludf.DUMMYFUNCTION("""COMPUTED_VALUE"""),"Parque Eldorado")</f>
        <v>Parque Eldorado</v>
      </c>
      <c r="H135" s="311" t="str">
        <f>IFERROR(__xludf.DUMMYFUNCTION("""COMPUTED_VALUE"""),"Unidade básica de saúde - BAIXA COMPLEXIDADE
")</f>
        <v>Unidade básica de saúde - BAIXA COMPLEXIDADE
</v>
      </c>
      <c r="I135" s="311" t="str">
        <f>IFERROR(__xludf.DUMMYFUNCTION("""COMPUTED_VALUE"""),"Público")</f>
        <v>Público</v>
      </c>
      <c r="J135" s="311" t="str">
        <f>IFERROR(__xludf.DUMMYFUNCTION("""COMPUTED_VALUE"""),"")</f>
        <v/>
      </c>
      <c r="K135" s="311" t="str">
        <f>IFERROR(__xludf.DUMMYFUNCTION("""COMPUTED_VALUE"""),"")</f>
        <v/>
      </c>
      <c r="L135" s="311" t="str">
        <f>IFERROR(__xludf.DUMMYFUNCTION("""COMPUTED_VALUE"""),"")</f>
        <v/>
      </c>
      <c r="M135" s="311" t="str">
        <f>IFERROR(__xludf.DUMMYFUNCTION("""COMPUTED_VALUE"""),"")</f>
        <v/>
      </c>
      <c r="N135" s="311">
        <f>IFERROR(__xludf.DUMMYFUNCTION("""COMPUTED_VALUE"""),0.0)</f>
        <v>0</v>
      </c>
      <c r="O135" s="311">
        <f>IFERROR(__xludf.DUMMYFUNCTION("""COMPUTED_VALUE"""),0.0)</f>
        <v>0</v>
      </c>
      <c r="P135" s="311">
        <f>IFERROR(__xludf.DUMMYFUNCTION("""COMPUTED_VALUE"""),0.0)</f>
        <v>0</v>
      </c>
      <c r="Q135" s="311">
        <f>IFERROR(__xludf.DUMMYFUNCTION("""COMPUTED_VALUE"""),0.0)</f>
        <v>0</v>
      </c>
      <c r="R135" s="311">
        <f>IFERROR(__xludf.DUMMYFUNCTION("""COMPUTED_VALUE"""),0.0)</f>
        <v>0</v>
      </c>
      <c r="S135" s="311">
        <f>IFERROR(__xludf.DUMMYFUNCTION("""COMPUTED_VALUE"""),0.0)</f>
        <v>0</v>
      </c>
      <c r="T135" s="311">
        <f>IFERROR(__xludf.DUMMYFUNCTION("""COMPUTED_VALUE"""),25.0)</f>
        <v>25</v>
      </c>
      <c r="U135" s="311">
        <f>IFERROR(__xludf.DUMMYFUNCTION("""COMPUTED_VALUE"""),0.0)</f>
        <v>0</v>
      </c>
      <c r="V135" s="311">
        <f>IFERROR(__xludf.DUMMYFUNCTION("""COMPUTED_VALUE"""),0.0)</f>
        <v>0</v>
      </c>
      <c r="W135" s="311">
        <f>IFERROR(__xludf.DUMMYFUNCTION("""COMPUTED_VALUE"""),0.0)</f>
        <v>0</v>
      </c>
      <c r="X135" s="311">
        <f>IFERROR(__xludf.DUMMYFUNCTION("""COMPUTED_VALUE"""),0.0)</f>
        <v>0</v>
      </c>
      <c r="Y135" s="311">
        <f>IFERROR(__xludf.DUMMYFUNCTION("""COMPUTED_VALUE"""),0.0)</f>
        <v>0</v>
      </c>
      <c r="Z135" s="311">
        <f>IFERROR(__xludf.DUMMYFUNCTION("""COMPUTED_VALUE"""),-25.0)</f>
        <v>-25</v>
      </c>
      <c r="AA135" s="311">
        <f>IFERROR(__xludf.DUMMYFUNCTION("""COMPUTED_VALUE"""),0.0)</f>
        <v>0</v>
      </c>
      <c r="AB135" s="311">
        <f>IFERROR(__xludf.DUMMYFUNCTION("""COMPUTED_VALUE"""),0.0)</f>
        <v>0</v>
      </c>
      <c r="AC135" s="311">
        <f>IFERROR(__xludf.DUMMYFUNCTION("""COMPUTED_VALUE"""),0.0)</f>
        <v>0</v>
      </c>
      <c r="AD135" s="311">
        <f>IFERROR(__xludf.DUMMYFUNCTION("""COMPUTED_VALUE"""),0.0)</f>
        <v>0</v>
      </c>
      <c r="AE135" s="311">
        <f>IFERROR(__xludf.DUMMYFUNCTION("""COMPUTED_VALUE"""),0.0)</f>
        <v>0</v>
      </c>
      <c r="AF135" s="311" t="str">
        <f>IFERROR(__xludf.DUMMYFUNCTION("""COMPUTED_VALUE"""),"")</f>
        <v/>
      </c>
      <c r="AG135" s="311">
        <f>IFERROR(__xludf.DUMMYFUNCTION("""COMPUTED_VALUE"""),0.0)</f>
        <v>0</v>
      </c>
      <c r="AH135" s="311">
        <f>IFERROR(__xludf.DUMMYFUNCTION("""COMPUTED_VALUE"""),0.0)</f>
        <v>0</v>
      </c>
      <c r="AI135" s="311">
        <f>IFERROR(__xludf.DUMMYFUNCTION("""COMPUTED_VALUE"""),0.0)</f>
        <v>0</v>
      </c>
      <c r="AJ135" s="311"/>
    </row>
    <row r="136" ht="22.5" customHeight="1">
      <c r="A136" s="310" t="str">
        <f>IFERROR(__xludf.DUMMYFUNCTION("""COMPUTED_VALUE"""),"")</f>
        <v/>
      </c>
      <c r="B136" s="310" t="str">
        <f>IFERROR(__xludf.DUMMYFUNCTION("""COMPUTED_VALUE"""),"")</f>
        <v/>
      </c>
      <c r="C136" s="310">
        <f>IFERROR(__xludf.DUMMYFUNCTION("""COMPUTED_VALUE"""),280.0)</f>
        <v>280</v>
      </c>
      <c r="D136" s="310" t="str">
        <f>IFERROR(__xludf.DUMMYFUNCTION("""COMPUTED_VALUE"""),"USF Centenario")</f>
        <v>USF Centenario</v>
      </c>
      <c r="E136" s="313" t="str">
        <f>IFERROR(__xludf.DUMMYFUNCTION("""COMPUTED_VALUE"""),"BAIXADA FLUMINENSE")</f>
        <v>BAIXADA FLUMINENSE</v>
      </c>
      <c r="F136" s="310" t="str">
        <f>IFERROR(__xludf.DUMMYFUNCTION("""COMPUTED_VALUE"""),"Duque de Caxias")</f>
        <v>Duque de Caxias</v>
      </c>
      <c r="G136" s="310" t="str">
        <f>IFERROR(__xludf.DUMMYFUNCTION("""COMPUTED_VALUE"""),"Centenario")</f>
        <v>Centenario</v>
      </c>
      <c r="H136" s="310" t="str">
        <f>IFERROR(__xludf.DUMMYFUNCTION("""COMPUTED_VALUE"""),"Unidade básica de saúde - BAIXA COMPLEXIDADE
")</f>
        <v>Unidade básica de saúde - BAIXA COMPLEXIDADE
</v>
      </c>
      <c r="I136" s="310" t="str">
        <f>IFERROR(__xludf.DUMMYFUNCTION("""COMPUTED_VALUE"""),"Público")</f>
        <v>Público</v>
      </c>
      <c r="J136" s="310" t="str">
        <f>IFERROR(__xludf.DUMMYFUNCTION("""COMPUTED_VALUE"""),"")</f>
        <v/>
      </c>
      <c r="K136" s="310" t="str">
        <f>IFERROR(__xludf.DUMMYFUNCTION("""COMPUTED_VALUE"""),"")</f>
        <v/>
      </c>
      <c r="L136" s="310" t="str">
        <f>IFERROR(__xludf.DUMMYFUNCTION("""COMPUTED_VALUE"""),"")</f>
        <v/>
      </c>
      <c r="M136" s="310" t="str">
        <f>IFERROR(__xludf.DUMMYFUNCTION("""COMPUTED_VALUE"""),"")</f>
        <v/>
      </c>
      <c r="N136" s="310">
        <f>IFERROR(__xludf.DUMMYFUNCTION("""COMPUTED_VALUE"""),0.0)</f>
        <v>0</v>
      </c>
      <c r="O136" s="310">
        <f>IFERROR(__xludf.DUMMYFUNCTION("""COMPUTED_VALUE"""),0.0)</f>
        <v>0</v>
      </c>
      <c r="P136" s="310">
        <f>IFERROR(__xludf.DUMMYFUNCTION("""COMPUTED_VALUE"""),0.0)</f>
        <v>0</v>
      </c>
      <c r="Q136" s="310">
        <f>IFERROR(__xludf.DUMMYFUNCTION("""COMPUTED_VALUE"""),0.0)</f>
        <v>0</v>
      </c>
      <c r="R136" s="310">
        <f>IFERROR(__xludf.DUMMYFUNCTION("""COMPUTED_VALUE"""),0.0)</f>
        <v>0</v>
      </c>
      <c r="S136" s="310">
        <f>IFERROR(__xludf.DUMMYFUNCTION("""COMPUTED_VALUE"""),0.0)</f>
        <v>0</v>
      </c>
      <c r="T136" s="310">
        <f>IFERROR(__xludf.DUMMYFUNCTION("""COMPUTED_VALUE"""),25.0)</f>
        <v>25</v>
      </c>
      <c r="U136" s="310">
        <f>IFERROR(__xludf.DUMMYFUNCTION("""COMPUTED_VALUE"""),0.0)</f>
        <v>0</v>
      </c>
      <c r="V136" s="310">
        <f>IFERROR(__xludf.DUMMYFUNCTION("""COMPUTED_VALUE"""),0.0)</f>
        <v>0</v>
      </c>
      <c r="W136" s="310">
        <f>IFERROR(__xludf.DUMMYFUNCTION("""COMPUTED_VALUE"""),0.0)</f>
        <v>0</v>
      </c>
      <c r="X136" s="310">
        <f>IFERROR(__xludf.DUMMYFUNCTION("""COMPUTED_VALUE"""),0.0)</f>
        <v>0</v>
      </c>
      <c r="Y136" s="310">
        <f>IFERROR(__xludf.DUMMYFUNCTION("""COMPUTED_VALUE"""),0.0)</f>
        <v>0</v>
      </c>
      <c r="Z136" s="310">
        <f>IFERROR(__xludf.DUMMYFUNCTION("""COMPUTED_VALUE"""),-25.0)</f>
        <v>-25</v>
      </c>
      <c r="AA136" s="310">
        <f>IFERROR(__xludf.DUMMYFUNCTION("""COMPUTED_VALUE"""),0.0)</f>
        <v>0</v>
      </c>
      <c r="AB136" s="310">
        <f>IFERROR(__xludf.DUMMYFUNCTION("""COMPUTED_VALUE"""),0.0)</f>
        <v>0</v>
      </c>
      <c r="AC136" s="310">
        <f>IFERROR(__xludf.DUMMYFUNCTION("""COMPUTED_VALUE"""),0.0)</f>
        <v>0</v>
      </c>
      <c r="AD136" s="310">
        <f>IFERROR(__xludf.DUMMYFUNCTION("""COMPUTED_VALUE"""),0.0)</f>
        <v>0</v>
      </c>
      <c r="AE136" s="310">
        <f>IFERROR(__xludf.DUMMYFUNCTION("""COMPUTED_VALUE"""),0.0)</f>
        <v>0</v>
      </c>
      <c r="AF136" s="310" t="str">
        <f>IFERROR(__xludf.DUMMYFUNCTION("""COMPUTED_VALUE"""),"")</f>
        <v/>
      </c>
      <c r="AG136" s="310">
        <f>IFERROR(__xludf.DUMMYFUNCTION("""COMPUTED_VALUE"""),0.0)</f>
        <v>0</v>
      </c>
      <c r="AH136" s="310">
        <f>IFERROR(__xludf.DUMMYFUNCTION("""COMPUTED_VALUE"""),0.0)</f>
        <v>0</v>
      </c>
      <c r="AI136" s="310">
        <f>IFERROR(__xludf.DUMMYFUNCTION("""COMPUTED_VALUE"""),0.0)</f>
        <v>0</v>
      </c>
      <c r="AJ136" s="310"/>
    </row>
    <row r="137" ht="22.5" customHeight="1">
      <c r="A137" s="311" t="str">
        <f>IFERROR(__xludf.DUMMYFUNCTION("""COMPUTED_VALUE"""),"")</f>
        <v/>
      </c>
      <c r="B137" s="311" t="str">
        <f>IFERROR(__xludf.DUMMYFUNCTION("""COMPUTED_VALUE"""),"")</f>
        <v/>
      </c>
      <c r="C137" s="311">
        <f>IFERROR(__xludf.DUMMYFUNCTION("""COMPUTED_VALUE"""),281.0)</f>
        <v>281</v>
      </c>
      <c r="D137" s="311" t="str">
        <f>IFERROR(__xludf.DUMMYFUNCTION("""COMPUTED_VALUE"""),"USF Parada Morabi")</f>
        <v>USF Parada Morabi</v>
      </c>
      <c r="E137" s="315" t="str">
        <f>IFERROR(__xludf.DUMMYFUNCTION("""COMPUTED_VALUE"""),"BAIXADA FLUMINENSE")</f>
        <v>BAIXADA FLUMINENSE</v>
      </c>
      <c r="F137" s="311" t="str">
        <f>IFERROR(__xludf.DUMMYFUNCTION("""COMPUTED_VALUE"""),"Duque de Caxias")</f>
        <v>Duque de Caxias</v>
      </c>
      <c r="G137" s="311" t="str">
        <f>IFERROR(__xludf.DUMMYFUNCTION("""COMPUTED_VALUE"""),"Parada Morabi")</f>
        <v>Parada Morabi</v>
      </c>
      <c r="H137" s="311" t="str">
        <f>IFERROR(__xludf.DUMMYFUNCTION("""COMPUTED_VALUE"""),"Unidade básica de saúde - BAIXA COMPLEXIDADE
")</f>
        <v>Unidade básica de saúde - BAIXA COMPLEXIDADE
</v>
      </c>
      <c r="I137" s="311" t="str">
        <f>IFERROR(__xludf.DUMMYFUNCTION("""COMPUTED_VALUE"""),"Público")</f>
        <v>Público</v>
      </c>
      <c r="J137" s="311" t="str">
        <f>IFERROR(__xludf.DUMMYFUNCTION("""COMPUTED_VALUE"""),"")</f>
        <v/>
      </c>
      <c r="K137" s="311" t="str">
        <f>IFERROR(__xludf.DUMMYFUNCTION("""COMPUTED_VALUE"""),"")</f>
        <v/>
      </c>
      <c r="L137" s="311" t="str">
        <f>IFERROR(__xludf.DUMMYFUNCTION("""COMPUTED_VALUE"""),"")</f>
        <v/>
      </c>
      <c r="M137" s="311" t="str">
        <f>IFERROR(__xludf.DUMMYFUNCTION("""COMPUTED_VALUE"""),"")</f>
        <v/>
      </c>
      <c r="N137" s="311">
        <f>IFERROR(__xludf.DUMMYFUNCTION("""COMPUTED_VALUE"""),0.0)</f>
        <v>0</v>
      </c>
      <c r="O137" s="311">
        <f>IFERROR(__xludf.DUMMYFUNCTION("""COMPUTED_VALUE"""),0.0)</f>
        <v>0</v>
      </c>
      <c r="P137" s="311">
        <f>IFERROR(__xludf.DUMMYFUNCTION("""COMPUTED_VALUE"""),0.0)</f>
        <v>0</v>
      </c>
      <c r="Q137" s="311">
        <f>IFERROR(__xludf.DUMMYFUNCTION("""COMPUTED_VALUE"""),0.0)</f>
        <v>0</v>
      </c>
      <c r="R137" s="311">
        <f>IFERROR(__xludf.DUMMYFUNCTION("""COMPUTED_VALUE"""),0.0)</f>
        <v>0</v>
      </c>
      <c r="S137" s="311">
        <f>IFERROR(__xludf.DUMMYFUNCTION("""COMPUTED_VALUE"""),0.0)</f>
        <v>0</v>
      </c>
      <c r="T137" s="311">
        <f>IFERROR(__xludf.DUMMYFUNCTION("""COMPUTED_VALUE"""),25.0)</f>
        <v>25</v>
      </c>
      <c r="U137" s="311">
        <f>IFERROR(__xludf.DUMMYFUNCTION("""COMPUTED_VALUE"""),0.0)</f>
        <v>0</v>
      </c>
      <c r="V137" s="311">
        <f>IFERROR(__xludf.DUMMYFUNCTION("""COMPUTED_VALUE"""),0.0)</f>
        <v>0</v>
      </c>
      <c r="W137" s="311">
        <f>IFERROR(__xludf.DUMMYFUNCTION("""COMPUTED_VALUE"""),0.0)</f>
        <v>0</v>
      </c>
      <c r="X137" s="311">
        <f>IFERROR(__xludf.DUMMYFUNCTION("""COMPUTED_VALUE"""),0.0)</f>
        <v>0</v>
      </c>
      <c r="Y137" s="311">
        <f>IFERROR(__xludf.DUMMYFUNCTION("""COMPUTED_VALUE"""),0.0)</f>
        <v>0</v>
      </c>
      <c r="Z137" s="311">
        <f>IFERROR(__xludf.DUMMYFUNCTION("""COMPUTED_VALUE"""),-25.0)</f>
        <v>-25</v>
      </c>
      <c r="AA137" s="311">
        <f>IFERROR(__xludf.DUMMYFUNCTION("""COMPUTED_VALUE"""),0.0)</f>
        <v>0</v>
      </c>
      <c r="AB137" s="311">
        <f>IFERROR(__xludf.DUMMYFUNCTION("""COMPUTED_VALUE"""),0.0)</f>
        <v>0</v>
      </c>
      <c r="AC137" s="311">
        <f>IFERROR(__xludf.DUMMYFUNCTION("""COMPUTED_VALUE"""),0.0)</f>
        <v>0</v>
      </c>
      <c r="AD137" s="311">
        <f>IFERROR(__xludf.DUMMYFUNCTION("""COMPUTED_VALUE"""),0.0)</f>
        <v>0</v>
      </c>
      <c r="AE137" s="311">
        <f>IFERROR(__xludf.DUMMYFUNCTION("""COMPUTED_VALUE"""),0.0)</f>
        <v>0</v>
      </c>
      <c r="AF137" s="311" t="str">
        <f>IFERROR(__xludf.DUMMYFUNCTION("""COMPUTED_VALUE"""),"")</f>
        <v/>
      </c>
      <c r="AG137" s="311">
        <f>IFERROR(__xludf.DUMMYFUNCTION("""COMPUTED_VALUE"""),0.0)</f>
        <v>0</v>
      </c>
      <c r="AH137" s="311">
        <f>IFERROR(__xludf.DUMMYFUNCTION("""COMPUTED_VALUE"""),0.0)</f>
        <v>0</v>
      </c>
      <c r="AI137" s="311">
        <f>IFERROR(__xludf.DUMMYFUNCTION("""COMPUTED_VALUE"""),0.0)</f>
        <v>0</v>
      </c>
      <c r="AJ137" s="311"/>
    </row>
    <row r="138" ht="22.5" customHeight="1">
      <c r="A138" s="310" t="str">
        <f>IFERROR(__xludf.DUMMYFUNCTION("""COMPUTED_VALUE"""),"")</f>
        <v/>
      </c>
      <c r="B138" s="310" t="str">
        <f>IFERROR(__xludf.DUMMYFUNCTION("""COMPUTED_VALUE"""),"")</f>
        <v/>
      </c>
      <c r="C138" s="310">
        <f>IFERROR(__xludf.DUMMYFUNCTION("""COMPUTED_VALUE"""),284.0)</f>
        <v>284</v>
      </c>
      <c r="D138" s="310" t="str">
        <f>IFERROR(__xludf.DUMMYFUNCTION("""COMPUTED_VALUE"""),"CF MARIA DE AZEVEDO RODRIGUES PEREIRA")</f>
        <v>CF MARIA DE AZEVEDO RODRIGUES PEREIRA</v>
      </c>
      <c r="E138" s="313" t="str">
        <f>IFERROR(__xludf.DUMMYFUNCTION("""COMPUTED_VALUE"""),"REGIAO METROPOLITANA")</f>
        <v>REGIAO METROPOLITANA</v>
      </c>
      <c r="F138" s="310" t="str">
        <f>IFERROR(__xludf.DUMMYFUNCTION("""COMPUTED_VALUE"""),"Rio de Janeiro")</f>
        <v>Rio de Janeiro</v>
      </c>
      <c r="G138" s="310" t="str">
        <f>IFERROR(__xludf.DUMMYFUNCTION("""COMPUTED_VALUE"""),"Anchieta")</f>
        <v>Anchieta</v>
      </c>
      <c r="H138" s="310" t="str">
        <f>IFERROR(__xludf.DUMMYFUNCTION("""COMPUTED_VALUE"""),"Unidade básica de saúde - BAIXA COMPLEXIDADE
")</f>
        <v>Unidade básica de saúde - BAIXA COMPLEXIDADE
</v>
      </c>
      <c r="I138" s="310" t="str">
        <f>IFERROR(__xludf.DUMMYFUNCTION("""COMPUTED_VALUE"""),"Público")</f>
        <v>Público</v>
      </c>
      <c r="J138" s="310" t="str">
        <f>IFERROR(__xludf.DUMMYFUNCTION("""COMPUTED_VALUE"""),"")</f>
        <v/>
      </c>
      <c r="K138" s="310" t="str">
        <f>IFERROR(__xludf.DUMMYFUNCTION("""COMPUTED_VALUE"""),"")</f>
        <v/>
      </c>
      <c r="L138" s="310" t="str">
        <f>IFERROR(__xludf.DUMMYFUNCTION("""COMPUTED_VALUE"""),"")</f>
        <v/>
      </c>
      <c r="M138" s="310" t="str">
        <f>IFERROR(__xludf.DUMMYFUNCTION("""COMPUTED_VALUE"""),"")</f>
        <v/>
      </c>
      <c r="N138" s="310">
        <f>IFERROR(__xludf.DUMMYFUNCTION("""COMPUTED_VALUE"""),0.0)</f>
        <v>0</v>
      </c>
      <c r="O138" s="310">
        <f>IFERROR(__xludf.DUMMYFUNCTION("""COMPUTED_VALUE"""),0.0)</f>
        <v>0</v>
      </c>
      <c r="P138" s="310">
        <f>IFERROR(__xludf.DUMMYFUNCTION("""COMPUTED_VALUE"""),0.0)</f>
        <v>0</v>
      </c>
      <c r="Q138" s="310">
        <f>IFERROR(__xludf.DUMMYFUNCTION("""COMPUTED_VALUE"""),0.0)</f>
        <v>0</v>
      </c>
      <c r="R138" s="310">
        <f>IFERROR(__xludf.DUMMYFUNCTION("""COMPUTED_VALUE"""),0.0)</f>
        <v>0</v>
      </c>
      <c r="S138" s="310">
        <f>IFERROR(__xludf.DUMMYFUNCTION("""COMPUTED_VALUE"""),0.0)</f>
        <v>0</v>
      </c>
      <c r="T138" s="310">
        <f>IFERROR(__xludf.DUMMYFUNCTION("""COMPUTED_VALUE"""),25.0)</f>
        <v>25</v>
      </c>
      <c r="U138" s="310">
        <f>IFERROR(__xludf.DUMMYFUNCTION("""COMPUTED_VALUE"""),0.0)</f>
        <v>0</v>
      </c>
      <c r="V138" s="310">
        <f>IFERROR(__xludf.DUMMYFUNCTION("""COMPUTED_VALUE"""),0.0)</f>
        <v>0</v>
      </c>
      <c r="W138" s="310">
        <f>IFERROR(__xludf.DUMMYFUNCTION("""COMPUTED_VALUE"""),0.0)</f>
        <v>0</v>
      </c>
      <c r="X138" s="310">
        <f>IFERROR(__xludf.DUMMYFUNCTION("""COMPUTED_VALUE"""),0.0)</f>
        <v>0</v>
      </c>
      <c r="Y138" s="310">
        <f>IFERROR(__xludf.DUMMYFUNCTION("""COMPUTED_VALUE"""),6.0)</f>
        <v>6</v>
      </c>
      <c r="Z138" s="310">
        <f>IFERROR(__xludf.DUMMYFUNCTION("""COMPUTED_VALUE"""),-25.0)</f>
        <v>-25</v>
      </c>
      <c r="AA138" s="310">
        <f>IFERROR(__xludf.DUMMYFUNCTION("""COMPUTED_VALUE"""),0.0)</f>
        <v>0</v>
      </c>
      <c r="AB138" s="310">
        <f>IFERROR(__xludf.DUMMYFUNCTION("""COMPUTED_VALUE"""),0.0)</f>
        <v>0</v>
      </c>
      <c r="AC138" s="310">
        <f>IFERROR(__xludf.DUMMYFUNCTION("""COMPUTED_VALUE"""),0.0)</f>
        <v>0</v>
      </c>
      <c r="AD138" s="310">
        <f>IFERROR(__xludf.DUMMYFUNCTION("""COMPUTED_VALUE"""),-6.0)</f>
        <v>-6</v>
      </c>
      <c r="AE138" s="310">
        <f>IFERROR(__xludf.DUMMYFUNCTION("""COMPUTED_VALUE"""),0.0)</f>
        <v>0</v>
      </c>
      <c r="AF138" s="310" t="str">
        <f>IFERROR(__xludf.DUMMYFUNCTION("""COMPUTED_VALUE"""),"")</f>
        <v/>
      </c>
      <c r="AG138" s="310">
        <f>IFERROR(__xludf.DUMMYFUNCTION("""COMPUTED_VALUE"""),0.0)</f>
        <v>0</v>
      </c>
      <c r="AH138" s="310">
        <f>IFERROR(__xludf.DUMMYFUNCTION("""COMPUTED_VALUE"""),0.0)</f>
        <v>0</v>
      </c>
      <c r="AI138" s="310">
        <f>IFERROR(__xludf.DUMMYFUNCTION("""COMPUTED_VALUE"""),0.0)</f>
        <v>0</v>
      </c>
      <c r="AJ138" s="310"/>
    </row>
    <row r="139" ht="22.5" customHeight="1">
      <c r="A139" s="311" t="str">
        <f>IFERROR(__xludf.DUMMYFUNCTION("""COMPUTED_VALUE"""),"")</f>
        <v/>
      </c>
      <c r="B139" s="311" t="str">
        <f>IFERROR(__xludf.DUMMYFUNCTION("""COMPUTED_VALUE"""),"")</f>
        <v/>
      </c>
      <c r="C139" s="311">
        <f>IFERROR(__xludf.DUMMYFUNCTION("""COMPUTED_VALUE"""),290.0)</f>
        <v>290</v>
      </c>
      <c r="D139" s="311" t="str">
        <f>IFERROR(__xludf.DUMMYFUNCTION("""COMPUTED_VALUE"""),"CMS PROF. SAVIO ANTUNES")</f>
        <v>CMS PROF. SAVIO ANTUNES</v>
      </c>
      <c r="E139" s="315" t="str">
        <f>IFERROR(__xludf.DUMMYFUNCTION("""COMPUTED_VALUE"""),"ZONA OESTE")</f>
        <v>ZONA OESTE</v>
      </c>
      <c r="F139" s="311" t="str">
        <f>IFERROR(__xludf.DUMMYFUNCTION("""COMPUTED_VALUE"""),"RIO DE JANEIRO")</f>
        <v>RIO DE JANEIRO</v>
      </c>
      <c r="G139" s="311" t="str">
        <f>IFERROR(__xludf.DUMMYFUNCTION("""COMPUTED_VALUE"""),"SANTA CRUZ (ANTARES)")</f>
        <v>SANTA CRUZ (ANTARES)</v>
      </c>
      <c r="H139" s="311" t="str">
        <f>IFERROR(__xludf.DUMMYFUNCTION("""COMPUTED_VALUE"""),"Unidade básica de saúde - BAIXA COMPLEXIDADE
")</f>
        <v>Unidade básica de saúde - BAIXA COMPLEXIDADE
</v>
      </c>
      <c r="I139" s="311" t="str">
        <f>IFERROR(__xludf.DUMMYFUNCTION("""COMPUTED_VALUE"""),"Público")</f>
        <v>Público</v>
      </c>
      <c r="J139" s="311" t="str">
        <f>IFERROR(__xludf.DUMMYFUNCTION("""COMPUTED_VALUE"""),"")</f>
        <v/>
      </c>
      <c r="K139" s="311" t="str">
        <f>IFERROR(__xludf.DUMMYFUNCTION("""COMPUTED_VALUE"""),"")</f>
        <v/>
      </c>
      <c r="L139" s="311" t="str">
        <f>IFERROR(__xludf.DUMMYFUNCTION("""COMPUTED_VALUE"""),"")</f>
        <v/>
      </c>
      <c r="M139" s="311" t="str">
        <f>IFERROR(__xludf.DUMMYFUNCTION("""COMPUTED_VALUE"""),"")</f>
        <v/>
      </c>
      <c r="N139" s="311">
        <f>IFERROR(__xludf.DUMMYFUNCTION("""COMPUTED_VALUE"""),0.0)</f>
        <v>0</v>
      </c>
      <c r="O139" s="311">
        <f>IFERROR(__xludf.DUMMYFUNCTION("""COMPUTED_VALUE"""),0.0)</f>
        <v>0</v>
      </c>
      <c r="P139" s="311">
        <f>IFERROR(__xludf.DUMMYFUNCTION("""COMPUTED_VALUE"""),0.0)</f>
        <v>0</v>
      </c>
      <c r="Q139" s="311">
        <f>IFERROR(__xludf.DUMMYFUNCTION("""COMPUTED_VALUE"""),0.0)</f>
        <v>0</v>
      </c>
      <c r="R139" s="311">
        <f>IFERROR(__xludf.DUMMYFUNCTION("""COMPUTED_VALUE"""),0.0)</f>
        <v>0</v>
      </c>
      <c r="S139" s="311">
        <f>IFERROR(__xludf.DUMMYFUNCTION("""COMPUTED_VALUE"""),0.0)</f>
        <v>0</v>
      </c>
      <c r="T139" s="311">
        <f>IFERROR(__xludf.DUMMYFUNCTION("""COMPUTED_VALUE"""),50.0)</f>
        <v>50</v>
      </c>
      <c r="U139" s="311">
        <f>IFERROR(__xludf.DUMMYFUNCTION("""COMPUTED_VALUE"""),0.0)</f>
        <v>0</v>
      </c>
      <c r="V139" s="311">
        <f>IFERROR(__xludf.DUMMYFUNCTION("""COMPUTED_VALUE"""),0.0)</f>
        <v>0</v>
      </c>
      <c r="W139" s="311">
        <f>IFERROR(__xludf.DUMMYFUNCTION("""COMPUTED_VALUE"""),25.0)</f>
        <v>25</v>
      </c>
      <c r="X139" s="311">
        <f>IFERROR(__xludf.DUMMYFUNCTION("""COMPUTED_VALUE"""),0.0)</f>
        <v>0</v>
      </c>
      <c r="Y139" s="311">
        <f>IFERROR(__xludf.DUMMYFUNCTION("""COMPUTED_VALUE"""),0.0)</f>
        <v>0</v>
      </c>
      <c r="Z139" s="311">
        <f>IFERROR(__xludf.DUMMYFUNCTION("""COMPUTED_VALUE"""),-50.0)</f>
        <v>-50</v>
      </c>
      <c r="AA139" s="311">
        <f>IFERROR(__xludf.DUMMYFUNCTION("""COMPUTED_VALUE"""),0.0)</f>
        <v>0</v>
      </c>
      <c r="AB139" s="311">
        <f>IFERROR(__xludf.DUMMYFUNCTION("""COMPUTED_VALUE"""),0.0)</f>
        <v>0</v>
      </c>
      <c r="AC139" s="311">
        <f>IFERROR(__xludf.DUMMYFUNCTION("""COMPUTED_VALUE"""),-25.0)</f>
        <v>-25</v>
      </c>
      <c r="AD139" s="311">
        <f>IFERROR(__xludf.DUMMYFUNCTION("""COMPUTED_VALUE"""),0.0)</f>
        <v>0</v>
      </c>
      <c r="AE139" s="311">
        <f>IFERROR(__xludf.DUMMYFUNCTION("""COMPUTED_VALUE"""),0.0)</f>
        <v>0</v>
      </c>
      <c r="AF139" s="311" t="str">
        <f>IFERROR(__xludf.DUMMYFUNCTION("""COMPUTED_VALUE"""),"")</f>
        <v/>
      </c>
      <c r="AG139" s="311">
        <f>IFERROR(__xludf.DUMMYFUNCTION("""COMPUTED_VALUE"""),0.0)</f>
        <v>0</v>
      </c>
      <c r="AH139" s="311">
        <f>IFERROR(__xludf.DUMMYFUNCTION("""COMPUTED_VALUE"""),0.0)</f>
        <v>0</v>
      </c>
      <c r="AI139" s="311">
        <f>IFERROR(__xludf.DUMMYFUNCTION("""COMPUTED_VALUE"""),0.0)</f>
        <v>0</v>
      </c>
      <c r="AJ139" s="311"/>
    </row>
    <row r="140" ht="22.5" customHeight="1">
      <c r="A140" s="310" t="str">
        <f>IFERROR(__xludf.DUMMYFUNCTION("""COMPUTED_VALUE"""),"")</f>
        <v/>
      </c>
      <c r="B140" s="310" t="str">
        <f>IFERROR(__xludf.DUMMYFUNCTION("""COMPUTED_VALUE"""),"")</f>
        <v/>
      </c>
      <c r="C140" s="310">
        <f>IFERROR(__xludf.DUMMYFUNCTION("""COMPUTED_VALUE"""),291.0)</f>
        <v>291</v>
      </c>
      <c r="D140" s="310" t="str">
        <f>IFERROR(__xludf.DUMMYFUNCTION("""COMPUTED_VALUE"""),"Clinica da Família Pastor Rosalvo Dantas")</f>
        <v>Clinica da Família Pastor Rosalvo Dantas</v>
      </c>
      <c r="E140" s="313" t="str">
        <f>IFERROR(__xludf.DUMMYFUNCTION("""COMPUTED_VALUE"""),"BAIXADA FLUMINENSE")</f>
        <v>BAIXADA FLUMINENSE</v>
      </c>
      <c r="F140" s="310" t="str">
        <f>IFERROR(__xludf.DUMMYFUNCTION("""COMPUTED_VALUE"""),"Queimados")</f>
        <v>Queimados</v>
      </c>
      <c r="G140" s="310" t="str">
        <f>IFERROR(__xludf.DUMMYFUNCTION("""COMPUTED_VALUE"""),"Valdariosa")</f>
        <v>Valdariosa</v>
      </c>
      <c r="H140" s="310" t="str">
        <f>IFERROR(__xludf.DUMMYFUNCTION("""COMPUTED_VALUE"""),"Unidade básica de saúde - BAIXA COMPLEXIDADE
")</f>
        <v>Unidade básica de saúde - BAIXA COMPLEXIDADE
</v>
      </c>
      <c r="I140" s="310" t="str">
        <f>IFERROR(__xludf.DUMMYFUNCTION("""COMPUTED_VALUE"""),"Público")</f>
        <v>Público</v>
      </c>
      <c r="J140" s="310" t="str">
        <f>IFERROR(__xludf.DUMMYFUNCTION("""COMPUTED_VALUE"""),"")</f>
        <v/>
      </c>
      <c r="K140" s="310" t="str">
        <f>IFERROR(__xludf.DUMMYFUNCTION("""COMPUTED_VALUE"""),"")</f>
        <v/>
      </c>
      <c r="L140" s="310" t="str">
        <f>IFERROR(__xludf.DUMMYFUNCTION("""COMPUTED_VALUE"""),"")</f>
        <v/>
      </c>
      <c r="M140" s="310" t="str">
        <f>IFERROR(__xludf.DUMMYFUNCTION("""COMPUTED_VALUE"""),"")</f>
        <v/>
      </c>
      <c r="N140" s="310">
        <f>IFERROR(__xludf.DUMMYFUNCTION("""COMPUTED_VALUE"""),0.0)</f>
        <v>0</v>
      </c>
      <c r="O140" s="310">
        <f>IFERROR(__xludf.DUMMYFUNCTION("""COMPUTED_VALUE"""),0.0)</f>
        <v>0</v>
      </c>
      <c r="P140" s="310">
        <f>IFERROR(__xludf.DUMMYFUNCTION("""COMPUTED_VALUE"""),0.0)</f>
        <v>0</v>
      </c>
      <c r="Q140" s="310">
        <f>IFERROR(__xludf.DUMMYFUNCTION("""COMPUTED_VALUE"""),0.0)</f>
        <v>0</v>
      </c>
      <c r="R140" s="310">
        <f>IFERROR(__xludf.DUMMYFUNCTION("""COMPUTED_VALUE"""),0.0)</f>
        <v>0</v>
      </c>
      <c r="S140" s="310">
        <f>IFERROR(__xludf.DUMMYFUNCTION("""COMPUTED_VALUE"""),0.0)</f>
        <v>0</v>
      </c>
      <c r="T140" s="310">
        <f>IFERROR(__xludf.DUMMYFUNCTION("""COMPUTED_VALUE"""),25.0)</f>
        <v>25</v>
      </c>
      <c r="U140" s="310">
        <f>IFERROR(__xludf.DUMMYFUNCTION("""COMPUTED_VALUE"""),0.0)</f>
        <v>0</v>
      </c>
      <c r="V140" s="310">
        <f>IFERROR(__xludf.DUMMYFUNCTION("""COMPUTED_VALUE"""),0.0)</f>
        <v>0</v>
      </c>
      <c r="W140" s="310">
        <f>IFERROR(__xludf.DUMMYFUNCTION("""COMPUTED_VALUE"""),0.0)</f>
        <v>0</v>
      </c>
      <c r="X140" s="310">
        <f>IFERROR(__xludf.DUMMYFUNCTION("""COMPUTED_VALUE"""),0.0)</f>
        <v>0</v>
      </c>
      <c r="Y140" s="310">
        <f>IFERROR(__xludf.DUMMYFUNCTION("""COMPUTED_VALUE"""),6.0)</f>
        <v>6</v>
      </c>
      <c r="Z140" s="310">
        <f>IFERROR(__xludf.DUMMYFUNCTION("""COMPUTED_VALUE"""),-25.0)</f>
        <v>-25</v>
      </c>
      <c r="AA140" s="310">
        <f>IFERROR(__xludf.DUMMYFUNCTION("""COMPUTED_VALUE"""),0.0)</f>
        <v>0</v>
      </c>
      <c r="AB140" s="310">
        <f>IFERROR(__xludf.DUMMYFUNCTION("""COMPUTED_VALUE"""),0.0)</f>
        <v>0</v>
      </c>
      <c r="AC140" s="310">
        <f>IFERROR(__xludf.DUMMYFUNCTION("""COMPUTED_VALUE"""),0.0)</f>
        <v>0</v>
      </c>
      <c r="AD140" s="310">
        <f>IFERROR(__xludf.DUMMYFUNCTION("""COMPUTED_VALUE"""),-6.0)</f>
        <v>-6</v>
      </c>
      <c r="AE140" s="310">
        <f>IFERROR(__xludf.DUMMYFUNCTION("""COMPUTED_VALUE"""),0.0)</f>
        <v>0</v>
      </c>
      <c r="AF140" s="310" t="str">
        <f>IFERROR(__xludf.DUMMYFUNCTION("""COMPUTED_VALUE"""),"")</f>
        <v/>
      </c>
      <c r="AG140" s="310">
        <f>IFERROR(__xludf.DUMMYFUNCTION("""COMPUTED_VALUE"""),0.0)</f>
        <v>0</v>
      </c>
      <c r="AH140" s="310">
        <f>IFERROR(__xludf.DUMMYFUNCTION("""COMPUTED_VALUE"""),0.0)</f>
        <v>0</v>
      </c>
      <c r="AI140" s="310">
        <f>IFERROR(__xludf.DUMMYFUNCTION("""COMPUTED_VALUE"""),0.0)</f>
        <v>0</v>
      </c>
      <c r="AJ140" s="310"/>
    </row>
    <row r="141" ht="22.5" customHeight="1">
      <c r="A141" s="311" t="str">
        <f>IFERROR(__xludf.DUMMYFUNCTION("""COMPUTED_VALUE"""),"")</f>
        <v/>
      </c>
      <c r="B141" s="311" t="str">
        <f>IFERROR(__xludf.DUMMYFUNCTION("""COMPUTED_VALUE"""),"")</f>
        <v/>
      </c>
      <c r="C141" s="311">
        <f>IFERROR(__xludf.DUMMYFUNCTION("""COMPUTED_VALUE"""),292.0)</f>
        <v>292</v>
      </c>
      <c r="D141" s="311" t="str">
        <f>IFERROR(__xludf.DUMMYFUNCTION("""COMPUTED_VALUE"""),"DEGASE")</f>
        <v>DEGASE</v>
      </c>
      <c r="E141" s="315" t="str">
        <f>IFERROR(__xludf.DUMMYFUNCTION("""COMPUTED_VALUE"""),"ZONA NORTE")</f>
        <v>ZONA NORTE</v>
      </c>
      <c r="F141" s="311" t="str">
        <f>IFERROR(__xludf.DUMMYFUNCTION("""COMPUTED_VALUE"""),"Rio de Janeiro")</f>
        <v>Rio de Janeiro</v>
      </c>
      <c r="G141" s="311" t="str">
        <f>IFERROR(__xludf.DUMMYFUNCTION("""COMPUTED_VALUE"""),"Galeao")</f>
        <v>Galeao</v>
      </c>
      <c r="H141" s="311" t="str">
        <f>IFERROR(__xludf.DUMMYFUNCTION("""COMPUTED_VALUE"""),"Departamento Geral de Ações Socioeducativas
")</f>
        <v>Departamento Geral de Ações Socioeducativas
</v>
      </c>
      <c r="I141" s="311" t="str">
        <f>IFERROR(__xludf.DUMMYFUNCTION("""COMPUTED_VALUE"""),"Público")</f>
        <v>Público</v>
      </c>
      <c r="J141" s="311" t="str">
        <f>IFERROR(__xludf.DUMMYFUNCTION("""COMPUTED_VALUE"""),"")</f>
        <v/>
      </c>
      <c r="K141" s="311" t="str">
        <f>IFERROR(__xludf.DUMMYFUNCTION("""COMPUTED_VALUE"""),"")</f>
        <v/>
      </c>
      <c r="L141" s="311" t="str">
        <f>IFERROR(__xludf.DUMMYFUNCTION("""COMPUTED_VALUE"""),"")</f>
        <v/>
      </c>
      <c r="M141" s="311" t="str">
        <f>IFERROR(__xludf.DUMMYFUNCTION("""COMPUTED_VALUE"""),"")</f>
        <v/>
      </c>
      <c r="N141" s="311">
        <f>IFERROR(__xludf.DUMMYFUNCTION("""COMPUTED_VALUE"""),0.0)</f>
        <v>0</v>
      </c>
      <c r="O141" s="311">
        <f>IFERROR(__xludf.DUMMYFUNCTION("""COMPUTED_VALUE"""),0.0)</f>
        <v>0</v>
      </c>
      <c r="P141" s="311">
        <f>IFERROR(__xludf.DUMMYFUNCTION("""COMPUTED_VALUE"""),0.0)</f>
        <v>0</v>
      </c>
      <c r="Q141" s="311">
        <f>IFERROR(__xludf.DUMMYFUNCTION("""COMPUTED_VALUE"""),0.0)</f>
        <v>0</v>
      </c>
      <c r="R141" s="311">
        <f>IFERROR(__xludf.DUMMYFUNCTION("""COMPUTED_VALUE"""),0.0)</f>
        <v>0</v>
      </c>
      <c r="S141" s="311">
        <f>IFERROR(__xludf.DUMMYFUNCTION("""COMPUTED_VALUE"""),0.0)</f>
        <v>0</v>
      </c>
      <c r="T141" s="311">
        <f>IFERROR(__xludf.DUMMYFUNCTION("""COMPUTED_VALUE"""),50.0)</f>
        <v>50</v>
      </c>
      <c r="U141" s="311">
        <f>IFERROR(__xludf.DUMMYFUNCTION("""COMPUTED_VALUE"""),0.0)</f>
        <v>0</v>
      </c>
      <c r="V141" s="311">
        <f>IFERROR(__xludf.DUMMYFUNCTION("""COMPUTED_VALUE"""),0.0)</f>
        <v>0</v>
      </c>
      <c r="W141" s="311">
        <f>IFERROR(__xludf.DUMMYFUNCTION("""COMPUTED_VALUE"""),0.0)</f>
        <v>0</v>
      </c>
      <c r="X141" s="311">
        <f>IFERROR(__xludf.DUMMYFUNCTION("""COMPUTED_VALUE"""),0.0)</f>
        <v>0</v>
      </c>
      <c r="Y141" s="311">
        <f>IFERROR(__xludf.DUMMYFUNCTION("""COMPUTED_VALUE"""),20.0)</f>
        <v>20</v>
      </c>
      <c r="Z141" s="311">
        <f>IFERROR(__xludf.DUMMYFUNCTION("""COMPUTED_VALUE"""),-50.0)</f>
        <v>-50</v>
      </c>
      <c r="AA141" s="311">
        <f>IFERROR(__xludf.DUMMYFUNCTION("""COMPUTED_VALUE"""),0.0)</f>
        <v>0</v>
      </c>
      <c r="AB141" s="311">
        <f>IFERROR(__xludf.DUMMYFUNCTION("""COMPUTED_VALUE"""),0.0)</f>
        <v>0</v>
      </c>
      <c r="AC141" s="311">
        <f>IFERROR(__xludf.DUMMYFUNCTION("""COMPUTED_VALUE"""),0.0)</f>
        <v>0</v>
      </c>
      <c r="AD141" s="311">
        <f>IFERROR(__xludf.DUMMYFUNCTION("""COMPUTED_VALUE"""),-20.0)</f>
        <v>-20</v>
      </c>
      <c r="AE141" s="311">
        <f>IFERROR(__xludf.DUMMYFUNCTION("""COMPUTED_VALUE"""),0.0)</f>
        <v>0</v>
      </c>
      <c r="AF141" s="311" t="str">
        <f>IFERROR(__xludf.DUMMYFUNCTION("""COMPUTED_VALUE"""),"")</f>
        <v/>
      </c>
      <c r="AG141" s="311">
        <f>IFERROR(__xludf.DUMMYFUNCTION("""COMPUTED_VALUE"""),0.0)</f>
        <v>0</v>
      </c>
      <c r="AH141" s="311">
        <f>IFERROR(__xludf.DUMMYFUNCTION("""COMPUTED_VALUE"""),0.0)</f>
        <v>0</v>
      </c>
      <c r="AI141" s="311">
        <f>IFERROR(__xludf.DUMMYFUNCTION("""COMPUTED_VALUE"""),0.0)</f>
        <v>0</v>
      </c>
      <c r="AJ141" s="311"/>
    </row>
    <row r="142" ht="22.5" customHeight="1">
      <c r="A142" s="310" t="str">
        <f>IFERROR(__xludf.DUMMYFUNCTION("""COMPUTED_VALUE"""),"")</f>
        <v/>
      </c>
      <c r="B142" s="310" t="str">
        <f>IFERROR(__xludf.DUMMYFUNCTION("""COMPUTED_VALUE"""),"")</f>
        <v/>
      </c>
      <c r="C142" s="310">
        <f>IFERROR(__xludf.DUMMYFUNCTION("""COMPUTED_VALUE"""),293.0)</f>
        <v>293</v>
      </c>
      <c r="D142" s="310" t="str">
        <f>IFERROR(__xludf.DUMMYFUNCTION("""COMPUTED_VALUE"""),"Clinica da Familia Armando Palhares Aguinaga")</f>
        <v>Clinica da Familia Armando Palhares Aguinaga</v>
      </c>
      <c r="E142" s="313" t="str">
        <f>IFERROR(__xludf.DUMMYFUNCTION("""COMPUTED_VALUE"""),"ZONA OESTE")</f>
        <v>ZONA OESTE</v>
      </c>
      <c r="F142" s="310" t="str">
        <f>IFERROR(__xludf.DUMMYFUNCTION("""COMPUTED_VALUE"""),"Rio de Janeiro")</f>
        <v>Rio de Janeiro</v>
      </c>
      <c r="G142" s="310" t="str">
        <f>IFERROR(__xludf.DUMMYFUNCTION("""COMPUTED_VALUE"""),"Realengo")</f>
        <v>Realengo</v>
      </c>
      <c r="H142" s="310" t="str">
        <f>IFERROR(__xludf.DUMMYFUNCTION("""COMPUTED_VALUE"""),"Unidade básica de saúde - BAIXA COMPLEXIDADE
")</f>
        <v>Unidade básica de saúde - BAIXA COMPLEXIDADE
</v>
      </c>
      <c r="I142" s="310" t="str">
        <f>IFERROR(__xludf.DUMMYFUNCTION("""COMPUTED_VALUE"""),"Público")</f>
        <v>Público</v>
      </c>
      <c r="J142" s="310" t="str">
        <f>IFERROR(__xludf.DUMMYFUNCTION("""COMPUTED_VALUE"""),"")</f>
        <v/>
      </c>
      <c r="K142" s="310" t="str">
        <f>IFERROR(__xludf.DUMMYFUNCTION("""COMPUTED_VALUE"""),"")</f>
        <v/>
      </c>
      <c r="L142" s="310" t="str">
        <f>IFERROR(__xludf.DUMMYFUNCTION("""COMPUTED_VALUE"""),"")</f>
        <v/>
      </c>
      <c r="M142" s="310" t="str">
        <f>IFERROR(__xludf.DUMMYFUNCTION("""COMPUTED_VALUE"""),"")</f>
        <v/>
      </c>
      <c r="N142" s="310">
        <f>IFERROR(__xludf.DUMMYFUNCTION("""COMPUTED_VALUE"""),0.0)</f>
        <v>0</v>
      </c>
      <c r="O142" s="310">
        <f>IFERROR(__xludf.DUMMYFUNCTION("""COMPUTED_VALUE"""),0.0)</f>
        <v>0</v>
      </c>
      <c r="P142" s="310">
        <f>IFERROR(__xludf.DUMMYFUNCTION("""COMPUTED_VALUE"""),0.0)</f>
        <v>0</v>
      </c>
      <c r="Q142" s="310">
        <f>IFERROR(__xludf.DUMMYFUNCTION("""COMPUTED_VALUE"""),0.0)</f>
        <v>0</v>
      </c>
      <c r="R142" s="310">
        <f>IFERROR(__xludf.DUMMYFUNCTION("""COMPUTED_VALUE"""),0.0)</f>
        <v>0</v>
      </c>
      <c r="S142" s="310">
        <f>IFERROR(__xludf.DUMMYFUNCTION("""COMPUTED_VALUE"""),0.0)</f>
        <v>0</v>
      </c>
      <c r="T142" s="310">
        <f>IFERROR(__xludf.DUMMYFUNCTION("""COMPUTED_VALUE"""),25.0)</f>
        <v>25</v>
      </c>
      <c r="U142" s="310">
        <f>IFERROR(__xludf.DUMMYFUNCTION("""COMPUTED_VALUE"""),0.0)</f>
        <v>0</v>
      </c>
      <c r="V142" s="310">
        <f>IFERROR(__xludf.DUMMYFUNCTION("""COMPUTED_VALUE"""),0.0)</f>
        <v>0</v>
      </c>
      <c r="W142" s="310">
        <f>IFERROR(__xludf.DUMMYFUNCTION("""COMPUTED_VALUE"""),25.0)</f>
        <v>25</v>
      </c>
      <c r="X142" s="310">
        <f>IFERROR(__xludf.DUMMYFUNCTION("""COMPUTED_VALUE"""),0.0)</f>
        <v>0</v>
      </c>
      <c r="Y142" s="310">
        <f>IFERROR(__xludf.DUMMYFUNCTION("""COMPUTED_VALUE"""),0.0)</f>
        <v>0</v>
      </c>
      <c r="Z142" s="310">
        <f>IFERROR(__xludf.DUMMYFUNCTION("""COMPUTED_VALUE"""),-25.0)</f>
        <v>-25</v>
      </c>
      <c r="AA142" s="310">
        <f>IFERROR(__xludf.DUMMYFUNCTION("""COMPUTED_VALUE"""),0.0)</f>
        <v>0</v>
      </c>
      <c r="AB142" s="310">
        <f>IFERROR(__xludf.DUMMYFUNCTION("""COMPUTED_VALUE"""),0.0)</f>
        <v>0</v>
      </c>
      <c r="AC142" s="310">
        <f>IFERROR(__xludf.DUMMYFUNCTION("""COMPUTED_VALUE"""),-25.0)</f>
        <v>-25</v>
      </c>
      <c r="AD142" s="310">
        <f>IFERROR(__xludf.DUMMYFUNCTION("""COMPUTED_VALUE"""),0.0)</f>
        <v>0</v>
      </c>
      <c r="AE142" s="310">
        <f>IFERROR(__xludf.DUMMYFUNCTION("""COMPUTED_VALUE"""),0.0)</f>
        <v>0</v>
      </c>
      <c r="AF142" s="310" t="str">
        <f>IFERROR(__xludf.DUMMYFUNCTION("""COMPUTED_VALUE"""),"")</f>
        <v/>
      </c>
      <c r="AG142" s="310">
        <f>IFERROR(__xludf.DUMMYFUNCTION("""COMPUTED_VALUE"""),0.0)</f>
        <v>0</v>
      </c>
      <c r="AH142" s="310">
        <f>IFERROR(__xludf.DUMMYFUNCTION("""COMPUTED_VALUE"""),0.0)</f>
        <v>0</v>
      </c>
      <c r="AI142" s="310">
        <f>IFERROR(__xludf.DUMMYFUNCTION("""COMPUTED_VALUE"""),0.0)</f>
        <v>0</v>
      </c>
      <c r="AJ142" s="310"/>
    </row>
    <row r="143" ht="22.5" customHeight="1">
      <c r="A143" s="311" t="str">
        <f>IFERROR(__xludf.DUMMYFUNCTION("""COMPUTED_VALUE"""),"")</f>
        <v/>
      </c>
      <c r="B143" s="311" t="str">
        <f>IFERROR(__xludf.DUMMYFUNCTION("""COMPUTED_VALUE"""),"")</f>
        <v/>
      </c>
      <c r="C143" s="311">
        <f>IFERROR(__xludf.DUMMYFUNCTION("""COMPUTED_VALUE"""),294.0)</f>
        <v>294</v>
      </c>
      <c r="D143" s="311" t="str">
        <f>IFERROR(__xludf.DUMMYFUNCTION("""COMPUTED_VALUE"""),"Consultorio na rua")</f>
        <v>Consultorio na rua</v>
      </c>
      <c r="E143" s="315" t="str">
        <f>IFERROR(__xludf.DUMMYFUNCTION("""COMPUTED_VALUE"""),"REGIAO METROPOLITANA")</f>
        <v>REGIAO METROPOLITANA</v>
      </c>
      <c r="F143" s="311" t="str">
        <f>IFERROR(__xludf.DUMMYFUNCTION("""COMPUTED_VALUE"""),"Maricá")</f>
        <v>Maricá</v>
      </c>
      <c r="G143" s="311" t="str">
        <f>IFERROR(__xludf.DUMMYFUNCTION("""COMPUTED_VALUE"""),"Centro")</f>
        <v>Centro</v>
      </c>
      <c r="H143" s="311" t="str">
        <f>IFERROR(__xludf.DUMMYFUNCTION("""COMPUTED_VALUE"""),"Estamos em atendimento na rua e hospital 
")</f>
        <v>Estamos em atendimento na rua e hospital 
</v>
      </c>
      <c r="I143" s="311" t="str">
        <f>IFERROR(__xludf.DUMMYFUNCTION("""COMPUTED_VALUE"""),"Público")</f>
        <v>Público</v>
      </c>
      <c r="J143" s="311" t="str">
        <f>IFERROR(__xludf.DUMMYFUNCTION("""COMPUTED_VALUE"""),"")</f>
        <v/>
      </c>
      <c r="K143" s="311" t="str">
        <f>IFERROR(__xludf.DUMMYFUNCTION("""COMPUTED_VALUE"""),"")</f>
        <v/>
      </c>
      <c r="L143" s="311" t="str">
        <f>IFERROR(__xludf.DUMMYFUNCTION("""COMPUTED_VALUE"""),"")</f>
        <v/>
      </c>
      <c r="M143" s="311" t="str">
        <f>IFERROR(__xludf.DUMMYFUNCTION("""COMPUTED_VALUE"""),"")</f>
        <v/>
      </c>
      <c r="N143" s="311">
        <f>IFERROR(__xludf.DUMMYFUNCTION("""COMPUTED_VALUE"""),0.0)</f>
        <v>0</v>
      </c>
      <c r="O143" s="311">
        <f>IFERROR(__xludf.DUMMYFUNCTION("""COMPUTED_VALUE"""),0.0)</f>
        <v>0</v>
      </c>
      <c r="P143" s="311">
        <f>IFERROR(__xludf.DUMMYFUNCTION("""COMPUTED_VALUE"""),0.0)</f>
        <v>0</v>
      </c>
      <c r="Q143" s="311">
        <f>IFERROR(__xludf.DUMMYFUNCTION("""COMPUTED_VALUE"""),0.0)</f>
        <v>0</v>
      </c>
      <c r="R143" s="311">
        <f>IFERROR(__xludf.DUMMYFUNCTION("""COMPUTED_VALUE"""),0.0)</f>
        <v>0</v>
      </c>
      <c r="S143" s="311">
        <f>IFERROR(__xludf.DUMMYFUNCTION("""COMPUTED_VALUE"""),0.0)</f>
        <v>0</v>
      </c>
      <c r="T143" s="311">
        <f>IFERROR(__xludf.DUMMYFUNCTION("""COMPUTED_VALUE"""),50.0)</f>
        <v>50</v>
      </c>
      <c r="U143" s="311">
        <f>IFERROR(__xludf.DUMMYFUNCTION("""COMPUTED_VALUE"""),0.0)</f>
        <v>0</v>
      </c>
      <c r="V143" s="311">
        <f>IFERROR(__xludf.DUMMYFUNCTION("""COMPUTED_VALUE"""),0.0)</f>
        <v>0</v>
      </c>
      <c r="W143" s="311">
        <f>IFERROR(__xludf.DUMMYFUNCTION("""COMPUTED_VALUE"""),0.0)</f>
        <v>0</v>
      </c>
      <c r="X143" s="311">
        <f>IFERROR(__xludf.DUMMYFUNCTION("""COMPUTED_VALUE"""),0.0)</f>
        <v>0</v>
      </c>
      <c r="Y143" s="311">
        <f>IFERROR(__xludf.DUMMYFUNCTION("""COMPUTED_VALUE"""),0.0)</f>
        <v>0</v>
      </c>
      <c r="Z143" s="311">
        <f>IFERROR(__xludf.DUMMYFUNCTION("""COMPUTED_VALUE"""),-50.0)</f>
        <v>-50</v>
      </c>
      <c r="AA143" s="311">
        <f>IFERROR(__xludf.DUMMYFUNCTION("""COMPUTED_VALUE"""),0.0)</f>
        <v>0</v>
      </c>
      <c r="AB143" s="311">
        <f>IFERROR(__xludf.DUMMYFUNCTION("""COMPUTED_VALUE"""),0.0)</f>
        <v>0</v>
      </c>
      <c r="AC143" s="311">
        <f>IFERROR(__xludf.DUMMYFUNCTION("""COMPUTED_VALUE"""),0.0)</f>
        <v>0</v>
      </c>
      <c r="AD143" s="311">
        <f>IFERROR(__xludf.DUMMYFUNCTION("""COMPUTED_VALUE"""),0.0)</f>
        <v>0</v>
      </c>
      <c r="AE143" s="311">
        <f>IFERROR(__xludf.DUMMYFUNCTION("""COMPUTED_VALUE"""),0.0)</f>
        <v>0</v>
      </c>
      <c r="AF143" s="311" t="str">
        <f>IFERROR(__xludf.DUMMYFUNCTION("""COMPUTED_VALUE"""),"")</f>
        <v/>
      </c>
      <c r="AG143" s="311">
        <f>IFERROR(__xludf.DUMMYFUNCTION("""COMPUTED_VALUE"""),0.0)</f>
        <v>0</v>
      </c>
      <c r="AH143" s="311">
        <f>IFERROR(__xludf.DUMMYFUNCTION("""COMPUTED_VALUE"""),0.0)</f>
        <v>0</v>
      </c>
      <c r="AI143" s="311">
        <f>IFERROR(__xludf.DUMMYFUNCTION("""COMPUTED_VALUE"""),0.0)</f>
        <v>0</v>
      </c>
      <c r="AJ143" s="311"/>
    </row>
    <row r="144" ht="22.5" customHeight="1">
      <c r="A144" s="310" t="str">
        <f>IFERROR(__xludf.DUMMYFUNCTION("""COMPUTED_VALUE"""),"")</f>
        <v/>
      </c>
      <c r="B144" s="310" t="str">
        <f>IFERROR(__xludf.DUMMYFUNCTION("""COMPUTED_VALUE"""),"")</f>
        <v/>
      </c>
      <c r="C144" s="310">
        <f>IFERROR(__xludf.DUMMYFUNCTION("""COMPUTED_VALUE"""),299.0)</f>
        <v>299</v>
      </c>
      <c r="D144" s="310" t="str">
        <f>IFERROR(__xludf.DUMMYFUNCTION("""COMPUTED_VALUE"""),"CMS Iraci Lopes")</f>
        <v>CMS Iraci Lopes</v>
      </c>
      <c r="E144" s="313" t="str">
        <f>IFERROR(__xludf.DUMMYFUNCTION("""COMPUTED_VALUE"""),"ZONA NORTE")</f>
        <v>ZONA NORTE</v>
      </c>
      <c r="F144" s="310" t="str">
        <f>IFERROR(__xludf.DUMMYFUNCTION("""COMPUTED_VALUE"""),"Rio de Janeiro")</f>
        <v>Rio de Janeiro</v>
      </c>
      <c r="G144" s="310" t="str">
        <f>IFERROR(__xludf.DUMMYFUNCTION("""COMPUTED_VALUE"""),"Vigario Geral")</f>
        <v>Vigario Geral</v>
      </c>
      <c r="H144" s="310" t="str">
        <f>IFERROR(__xludf.DUMMYFUNCTION("""COMPUTED_VALUE"""),"Unidade básica de saúde - BAIXA COMPLEXIDADE
")</f>
        <v>Unidade básica de saúde - BAIXA COMPLEXIDADE
</v>
      </c>
      <c r="I144" s="310" t="str">
        <f>IFERROR(__xludf.DUMMYFUNCTION("""COMPUTED_VALUE"""),"Público")</f>
        <v>Público</v>
      </c>
      <c r="J144" s="310" t="str">
        <f>IFERROR(__xludf.DUMMYFUNCTION("""COMPUTED_VALUE"""),"")</f>
        <v/>
      </c>
      <c r="K144" s="310" t="str">
        <f>IFERROR(__xludf.DUMMYFUNCTION("""COMPUTED_VALUE"""),"")</f>
        <v/>
      </c>
      <c r="L144" s="310" t="str">
        <f>IFERROR(__xludf.DUMMYFUNCTION("""COMPUTED_VALUE"""),"")</f>
        <v/>
      </c>
      <c r="M144" s="310" t="str">
        <f>IFERROR(__xludf.DUMMYFUNCTION("""COMPUTED_VALUE"""),"")</f>
        <v/>
      </c>
      <c r="N144" s="310">
        <f>IFERROR(__xludf.DUMMYFUNCTION("""COMPUTED_VALUE"""),0.0)</f>
        <v>0</v>
      </c>
      <c r="O144" s="310">
        <f>IFERROR(__xludf.DUMMYFUNCTION("""COMPUTED_VALUE"""),0.0)</f>
        <v>0</v>
      </c>
      <c r="P144" s="310">
        <f>IFERROR(__xludf.DUMMYFUNCTION("""COMPUTED_VALUE"""),0.0)</f>
        <v>0</v>
      </c>
      <c r="Q144" s="310">
        <f>IFERROR(__xludf.DUMMYFUNCTION("""COMPUTED_VALUE"""),0.0)</f>
        <v>0</v>
      </c>
      <c r="R144" s="310">
        <f>IFERROR(__xludf.DUMMYFUNCTION("""COMPUTED_VALUE"""),0.0)</f>
        <v>0</v>
      </c>
      <c r="S144" s="310">
        <f>IFERROR(__xludf.DUMMYFUNCTION("""COMPUTED_VALUE"""),0.0)</f>
        <v>0</v>
      </c>
      <c r="T144" s="310">
        <f>IFERROR(__xludf.DUMMYFUNCTION("""COMPUTED_VALUE"""),50.0)</f>
        <v>50</v>
      </c>
      <c r="U144" s="310">
        <f>IFERROR(__xludf.DUMMYFUNCTION("""COMPUTED_VALUE"""),0.0)</f>
        <v>0</v>
      </c>
      <c r="V144" s="310">
        <f>IFERROR(__xludf.DUMMYFUNCTION("""COMPUTED_VALUE"""),0.0)</f>
        <v>0</v>
      </c>
      <c r="W144" s="310">
        <f>IFERROR(__xludf.DUMMYFUNCTION("""COMPUTED_VALUE"""),0.0)</f>
        <v>0</v>
      </c>
      <c r="X144" s="310">
        <f>IFERROR(__xludf.DUMMYFUNCTION("""COMPUTED_VALUE"""),0.0)</f>
        <v>0</v>
      </c>
      <c r="Y144" s="310">
        <f>IFERROR(__xludf.DUMMYFUNCTION("""COMPUTED_VALUE"""),0.0)</f>
        <v>0</v>
      </c>
      <c r="Z144" s="310">
        <f>IFERROR(__xludf.DUMMYFUNCTION("""COMPUTED_VALUE"""),-50.0)</f>
        <v>-50</v>
      </c>
      <c r="AA144" s="310">
        <f>IFERROR(__xludf.DUMMYFUNCTION("""COMPUTED_VALUE"""),0.0)</f>
        <v>0</v>
      </c>
      <c r="AB144" s="310">
        <f>IFERROR(__xludf.DUMMYFUNCTION("""COMPUTED_VALUE"""),0.0)</f>
        <v>0</v>
      </c>
      <c r="AC144" s="310">
        <f>IFERROR(__xludf.DUMMYFUNCTION("""COMPUTED_VALUE"""),0.0)</f>
        <v>0</v>
      </c>
      <c r="AD144" s="310">
        <f>IFERROR(__xludf.DUMMYFUNCTION("""COMPUTED_VALUE"""),0.0)</f>
        <v>0</v>
      </c>
      <c r="AE144" s="310">
        <f>IFERROR(__xludf.DUMMYFUNCTION("""COMPUTED_VALUE"""),0.0)</f>
        <v>0</v>
      </c>
      <c r="AF144" s="310" t="str">
        <f>IFERROR(__xludf.DUMMYFUNCTION("""COMPUTED_VALUE"""),"")</f>
        <v/>
      </c>
      <c r="AG144" s="310">
        <f>IFERROR(__xludf.DUMMYFUNCTION("""COMPUTED_VALUE"""),0.0)</f>
        <v>0</v>
      </c>
      <c r="AH144" s="310">
        <f>IFERROR(__xludf.DUMMYFUNCTION("""COMPUTED_VALUE"""),0.0)</f>
        <v>0</v>
      </c>
      <c r="AI144" s="310">
        <f>IFERROR(__xludf.DUMMYFUNCTION("""COMPUTED_VALUE"""),0.0)</f>
        <v>0</v>
      </c>
      <c r="AJ144" s="310"/>
    </row>
    <row r="145" ht="22.5" customHeight="1">
      <c r="A145" s="311" t="str">
        <f>IFERROR(__xludf.DUMMYFUNCTION("""COMPUTED_VALUE"""),"")</f>
        <v/>
      </c>
      <c r="B145" s="311" t="str">
        <f>IFERROR(__xludf.DUMMYFUNCTION("""COMPUTED_VALUE"""),"")</f>
        <v/>
      </c>
      <c r="C145" s="311">
        <f>IFERROR(__xludf.DUMMYFUNCTION("""COMPUTED_VALUE"""),302.0)</f>
        <v>302</v>
      </c>
      <c r="D145" s="311" t="str">
        <f>IFERROR(__xludf.DUMMYFUNCTION("""COMPUTED_VALUE"""),"HOSPITAL ESTADUAL DE TRAUMATOLOGIA VEREADOR MELCHIADES CALAZANS")</f>
        <v>HOSPITAL ESTADUAL DE TRAUMATOLOGIA VEREADOR MELCHIADES CALAZANS</v>
      </c>
      <c r="E145" s="315" t="str">
        <f>IFERROR(__xludf.DUMMYFUNCTION("""COMPUTED_VALUE"""),"BAIXADA FLUMINENSE")</f>
        <v>BAIXADA FLUMINENSE</v>
      </c>
      <c r="F145" s="311" t="str">
        <f>IFERROR(__xludf.DUMMYFUNCTION("""COMPUTED_VALUE"""),"Nilópolis")</f>
        <v>Nilópolis</v>
      </c>
      <c r="G145" s="311" t="str">
        <f>IFERROR(__xludf.DUMMYFUNCTION("""COMPUTED_VALUE"""),"CABUIS")</f>
        <v>CABUIS</v>
      </c>
      <c r="H145" s="311" t="str">
        <f>IFERROR(__xludf.DUMMYFUNCTION("""COMPUTED_VALUE"""),"Hospital de Apoio - MÉDIA COMPLEXIDADE
")</f>
        <v>Hospital de Apoio - MÉDIA COMPLEXIDADE
</v>
      </c>
      <c r="I145" s="311" t="str">
        <f>IFERROR(__xludf.DUMMYFUNCTION("""COMPUTED_VALUE"""),"Público")</f>
        <v>Público</v>
      </c>
      <c r="J145" s="311" t="str">
        <f>IFERROR(__xludf.DUMMYFUNCTION("""COMPUTED_VALUE"""),"")</f>
        <v/>
      </c>
      <c r="K145" s="311" t="str">
        <f>IFERROR(__xludf.DUMMYFUNCTION("""COMPUTED_VALUE"""),"")</f>
        <v/>
      </c>
      <c r="L145" s="311" t="str">
        <f>IFERROR(__xludf.DUMMYFUNCTION("""COMPUTED_VALUE"""),"")</f>
        <v/>
      </c>
      <c r="M145" s="311" t="str">
        <f>IFERROR(__xludf.DUMMYFUNCTION("""COMPUTED_VALUE"""),"")</f>
        <v/>
      </c>
      <c r="N145" s="311">
        <f>IFERROR(__xludf.DUMMYFUNCTION("""COMPUTED_VALUE"""),0.0)</f>
        <v>0</v>
      </c>
      <c r="O145" s="311">
        <f>IFERROR(__xludf.DUMMYFUNCTION("""COMPUTED_VALUE"""),0.0)</f>
        <v>0</v>
      </c>
      <c r="P145" s="311">
        <f>IFERROR(__xludf.DUMMYFUNCTION("""COMPUTED_VALUE"""),0.0)</f>
        <v>0</v>
      </c>
      <c r="Q145" s="311">
        <f>IFERROR(__xludf.DUMMYFUNCTION("""COMPUTED_VALUE"""),0.0)</f>
        <v>0</v>
      </c>
      <c r="R145" s="311">
        <f>IFERROR(__xludf.DUMMYFUNCTION("""COMPUTED_VALUE"""),0.0)</f>
        <v>0</v>
      </c>
      <c r="S145" s="311">
        <f>IFERROR(__xludf.DUMMYFUNCTION("""COMPUTED_VALUE"""),0.0)</f>
        <v>0</v>
      </c>
      <c r="T145" s="311">
        <f>IFERROR(__xludf.DUMMYFUNCTION("""COMPUTED_VALUE"""),100.0)</f>
        <v>100</v>
      </c>
      <c r="U145" s="311">
        <f>IFERROR(__xludf.DUMMYFUNCTION("""COMPUTED_VALUE"""),0.0)</f>
        <v>0</v>
      </c>
      <c r="V145" s="311">
        <f>IFERROR(__xludf.DUMMYFUNCTION("""COMPUTED_VALUE"""),0.0)</f>
        <v>0</v>
      </c>
      <c r="W145" s="311">
        <f>IFERROR(__xludf.DUMMYFUNCTION("""COMPUTED_VALUE"""),0.0)</f>
        <v>0</v>
      </c>
      <c r="X145" s="311">
        <f>IFERROR(__xludf.DUMMYFUNCTION("""COMPUTED_VALUE"""),0.0)</f>
        <v>0</v>
      </c>
      <c r="Y145" s="311">
        <f>IFERROR(__xludf.DUMMYFUNCTION("""COMPUTED_VALUE"""),0.0)</f>
        <v>0</v>
      </c>
      <c r="Z145" s="311">
        <f>IFERROR(__xludf.DUMMYFUNCTION("""COMPUTED_VALUE"""),-100.0)</f>
        <v>-100</v>
      </c>
      <c r="AA145" s="311">
        <f>IFERROR(__xludf.DUMMYFUNCTION("""COMPUTED_VALUE"""),0.0)</f>
        <v>0</v>
      </c>
      <c r="AB145" s="311">
        <f>IFERROR(__xludf.DUMMYFUNCTION("""COMPUTED_VALUE"""),0.0)</f>
        <v>0</v>
      </c>
      <c r="AC145" s="311">
        <f>IFERROR(__xludf.DUMMYFUNCTION("""COMPUTED_VALUE"""),0.0)</f>
        <v>0</v>
      </c>
      <c r="AD145" s="311">
        <f>IFERROR(__xludf.DUMMYFUNCTION("""COMPUTED_VALUE"""),0.0)</f>
        <v>0</v>
      </c>
      <c r="AE145" s="311">
        <f>IFERROR(__xludf.DUMMYFUNCTION("""COMPUTED_VALUE"""),0.0)</f>
        <v>0</v>
      </c>
      <c r="AF145" s="311" t="str">
        <f>IFERROR(__xludf.DUMMYFUNCTION("""COMPUTED_VALUE"""),"")</f>
        <v/>
      </c>
      <c r="AG145" s="311">
        <f>IFERROR(__xludf.DUMMYFUNCTION("""COMPUTED_VALUE"""),0.0)</f>
        <v>0</v>
      </c>
      <c r="AH145" s="311">
        <f>IFERROR(__xludf.DUMMYFUNCTION("""COMPUTED_VALUE"""),0.0)</f>
        <v>0</v>
      </c>
      <c r="AI145" s="311">
        <f>IFERROR(__xludf.DUMMYFUNCTION("""COMPUTED_VALUE"""),0.0)</f>
        <v>0</v>
      </c>
      <c r="AJ145" s="311"/>
    </row>
    <row r="146" ht="22.5" customHeight="1">
      <c r="A146" s="310" t="str">
        <f>IFERROR(__xludf.DUMMYFUNCTION("""COMPUTED_VALUE"""),"")</f>
        <v/>
      </c>
      <c r="B146" s="310" t="str">
        <f>IFERROR(__xludf.DUMMYFUNCTION("""COMPUTED_VALUE"""),"")</f>
        <v/>
      </c>
      <c r="C146" s="310">
        <f>IFERROR(__xludf.DUMMYFUNCTION("""COMPUTED_VALUE"""),303.0)</f>
        <v>303</v>
      </c>
      <c r="D146" s="310" t="str">
        <f>IFERROR(__xludf.DUMMYFUNCTION("""COMPUTED_VALUE"""),"Superintendencia de Vigilancia em Saude")</f>
        <v>Superintendencia de Vigilancia em Saude</v>
      </c>
      <c r="E146" s="313" t="str">
        <f>IFERROR(__xludf.DUMMYFUNCTION("""COMPUTED_VALUE"""),"REGIAO METROPOLITANA")</f>
        <v>REGIAO METROPOLITANA</v>
      </c>
      <c r="F146" s="310" t="str">
        <f>IFERROR(__xludf.DUMMYFUNCTION("""COMPUTED_VALUE"""),"Rio de Janeiro")</f>
        <v>Rio de Janeiro</v>
      </c>
      <c r="G146" s="310" t="str">
        <f>IFERROR(__xludf.DUMMYFUNCTION("""COMPUTED_VALUE"""),"Cidade Nova")</f>
        <v>Cidade Nova</v>
      </c>
      <c r="H146" s="310" t="str">
        <f>IFERROR(__xludf.DUMMYFUNCTION("""COMPUTED_VALUE"""),"Unidade básica de saúde - BAIXA COMPLEXIDADE
")</f>
        <v>Unidade básica de saúde - BAIXA COMPLEXIDADE
</v>
      </c>
      <c r="I146" s="310" t="str">
        <f>IFERROR(__xludf.DUMMYFUNCTION("""COMPUTED_VALUE"""),"Público")</f>
        <v>Público</v>
      </c>
      <c r="J146" s="310" t="str">
        <f>IFERROR(__xludf.DUMMYFUNCTION("""COMPUTED_VALUE"""),"")</f>
        <v/>
      </c>
      <c r="K146" s="310" t="str">
        <f>IFERROR(__xludf.DUMMYFUNCTION("""COMPUTED_VALUE"""),"")</f>
        <v/>
      </c>
      <c r="L146" s="310" t="str">
        <f>IFERROR(__xludf.DUMMYFUNCTION("""COMPUTED_VALUE"""),"")</f>
        <v/>
      </c>
      <c r="M146" s="310" t="str">
        <f>IFERROR(__xludf.DUMMYFUNCTION("""COMPUTED_VALUE"""),"")</f>
        <v/>
      </c>
      <c r="N146" s="310">
        <f>IFERROR(__xludf.DUMMYFUNCTION("""COMPUTED_VALUE"""),0.0)</f>
        <v>0</v>
      </c>
      <c r="O146" s="310">
        <f>IFERROR(__xludf.DUMMYFUNCTION("""COMPUTED_VALUE"""),0.0)</f>
        <v>0</v>
      </c>
      <c r="P146" s="310">
        <f>IFERROR(__xludf.DUMMYFUNCTION("""COMPUTED_VALUE"""),0.0)</f>
        <v>0</v>
      </c>
      <c r="Q146" s="310">
        <f>IFERROR(__xludf.DUMMYFUNCTION("""COMPUTED_VALUE"""),0.0)</f>
        <v>0</v>
      </c>
      <c r="R146" s="310">
        <f>IFERROR(__xludf.DUMMYFUNCTION("""COMPUTED_VALUE"""),0.0)</f>
        <v>0</v>
      </c>
      <c r="S146" s="310">
        <f>IFERROR(__xludf.DUMMYFUNCTION("""COMPUTED_VALUE"""),0.0)</f>
        <v>0</v>
      </c>
      <c r="T146" s="310">
        <f>IFERROR(__xludf.DUMMYFUNCTION("""COMPUTED_VALUE"""),50.0)</f>
        <v>50</v>
      </c>
      <c r="U146" s="310">
        <f>IFERROR(__xludf.DUMMYFUNCTION("""COMPUTED_VALUE"""),0.0)</f>
        <v>0</v>
      </c>
      <c r="V146" s="310">
        <f>IFERROR(__xludf.DUMMYFUNCTION("""COMPUTED_VALUE"""),0.0)</f>
        <v>0</v>
      </c>
      <c r="W146" s="310">
        <f>IFERROR(__xludf.DUMMYFUNCTION("""COMPUTED_VALUE"""),0.0)</f>
        <v>0</v>
      </c>
      <c r="X146" s="310">
        <f>IFERROR(__xludf.DUMMYFUNCTION("""COMPUTED_VALUE"""),0.0)</f>
        <v>0</v>
      </c>
      <c r="Y146" s="310">
        <f>IFERROR(__xludf.DUMMYFUNCTION("""COMPUTED_VALUE"""),0.0)</f>
        <v>0</v>
      </c>
      <c r="Z146" s="310">
        <f>IFERROR(__xludf.DUMMYFUNCTION("""COMPUTED_VALUE"""),-50.0)</f>
        <v>-50</v>
      </c>
      <c r="AA146" s="310">
        <f>IFERROR(__xludf.DUMMYFUNCTION("""COMPUTED_VALUE"""),0.0)</f>
        <v>0</v>
      </c>
      <c r="AB146" s="310">
        <f>IFERROR(__xludf.DUMMYFUNCTION("""COMPUTED_VALUE"""),0.0)</f>
        <v>0</v>
      </c>
      <c r="AC146" s="310">
        <f>IFERROR(__xludf.DUMMYFUNCTION("""COMPUTED_VALUE"""),0.0)</f>
        <v>0</v>
      </c>
      <c r="AD146" s="310">
        <f>IFERROR(__xludf.DUMMYFUNCTION("""COMPUTED_VALUE"""),0.0)</f>
        <v>0</v>
      </c>
      <c r="AE146" s="310">
        <f>IFERROR(__xludf.DUMMYFUNCTION("""COMPUTED_VALUE"""),0.0)</f>
        <v>0</v>
      </c>
      <c r="AF146" s="310" t="str">
        <f>IFERROR(__xludf.DUMMYFUNCTION("""COMPUTED_VALUE"""),"")</f>
        <v/>
      </c>
      <c r="AG146" s="310">
        <f>IFERROR(__xludf.DUMMYFUNCTION("""COMPUTED_VALUE"""),0.0)</f>
        <v>0</v>
      </c>
      <c r="AH146" s="310">
        <f>IFERROR(__xludf.DUMMYFUNCTION("""COMPUTED_VALUE"""),0.0)</f>
        <v>0</v>
      </c>
      <c r="AI146" s="310">
        <f>IFERROR(__xludf.DUMMYFUNCTION("""COMPUTED_VALUE"""),0.0)</f>
        <v>0</v>
      </c>
      <c r="AJ146" s="310"/>
    </row>
    <row r="147" ht="22.5" customHeight="1">
      <c r="A147" s="311" t="str">
        <f>IFERROR(__xludf.DUMMYFUNCTION("""COMPUTED_VALUE"""),"")</f>
        <v/>
      </c>
      <c r="B147" s="311" t="str">
        <f>IFERROR(__xludf.DUMMYFUNCTION("""COMPUTED_VALUE"""),"")</f>
        <v/>
      </c>
      <c r="C147" s="311">
        <f>IFERROR(__xludf.DUMMYFUNCTION("""COMPUTED_VALUE"""),304.0)</f>
        <v>304</v>
      </c>
      <c r="D147" s="311" t="str">
        <f>IFERROR(__xludf.DUMMYFUNCTION("""COMPUTED_VALUE"""),"UPA MARÉ")</f>
        <v>UPA MARÉ</v>
      </c>
      <c r="E147" s="315" t="str">
        <f>IFERROR(__xludf.DUMMYFUNCTION("""COMPUTED_VALUE"""),"REGIAO METROPOLITANA")</f>
        <v>REGIAO METROPOLITANA</v>
      </c>
      <c r="F147" s="311" t="str">
        <f>IFERROR(__xludf.DUMMYFUNCTION("""COMPUTED_VALUE"""),"RIO DE JANEIRO")</f>
        <v>RIO DE JANEIRO</v>
      </c>
      <c r="G147" s="311" t="str">
        <f>IFERROR(__xludf.DUMMYFUNCTION("""COMPUTED_VALUE"""),"BONSUCESSO")</f>
        <v>BONSUCESSO</v>
      </c>
      <c r="H147" s="311" t="str">
        <f>IFERROR(__xludf.DUMMYFUNCTION("""COMPUTED_VALUE"""),"Unidade básica de saúde - BAIXA COMPLEXIDADE
")</f>
        <v>Unidade básica de saúde - BAIXA COMPLEXIDADE
</v>
      </c>
      <c r="I147" s="311" t="str">
        <f>IFERROR(__xludf.DUMMYFUNCTION("""COMPUTED_VALUE"""),"Público")</f>
        <v>Público</v>
      </c>
      <c r="J147" s="311" t="str">
        <f>IFERROR(__xludf.DUMMYFUNCTION("""COMPUTED_VALUE"""),"")</f>
        <v/>
      </c>
      <c r="K147" s="311" t="str">
        <f>IFERROR(__xludf.DUMMYFUNCTION("""COMPUTED_VALUE"""),"")</f>
        <v/>
      </c>
      <c r="L147" s="311" t="str">
        <f>IFERROR(__xludf.DUMMYFUNCTION("""COMPUTED_VALUE"""),"")</f>
        <v/>
      </c>
      <c r="M147" s="311" t="str">
        <f>IFERROR(__xludf.DUMMYFUNCTION("""COMPUTED_VALUE"""),"")</f>
        <v/>
      </c>
      <c r="N147" s="311">
        <f>IFERROR(__xludf.DUMMYFUNCTION("""COMPUTED_VALUE"""),0.0)</f>
        <v>0</v>
      </c>
      <c r="O147" s="311">
        <f>IFERROR(__xludf.DUMMYFUNCTION("""COMPUTED_VALUE"""),0.0)</f>
        <v>0</v>
      </c>
      <c r="P147" s="311">
        <f>IFERROR(__xludf.DUMMYFUNCTION("""COMPUTED_VALUE"""),0.0)</f>
        <v>0</v>
      </c>
      <c r="Q147" s="311">
        <f>IFERROR(__xludf.DUMMYFUNCTION("""COMPUTED_VALUE"""),0.0)</f>
        <v>0</v>
      </c>
      <c r="R147" s="311">
        <f>IFERROR(__xludf.DUMMYFUNCTION("""COMPUTED_VALUE"""),0.0)</f>
        <v>0</v>
      </c>
      <c r="S147" s="311">
        <f>IFERROR(__xludf.DUMMYFUNCTION("""COMPUTED_VALUE"""),0.0)</f>
        <v>0</v>
      </c>
      <c r="T147" s="311">
        <f>IFERROR(__xludf.DUMMYFUNCTION("""COMPUTED_VALUE"""),50.0)</f>
        <v>50</v>
      </c>
      <c r="U147" s="311">
        <f>IFERROR(__xludf.DUMMYFUNCTION("""COMPUTED_VALUE"""),0.0)</f>
        <v>0</v>
      </c>
      <c r="V147" s="311">
        <f>IFERROR(__xludf.DUMMYFUNCTION("""COMPUTED_VALUE"""),0.0)</f>
        <v>0</v>
      </c>
      <c r="W147" s="311">
        <f>IFERROR(__xludf.DUMMYFUNCTION("""COMPUTED_VALUE"""),0.0)</f>
        <v>0</v>
      </c>
      <c r="X147" s="311">
        <f>IFERROR(__xludf.DUMMYFUNCTION("""COMPUTED_VALUE"""),50.0)</f>
        <v>50</v>
      </c>
      <c r="Y147" s="311">
        <f>IFERROR(__xludf.DUMMYFUNCTION("""COMPUTED_VALUE"""),0.0)</f>
        <v>0</v>
      </c>
      <c r="Z147" s="311">
        <f>IFERROR(__xludf.DUMMYFUNCTION("""COMPUTED_VALUE"""),-50.0)</f>
        <v>-50</v>
      </c>
      <c r="AA147" s="311">
        <f>IFERROR(__xludf.DUMMYFUNCTION("""COMPUTED_VALUE"""),0.0)</f>
        <v>0</v>
      </c>
      <c r="AB147" s="311">
        <f>IFERROR(__xludf.DUMMYFUNCTION("""COMPUTED_VALUE"""),0.0)</f>
        <v>0</v>
      </c>
      <c r="AC147" s="311">
        <f>IFERROR(__xludf.DUMMYFUNCTION("""COMPUTED_VALUE"""),0.0)</f>
        <v>0</v>
      </c>
      <c r="AD147" s="311">
        <f>IFERROR(__xludf.DUMMYFUNCTION("""COMPUTED_VALUE"""),0.0)</f>
        <v>0</v>
      </c>
      <c r="AE147" s="311">
        <f>IFERROR(__xludf.DUMMYFUNCTION("""COMPUTED_VALUE"""),-50.0)</f>
        <v>-50</v>
      </c>
      <c r="AF147" s="311" t="str">
        <f>IFERROR(__xludf.DUMMYFUNCTION("""COMPUTED_VALUE"""),"")</f>
        <v/>
      </c>
      <c r="AG147" s="311">
        <f>IFERROR(__xludf.DUMMYFUNCTION("""COMPUTED_VALUE"""),0.0)</f>
        <v>0</v>
      </c>
      <c r="AH147" s="311">
        <f>IFERROR(__xludf.DUMMYFUNCTION("""COMPUTED_VALUE"""),0.0)</f>
        <v>0</v>
      </c>
      <c r="AI147" s="311">
        <f>IFERROR(__xludf.DUMMYFUNCTION("""COMPUTED_VALUE"""),0.0)</f>
        <v>0</v>
      </c>
      <c r="AJ147" s="311"/>
    </row>
    <row r="148" ht="22.5" customHeight="1">
      <c r="A148" s="310" t="str">
        <f>IFERROR(__xludf.DUMMYFUNCTION("""COMPUTED_VALUE"""),"")</f>
        <v/>
      </c>
      <c r="B148" s="310" t="str">
        <f>IFERROR(__xludf.DUMMYFUNCTION("""COMPUTED_VALUE"""),"")</f>
        <v/>
      </c>
      <c r="C148" s="310">
        <f>IFERROR(__xludf.DUMMYFUNCTION("""COMPUTED_VALUE"""),305.0)</f>
        <v>305</v>
      </c>
      <c r="D148" s="310" t="str">
        <f>IFERROR(__xludf.DUMMYFUNCTION("""COMPUTED_VALUE"""),"HOSPITAL MUNICIPAL DR. ADALBERTO DA GRAÇA")</f>
        <v>HOSPITAL MUNICIPAL DR. ADALBERTO DA GRAÇA</v>
      </c>
      <c r="E148" s="313" t="str">
        <f>IFERROR(__xludf.DUMMYFUNCTION("""COMPUTED_VALUE"""),"BAIXADA FLUMINENSE")</f>
        <v>BAIXADA FLUMINENSE</v>
      </c>
      <c r="F148" s="310" t="str">
        <f>IFERROR(__xludf.DUMMYFUNCTION("""COMPUTED_VALUE"""),"Paracambi")</f>
        <v>Paracambi</v>
      </c>
      <c r="G148" s="310" t="str">
        <f>IFERROR(__xludf.DUMMYFUNCTION("""COMPUTED_VALUE"""),"Lages")</f>
        <v>Lages</v>
      </c>
      <c r="H148" s="310" t="str">
        <f>IFERROR(__xludf.DUMMYFUNCTION("""COMPUTED_VALUE"""),"Unidade básica de saúde - BAIXA COMPLEXIDADE
")</f>
        <v>Unidade básica de saúde - BAIXA COMPLEXIDADE
</v>
      </c>
      <c r="I148" s="310" t="str">
        <f>IFERROR(__xludf.DUMMYFUNCTION("""COMPUTED_VALUE"""),"Público")</f>
        <v>Público</v>
      </c>
      <c r="J148" s="310" t="str">
        <f>IFERROR(__xludf.DUMMYFUNCTION("""COMPUTED_VALUE"""),"")</f>
        <v/>
      </c>
      <c r="K148" s="310" t="str">
        <f>IFERROR(__xludf.DUMMYFUNCTION("""COMPUTED_VALUE"""),"")</f>
        <v/>
      </c>
      <c r="L148" s="310" t="str">
        <f>IFERROR(__xludf.DUMMYFUNCTION("""COMPUTED_VALUE"""),"")</f>
        <v/>
      </c>
      <c r="M148" s="310" t="str">
        <f>IFERROR(__xludf.DUMMYFUNCTION("""COMPUTED_VALUE"""),"")</f>
        <v/>
      </c>
      <c r="N148" s="310">
        <f>IFERROR(__xludf.DUMMYFUNCTION("""COMPUTED_VALUE"""),0.0)</f>
        <v>0</v>
      </c>
      <c r="O148" s="310">
        <f>IFERROR(__xludf.DUMMYFUNCTION("""COMPUTED_VALUE"""),0.0)</f>
        <v>0</v>
      </c>
      <c r="P148" s="310">
        <f>IFERROR(__xludf.DUMMYFUNCTION("""COMPUTED_VALUE"""),0.0)</f>
        <v>0</v>
      </c>
      <c r="Q148" s="310">
        <f>IFERROR(__xludf.DUMMYFUNCTION("""COMPUTED_VALUE"""),0.0)</f>
        <v>0</v>
      </c>
      <c r="R148" s="310">
        <f>IFERROR(__xludf.DUMMYFUNCTION("""COMPUTED_VALUE"""),0.0)</f>
        <v>0</v>
      </c>
      <c r="S148" s="310">
        <f>IFERROR(__xludf.DUMMYFUNCTION("""COMPUTED_VALUE"""),0.0)</f>
        <v>0</v>
      </c>
      <c r="T148" s="310">
        <f>IFERROR(__xludf.DUMMYFUNCTION("""COMPUTED_VALUE"""),50.0)</f>
        <v>50</v>
      </c>
      <c r="U148" s="310">
        <f>IFERROR(__xludf.DUMMYFUNCTION("""COMPUTED_VALUE"""),0.0)</f>
        <v>0</v>
      </c>
      <c r="V148" s="310">
        <f>IFERROR(__xludf.DUMMYFUNCTION("""COMPUTED_VALUE"""),0.0)</f>
        <v>0</v>
      </c>
      <c r="W148" s="310">
        <f>IFERROR(__xludf.DUMMYFUNCTION("""COMPUTED_VALUE"""),25.0)</f>
        <v>25</v>
      </c>
      <c r="X148" s="310">
        <f>IFERROR(__xludf.DUMMYFUNCTION("""COMPUTED_VALUE"""),0.0)</f>
        <v>0</v>
      </c>
      <c r="Y148" s="310">
        <f>IFERROR(__xludf.DUMMYFUNCTION("""COMPUTED_VALUE"""),0.0)</f>
        <v>0</v>
      </c>
      <c r="Z148" s="310">
        <f>IFERROR(__xludf.DUMMYFUNCTION("""COMPUTED_VALUE"""),-50.0)</f>
        <v>-50</v>
      </c>
      <c r="AA148" s="310">
        <f>IFERROR(__xludf.DUMMYFUNCTION("""COMPUTED_VALUE"""),0.0)</f>
        <v>0</v>
      </c>
      <c r="AB148" s="310">
        <f>IFERROR(__xludf.DUMMYFUNCTION("""COMPUTED_VALUE"""),0.0)</f>
        <v>0</v>
      </c>
      <c r="AC148" s="310">
        <f>IFERROR(__xludf.DUMMYFUNCTION("""COMPUTED_VALUE"""),-25.0)</f>
        <v>-25</v>
      </c>
      <c r="AD148" s="310">
        <f>IFERROR(__xludf.DUMMYFUNCTION("""COMPUTED_VALUE"""),0.0)</f>
        <v>0</v>
      </c>
      <c r="AE148" s="310">
        <f>IFERROR(__xludf.DUMMYFUNCTION("""COMPUTED_VALUE"""),0.0)</f>
        <v>0</v>
      </c>
      <c r="AF148" s="310" t="str">
        <f>IFERROR(__xludf.DUMMYFUNCTION("""COMPUTED_VALUE"""),"")</f>
        <v/>
      </c>
      <c r="AG148" s="310">
        <f>IFERROR(__xludf.DUMMYFUNCTION("""COMPUTED_VALUE"""),0.0)</f>
        <v>0</v>
      </c>
      <c r="AH148" s="310">
        <f>IFERROR(__xludf.DUMMYFUNCTION("""COMPUTED_VALUE"""),0.0)</f>
        <v>0</v>
      </c>
      <c r="AI148" s="310">
        <f>IFERROR(__xludf.DUMMYFUNCTION("""COMPUTED_VALUE"""),0.0)</f>
        <v>0</v>
      </c>
      <c r="AJ148" s="310"/>
    </row>
    <row r="149" ht="22.5" customHeight="1">
      <c r="A149" s="311" t="str">
        <f>IFERROR(__xludf.DUMMYFUNCTION("""COMPUTED_VALUE"""),"")</f>
        <v/>
      </c>
      <c r="B149" s="311" t="str">
        <f>IFERROR(__xludf.DUMMYFUNCTION("""COMPUTED_VALUE"""),"")</f>
        <v/>
      </c>
      <c r="C149" s="311">
        <f>IFERROR(__xludf.DUMMYFUNCTION("""COMPUTED_VALUE"""),306.0)</f>
        <v>306</v>
      </c>
      <c r="D149" s="311" t="str">
        <f>IFERROR(__xludf.DUMMYFUNCTION("""COMPUTED_VALUE"""),"Abraço Campeão")</f>
        <v>Abraço Campeão</v>
      </c>
      <c r="E149" s="315" t="str">
        <f>IFERROR(__xludf.DUMMYFUNCTION("""COMPUTED_VALUE"""),"ZONA NORTE")</f>
        <v>ZONA NORTE</v>
      </c>
      <c r="F149" s="311" t="str">
        <f>IFERROR(__xludf.DUMMYFUNCTION("""COMPUTED_VALUE"""),"Rio de Janeiro")</f>
        <v>Rio de Janeiro</v>
      </c>
      <c r="G149" s="311" t="str">
        <f>IFERROR(__xludf.DUMMYFUNCTION("""COMPUTED_VALUE"""),"Bonsucesso")</f>
        <v>Bonsucesso</v>
      </c>
      <c r="H149" s="311" t="str">
        <f>IFERROR(__xludf.DUMMYFUNCTION("""COMPUTED_VALUE"""),"Outra Instituição")</f>
        <v>Outra Instituição</v>
      </c>
      <c r="I149" s="311" t="str">
        <f>IFERROR(__xludf.DUMMYFUNCTION("""COMPUTED_VALUE"""),"Público")</f>
        <v>Público</v>
      </c>
      <c r="J149" s="311" t="str">
        <f>IFERROR(__xludf.DUMMYFUNCTION("""COMPUTED_VALUE"""),"")</f>
        <v/>
      </c>
      <c r="K149" s="311" t="str">
        <f>IFERROR(__xludf.DUMMYFUNCTION("""COMPUTED_VALUE"""),"")</f>
        <v/>
      </c>
      <c r="L149" s="311" t="str">
        <f>IFERROR(__xludf.DUMMYFUNCTION("""COMPUTED_VALUE"""),"")</f>
        <v/>
      </c>
      <c r="M149" s="311" t="str">
        <f>IFERROR(__xludf.DUMMYFUNCTION("""COMPUTED_VALUE"""),"")</f>
        <v/>
      </c>
      <c r="N149" s="311">
        <f>IFERROR(__xludf.DUMMYFUNCTION("""COMPUTED_VALUE"""),0.0)</f>
        <v>0</v>
      </c>
      <c r="O149" s="311">
        <f>IFERROR(__xludf.DUMMYFUNCTION("""COMPUTED_VALUE"""),0.0)</f>
        <v>0</v>
      </c>
      <c r="P149" s="311">
        <f>IFERROR(__xludf.DUMMYFUNCTION("""COMPUTED_VALUE"""),0.0)</f>
        <v>0</v>
      </c>
      <c r="Q149" s="311">
        <f>IFERROR(__xludf.DUMMYFUNCTION("""COMPUTED_VALUE"""),0.0)</f>
        <v>0</v>
      </c>
      <c r="R149" s="311">
        <f>IFERROR(__xludf.DUMMYFUNCTION("""COMPUTED_VALUE"""),0.0)</f>
        <v>0</v>
      </c>
      <c r="S149" s="311">
        <f>IFERROR(__xludf.DUMMYFUNCTION("""COMPUTED_VALUE"""),0.0)</f>
        <v>0</v>
      </c>
      <c r="T149" s="311">
        <f>IFERROR(__xludf.DUMMYFUNCTION("""COMPUTED_VALUE"""),17.0)</f>
        <v>17</v>
      </c>
      <c r="U149" s="311">
        <f>IFERROR(__xludf.DUMMYFUNCTION("""COMPUTED_VALUE"""),0.0)</f>
        <v>0</v>
      </c>
      <c r="V149" s="311">
        <f>IFERROR(__xludf.DUMMYFUNCTION("""COMPUTED_VALUE"""),0.0)</f>
        <v>0</v>
      </c>
      <c r="W149" s="311">
        <f>IFERROR(__xludf.DUMMYFUNCTION("""COMPUTED_VALUE"""),0.0)</f>
        <v>0</v>
      </c>
      <c r="X149" s="311">
        <f>IFERROR(__xludf.DUMMYFUNCTION("""COMPUTED_VALUE"""),0.0)</f>
        <v>0</v>
      </c>
      <c r="Y149" s="311">
        <f>IFERROR(__xludf.DUMMYFUNCTION("""COMPUTED_VALUE"""),0.0)</f>
        <v>0</v>
      </c>
      <c r="Z149" s="311">
        <f>IFERROR(__xludf.DUMMYFUNCTION("""COMPUTED_VALUE"""),-17.0)</f>
        <v>-17</v>
      </c>
      <c r="AA149" s="311">
        <f>IFERROR(__xludf.DUMMYFUNCTION("""COMPUTED_VALUE"""),0.0)</f>
        <v>0</v>
      </c>
      <c r="AB149" s="311">
        <f>IFERROR(__xludf.DUMMYFUNCTION("""COMPUTED_VALUE"""),0.0)</f>
        <v>0</v>
      </c>
      <c r="AC149" s="311">
        <f>IFERROR(__xludf.DUMMYFUNCTION("""COMPUTED_VALUE"""),0.0)</f>
        <v>0</v>
      </c>
      <c r="AD149" s="311">
        <f>IFERROR(__xludf.DUMMYFUNCTION("""COMPUTED_VALUE"""),0.0)</f>
        <v>0</v>
      </c>
      <c r="AE149" s="311">
        <f>IFERROR(__xludf.DUMMYFUNCTION("""COMPUTED_VALUE"""),0.0)</f>
        <v>0</v>
      </c>
      <c r="AF149" s="311" t="str">
        <f>IFERROR(__xludf.DUMMYFUNCTION("""COMPUTED_VALUE"""),"")</f>
        <v/>
      </c>
      <c r="AG149" s="311">
        <f>IFERROR(__xludf.DUMMYFUNCTION("""COMPUTED_VALUE"""),0.0)</f>
        <v>0</v>
      </c>
      <c r="AH149" s="311">
        <f>IFERROR(__xludf.DUMMYFUNCTION("""COMPUTED_VALUE"""),0.0)</f>
        <v>0</v>
      </c>
      <c r="AI149" s="311">
        <f>IFERROR(__xludf.DUMMYFUNCTION("""COMPUTED_VALUE"""),0.0)</f>
        <v>0</v>
      </c>
      <c r="AJ149" s="311"/>
    </row>
    <row r="150" ht="22.5" customHeight="1">
      <c r="A150" s="310" t="str">
        <f>IFERROR(__xludf.DUMMYFUNCTION("""COMPUTED_VALUE"""),"")</f>
        <v/>
      </c>
      <c r="B150" s="310" t="str">
        <f>IFERROR(__xludf.DUMMYFUNCTION("""COMPUTED_VALUE"""),"")</f>
        <v/>
      </c>
      <c r="C150" s="310">
        <f>IFERROR(__xludf.DUMMYFUNCTION("""COMPUTED_VALUE"""),307.0)</f>
        <v>307</v>
      </c>
      <c r="D150" s="310" t="str">
        <f>IFERROR(__xludf.DUMMYFUNCTION("""COMPUTED_VALUE"""),"Ação Social do Grajaú")</f>
        <v>Ação Social do Grajaú</v>
      </c>
      <c r="E150" s="313" t="str">
        <f>IFERROR(__xludf.DUMMYFUNCTION("""COMPUTED_VALUE"""),"ZONA NORTE")</f>
        <v>ZONA NORTE</v>
      </c>
      <c r="F150" s="310" t="str">
        <f>IFERROR(__xludf.DUMMYFUNCTION("""COMPUTED_VALUE"""),"Rio de Janeiro")</f>
        <v>Rio de Janeiro</v>
      </c>
      <c r="G150" s="310" t="str">
        <f>IFERROR(__xludf.DUMMYFUNCTION("""COMPUTED_VALUE"""),"Grajau")</f>
        <v>Grajau</v>
      </c>
      <c r="H150" s="310" t="str">
        <f>IFERROR(__xludf.DUMMYFUNCTION("""COMPUTED_VALUE"""),"Outra Instituição")</f>
        <v>Outra Instituição</v>
      </c>
      <c r="I150" s="310" t="str">
        <f>IFERROR(__xludf.DUMMYFUNCTION("""COMPUTED_VALUE"""),"Público")</f>
        <v>Público</v>
      </c>
      <c r="J150" s="310" t="str">
        <f>IFERROR(__xludf.DUMMYFUNCTION("""COMPUTED_VALUE"""),"")</f>
        <v/>
      </c>
      <c r="K150" s="310" t="str">
        <f>IFERROR(__xludf.DUMMYFUNCTION("""COMPUTED_VALUE"""),"")</f>
        <v/>
      </c>
      <c r="L150" s="310" t="str">
        <f>IFERROR(__xludf.DUMMYFUNCTION("""COMPUTED_VALUE"""),"")</f>
        <v/>
      </c>
      <c r="M150" s="310" t="str">
        <f>IFERROR(__xludf.DUMMYFUNCTION("""COMPUTED_VALUE"""),"")</f>
        <v/>
      </c>
      <c r="N150" s="310">
        <f>IFERROR(__xludf.DUMMYFUNCTION("""COMPUTED_VALUE"""),0.0)</f>
        <v>0</v>
      </c>
      <c r="O150" s="310">
        <f>IFERROR(__xludf.DUMMYFUNCTION("""COMPUTED_VALUE"""),0.0)</f>
        <v>0</v>
      </c>
      <c r="P150" s="310">
        <f>IFERROR(__xludf.DUMMYFUNCTION("""COMPUTED_VALUE"""),0.0)</f>
        <v>0</v>
      </c>
      <c r="Q150" s="310">
        <f>IFERROR(__xludf.DUMMYFUNCTION("""COMPUTED_VALUE"""),0.0)</f>
        <v>0</v>
      </c>
      <c r="R150" s="310">
        <f>IFERROR(__xludf.DUMMYFUNCTION("""COMPUTED_VALUE"""),0.0)</f>
        <v>0</v>
      </c>
      <c r="S150" s="310">
        <f>IFERROR(__xludf.DUMMYFUNCTION("""COMPUTED_VALUE"""),0.0)</f>
        <v>0</v>
      </c>
      <c r="T150" s="310">
        <f>IFERROR(__xludf.DUMMYFUNCTION("""COMPUTED_VALUE"""),10.0)</f>
        <v>10</v>
      </c>
      <c r="U150" s="310">
        <f>IFERROR(__xludf.DUMMYFUNCTION("""COMPUTED_VALUE"""),0.0)</f>
        <v>0</v>
      </c>
      <c r="V150" s="310">
        <f>IFERROR(__xludf.DUMMYFUNCTION("""COMPUTED_VALUE"""),0.0)</f>
        <v>0</v>
      </c>
      <c r="W150" s="310">
        <f>IFERROR(__xludf.DUMMYFUNCTION("""COMPUTED_VALUE"""),0.0)</f>
        <v>0</v>
      </c>
      <c r="X150" s="310">
        <f>IFERROR(__xludf.DUMMYFUNCTION("""COMPUTED_VALUE"""),0.0)</f>
        <v>0</v>
      </c>
      <c r="Y150" s="310">
        <f>IFERROR(__xludf.DUMMYFUNCTION("""COMPUTED_VALUE"""),0.0)</f>
        <v>0</v>
      </c>
      <c r="Z150" s="310">
        <f>IFERROR(__xludf.DUMMYFUNCTION("""COMPUTED_VALUE"""),-10.0)</f>
        <v>-10</v>
      </c>
      <c r="AA150" s="310">
        <f>IFERROR(__xludf.DUMMYFUNCTION("""COMPUTED_VALUE"""),0.0)</f>
        <v>0</v>
      </c>
      <c r="AB150" s="310">
        <f>IFERROR(__xludf.DUMMYFUNCTION("""COMPUTED_VALUE"""),0.0)</f>
        <v>0</v>
      </c>
      <c r="AC150" s="310">
        <f>IFERROR(__xludf.DUMMYFUNCTION("""COMPUTED_VALUE"""),0.0)</f>
        <v>0</v>
      </c>
      <c r="AD150" s="310">
        <f>IFERROR(__xludf.DUMMYFUNCTION("""COMPUTED_VALUE"""),0.0)</f>
        <v>0</v>
      </c>
      <c r="AE150" s="310">
        <f>IFERROR(__xludf.DUMMYFUNCTION("""COMPUTED_VALUE"""),0.0)</f>
        <v>0</v>
      </c>
      <c r="AF150" s="310" t="str">
        <f>IFERROR(__xludf.DUMMYFUNCTION("""COMPUTED_VALUE"""),"")</f>
        <v/>
      </c>
      <c r="AG150" s="310">
        <f>IFERROR(__xludf.DUMMYFUNCTION("""COMPUTED_VALUE"""),0.0)</f>
        <v>0</v>
      </c>
      <c r="AH150" s="310">
        <f>IFERROR(__xludf.DUMMYFUNCTION("""COMPUTED_VALUE"""),0.0)</f>
        <v>0</v>
      </c>
      <c r="AI150" s="310">
        <f>IFERROR(__xludf.DUMMYFUNCTION("""COMPUTED_VALUE"""),0.0)</f>
        <v>0</v>
      </c>
      <c r="AJ150" s="310"/>
    </row>
    <row r="151" ht="22.5" customHeight="1">
      <c r="A151" s="311" t="str">
        <f>IFERROR(__xludf.DUMMYFUNCTION("""COMPUTED_VALUE"""),"")</f>
        <v/>
      </c>
      <c r="B151" s="311" t="str">
        <f>IFERROR(__xludf.DUMMYFUNCTION("""COMPUTED_VALUE"""),"")</f>
        <v/>
      </c>
      <c r="C151" s="311">
        <f>IFERROR(__xludf.DUMMYFUNCTION("""COMPUTED_VALUE"""),308.0)</f>
        <v>308</v>
      </c>
      <c r="D151" s="311" t="str">
        <f>IFERROR(__xludf.DUMMYFUNCTION("""COMPUTED_VALUE"""),"Hospital Samaritano")</f>
        <v>Hospital Samaritano</v>
      </c>
      <c r="E151" s="315" t="str">
        <f>IFERROR(__xludf.DUMMYFUNCTION("""COMPUTED_VALUE"""),"ZONA SUL")</f>
        <v>ZONA SUL</v>
      </c>
      <c r="F151" s="311" t="str">
        <f>IFERROR(__xludf.DUMMYFUNCTION("""COMPUTED_VALUE"""),"Rio de Janeiro")</f>
        <v>Rio de Janeiro</v>
      </c>
      <c r="G151" s="311" t="str">
        <f>IFERROR(__xludf.DUMMYFUNCTION("""COMPUTED_VALUE"""),"Botafogo")</f>
        <v>Botafogo</v>
      </c>
      <c r="H151" s="311" t="str">
        <f>IFERROR(__xludf.DUMMYFUNCTION("""COMPUTED_VALUE"""),"Referência - ALTA COMPLEXIDADE")</f>
        <v>Referência - ALTA COMPLEXIDADE</v>
      </c>
      <c r="I151" s="311" t="str">
        <f>IFERROR(__xludf.DUMMYFUNCTION("""COMPUTED_VALUE"""),"Público")</f>
        <v>Público</v>
      </c>
      <c r="J151" s="311" t="str">
        <f>IFERROR(__xludf.DUMMYFUNCTION("""COMPUTED_VALUE"""),"")</f>
        <v/>
      </c>
      <c r="K151" s="311" t="str">
        <f>IFERROR(__xludf.DUMMYFUNCTION("""COMPUTED_VALUE"""),"")</f>
        <v/>
      </c>
      <c r="L151" s="311" t="str">
        <f>IFERROR(__xludf.DUMMYFUNCTION("""COMPUTED_VALUE"""),"")</f>
        <v/>
      </c>
      <c r="M151" s="311" t="str">
        <f>IFERROR(__xludf.DUMMYFUNCTION("""COMPUTED_VALUE"""),"")</f>
        <v/>
      </c>
      <c r="N151" s="311">
        <f>IFERROR(__xludf.DUMMYFUNCTION("""COMPUTED_VALUE"""),0.0)</f>
        <v>0</v>
      </c>
      <c r="O151" s="311">
        <f>IFERROR(__xludf.DUMMYFUNCTION("""COMPUTED_VALUE"""),0.0)</f>
        <v>0</v>
      </c>
      <c r="P151" s="311">
        <f>IFERROR(__xludf.DUMMYFUNCTION("""COMPUTED_VALUE"""),0.0)</f>
        <v>0</v>
      </c>
      <c r="Q151" s="311">
        <f>IFERROR(__xludf.DUMMYFUNCTION("""COMPUTED_VALUE"""),0.0)</f>
        <v>0</v>
      </c>
      <c r="R151" s="311">
        <f>IFERROR(__xludf.DUMMYFUNCTION("""COMPUTED_VALUE"""),0.0)</f>
        <v>0</v>
      </c>
      <c r="S151" s="311">
        <f>IFERROR(__xludf.DUMMYFUNCTION("""COMPUTED_VALUE"""),0.0)</f>
        <v>0</v>
      </c>
      <c r="T151" s="311">
        <f>IFERROR(__xludf.DUMMYFUNCTION("""COMPUTED_VALUE"""),75.0)</f>
        <v>75</v>
      </c>
      <c r="U151" s="311">
        <f>IFERROR(__xludf.DUMMYFUNCTION("""COMPUTED_VALUE"""),0.0)</f>
        <v>0</v>
      </c>
      <c r="V151" s="311">
        <f>IFERROR(__xludf.DUMMYFUNCTION("""COMPUTED_VALUE"""),0.0)</f>
        <v>0</v>
      </c>
      <c r="W151" s="311">
        <f>IFERROR(__xludf.DUMMYFUNCTION("""COMPUTED_VALUE"""),0.0)</f>
        <v>0</v>
      </c>
      <c r="X151" s="311">
        <f>IFERROR(__xludf.DUMMYFUNCTION("""COMPUTED_VALUE"""),0.0)</f>
        <v>0</v>
      </c>
      <c r="Y151" s="311">
        <f>IFERROR(__xludf.DUMMYFUNCTION("""COMPUTED_VALUE"""),0.0)</f>
        <v>0</v>
      </c>
      <c r="Z151" s="311">
        <f>IFERROR(__xludf.DUMMYFUNCTION("""COMPUTED_VALUE"""),-75.0)</f>
        <v>-75</v>
      </c>
      <c r="AA151" s="311">
        <f>IFERROR(__xludf.DUMMYFUNCTION("""COMPUTED_VALUE"""),0.0)</f>
        <v>0</v>
      </c>
      <c r="AB151" s="311">
        <f>IFERROR(__xludf.DUMMYFUNCTION("""COMPUTED_VALUE"""),0.0)</f>
        <v>0</v>
      </c>
      <c r="AC151" s="311">
        <f>IFERROR(__xludf.DUMMYFUNCTION("""COMPUTED_VALUE"""),0.0)</f>
        <v>0</v>
      </c>
      <c r="AD151" s="311">
        <f>IFERROR(__xludf.DUMMYFUNCTION("""COMPUTED_VALUE"""),0.0)</f>
        <v>0</v>
      </c>
      <c r="AE151" s="311">
        <f>IFERROR(__xludf.DUMMYFUNCTION("""COMPUTED_VALUE"""),0.0)</f>
        <v>0</v>
      </c>
      <c r="AF151" s="311" t="str">
        <f>IFERROR(__xludf.DUMMYFUNCTION("""COMPUTED_VALUE"""),"")</f>
        <v/>
      </c>
      <c r="AG151" s="311">
        <f>IFERROR(__xludf.DUMMYFUNCTION("""COMPUTED_VALUE"""),0.0)</f>
        <v>0</v>
      </c>
      <c r="AH151" s="311">
        <f>IFERROR(__xludf.DUMMYFUNCTION("""COMPUTED_VALUE"""),0.0)</f>
        <v>0</v>
      </c>
      <c r="AI151" s="311">
        <f>IFERROR(__xludf.DUMMYFUNCTION("""COMPUTED_VALUE"""),0.0)</f>
        <v>0</v>
      </c>
      <c r="AJ151" s="311"/>
    </row>
    <row r="152" ht="22.5" customHeight="1">
      <c r="A152" s="310" t="str">
        <f>IFERROR(__xludf.DUMMYFUNCTION("""COMPUTED_VALUE"""),"")</f>
        <v/>
      </c>
      <c r="B152" s="310" t="str">
        <f>IFERROR(__xludf.DUMMYFUNCTION("""COMPUTED_VALUE"""),"")</f>
        <v/>
      </c>
      <c r="C152" s="310">
        <f>IFERROR(__xludf.DUMMYFUNCTION("""COMPUTED_VALUE"""),309.0)</f>
        <v>309</v>
      </c>
      <c r="D152" s="310" t="str">
        <f>IFERROR(__xludf.DUMMYFUNCTION("""COMPUTED_VALUE"""),"Hospital Samaritano - Botafogo")</f>
        <v>Hospital Samaritano - Botafogo</v>
      </c>
      <c r="E152" s="313" t="str">
        <f>IFERROR(__xludf.DUMMYFUNCTION("""COMPUTED_VALUE"""),"ZONA SUL")</f>
        <v>ZONA SUL</v>
      </c>
      <c r="F152" s="310" t="str">
        <f>IFERROR(__xludf.DUMMYFUNCTION("""COMPUTED_VALUE"""),"Rio de Janeiro")</f>
        <v>Rio de Janeiro</v>
      </c>
      <c r="G152" s="310" t="str">
        <f>IFERROR(__xludf.DUMMYFUNCTION("""COMPUTED_VALUE"""),"Botafogo")</f>
        <v>Botafogo</v>
      </c>
      <c r="H152" s="310" t="str">
        <f>IFERROR(__xludf.DUMMYFUNCTION("""COMPUTED_VALUE"""),"REferência - ALTA COMPLEXIDADE")</f>
        <v>REferência - ALTA COMPLEXIDADE</v>
      </c>
      <c r="I152" s="310" t="str">
        <f>IFERROR(__xludf.DUMMYFUNCTION("""COMPUTED_VALUE"""),"Público")</f>
        <v>Público</v>
      </c>
      <c r="J152" s="310" t="str">
        <f>IFERROR(__xludf.DUMMYFUNCTION("""COMPUTED_VALUE"""),"")</f>
        <v/>
      </c>
      <c r="K152" s="310" t="str">
        <f>IFERROR(__xludf.DUMMYFUNCTION("""COMPUTED_VALUE"""),"")</f>
        <v/>
      </c>
      <c r="L152" s="310" t="str">
        <f>IFERROR(__xludf.DUMMYFUNCTION("""COMPUTED_VALUE"""),"")</f>
        <v/>
      </c>
      <c r="M152" s="310" t="str">
        <f>IFERROR(__xludf.DUMMYFUNCTION("""COMPUTED_VALUE"""),"")</f>
        <v/>
      </c>
      <c r="N152" s="310">
        <f>IFERROR(__xludf.DUMMYFUNCTION("""COMPUTED_VALUE"""),0.0)</f>
        <v>0</v>
      </c>
      <c r="O152" s="310">
        <f>IFERROR(__xludf.DUMMYFUNCTION("""COMPUTED_VALUE"""),0.0)</f>
        <v>0</v>
      </c>
      <c r="P152" s="310">
        <f>IFERROR(__xludf.DUMMYFUNCTION("""COMPUTED_VALUE"""),0.0)</f>
        <v>0</v>
      </c>
      <c r="Q152" s="310">
        <f>IFERROR(__xludf.DUMMYFUNCTION("""COMPUTED_VALUE"""),0.0)</f>
        <v>0</v>
      </c>
      <c r="R152" s="310">
        <f>IFERROR(__xludf.DUMMYFUNCTION("""COMPUTED_VALUE"""),0.0)</f>
        <v>0</v>
      </c>
      <c r="S152" s="310">
        <f>IFERROR(__xludf.DUMMYFUNCTION("""COMPUTED_VALUE"""),0.0)</f>
        <v>0</v>
      </c>
      <c r="T152" s="310">
        <f>IFERROR(__xludf.DUMMYFUNCTION("""COMPUTED_VALUE"""),75.0)</f>
        <v>75</v>
      </c>
      <c r="U152" s="310">
        <f>IFERROR(__xludf.DUMMYFUNCTION("""COMPUTED_VALUE"""),0.0)</f>
        <v>0</v>
      </c>
      <c r="V152" s="310">
        <f>IFERROR(__xludf.DUMMYFUNCTION("""COMPUTED_VALUE"""),0.0)</f>
        <v>0</v>
      </c>
      <c r="W152" s="310">
        <f>IFERROR(__xludf.DUMMYFUNCTION("""COMPUTED_VALUE"""),0.0)</f>
        <v>0</v>
      </c>
      <c r="X152" s="310">
        <f>IFERROR(__xludf.DUMMYFUNCTION("""COMPUTED_VALUE"""),0.0)</f>
        <v>0</v>
      </c>
      <c r="Y152" s="310">
        <f>IFERROR(__xludf.DUMMYFUNCTION("""COMPUTED_VALUE"""),0.0)</f>
        <v>0</v>
      </c>
      <c r="Z152" s="310">
        <f>IFERROR(__xludf.DUMMYFUNCTION("""COMPUTED_VALUE"""),-75.0)</f>
        <v>-75</v>
      </c>
      <c r="AA152" s="310">
        <f>IFERROR(__xludf.DUMMYFUNCTION("""COMPUTED_VALUE"""),0.0)</f>
        <v>0</v>
      </c>
      <c r="AB152" s="310">
        <f>IFERROR(__xludf.DUMMYFUNCTION("""COMPUTED_VALUE"""),0.0)</f>
        <v>0</v>
      </c>
      <c r="AC152" s="310">
        <f>IFERROR(__xludf.DUMMYFUNCTION("""COMPUTED_VALUE"""),0.0)</f>
        <v>0</v>
      </c>
      <c r="AD152" s="310">
        <f>IFERROR(__xludf.DUMMYFUNCTION("""COMPUTED_VALUE"""),0.0)</f>
        <v>0</v>
      </c>
      <c r="AE152" s="310">
        <f>IFERROR(__xludf.DUMMYFUNCTION("""COMPUTED_VALUE"""),0.0)</f>
        <v>0</v>
      </c>
      <c r="AF152" s="310" t="str">
        <f>IFERROR(__xludf.DUMMYFUNCTION("""COMPUTED_VALUE"""),"")</f>
        <v/>
      </c>
      <c r="AG152" s="310">
        <f>IFERROR(__xludf.DUMMYFUNCTION("""COMPUTED_VALUE"""),0.0)</f>
        <v>0</v>
      </c>
      <c r="AH152" s="310">
        <f>IFERROR(__xludf.DUMMYFUNCTION("""COMPUTED_VALUE"""),0.0)</f>
        <v>0</v>
      </c>
      <c r="AI152" s="310">
        <f>IFERROR(__xludf.DUMMYFUNCTION("""COMPUTED_VALUE"""),0.0)</f>
        <v>0</v>
      </c>
      <c r="AJ152" s="310"/>
    </row>
    <row r="153" ht="22.5" customHeight="1">
      <c r="A153" s="311" t="str">
        <f>IFERROR(__xludf.DUMMYFUNCTION("""COMPUTED_VALUE"""),"")</f>
        <v/>
      </c>
      <c r="B153" s="311" t="str">
        <f>IFERROR(__xludf.DUMMYFUNCTION("""COMPUTED_VALUE"""),"")</f>
        <v/>
      </c>
      <c r="C153" s="311">
        <f>IFERROR(__xludf.DUMMYFUNCTION("""COMPUTED_VALUE"""),310.0)</f>
        <v>310</v>
      </c>
      <c r="D153" s="311" t="str">
        <f>IFERROR(__xludf.DUMMYFUNCTION("""COMPUTED_VALUE"""),"IPPMG - UFRJ")</f>
        <v>IPPMG - UFRJ</v>
      </c>
      <c r="E153" s="315" t="str">
        <f>IFERROR(__xludf.DUMMYFUNCTION("""COMPUTED_VALUE"""),"ZONA NORTE")</f>
        <v>ZONA NORTE</v>
      </c>
      <c r="F153" s="311" t="str">
        <f>IFERROR(__xludf.DUMMYFUNCTION("""COMPUTED_VALUE"""),"Rio de Janeiro")</f>
        <v>Rio de Janeiro</v>
      </c>
      <c r="G153" s="311" t="str">
        <f>IFERROR(__xludf.DUMMYFUNCTION("""COMPUTED_VALUE"""),"Cidade Universitaria")</f>
        <v>Cidade Universitaria</v>
      </c>
      <c r="H153" s="311" t="str">
        <f>IFERROR(__xludf.DUMMYFUNCTION("""COMPUTED_VALUE"""),"Referência - ALTA COMPLEXIDADE")</f>
        <v>Referência - ALTA COMPLEXIDADE</v>
      </c>
      <c r="I153" s="311" t="str">
        <f>IFERROR(__xludf.DUMMYFUNCTION("""COMPUTED_VALUE"""),"Público")</f>
        <v>Público</v>
      </c>
      <c r="J153" s="311" t="str">
        <f>IFERROR(__xludf.DUMMYFUNCTION("""COMPUTED_VALUE"""),"")</f>
        <v/>
      </c>
      <c r="K153" s="311" t="str">
        <f>IFERROR(__xludf.DUMMYFUNCTION("""COMPUTED_VALUE"""),"")</f>
        <v/>
      </c>
      <c r="L153" s="311" t="str">
        <f>IFERROR(__xludf.DUMMYFUNCTION("""COMPUTED_VALUE"""),"")</f>
        <v/>
      </c>
      <c r="M153" s="311" t="str">
        <f>IFERROR(__xludf.DUMMYFUNCTION("""COMPUTED_VALUE"""),"")</f>
        <v/>
      </c>
      <c r="N153" s="311">
        <f>IFERROR(__xludf.DUMMYFUNCTION("""COMPUTED_VALUE"""),0.0)</f>
        <v>0</v>
      </c>
      <c r="O153" s="311">
        <f>IFERROR(__xludf.DUMMYFUNCTION("""COMPUTED_VALUE"""),0.0)</f>
        <v>0</v>
      </c>
      <c r="P153" s="311">
        <f>IFERROR(__xludf.DUMMYFUNCTION("""COMPUTED_VALUE"""),0.0)</f>
        <v>0</v>
      </c>
      <c r="Q153" s="311">
        <f>IFERROR(__xludf.DUMMYFUNCTION("""COMPUTED_VALUE"""),0.0)</f>
        <v>0</v>
      </c>
      <c r="R153" s="311">
        <f>IFERROR(__xludf.DUMMYFUNCTION("""COMPUTED_VALUE"""),0.0)</f>
        <v>0</v>
      </c>
      <c r="S153" s="311">
        <f>IFERROR(__xludf.DUMMYFUNCTION("""COMPUTED_VALUE"""),0.0)</f>
        <v>0</v>
      </c>
      <c r="T153" s="311">
        <f>IFERROR(__xludf.DUMMYFUNCTION("""COMPUTED_VALUE"""),14.0)</f>
        <v>14</v>
      </c>
      <c r="U153" s="311">
        <f>IFERROR(__xludf.DUMMYFUNCTION("""COMPUTED_VALUE"""),0.0)</f>
        <v>0</v>
      </c>
      <c r="V153" s="311">
        <f>IFERROR(__xludf.DUMMYFUNCTION("""COMPUTED_VALUE"""),0.0)</f>
        <v>0</v>
      </c>
      <c r="W153" s="311">
        <f>IFERROR(__xludf.DUMMYFUNCTION("""COMPUTED_VALUE"""),0.0)</f>
        <v>0</v>
      </c>
      <c r="X153" s="311">
        <f>IFERROR(__xludf.DUMMYFUNCTION("""COMPUTED_VALUE"""),0.0)</f>
        <v>0</v>
      </c>
      <c r="Y153" s="311">
        <f>IFERROR(__xludf.DUMMYFUNCTION("""COMPUTED_VALUE"""),0.0)</f>
        <v>0</v>
      </c>
      <c r="Z153" s="311">
        <f>IFERROR(__xludf.DUMMYFUNCTION("""COMPUTED_VALUE"""),-14.0)</f>
        <v>-14</v>
      </c>
      <c r="AA153" s="311">
        <f>IFERROR(__xludf.DUMMYFUNCTION("""COMPUTED_VALUE"""),0.0)</f>
        <v>0</v>
      </c>
      <c r="AB153" s="311">
        <f>IFERROR(__xludf.DUMMYFUNCTION("""COMPUTED_VALUE"""),0.0)</f>
        <v>0</v>
      </c>
      <c r="AC153" s="311">
        <f>IFERROR(__xludf.DUMMYFUNCTION("""COMPUTED_VALUE"""),0.0)</f>
        <v>0</v>
      </c>
      <c r="AD153" s="311">
        <f>IFERROR(__xludf.DUMMYFUNCTION("""COMPUTED_VALUE"""),0.0)</f>
        <v>0</v>
      </c>
      <c r="AE153" s="311">
        <f>IFERROR(__xludf.DUMMYFUNCTION("""COMPUTED_VALUE"""),0.0)</f>
        <v>0</v>
      </c>
      <c r="AF153" s="311" t="str">
        <f>IFERROR(__xludf.DUMMYFUNCTION("""COMPUTED_VALUE"""),"")</f>
        <v/>
      </c>
      <c r="AG153" s="311">
        <f>IFERROR(__xludf.DUMMYFUNCTION("""COMPUTED_VALUE"""),0.0)</f>
        <v>0</v>
      </c>
      <c r="AH153" s="311">
        <f>IFERROR(__xludf.DUMMYFUNCTION("""COMPUTED_VALUE"""),0.0)</f>
        <v>0</v>
      </c>
      <c r="AI153" s="311">
        <f>IFERROR(__xludf.DUMMYFUNCTION("""COMPUTED_VALUE"""),0.0)</f>
        <v>0</v>
      </c>
      <c r="AJ153" s="311"/>
    </row>
    <row r="154" ht="22.5" customHeight="1">
      <c r="A154" s="310" t="str">
        <f>IFERROR(__xludf.DUMMYFUNCTION("""COMPUTED_VALUE"""),"")</f>
        <v/>
      </c>
      <c r="B154" s="310" t="str">
        <f>IFERROR(__xludf.DUMMYFUNCTION("""COMPUTED_VALUE"""),"")</f>
        <v/>
      </c>
      <c r="C154" s="310">
        <f>IFERROR(__xludf.DUMMYFUNCTION("""COMPUTED_VALUE"""),311.0)</f>
        <v>311</v>
      </c>
      <c r="D154" s="310" t="str">
        <f>IFERROR(__xludf.DUMMYFUNCTION("""COMPUTED_VALUE"""),"Jacarezinho contra o Coronavírus")</f>
        <v>Jacarezinho contra o Coronavírus</v>
      </c>
      <c r="E154" s="313" t="str">
        <f>IFERROR(__xludf.DUMMYFUNCTION("""COMPUTED_VALUE"""),"ZONA NORTE")</f>
        <v>ZONA NORTE</v>
      </c>
      <c r="F154" s="310" t="str">
        <f>IFERROR(__xludf.DUMMYFUNCTION("""COMPUTED_VALUE"""),"Rio de Janeiro")</f>
        <v>Rio de Janeiro</v>
      </c>
      <c r="G154" s="310" t="str">
        <f>IFERROR(__xludf.DUMMYFUNCTION("""COMPUTED_VALUE"""),"Jacarezinho")</f>
        <v>Jacarezinho</v>
      </c>
      <c r="H154" s="310" t="str">
        <f>IFERROR(__xludf.DUMMYFUNCTION("""COMPUTED_VALUE"""),"Outra Instituição")</f>
        <v>Outra Instituição</v>
      </c>
      <c r="I154" s="310" t="str">
        <f>IFERROR(__xludf.DUMMYFUNCTION("""COMPUTED_VALUE"""),"Público")</f>
        <v>Público</v>
      </c>
      <c r="J154" s="310" t="str">
        <f>IFERROR(__xludf.DUMMYFUNCTION("""COMPUTED_VALUE"""),"")</f>
        <v/>
      </c>
      <c r="K154" s="310" t="str">
        <f>IFERROR(__xludf.DUMMYFUNCTION("""COMPUTED_VALUE"""),"")</f>
        <v/>
      </c>
      <c r="L154" s="310" t="str">
        <f>IFERROR(__xludf.DUMMYFUNCTION("""COMPUTED_VALUE"""),"")</f>
        <v/>
      </c>
      <c r="M154" s="310" t="str">
        <f>IFERROR(__xludf.DUMMYFUNCTION("""COMPUTED_VALUE"""),"")</f>
        <v/>
      </c>
      <c r="N154" s="310">
        <f>IFERROR(__xludf.DUMMYFUNCTION("""COMPUTED_VALUE"""),0.0)</f>
        <v>0</v>
      </c>
      <c r="O154" s="310">
        <f>IFERROR(__xludf.DUMMYFUNCTION("""COMPUTED_VALUE"""),0.0)</f>
        <v>0</v>
      </c>
      <c r="P154" s="310">
        <f>IFERROR(__xludf.DUMMYFUNCTION("""COMPUTED_VALUE"""),0.0)</f>
        <v>0</v>
      </c>
      <c r="Q154" s="310">
        <f>IFERROR(__xludf.DUMMYFUNCTION("""COMPUTED_VALUE"""),0.0)</f>
        <v>0</v>
      </c>
      <c r="R154" s="310">
        <f>IFERROR(__xludf.DUMMYFUNCTION("""COMPUTED_VALUE"""),0.0)</f>
        <v>0</v>
      </c>
      <c r="S154" s="310">
        <f>IFERROR(__xludf.DUMMYFUNCTION("""COMPUTED_VALUE"""),0.0)</f>
        <v>0</v>
      </c>
      <c r="T154" s="310">
        <f>IFERROR(__xludf.DUMMYFUNCTION("""COMPUTED_VALUE"""),15.0)</f>
        <v>15</v>
      </c>
      <c r="U154" s="310">
        <f>IFERROR(__xludf.DUMMYFUNCTION("""COMPUTED_VALUE"""),0.0)</f>
        <v>0</v>
      </c>
      <c r="V154" s="310">
        <f>IFERROR(__xludf.DUMMYFUNCTION("""COMPUTED_VALUE"""),0.0)</f>
        <v>0</v>
      </c>
      <c r="W154" s="310">
        <f>IFERROR(__xludf.DUMMYFUNCTION("""COMPUTED_VALUE"""),0.0)</f>
        <v>0</v>
      </c>
      <c r="X154" s="310">
        <f>IFERROR(__xludf.DUMMYFUNCTION("""COMPUTED_VALUE"""),0.0)</f>
        <v>0</v>
      </c>
      <c r="Y154" s="310">
        <f>IFERROR(__xludf.DUMMYFUNCTION("""COMPUTED_VALUE"""),0.0)</f>
        <v>0</v>
      </c>
      <c r="Z154" s="310">
        <f>IFERROR(__xludf.DUMMYFUNCTION("""COMPUTED_VALUE"""),-15.0)</f>
        <v>-15</v>
      </c>
      <c r="AA154" s="310">
        <f>IFERROR(__xludf.DUMMYFUNCTION("""COMPUTED_VALUE"""),0.0)</f>
        <v>0</v>
      </c>
      <c r="AB154" s="310">
        <f>IFERROR(__xludf.DUMMYFUNCTION("""COMPUTED_VALUE"""),0.0)</f>
        <v>0</v>
      </c>
      <c r="AC154" s="310">
        <f>IFERROR(__xludf.DUMMYFUNCTION("""COMPUTED_VALUE"""),0.0)</f>
        <v>0</v>
      </c>
      <c r="AD154" s="310">
        <f>IFERROR(__xludf.DUMMYFUNCTION("""COMPUTED_VALUE"""),0.0)</f>
        <v>0</v>
      </c>
      <c r="AE154" s="310">
        <f>IFERROR(__xludf.DUMMYFUNCTION("""COMPUTED_VALUE"""),0.0)</f>
        <v>0</v>
      </c>
      <c r="AF154" s="310" t="str">
        <f>IFERROR(__xludf.DUMMYFUNCTION("""COMPUTED_VALUE"""),"")</f>
        <v/>
      </c>
      <c r="AG154" s="310">
        <f>IFERROR(__xludf.DUMMYFUNCTION("""COMPUTED_VALUE"""),0.0)</f>
        <v>0</v>
      </c>
      <c r="AH154" s="310">
        <f>IFERROR(__xludf.DUMMYFUNCTION("""COMPUTED_VALUE"""),0.0)</f>
        <v>0</v>
      </c>
      <c r="AI154" s="310">
        <f>IFERROR(__xludf.DUMMYFUNCTION("""COMPUTED_VALUE"""),0.0)</f>
        <v>0</v>
      </c>
      <c r="AJ154" s="310"/>
    </row>
    <row r="155" ht="22.5" customHeight="1">
      <c r="A155" s="311" t="str">
        <f>IFERROR(__xludf.DUMMYFUNCTION("""COMPUTED_VALUE"""),"")</f>
        <v/>
      </c>
      <c r="B155" s="311" t="str">
        <f>IFERROR(__xludf.DUMMYFUNCTION("""COMPUTED_VALUE"""),"")</f>
        <v/>
      </c>
      <c r="C155" s="311">
        <f>IFERROR(__xludf.DUMMYFUNCTION("""COMPUTED_VALUE"""),312.0)</f>
        <v>312</v>
      </c>
      <c r="D155" s="311" t="str">
        <f>IFERROR(__xludf.DUMMYFUNCTION("""COMPUTED_VALUE"""),"LAR DE IDOSOS - FROIEN FARAIN")</f>
        <v>LAR DE IDOSOS - FROIEN FARAIN</v>
      </c>
      <c r="E155" s="315" t="str">
        <f>IFERROR(__xludf.DUMMYFUNCTION("""COMPUTED_VALUE"""),"ZONA NORTE")</f>
        <v>ZONA NORTE</v>
      </c>
      <c r="F155" s="311" t="str">
        <f>IFERROR(__xludf.DUMMYFUNCTION("""COMPUTED_VALUE"""),"Rio de Janeiro")</f>
        <v>Rio de Janeiro</v>
      </c>
      <c r="G155" s="311" t="str">
        <f>IFERROR(__xludf.DUMMYFUNCTION("""COMPUTED_VALUE"""),"TIJUCA")</f>
        <v>TIJUCA</v>
      </c>
      <c r="H155" s="311" t="str">
        <f>IFERROR(__xludf.DUMMYFUNCTION("""COMPUTED_VALUE"""),"Outra Instituição")</f>
        <v>Outra Instituição</v>
      </c>
      <c r="I155" s="311" t="str">
        <f>IFERROR(__xludf.DUMMYFUNCTION("""COMPUTED_VALUE"""),"Público")</f>
        <v>Público</v>
      </c>
      <c r="J155" s="311" t="str">
        <f>IFERROR(__xludf.DUMMYFUNCTION("""COMPUTED_VALUE"""),"")</f>
        <v/>
      </c>
      <c r="K155" s="311" t="str">
        <f>IFERROR(__xludf.DUMMYFUNCTION("""COMPUTED_VALUE"""),"")</f>
        <v/>
      </c>
      <c r="L155" s="311" t="str">
        <f>IFERROR(__xludf.DUMMYFUNCTION("""COMPUTED_VALUE"""),"")</f>
        <v/>
      </c>
      <c r="M155" s="311" t="str">
        <f>IFERROR(__xludf.DUMMYFUNCTION("""COMPUTED_VALUE"""),"")</f>
        <v/>
      </c>
      <c r="N155" s="311">
        <f>IFERROR(__xludf.DUMMYFUNCTION("""COMPUTED_VALUE"""),0.0)</f>
        <v>0</v>
      </c>
      <c r="O155" s="311">
        <f>IFERROR(__xludf.DUMMYFUNCTION("""COMPUTED_VALUE"""),0.0)</f>
        <v>0</v>
      </c>
      <c r="P155" s="311">
        <f>IFERROR(__xludf.DUMMYFUNCTION("""COMPUTED_VALUE"""),0.0)</f>
        <v>0</v>
      </c>
      <c r="Q155" s="311">
        <f>IFERROR(__xludf.DUMMYFUNCTION("""COMPUTED_VALUE"""),0.0)</f>
        <v>0</v>
      </c>
      <c r="R155" s="311">
        <f>IFERROR(__xludf.DUMMYFUNCTION("""COMPUTED_VALUE"""),0.0)</f>
        <v>0</v>
      </c>
      <c r="S155" s="311">
        <f>IFERROR(__xludf.DUMMYFUNCTION("""COMPUTED_VALUE"""),0.0)</f>
        <v>0</v>
      </c>
      <c r="T155" s="311">
        <f>IFERROR(__xludf.DUMMYFUNCTION("""COMPUTED_VALUE"""),50.0)</f>
        <v>50</v>
      </c>
      <c r="U155" s="311">
        <f>IFERROR(__xludf.DUMMYFUNCTION("""COMPUTED_VALUE"""),0.0)</f>
        <v>0</v>
      </c>
      <c r="V155" s="311">
        <f>IFERROR(__xludf.DUMMYFUNCTION("""COMPUTED_VALUE"""),0.0)</f>
        <v>0</v>
      </c>
      <c r="W155" s="311">
        <f>IFERROR(__xludf.DUMMYFUNCTION("""COMPUTED_VALUE"""),0.0)</f>
        <v>0</v>
      </c>
      <c r="X155" s="311">
        <f>IFERROR(__xludf.DUMMYFUNCTION("""COMPUTED_VALUE"""),0.0)</f>
        <v>0</v>
      </c>
      <c r="Y155" s="311">
        <f>IFERROR(__xludf.DUMMYFUNCTION("""COMPUTED_VALUE"""),0.0)</f>
        <v>0</v>
      </c>
      <c r="Z155" s="311">
        <f>IFERROR(__xludf.DUMMYFUNCTION("""COMPUTED_VALUE"""),-50.0)</f>
        <v>-50</v>
      </c>
      <c r="AA155" s="311">
        <f>IFERROR(__xludf.DUMMYFUNCTION("""COMPUTED_VALUE"""),0.0)</f>
        <v>0</v>
      </c>
      <c r="AB155" s="311">
        <f>IFERROR(__xludf.DUMMYFUNCTION("""COMPUTED_VALUE"""),0.0)</f>
        <v>0</v>
      </c>
      <c r="AC155" s="311">
        <f>IFERROR(__xludf.DUMMYFUNCTION("""COMPUTED_VALUE"""),0.0)</f>
        <v>0</v>
      </c>
      <c r="AD155" s="311">
        <f>IFERROR(__xludf.DUMMYFUNCTION("""COMPUTED_VALUE"""),0.0)</f>
        <v>0</v>
      </c>
      <c r="AE155" s="311">
        <f>IFERROR(__xludf.DUMMYFUNCTION("""COMPUTED_VALUE"""),0.0)</f>
        <v>0</v>
      </c>
      <c r="AF155" s="311" t="str">
        <f>IFERROR(__xludf.DUMMYFUNCTION("""COMPUTED_VALUE"""),"")</f>
        <v/>
      </c>
      <c r="AG155" s="311">
        <f>IFERROR(__xludf.DUMMYFUNCTION("""COMPUTED_VALUE"""),0.0)</f>
        <v>0</v>
      </c>
      <c r="AH155" s="311">
        <f>IFERROR(__xludf.DUMMYFUNCTION("""COMPUTED_VALUE"""),0.0)</f>
        <v>0</v>
      </c>
      <c r="AI155" s="311">
        <f>IFERROR(__xludf.DUMMYFUNCTION("""COMPUTED_VALUE"""),0.0)</f>
        <v>0</v>
      </c>
      <c r="AJ155" s="311"/>
    </row>
    <row r="156" ht="22.5" customHeight="1">
      <c r="A156" s="310" t="str">
        <f>IFERROR(__xludf.DUMMYFUNCTION("""COMPUTED_VALUE"""),"")</f>
        <v/>
      </c>
      <c r="B156" s="310" t="str">
        <f>IFERROR(__xludf.DUMMYFUNCTION("""COMPUTED_VALUE"""),"")</f>
        <v/>
      </c>
      <c r="C156" s="310">
        <f>IFERROR(__xludf.DUMMYFUNCTION("""COMPUTED_VALUE"""),313.0)</f>
        <v>313</v>
      </c>
      <c r="D156" s="310" t="str">
        <f>IFERROR(__xludf.DUMMYFUNCTION("""COMPUTED_VALUE"""),"Maternidade Leila Diniz")</f>
        <v>Maternidade Leila Diniz</v>
      </c>
      <c r="E156" s="313" t="str">
        <f>IFERROR(__xludf.DUMMYFUNCTION("""COMPUTED_VALUE"""),"ZONA OESTE")</f>
        <v>ZONA OESTE</v>
      </c>
      <c r="F156" s="310" t="str">
        <f>IFERROR(__xludf.DUMMYFUNCTION("""COMPUTED_VALUE"""),"Rio de Janeiro")</f>
        <v>Rio de Janeiro</v>
      </c>
      <c r="G156" s="310" t="str">
        <f>IFERROR(__xludf.DUMMYFUNCTION("""COMPUTED_VALUE"""),"Barra da Tijuca")</f>
        <v>Barra da Tijuca</v>
      </c>
      <c r="H156" s="310" t="str">
        <f>IFERROR(__xludf.DUMMYFUNCTION("""COMPUTED_VALUE"""),"Grande emergência - MÉDIA COMPLEXIDADE
")</f>
        <v>Grande emergência - MÉDIA COMPLEXIDADE
</v>
      </c>
      <c r="I156" s="310" t="str">
        <f>IFERROR(__xludf.DUMMYFUNCTION("""COMPUTED_VALUE"""),"Público")</f>
        <v>Público</v>
      </c>
      <c r="J156" s="310" t="str">
        <f>IFERROR(__xludf.DUMMYFUNCTION("""COMPUTED_VALUE"""),"")</f>
        <v/>
      </c>
      <c r="K156" s="310" t="str">
        <f>IFERROR(__xludf.DUMMYFUNCTION("""COMPUTED_VALUE"""),"")</f>
        <v/>
      </c>
      <c r="L156" s="310" t="str">
        <f>IFERROR(__xludf.DUMMYFUNCTION("""COMPUTED_VALUE"""),"")</f>
        <v/>
      </c>
      <c r="M156" s="310" t="str">
        <f>IFERROR(__xludf.DUMMYFUNCTION("""COMPUTED_VALUE"""),"")</f>
        <v/>
      </c>
      <c r="N156" s="310">
        <f>IFERROR(__xludf.DUMMYFUNCTION("""COMPUTED_VALUE"""),0.0)</f>
        <v>0</v>
      </c>
      <c r="O156" s="310">
        <f>IFERROR(__xludf.DUMMYFUNCTION("""COMPUTED_VALUE"""),0.0)</f>
        <v>0</v>
      </c>
      <c r="P156" s="310">
        <f>IFERROR(__xludf.DUMMYFUNCTION("""COMPUTED_VALUE"""),0.0)</f>
        <v>0</v>
      </c>
      <c r="Q156" s="310">
        <f>IFERROR(__xludf.DUMMYFUNCTION("""COMPUTED_VALUE"""),0.0)</f>
        <v>0</v>
      </c>
      <c r="R156" s="310">
        <f>IFERROR(__xludf.DUMMYFUNCTION("""COMPUTED_VALUE"""),0.0)</f>
        <v>0</v>
      </c>
      <c r="S156" s="310">
        <f>IFERROR(__xludf.DUMMYFUNCTION("""COMPUTED_VALUE"""),0.0)</f>
        <v>0</v>
      </c>
      <c r="T156" s="310">
        <f>IFERROR(__xludf.DUMMYFUNCTION("""COMPUTED_VALUE"""),50.0)</f>
        <v>50</v>
      </c>
      <c r="U156" s="310">
        <f>IFERROR(__xludf.DUMMYFUNCTION("""COMPUTED_VALUE"""),0.0)</f>
        <v>0</v>
      </c>
      <c r="V156" s="310">
        <f>IFERROR(__xludf.DUMMYFUNCTION("""COMPUTED_VALUE"""),0.0)</f>
        <v>0</v>
      </c>
      <c r="W156" s="310">
        <f>IFERROR(__xludf.DUMMYFUNCTION("""COMPUTED_VALUE"""),0.0)</f>
        <v>0</v>
      </c>
      <c r="X156" s="310">
        <f>IFERROR(__xludf.DUMMYFUNCTION("""COMPUTED_VALUE"""),0.0)</f>
        <v>0</v>
      </c>
      <c r="Y156" s="310">
        <f>IFERROR(__xludf.DUMMYFUNCTION("""COMPUTED_VALUE"""),0.0)</f>
        <v>0</v>
      </c>
      <c r="Z156" s="310">
        <f>IFERROR(__xludf.DUMMYFUNCTION("""COMPUTED_VALUE"""),-50.0)</f>
        <v>-50</v>
      </c>
      <c r="AA156" s="310">
        <f>IFERROR(__xludf.DUMMYFUNCTION("""COMPUTED_VALUE"""),0.0)</f>
        <v>0</v>
      </c>
      <c r="AB156" s="310">
        <f>IFERROR(__xludf.DUMMYFUNCTION("""COMPUTED_VALUE"""),0.0)</f>
        <v>0</v>
      </c>
      <c r="AC156" s="310">
        <f>IFERROR(__xludf.DUMMYFUNCTION("""COMPUTED_VALUE"""),0.0)</f>
        <v>0</v>
      </c>
      <c r="AD156" s="310">
        <f>IFERROR(__xludf.DUMMYFUNCTION("""COMPUTED_VALUE"""),0.0)</f>
        <v>0</v>
      </c>
      <c r="AE156" s="310">
        <f>IFERROR(__xludf.DUMMYFUNCTION("""COMPUTED_VALUE"""),0.0)</f>
        <v>0</v>
      </c>
      <c r="AF156" s="310" t="str">
        <f>IFERROR(__xludf.DUMMYFUNCTION("""COMPUTED_VALUE"""),"")</f>
        <v/>
      </c>
      <c r="AG156" s="310">
        <f>IFERROR(__xludf.DUMMYFUNCTION("""COMPUTED_VALUE"""),0.0)</f>
        <v>0</v>
      </c>
      <c r="AH156" s="310">
        <f>IFERROR(__xludf.DUMMYFUNCTION("""COMPUTED_VALUE"""),0.0)</f>
        <v>0</v>
      </c>
      <c r="AI156" s="310">
        <f>IFERROR(__xludf.DUMMYFUNCTION("""COMPUTED_VALUE"""),0.0)</f>
        <v>0</v>
      </c>
      <c r="AJ156" s="310"/>
    </row>
    <row r="157" ht="22.5" customHeight="1">
      <c r="A157" s="311" t="str">
        <f>IFERROR(__xludf.DUMMYFUNCTION("""COMPUTED_VALUE"""),"")</f>
        <v/>
      </c>
      <c r="B157" s="311" t="str">
        <f>IFERROR(__xludf.DUMMYFUNCTION("""COMPUTED_VALUE"""),"")</f>
        <v/>
      </c>
      <c r="C157" s="311">
        <f>IFERROR(__xludf.DUMMYFUNCTION("""COMPUTED_VALUE"""),314.0)</f>
        <v>314</v>
      </c>
      <c r="D157" s="311" t="str">
        <f>IFERROR(__xludf.DUMMYFUNCTION("""COMPUTED_VALUE"""),"OAF - FUNERÁRIA")</f>
        <v>OAF - FUNERÁRIA</v>
      </c>
      <c r="E157" s="315" t="str">
        <f>IFERROR(__xludf.DUMMYFUNCTION("""COMPUTED_VALUE"""),"CENTRO")</f>
        <v>CENTRO</v>
      </c>
      <c r="F157" s="311" t="str">
        <f>IFERROR(__xludf.DUMMYFUNCTION("""COMPUTED_VALUE"""),"Rio de Janeiro")</f>
        <v>Rio de Janeiro</v>
      </c>
      <c r="G157" s="311" t="str">
        <f>IFERROR(__xludf.DUMMYFUNCTION("""COMPUTED_VALUE"""),"")</f>
        <v/>
      </c>
      <c r="H157" s="311" t="str">
        <f>IFERROR(__xludf.DUMMYFUNCTION("""COMPUTED_VALUE"""),"Outra Instituição")</f>
        <v>Outra Instituição</v>
      </c>
      <c r="I157" s="311" t="str">
        <f>IFERROR(__xludf.DUMMYFUNCTION("""COMPUTED_VALUE"""),"Público")</f>
        <v>Público</v>
      </c>
      <c r="J157" s="311" t="str">
        <f>IFERROR(__xludf.DUMMYFUNCTION("""COMPUTED_VALUE"""),"")</f>
        <v/>
      </c>
      <c r="K157" s="311" t="str">
        <f>IFERROR(__xludf.DUMMYFUNCTION("""COMPUTED_VALUE"""),"")</f>
        <v/>
      </c>
      <c r="L157" s="311" t="str">
        <f>IFERROR(__xludf.DUMMYFUNCTION("""COMPUTED_VALUE"""),"")</f>
        <v/>
      </c>
      <c r="M157" s="311" t="str">
        <f>IFERROR(__xludf.DUMMYFUNCTION("""COMPUTED_VALUE"""),"")</f>
        <v/>
      </c>
      <c r="N157" s="311">
        <f>IFERROR(__xludf.DUMMYFUNCTION("""COMPUTED_VALUE"""),0.0)</f>
        <v>0</v>
      </c>
      <c r="O157" s="311">
        <f>IFERROR(__xludf.DUMMYFUNCTION("""COMPUTED_VALUE"""),0.0)</f>
        <v>0</v>
      </c>
      <c r="P157" s="311">
        <f>IFERROR(__xludf.DUMMYFUNCTION("""COMPUTED_VALUE"""),0.0)</f>
        <v>0</v>
      </c>
      <c r="Q157" s="311">
        <f>IFERROR(__xludf.DUMMYFUNCTION("""COMPUTED_VALUE"""),0.0)</f>
        <v>0</v>
      </c>
      <c r="R157" s="311">
        <f>IFERROR(__xludf.DUMMYFUNCTION("""COMPUTED_VALUE"""),0.0)</f>
        <v>0</v>
      </c>
      <c r="S157" s="311">
        <f>IFERROR(__xludf.DUMMYFUNCTION("""COMPUTED_VALUE"""),0.0)</f>
        <v>0</v>
      </c>
      <c r="T157" s="311">
        <f>IFERROR(__xludf.DUMMYFUNCTION("""COMPUTED_VALUE"""),10.0)</f>
        <v>10</v>
      </c>
      <c r="U157" s="311">
        <f>IFERROR(__xludf.DUMMYFUNCTION("""COMPUTED_VALUE"""),0.0)</f>
        <v>0</v>
      </c>
      <c r="V157" s="311">
        <f>IFERROR(__xludf.DUMMYFUNCTION("""COMPUTED_VALUE"""),0.0)</f>
        <v>0</v>
      </c>
      <c r="W157" s="311">
        <f>IFERROR(__xludf.DUMMYFUNCTION("""COMPUTED_VALUE"""),0.0)</f>
        <v>0</v>
      </c>
      <c r="X157" s="311">
        <f>IFERROR(__xludf.DUMMYFUNCTION("""COMPUTED_VALUE"""),0.0)</f>
        <v>0</v>
      </c>
      <c r="Y157" s="311">
        <f>IFERROR(__xludf.DUMMYFUNCTION("""COMPUTED_VALUE"""),0.0)</f>
        <v>0</v>
      </c>
      <c r="Z157" s="311">
        <f>IFERROR(__xludf.DUMMYFUNCTION("""COMPUTED_VALUE"""),-10.0)</f>
        <v>-10</v>
      </c>
      <c r="AA157" s="311">
        <f>IFERROR(__xludf.DUMMYFUNCTION("""COMPUTED_VALUE"""),0.0)</f>
        <v>0</v>
      </c>
      <c r="AB157" s="311">
        <f>IFERROR(__xludf.DUMMYFUNCTION("""COMPUTED_VALUE"""),0.0)</f>
        <v>0</v>
      </c>
      <c r="AC157" s="311">
        <f>IFERROR(__xludf.DUMMYFUNCTION("""COMPUTED_VALUE"""),0.0)</f>
        <v>0</v>
      </c>
      <c r="AD157" s="311">
        <f>IFERROR(__xludf.DUMMYFUNCTION("""COMPUTED_VALUE"""),0.0)</f>
        <v>0</v>
      </c>
      <c r="AE157" s="311">
        <f>IFERROR(__xludf.DUMMYFUNCTION("""COMPUTED_VALUE"""),0.0)</f>
        <v>0</v>
      </c>
      <c r="AF157" s="311" t="str">
        <f>IFERROR(__xludf.DUMMYFUNCTION("""COMPUTED_VALUE"""),"")</f>
        <v/>
      </c>
      <c r="AG157" s="311">
        <f>IFERROR(__xludf.DUMMYFUNCTION("""COMPUTED_VALUE"""),0.0)</f>
        <v>0</v>
      </c>
      <c r="AH157" s="311">
        <f>IFERROR(__xludf.DUMMYFUNCTION("""COMPUTED_VALUE"""),0.0)</f>
        <v>0</v>
      </c>
      <c r="AI157" s="311">
        <f>IFERROR(__xludf.DUMMYFUNCTION("""COMPUTED_VALUE"""),0.0)</f>
        <v>0</v>
      </c>
      <c r="AJ157" s="311"/>
    </row>
    <row r="158" ht="22.5" customHeight="1">
      <c r="A158" s="310" t="str">
        <f>IFERROR(__xludf.DUMMYFUNCTION("""COMPUTED_VALUE"""),"")</f>
        <v/>
      </c>
      <c r="B158" s="310" t="str">
        <f>IFERROR(__xludf.DUMMYFUNCTION("""COMPUTED_VALUE"""),"")</f>
        <v/>
      </c>
      <c r="C158" s="310">
        <f>IFERROR(__xludf.DUMMYFUNCTION("""COMPUTED_VALUE"""),315.0)</f>
        <v>315</v>
      </c>
      <c r="D158" s="310" t="str">
        <f>IFERROR(__xludf.DUMMYFUNCTION("""COMPUTED_VALUE"""),"Projeto Primeira Chance")</f>
        <v>Projeto Primeira Chance</v>
      </c>
      <c r="E158" s="313" t="str">
        <f>IFERROR(__xludf.DUMMYFUNCTION("""COMPUTED_VALUE"""),"REGIAO METROPOLITANA")</f>
        <v>REGIAO METROPOLITANA</v>
      </c>
      <c r="F158" s="310" t="str">
        <f>IFERROR(__xludf.DUMMYFUNCTION("""COMPUTED_VALUE"""),"Niterói")</f>
        <v>Niterói</v>
      </c>
      <c r="G158" s="310" t="str">
        <f>IFERROR(__xludf.DUMMYFUNCTION("""COMPUTED_VALUE"""),"Pita")</f>
        <v>Pita</v>
      </c>
      <c r="H158" s="310" t="str">
        <f>IFERROR(__xludf.DUMMYFUNCTION("""COMPUTED_VALUE"""),"Outra Instituição")</f>
        <v>Outra Instituição</v>
      </c>
      <c r="I158" s="310" t="str">
        <f>IFERROR(__xludf.DUMMYFUNCTION("""COMPUTED_VALUE"""),"Público")</f>
        <v>Público</v>
      </c>
      <c r="J158" s="310" t="str">
        <f>IFERROR(__xludf.DUMMYFUNCTION("""COMPUTED_VALUE"""),"")</f>
        <v/>
      </c>
      <c r="K158" s="310" t="str">
        <f>IFERROR(__xludf.DUMMYFUNCTION("""COMPUTED_VALUE"""),"")</f>
        <v/>
      </c>
      <c r="L158" s="310" t="str">
        <f>IFERROR(__xludf.DUMMYFUNCTION("""COMPUTED_VALUE"""),"")</f>
        <v/>
      </c>
      <c r="M158" s="310" t="str">
        <f>IFERROR(__xludf.DUMMYFUNCTION("""COMPUTED_VALUE"""),"")</f>
        <v/>
      </c>
      <c r="N158" s="310">
        <f>IFERROR(__xludf.DUMMYFUNCTION("""COMPUTED_VALUE"""),0.0)</f>
        <v>0</v>
      </c>
      <c r="O158" s="310">
        <f>IFERROR(__xludf.DUMMYFUNCTION("""COMPUTED_VALUE"""),0.0)</f>
        <v>0</v>
      </c>
      <c r="P158" s="310">
        <f>IFERROR(__xludf.DUMMYFUNCTION("""COMPUTED_VALUE"""),0.0)</f>
        <v>0</v>
      </c>
      <c r="Q158" s="310">
        <f>IFERROR(__xludf.DUMMYFUNCTION("""COMPUTED_VALUE"""),0.0)</f>
        <v>0</v>
      </c>
      <c r="R158" s="310">
        <f>IFERROR(__xludf.DUMMYFUNCTION("""COMPUTED_VALUE"""),0.0)</f>
        <v>0</v>
      </c>
      <c r="S158" s="310">
        <f>IFERROR(__xludf.DUMMYFUNCTION("""COMPUTED_VALUE"""),0.0)</f>
        <v>0</v>
      </c>
      <c r="T158" s="310">
        <f>IFERROR(__xludf.DUMMYFUNCTION("""COMPUTED_VALUE"""),15.0)</f>
        <v>15</v>
      </c>
      <c r="U158" s="310">
        <f>IFERROR(__xludf.DUMMYFUNCTION("""COMPUTED_VALUE"""),0.0)</f>
        <v>0</v>
      </c>
      <c r="V158" s="310">
        <f>IFERROR(__xludf.DUMMYFUNCTION("""COMPUTED_VALUE"""),0.0)</f>
        <v>0</v>
      </c>
      <c r="W158" s="310">
        <f>IFERROR(__xludf.DUMMYFUNCTION("""COMPUTED_VALUE"""),0.0)</f>
        <v>0</v>
      </c>
      <c r="X158" s="310">
        <f>IFERROR(__xludf.DUMMYFUNCTION("""COMPUTED_VALUE"""),0.0)</f>
        <v>0</v>
      </c>
      <c r="Y158" s="310">
        <f>IFERROR(__xludf.DUMMYFUNCTION("""COMPUTED_VALUE"""),0.0)</f>
        <v>0</v>
      </c>
      <c r="Z158" s="310">
        <f>IFERROR(__xludf.DUMMYFUNCTION("""COMPUTED_VALUE"""),-15.0)</f>
        <v>-15</v>
      </c>
      <c r="AA158" s="310">
        <f>IFERROR(__xludf.DUMMYFUNCTION("""COMPUTED_VALUE"""),0.0)</f>
        <v>0</v>
      </c>
      <c r="AB158" s="310">
        <f>IFERROR(__xludf.DUMMYFUNCTION("""COMPUTED_VALUE"""),0.0)</f>
        <v>0</v>
      </c>
      <c r="AC158" s="310">
        <f>IFERROR(__xludf.DUMMYFUNCTION("""COMPUTED_VALUE"""),0.0)</f>
        <v>0</v>
      </c>
      <c r="AD158" s="310">
        <f>IFERROR(__xludf.DUMMYFUNCTION("""COMPUTED_VALUE"""),0.0)</f>
        <v>0</v>
      </c>
      <c r="AE158" s="310">
        <f>IFERROR(__xludf.DUMMYFUNCTION("""COMPUTED_VALUE"""),0.0)</f>
        <v>0</v>
      </c>
      <c r="AF158" s="310" t="str">
        <f>IFERROR(__xludf.DUMMYFUNCTION("""COMPUTED_VALUE"""),"")</f>
        <v/>
      </c>
      <c r="AG158" s="310">
        <f>IFERROR(__xludf.DUMMYFUNCTION("""COMPUTED_VALUE"""),0.0)</f>
        <v>0</v>
      </c>
      <c r="AH158" s="310">
        <f>IFERROR(__xludf.DUMMYFUNCTION("""COMPUTED_VALUE"""),0.0)</f>
        <v>0</v>
      </c>
      <c r="AI158" s="310">
        <f>IFERROR(__xludf.DUMMYFUNCTION("""COMPUTED_VALUE"""),0.0)</f>
        <v>0</v>
      </c>
      <c r="AJ158" s="310"/>
    </row>
    <row r="159" ht="22.5" customHeight="1">
      <c r="A159" s="311" t="str">
        <f>IFERROR(__xludf.DUMMYFUNCTION("""COMPUTED_VALUE"""),"")</f>
        <v/>
      </c>
      <c r="B159" s="311" t="str">
        <f>IFERROR(__xludf.DUMMYFUNCTION("""COMPUTED_VALUE"""),"")</f>
        <v/>
      </c>
      <c r="C159" s="311">
        <f>IFERROR(__xludf.DUMMYFUNCTION("""COMPUTED_VALUE"""),317.0)</f>
        <v>317</v>
      </c>
      <c r="D159" s="311" t="str">
        <f>IFERROR(__xludf.DUMMYFUNCTION("""COMPUTED_VALUE"""),"UPA Bangu 24H")</f>
        <v>UPA Bangu 24H</v>
      </c>
      <c r="E159" s="315" t="str">
        <f>IFERROR(__xludf.DUMMYFUNCTION("""COMPUTED_VALUE"""),"ZONA OESTE")</f>
        <v>ZONA OESTE</v>
      </c>
      <c r="F159" s="311" t="str">
        <f>IFERROR(__xludf.DUMMYFUNCTION("""COMPUTED_VALUE"""),"Rio de Janeiro")</f>
        <v>Rio de Janeiro</v>
      </c>
      <c r="G159" s="311" t="str">
        <f>IFERROR(__xludf.DUMMYFUNCTION("""COMPUTED_VALUE"""),"Bangu")</f>
        <v>Bangu</v>
      </c>
      <c r="H159" s="311" t="str">
        <f>IFERROR(__xludf.DUMMYFUNCTION("""COMPUTED_VALUE"""),"Grande emergência - MÉDIA COMPLEXIDADE
")</f>
        <v>Grande emergência - MÉDIA COMPLEXIDADE
</v>
      </c>
      <c r="I159" s="311" t="str">
        <f>IFERROR(__xludf.DUMMYFUNCTION("""COMPUTED_VALUE"""),"Público")</f>
        <v>Público</v>
      </c>
      <c r="J159" s="311" t="str">
        <f>IFERROR(__xludf.DUMMYFUNCTION("""COMPUTED_VALUE"""),"")</f>
        <v/>
      </c>
      <c r="K159" s="311" t="str">
        <f>IFERROR(__xludf.DUMMYFUNCTION("""COMPUTED_VALUE"""),"")</f>
        <v/>
      </c>
      <c r="L159" s="311" t="str">
        <f>IFERROR(__xludf.DUMMYFUNCTION("""COMPUTED_VALUE"""),"")</f>
        <v/>
      </c>
      <c r="M159" s="311" t="str">
        <f>IFERROR(__xludf.DUMMYFUNCTION("""COMPUTED_VALUE"""),"")</f>
        <v/>
      </c>
      <c r="N159" s="311">
        <f>IFERROR(__xludf.DUMMYFUNCTION("""COMPUTED_VALUE"""),0.0)</f>
        <v>0</v>
      </c>
      <c r="O159" s="311">
        <f>IFERROR(__xludf.DUMMYFUNCTION("""COMPUTED_VALUE"""),0.0)</f>
        <v>0</v>
      </c>
      <c r="P159" s="311">
        <f>IFERROR(__xludf.DUMMYFUNCTION("""COMPUTED_VALUE"""),0.0)</f>
        <v>0</v>
      </c>
      <c r="Q159" s="311">
        <f>IFERROR(__xludf.DUMMYFUNCTION("""COMPUTED_VALUE"""),0.0)</f>
        <v>0</v>
      </c>
      <c r="R159" s="311">
        <f>IFERROR(__xludf.DUMMYFUNCTION("""COMPUTED_VALUE"""),0.0)</f>
        <v>0</v>
      </c>
      <c r="S159" s="311">
        <f>IFERROR(__xludf.DUMMYFUNCTION("""COMPUTED_VALUE"""),0.0)</f>
        <v>0</v>
      </c>
      <c r="T159" s="311">
        <f>IFERROR(__xludf.DUMMYFUNCTION("""COMPUTED_VALUE"""),50.0)</f>
        <v>50</v>
      </c>
      <c r="U159" s="311">
        <f>IFERROR(__xludf.DUMMYFUNCTION("""COMPUTED_VALUE"""),0.0)</f>
        <v>0</v>
      </c>
      <c r="V159" s="311">
        <f>IFERROR(__xludf.DUMMYFUNCTION("""COMPUTED_VALUE"""),0.0)</f>
        <v>0</v>
      </c>
      <c r="W159" s="311">
        <f>IFERROR(__xludf.DUMMYFUNCTION("""COMPUTED_VALUE"""),0.0)</f>
        <v>0</v>
      </c>
      <c r="X159" s="311">
        <f>IFERROR(__xludf.DUMMYFUNCTION("""COMPUTED_VALUE"""),50.0)</f>
        <v>50</v>
      </c>
      <c r="Y159" s="311">
        <f>IFERROR(__xludf.DUMMYFUNCTION("""COMPUTED_VALUE"""),0.0)</f>
        <v>0</v>
      </c>
      <c r="Z159" s="311">
        <f>IFERROR(__xludf.DUMMYFUNCTION("""COMPUTED_VALUE"""),-50.0)</f>
        <v>-50</v>
      </c>
      <c r="AA159" s="311">
        <f>IFERROR(__xludf.DUMMYFUNCTION("""COMPUTED_VALUE"""),0.0)</f>
        <v>0</v>
      </c>
      <c r="AB159" s="311">
        <f>IFERROR(__xludf.DUMMYFUNCTION("""COMPUTED_VALUE"""),0.0)</f>
        <v>0</v>
      </c>
      <c r="AC159" s="311">
        <f>IFERROR(__xludf.DUMMYFUNCTION("""COMPUTED_VALUE"""),0.0)</f>
        <v>0</v>
      </c>
      <c r="AD159" s="311">
        <f>IFERROR(__xludf.DUMMYFUNCTION("""COMPUTED_VALUE"""),0.0)</f>
        <v>0</v>
      </c>
      <c r="AE159" s="311">
        <f>IFERROR(__xludf.DUMMYFUNCTION("""COMPUTED_VALUE"""),-50.0)</f>
        <v>-50</v>
      </c>
      <c r="AF159" s="311" t="str">
        <f>IFERROR(__xludf.DUMMYFUNCTION("""COMPUTED_VALUE"""),"")</f>
        <v/>
      </c>
      <c r="AG159" s="311">
        <f>IFERROR(__xludf.DUMMYFUNCTION("""COMPUTED_VALUE"""),0.0)</f>
        <v>0</v>
      </c>
      <c r="AH159" s="311">
        <f>IFERROR(__xludf.DUMMYFUNCTION("""COMPUTED_VALUE"""),0.0)</f>
        <v>0</v>
      </c>
      <c r="AI159" s="311">
        <f>IFERROR(__xludf.DUMMYFUNCTION("""COMPUTED_VALUE"""),0.0)</f>
        <v>0</v>
      </c>
      <c r="AJ159" s="311"/>
    </row>
    <row r="160" ht="22.5" customHeight="1">
      <c r="A160" s="310" t="str">
        <f>IFERROR(__xludf.DUMMYFUNCTION("""COMPUTED_VALUE"""),"")</f>
        <v/>
      </c>
      <c r="B160" s="310" t="str">
        <f>IFERROR(__xludf.DUMMYFUNCTION("""COMPUTED_VALUE"""),"")</f>
        <v/>
      </c>
      <c r="C160" s="310">
        <f>IFERROR(__xludf.DUMMYFUNCTION("""COMPUTED_VALUE"""),318.0)</f>
        <v>318</v>
      </c>
      <c r="D160" s="310" t="str">
        <f>IFERROR(__xludf.DUMMYFUNCTION("""COMPUTED_VALUE"""),"UPA Complexo do Alemão")</f>
        <v>UPA Complexo do Alemão</v>
      </c>
      <c r="E160" s="313" t="str">
        <f>IFERROR(__xludf.DUMMYFUNCTION("""COMPUTED_VALUE"""),"ZONA NORTE")</f>
        <v>ZONA NORTE</v>
      </c>
      <c r="F160" s="310" t="str">
        <f>IFERROR(__xludf.DUMMYFUNCTION("""COMPUTED_VALUE"""),"Rio de Janeiro")</f>
        <v>Rio de Janeiro</v>
      </c>
      <c r="G160" s="310" t="str">
        <f>IFERROR(__xludf.DUMMYFUNCTION("""COMPUTED_VALUE"""),"Complexo do Alemao")</f>
        <v>Complexo do Alemao</v>
      </c>
      <c r="H160" s="310" t="str">
        <f>IFERROR(__xludf.DUMMYFUNCTION("""COMPUTED_VALUE"""),"Grande emergência - MÉDIA COMPLEXIDADE
")</f>
        <v>Grande emergência - MÉDIA COMPLEXIDADE
</v>
      </c>
      <c r="I160" s="310" t="str">
        <f>IFERROR(__xludf.DUMMYFUNCTION("""COMPUTED_VALUE"""),"Público")</f>
        <v>Público</v>
      </c>
      <c r="J160" s="310" t="str">
        <f>IFERROR(__xludf.DUMMYFUNCTION("""COMPUTED_VALUE"""),"")</f>
        <v/>
      </c>
      <c r="K160" s="310" t="str">
        <f>IFERROR(__xludf.DUMMYFUNCTION("""COMPUTED_VALUE"""),"")</f>
        <v/>
      </c>
      <c r="L160" s="310" t="str">
        <f>IFERROR(__xludf.DUMMYFUNCTION("""COMPUTED_VALUE"""),"")</f>
        <v/>
      </c>
      <c r="M160" s="310" t="str">
        <f>IFERROR(__xludf.DUMMYFUNCTION("""COMPUTED_VALUE"""),"")</f>
        <v/>
      </c>
      <c r="N160" s="310">
        <f>IFERROR(__xludf.DUMMYFUNCTION("""COMPUTED_VALUE"""),0.0)</f>
        <v>0</v>
      </c>
      <c r="O160" s="310">
        <f>IFERROR(__xludf.DUMMYFUNCTION("""COMPUTED_VALUE"""),0.0)</f>
        <v>0</v>
      </c>
      <c r="P160" s="310">
        <f>IFERROR(__xludf.DUMMYFUNCTION("""COMPUTED_VALUE"""),0.0)</f>
        <v>0</v>
      </c>
      <c r="Q160" s="310">
        <f>IFERROR(__xludf.DUMMYFUNCTION("""COMPUTED_VALUE"""),0.0)</f>
        <v>0</v>
      </c>
      <c r="R160" s="310">
        <f>IFERROR(__xludf.DUMMYFUNCTION("""COMPUTED_VALUE"""),0.0)</f>
        <v>0</v>
      </c>
      <c r="S160" s="310">
        <f>IFERROR(__xludf.DUMMYFUNCTION("""COMPUTED_VALUE"""),0.0)</f>
        <v>0</v>
      </c>
      <c r="T160" s="310">
        <f>IFERROR(__xludf.DUMMYFUNCTION("""COMPUTED_VALUE"""),130.0)</f>
        <v>130</v>
      </c>
      <c r="U160" s="310">
        <f>IFERROR(__xludf.DUMMYFUNCTION("""COMPUTED_VALUE"""),0.0)</f>
        <v>0</v>
      </c>
      <c r="V160" s="310">
        <f>IFERROR(__xludf.DUMMYFUNCTION("""COMPUTED_VALUE"""),0.0)</f>
        <v>0</v>
      </c>
      <c r="W160" s="310">
        <f>IFERROR(__xludf.DUMMYFUNCTION("""COMPUTED_VALUE"""),0.0)</f>
        <v>0</v>
      </c>
      <c r="X160" s="310">
        <f>IFERROR(__xludf.DUMMYFUNCTION("""COMPUTED_VALUE"""),10.0)</f>
        <v>10</v>
      </c>
      <c r="Y160" s="310">
        <f>IFERROR(__xludf.DUMMYFUNCTION("""COMPUTED_VALUE"""),0.0)</f>
        <v>0</v>
      </c>
      <c r="Z160" s="310">
        <f>IFERROR(__xludf.DUMMYFUNCTION("""COMPUTED_VALUE"""),-130.0)</f>
        <v>-130</v>
      </c>
      <c r="AA160" s="310">
        <f>IFERROR(__xludf.DUMMYFUNCTION("""COMPUTED_VALUE"""),0.0)</f>
        <v>0</v>
      </c>
      <c r="AB160" s="310">
        <f>IFERROR(__xludf.DUMMYFUNCTION("""COMPUTED_VALUE"""),0.0)</f>
        <v>0</v>
      </c>
      <c r="AC160" s="310">
        <f>IFERROR(__xludf.DUMMYFUNCTION("""COMPUTED_VALUE"""),0.0)</f>
        <v>0</v>
      </c>
      <c r="AD160" s="310">
        <f>IFERROR(__xludf.DUMMYFUNCTION("""COMPUTED_VALUE"""),0.0)</f>
        <v>0</v>
      </c>
      <c r="AE160" s="310">
        <f>IFERROR(__xludf.DUMMYFUNCTION("""COMPUTED_VALUE"""),-10.0)</f>
        <v>-10</v>
      </c>
      <c r="AF160" s="310" t="str">
        <f>IFERROR(__xludf.DUMMYFUNCTION("""COMPUTED_VALUE"""),"")</f>
        <v/>
      </c>
      <c r="AG160" s="310">
        <f>IFERROR(__xludf.DUMMYFUNCTION("""COMPUTED_VALUE"""),0.0)</f>
        <v>0</v>
      </c>
      <c r="AH160" s="310">
        <f>IFERROR(__xludf.DUMMYFUNCTION("""COMPUTED_VALUE"""),0.0)</f>
        <v>0</v>
      </c>
      <c r="AI160" s="310">
        <f>IFERROR(__xludf.DUMMYFUNCTION("""COMPUTED_VALUE"""),0.0)</f>
        <v>0</v>
      </c>
      <c r="AJ160" s="310"/>
    </row>
    <row r="161" ht="22.5" customHeight="1">
      <c r="A161" s="311" t="str">
        <f>IFERROR(__xludf.DUMMYFUNCTION("""COMPUTED_VALUE"""),"")</f>
        <v/>
      </c>
      <c r="B161" s="311" t="str">
        <f>IFERROR(__xludf.DUMMYFUNCTION("""COMPUTED_VALUE"""),"")</f>
        <v/>
      </c>
      <c r="C161" s="311">
        <f>IFERROR(__xludf.DUMMYFUNCTION("""COMPUTED_VALUE"""),319.0)</f>
        <v>319</v>
      </c>
      <c r="D161" s="311" t="str">
        <f>IFERROR(__xludf.DUMMYFUNCTION("""COMPUTED_VALUE"""),"UPA Complexo do Alemão")</f>
        <v>UPA Complexo do Alemão</v>
      </c>
      <c r="E161" s="315" t="str">
        <f>IFERROR(__xludf.DUMMYFUNCTION("""COMPUTED_VALUE"""),"ZONA NORTE")</f>
        <v>ZONA NORTE</v>
      </c>
      <c r="F161" s="311" t="str">
        <f>IFERROR(__xludf.DUMMYFUNCTION("""COMPUTED_VALUE"""),"Rio de Janeiro")</f>
        <v>Rio de Janeiro</v>
      </c>
      <c r="G161" s="311" t="str">
        <f>IFERROR(__xludf.DUMMYFUNCTION("""COMPUTED_VALUE"""),"Complexo do Alemao")</f>
        <v>Complexo do Alemao</v>
      </c>
      <c r="H161" s="311" t="str">
        <f>IFERROR(__xludf.DUMMYFUNCTION("""COMPUTED_VALUE"""),"Grande emergência - MÉDIA COMPLEXIDADE
")</f>
        <v>Grande emergência - MÉDIA COMPLEXIDADE
</v>
      </c>
      <c r="I161" s="311" t="str">
        <f>IFERROR(__xludf.DUMMYFUNCTION("""COMPUTED_VALUE"""),"Público")</f>
        <v>Público</v>
      </c>
      <c r="J161" s="311" t="str">
        <f>IFERROR(__xludf.DUMMYFUNCTION("""COMPUTED_VALUE"""),"")</f>
        <v/>
      </c>
      <c r="K161" s="311" t="str">
        <f>IFERROR(__xludf.DUMMYFUNCTION("""COMPUTED_VALUE"""),"")</f>
        <v/>
      </c>
      <c r="L161" s="311" t="str">
        <f>IFERROR(__xludf.DUMMYFUNCTION("""COMPUTED_VALUE"""),"")</f>
        <v/>
      </c>
      <c r="M161" s="311" t="str">
        <f>IFERROR(__xludf.DUMMYFUNCTION("""COMPUTED_VALUE"""),"")</f>
        <v/>
      </c>
      <c r="N161" s="311">
        <f>IFERROR(__xludf.DUMMYFUNCTION("""COMPUTED_VALUE"""),0.0)</f>
        <v>0</v>
      </c>
      <c r="O161" s="311">
        <f>IFERROR(__xludf.DUMMYFUNCTION("""COMPUTED_VALUE"""),0.0)</f>
        <v>0</v>
      </c>
      <c r="P161" s="311">
        <f>IFERROR(__xludf.DUMMYFUNCTION("""COMPUTED_VALUE"""),0.0)</f>
        <v>0</v>
      </c>
      <c r="Q161" s="311">
        <f>IFERROR(__xludf.DUMMYFUNCTION("""COMPUTED_VALUE"""),0.0)</f>
        <v>0</v>
      </c>
      <c r="R161" s="311">
        <f>IFERROR(__xludf.DUMMYFUNCTION("""COMPUTED_VALUE"""),0.0)</f>
        <v>0</v>
      </c>
      <c r="S161" s="311">
        <f>IFERROR(__xludf.DUMMYFUNCTION("""COMPUTED_VALUE"""),0.0)</f>
        <v>0</v>
      </c>
      <c r="T161" s="311">
        <f>IFERROR(__xludf.DUMMYFUNCTION("""COMPUTED_VALUE"""),130.0)</f>
        <v>130</v>
      </c>
      <c r="U161" s="311">
        <f>IFERROR(__xludf.DUMMYFUNCTION("""COMPUTED_VALUE"""),0.0)</f>
        <v>0</v>
      </c>
      <c r="V161" s="311">
        <f>IFERROR(__xludf.DUMMYFUNCTION("""COMPUTED_VALUE"""),0.0)</f>
        <v>0</v>
      </c>
      <c r="W161" s="311">
        <f>IFERROR(__xludf.DUMMYFUNCTION("""COMPUTED_VALUE"""),0.0)</f>
        <v>0</v>
      </c>
      <c r="X161" s="311">
        <f>IFERROR(__xludf.DUMMYFUNCTION("""COMPUTED_VALUE"""),10.0)</f>
        <v>10</v>
      </c>
      <c r="Y161" s="311">
        <f>IFERROR(__xludf.DUMMYFUNCTION("""COMPUTED_VALUE"""),0.0)</f>
        <v>0</v>
      </c>
      <c r="Z161" s="311">
        <f>IFERROR(__xludf.DUMMYFUNCTION("""COMPUTED_VALUE"""),-130.0)</f>
        <v>-130</v>
      </c>
      <c r="AA161" s="311">
        <f>IFERROR(__xludf.DUMMYFUNCTION("""COMPUTED_VALUE"""),0.0)</f>
        <v>0</v>
      </c>
      <c r="AB161" s="311">
        <f>IFERROR(__xludf.DUMMYFUNCTION("""COMPUTED_VALUE"""),0.0)</f>
        <v>0</v>
      </c>
      <c r="AC161" s="311">
        <f>IFERROR(__xludf.DUMMYFUNCTION("""COMPUTED_VALUE"""),0.0)</f>
        <v>0</v>
      </c>
      <c r="AD161" s="311">
        <f>IFERROR(__xludf.DUMMYFUNCTION("""COMPUTED_VALUE"""),0.0)</f>
        <v>0</v>
      </c>
      <c r="AE161" s="311">
        <f>IFERROR(__xludf.DUMMYFUNCTION("""COMPUTED_VALUE"""),-10.0)</f>
        <v>-10</v>
      </c>
      <c r="AF161" s="311" t="str">
        <f>IFERROR(__xludf.DUMMYFUNCTION("""COMPUTED_VALUE"""),"")</f>
        <v/>
      </c>
      <c r="AG161" s="311">
        <f>IFERROR(__xludf.DUMMYFUNCTION("""COMPUTED_VALUE"""),0.0)</f>
        <v>0</v>
      </c>
      <c r="AH161" s="311">
        <f>IFERROR(__xludf.DUMMYFUNCTION("""COMPUTED_VALUE"""),0.0)</f>
        <v>0</v>
      </c>
      <c r="AI161" s="311">
        <f>IFERROR(__xludf.DUMMYFUNCTION("""COMPUTED_VALUE"""),0.0)</f>
        <v>0</v>
      </c>
      <c r="AJ161" s="311"/>
    </row>
    <row r="162" ht="22.5" customHeight="1">
      <c r="A162" s="310" t="str">
        <f>IFERROR(__xludf.DUMMYFUNCTION("""COMPUTED_VALUE"""),"")</f>
        <v/>
      </c>
      <c r="B162" s="310" t="str">
        <f>IFERROR(__xludf.DUMMYFUNCTION("""COMPUTED_VALUE"""),"")</f>
        <v/>
      </c>
      <c r="C162" s="310">
        <f>IFERROR(__xludf.DUMMYFUNCTION("""COMPUTED_VALUE"""),320.0)</f>
        <v>320</v>
      </c>
      <c r="D162" s="310" t="str">
        <f>IFERROR(__xludf.DUMMYFUNCTION("""COMPUTED_VALUE"""),"UPA Rocinha")</f>
        <v>UPA Rocinha</v>
      </c>
      <c r="E162" s="313" t="str">
        <f>IFERROR(__xludf.DUMMYFUNCTION("""COMPUTED_VALUE"""),"ZONA SUL")</f>
        <v>ZONA SUL</v>
      </c>
      <c r="F162" s="310" t="str">
        <f>IFERROR(__xludf.DUMMYFUNCTION("""COMPUTED_VALUE"""),"Rio de Janeiro")</f>
        <v>Rio de Janeiro</v>
      </c>
      <c r="G162" s="310" t="str">
        <f>IFERROR(__xludf.DUMMYFUNCTION("""COMPUTED_VALUE"""),"Rocinha")</f>
        <v>Rocinha</v>
      </c>
      <c r="H162" s="310" t="str">
        <f>IFERROR(__xludf.DUMMYFUNCTION("""COMPUTED_VALUE"""),"Grande emergência - MÉDIA COMPLEXIDADE
")</f>
        <v>Grande emergência - MÉDIA COMPLEXIDADE
</v>
      </c>
      <c r="I162" s="310" t="str">
        <f>IFERROR(__xludf.DUMMYFUNCTION("""COMPUTED_VALUE"""),"Público")</f>
        <v>Público</v>
      </c>
      <c r="J162" s="310" t="str">
        <f>IFERROR(__xludf.DUMMYFUNCTION("""COMPUTED_VALUE"""),"")</f>
        <v/>
      </c>
      <c r="K162" s="310" t="str">
        <f>IFERROR(__xludf.DUMMYFUNCTION("""COMPUTED_VALUE"""),"")</f>
        <v/>
      </c>
      <c r="L162" s="310" t="str">
        <f>IFERROR(__xludf.DUMMYFUNCTION("""COMPUTED_VALUE"""),"")</f>
        <v/>
      </c>
      <c r="M162" s="310" t="str">
        <f>IFERROR(__xludf.DUMMYFUNCTION("""COMPUTED_VALUE"""),"")</f>
        <v/>
      </c>
      <c r="N162" s="310">
        <f>IFERROR(__xludf.DUMMYFUNCTION("""COMPUTED_VALUE"""),0.0)</f>
        <v>0</v>
      </c>
      <c r="O162" s="310">
        <f>IFERROR(__xludf.DUMMYFUNCTION("""COMPUTED_VALUE"""),0.0)</f>
        <v>0</v>
      </c>
      <c r="P162" s="310">
        <f>IFERROR(__xludf.DUMMYFUNCTION("""COMPUTED_VALUE"""),0.0)</f>
        <v>0</v>
      </c>
      <c r="Q162" s="310">
        <f>IFERROR(__xludf.DUMMYFUNCTION("""COMPUTED_VALUE"""),0.0)</f>
        <v>0</v>
      </c>
      <c r="R162" s="310">
        <f>IFERROR(__xludf.DUMMYFUNCTION("""COMPUTED_VALUE"""),0.0)</f>
        <v>0</v>
      </c>
      <c r="S162" s="310">
        <f>IFERROR(__xludf.DUMMYFUNCTION("""COMPUTED_VALUE"""),0.0)</f>
        <v>0</v>
      </c>
      <c r="T162" s="310">
        <f>IFERROR(__xludf.DUMMYFUNCTION("""COMPUTED_VALUE"""),50.0)</f>
        <v>50</v>
      </c>
      <c r="U162" s="310">
        <f>IFERROR(__xludf.DUMMYFUNCTION("""COMPUTED_VALUE"""),0.0)</f>
        <v>0</v>
      </c>
      <c r="V162" s="310">
        <f>IFERROR(__xludf.DUMMYFUNCTION("""COMPUTED_VALUE"""),0.0)</f>
        <v>0</v>
      </c>
      <c r="W162" s="310">
        <f>IFERROR(__xludf.DUMMYFUNCTION("""COMPUTED_VALUE"""),0.0)</f>
        <v>0</v>
      </c>
      <c r="X162" s="310">
        <f>IFERROR(__xludf.DUMMYFUNCTION("""COMPUTED_VALUE"""),0.0)</f>
        <v>0</v>
      </c>
      <c r="Y162" s="310">
        <f>IFERROR(__xludf.DUMMYFUNCTION("""COMPUTED_VALUE"""),6.0)</f>
        <v>6</v>
      </c>
      <c r="Z162" s="310">
        <f>IFERROR(__xludf.DUMMYFUNCTION("""COMPUTED_VALUE"""),-50.0)</f>
        <v>-50</v>
      </c>
      <c r="AA162" s="310">
        <f>IFERROR(__xludf.DUMMYFUNCTION("""COMPUTED_VALUE"""),0.0)</f>
        <v>0</v>
      </c>
      <c r="AB162" s="310">
        <f>IFERROR(__xludf.DUMMYFUNCTION("""COMPUTED_VALUE"""),0.0)</f>
        <v>0</v>
      </c>
      <c r="AC162" s="310">
        <f>IFERROR(__xludf.DUMMYFUNCTION("""COMPUTED_VALUE"""),0.0)</f>
        <v>0</v>
      </c>
      <c r="AD162" s="310">
        <f>IFERROR(__xludf.DUMMYFUNCTION("""COMPUTED_VALUE"""),-6.0)</f>
        <v>-6</v>
      </c>
      <c r="AE162" s="310">
        <f>IFERROR(__xludf.DUMMYFUNCTION("""COMPUTED_VALUE"""),0.0)</f>
        <v>0</v>
      </c>
      <c r="AF162" s="310" t="str">
        <f>IFERROR(__xludf.DUMMYFUNCTION("""COMPUTED_VALUE"""),"")</f>
        <v/>
      </c>
      <c r="AG162" s="310">
        <f>IFERROR(__xludf.DUMMYFUNCTION("""COMPUTED_VALUE"""),0.0)</f>
        <v>0</v>
      </c>
      <c r="AH162" s="310">
        <f>IFERROR(__xludf.DUMMYFUNCTION("""COMPUTED_VALUE"""),0.0)</f>
        <v>0</v>
      </c>
      <c r="AI162" s="310">
        <f>IFERROR(__xludf.DUMMYFUNCTION("""COMPUTED_VALUE"""),0.0)</f>
        <v>0</v>
      </c>
      <c r="AJ162" s="310"/>
    </row>
    <row r="163" ht="22.5" customHeight="1">
      <c r="A163" s="311" t="str">
        <f>IFERROR(__xludf.DUMMYFUNCTION("""COMPUTED_VALUE"""),"")</f>
        <v/>
      </c>
      <c r="B163" s="311" t="str">
        <f>IFERROR(__xludf.DUMMYFUNCTION("""COMPUTED_VALUE"""),"")</f>
        <v/>
      </c>
      <c r="C163" s="311">
        <f>IFERROR(__xludf.DUMMYFUNCTION("""COMPUTED_VALUE"""),321.0)</f>
        <v>321</v>
      </c>
      <c r="D163" s="311" t="str">
        <f>IFERROR(__xludf.DUMMYFUNCTION("""COMPUTED_VALUE"""),"EDUCAP - Complexo do Alemão")</f>
        <v>EDUCAP - Complexo do Alemão</v>
      </c>
      <c r="E163" s="315" t="str">
        <f>IFERROR(__xludf.DUMMYFUNCTION("""COMPUTED_VALUE"""),"ZONA NORTE")</f>
        <v>ZONA NORTE</v>
      </c>
      <c r="F163" s="311" t="str">
        <f>IFERROR(__xludf.DUMMYFUNCTION("""COMPUTED_VALUE"""),"Rio de Janeiro")</f>
        <v>Rio de Janeiro</v>
      </c>
      <c r="G163" s="311" t="str">
        <f>IFERROR(__xludf.DUMMYFUNCTION("""COMPUTED_VALUE"""),"Complexo do Alemao")</f>
        <v>Complexo do Alemao</v>
      </c>
      <c r="H163" s="311" t="str">
        <f>IFERROR(__xludf.DUMMYFUNCTION("""COMPUTED_VALUE"""),"Outra Instituição")</f>
        <v>Outra Instituição</v>
      </c>
      <c r="I163" s="311" t="str">
        <f>IFERROR(__xludf.DUMMYFUNCTION("""COMPUTED_VALUE"""),"Público")</f>
        <v>Público</v>
      </c>
      <c r="J163" s="311" t="str">
        <f>IFERROR(__xludf.DUMMYFUNCTION("""COMPUTED_VALUE"""),"")</f>
        <v/>
      </c>
      <c r="K163" s="311" t="str">
        <f>IFERROR(__xludf.DUMMYFUNCTION("""COMPUTED_VALUE"""),"")</f>
        <v/>
      </c>
      <c r="L163" s="311" t="str">
        <f>IFERROR(__xludf.DUMMYFUNCTION("""COMPUTED_VALUE"""),"")</f>
        <v/>
      </c>
      <c r="M163" s="311" t="str">
        <f>IFERROR(__xludf.DUMMYFUNCTION("""COMPUTED_VALUE"""),"")</f>
        <v/>
      </c>
      <c r="N163" s="311">
        <f>IFERROR(__xludf.DUMMYFUNCTION("""COMPUTED_VALUE"""),0.0)</f>
        <v>0</v>
      </c>
      <c r="O163" s="311">
        <f>IFERROR(__xludf.DUMMYFUNCTION("""COMPUTED_VALUE"""),0.0)</f>
        <v>0</v>
      </c>
      <c r="P163" s="311">
        <f>IFERROR(__xludf.DUMMYFUNCTION("""COMPUTED_VALUE"""),0.0)</f>
        <v>0</v>
      </c>
      <c r="Q163" s="311">
        <f>IFERROR(__xludf.DUMMYFUNCTION("""COMPUTED_VALUE"""),0.0)</f>
        <v>0</v>
      </c>
      <c r="R163" s="311">
        <f>IFERROR(__xludf.DUMMYFUNCTION("""COMPUTED_VALUE"""),0.0)</f>
        <v>0</v>
      </c>
      <c r="S163" s="311">
        <f>IFERROR(__xludf.DUMMYFUNCTION("""COMPUTED_VALUE"""),0.0)</f>
        <v>0</v>
      </c>
      <c r="T163" s="311">
        <f>IFERROR(__xludf.DUMMYFUNCTION("""COMPUTED_VALUE"""),12.0)</f>
        <v>12</v>
      </c>
      <c r="U163" s="311">
        <f>IFERROR(__xludf.DUMMYFUNCTION("""COMPUTED_VALUE"""),0.0)</f>
        <v>0</v>
      </c>
      <c r="V163" s="311">
        <f>IFERROR(__xludf.DUMMYFUNCTION("""COMPUTED_VALUE"""),0.0)</f>
        <v>0</v>
      </c>
      <c r="W163" s="311">
        <f>IFERROR(__xludf.DUMMYFUNCTION("""COMPUTED_VALUE"""),0.0)</f>
        <v>0</v>
      </c>
      <c r="X163" s="311">
        <f>IFERROR(__xludf.DUMMYFUNCTION("""COMPUTED_VALUE"""),0.0)</f>
        <v>0</v>
      </c>
      <c r="Y163" s="311">
        <f>IFERROR(__xludf.DUMMYFUNCTION("""COMPUTED_VALUE"""),0.0)</f>
        <v>0</v>
      </c>
      <c r="Z163" s="311">
        <f>IFERROR(__xludf.DUMMYFUNCTION("""COMPUTED_VALUE"""),-12.0)</f>
        <v>-12</v>
      </c>
      <c r="AA163" s="311">
        <f>IFERROR(__xludf.DUMMYFUNCTION("""COMPUTED_VALUE"""),0.0)</f>
        <v>0</v>
      </c>
      <c r="AB163" s="311">
        <f>IFERROR(__xludf.DUMMYFUNCTION("""COMPUTED_VALUE"""),0.0)</f>
        <v>0</v>
      </c>
      <c r="AC163" s="311">
        <f>IFERROR(__xludf.DUMMYFUNCTION("""COMPUTED_VALUE"""),0.0)</f>
        <v>0</v>
      </c>
      <c r="AD163" s="311">
        <f>IFERROR(__xludf.DUMMYFUNCTION("""COMPUTED_VALUE"""),0.0)</f>
        <v>0</v>
      </c>
      <c r="AE163" s="311">
        <f>IFERROR(__xludf.DUMMYFUNCTION("""COMPUTED_VALUE"""),0.0)</f>
        <v>0</v>
      </c>
      <c r="AF163" s="311" t="str">
        <f>IFERROR(__xludf.DUMMYFUNCTION("""COMPUTED_VALUE"""),"")</f>
        <v/>
      </c>
      <c r="AG163" s="311">
        <f>IFERROR(__xludf.DUMMYFUNCTION("""COMPUTED_VALUE"""),0.0)</f>
        <v>0</v>
      </c>
      <c r="AH163" s="311">
        <f>IFERROR(__xludf.DUMMYFUNCTION("""COMPUTED_VALUE"""),0.0)</f>
        <v>0</v>
      </c>
      <c r="AI163" s="311">
        <f>IFERROR(__xludf.DUMMYFUNCTION("""COMPUTED_VALUE"""),0.0)</f>
        <v>0</v>
      </c>
      <c r="AJ163" s="311"/>
    </row>
    <row r="164" ht="22.5" customHeight="1">
      <c r="A164" s="310" t="str">
        <f>IFERROR(__xludf.DUMMYFUNCTION("""COMPUTED_VALUE"""),"")</f>
        <v/>
      </c>
      <c r="B164" s="310" t="str">
        <f>IFERROR(__xludf.DUMMYFUNCTION("""COMPUTED_VALUE"""),"")</f>
        <v/>
      </c>
      <c r="C164" s="310">
        <f>IFERROR(__xludf.DUMMYFUNCTION("""COMPUTED_VALUE"""),322.0)</f>
        <v>322</v>
      </c>
      <c r="D164" s="310" t="str">
        <f>IFERROR(__xludf.DUMMYFUNCTION("""COMPUTED_VALUE"""),"CMS Família do Jacarezinho")</f>
        <v>CMS Família do Jacarezinho</v>
      </c>
      <c r="E164" s="313" t="str">
        <f>IFERROR(__xludf.DUMMYFUNCTION("""COMPUTED_VALUE"""),"ZONA NORTE")</f>
        <v>ZONA NORTE</v>
      </c>
      <c r="F164" s="310" t="str">
        <f>IFERROR(__xludf.DUMMYFUNCTION("""COMPUTED_VALUE"""),"Rio de Janeiro")</f>
        <v>Rio de Janeiro</v>
      </c>
      <c r="G164" s="310" t="str">
        <f>IFERROR(__xludf.DUMMYFUNCTION("""COMPUTED_VALUE"""),"Jacarezinho")</f>
        <v>Jacarezinho</v>
      </c>
      <c r="H164" s="310" t="str">
        <f>IFERROR(__xludf.DUMMYFUNCTION("""COMPUTED_VALUE"""),"Unidade básica de saúde - BAIXA COMPLEXIDADE
")</f>
        <v>Unidade básica de saúde - BAIXA COMPLEXIDADE
</v>
      </c>
      <c r="I164" s="310" t="str">
        <f>IFERROR(__xludf.DUMMYFUNCTION("""COMPUTED_VALUE"""),"Público")</f>
        <v>Público</v>
      </c>
      <c r="J164" s="310" t="str">
        <f>IFERROR(__xludf.DUMMYFUNCTION("""COMPUTED_VALUE"""),"")</f>
        <v/>
      </c>
      <c r="K164" s="310" t="str">
        <f>IFERROR(__xludf.DUMMYFUNCTION("""COMPUTED_VALUE"""),"")</f>
        <v/>
      </c>
      <c r="L164" s="310" t="str">
        <f>IFERROR(__xludf.DUMMYFUNCTION("""COMPUTED_VALUE"""),"")</f>
        <v/>
      </c>
      <c r="M164" s="310" t="str">
        <f>IFERROR(__xludf.DUMMYFUNCTION("""COMPUTED_VALUE"""),"")</f>
        <v/>
      </c>
      <c r="N164" s="310">
        <f>IFERROR(__xludf.DUMMYFUNCTION("""COMPUTED_VALUE"""),0.0)</f>
        <v>0</v>
      </c>
      <c r="O164" s="310">
        <f>IFERROR(__xludf.DUMMYFUNCTION("""COMPUTED_VALUE"""),0.0)</f>
        <v>0</v>
      </c>
      <c r="P164" s="310">
        <f>IFERROR(__xludf.DUMMYFUNCTION("""COMPUTED_VALUE"""),0.0)</f>
        <v>0</v>
      </c>
      <c r="Q164" s="310">
        <f>IFERROR(__xludf.DUMMYFUNCTION("""COMPUTED_VALUE"""),0.0)</f>
        <v>0</v>
      </c>
      <c r="R164" s="310">
        <f>IFERROR(__xludf.DUMMYFUNCTION("""COMPUTED_VALUE"""),0.0)</f>
        <v>0</v>
      </c>
      <c r="S164" s="310">
        <f>IFERROR(__xludf.DUMMYFUNCTION("""COMPUTED_VALUE"""),0.0)</f>
        <v>0</v>
      </c>
      <c r="T164" s="310">
        <f>IFERROR(__xludf.DUMMYFUNCTION("""COMPUTED_VALUE"""),10.0)</f>
        <v>10</v>
      </c>
      <c r="U164" s="310">
        <f>IFERROR(__xludf.DUMMYFUNCTION("""COMPUTED_VALUE"""),0.0)</f>
        <v>0</v>
      </c>
      <c r="V164" s="310">
        <f>IFERROR(__xludf.DUMMYFUNCTION("""COMPUTED_VALUE"""),0.0)</f>
        <v>0</v>
      </c>
      <c r="W164" s="310">
        <f>IFERROR(__xludf.DUMMYFUNCTION("""COMPUTED_VALUE"""),0.0)</f>
        <v>0</v>
      </c>
      <c r="X164" s="310">
        <f>IFERROR(__xludf.DUMMYFUNCTION("""COMPUTED_VALUE"""),0.0)</f>
        <v>0</v>
      </c>
      <c r="Y164" s="310">
        <f>IFERROR(__xludf.DUMMYFUNCTION("""COMPUTED_VALUE"""),0.0)</f>
        <v>0</v>
      </c>
      <c r="Z164" s="310">
        <f>IFERROR(__xludf.DUMMYFUNCTION("""COMPUTED_VALUE"""),-10.0)</f>
        <v>-10</v>
      </c>
      <c r="AA164" s="310">
        <f>IFERROR(__xludf.DUMMYFUNCTION("""COMPUTED_VALUE"""),0.0)</f>
        <v>0</v>
      </c>
      <c r="AB164" s="310">
        <f>IFERROR(__xludf.DUMMYFUNCTION("""COMPUTED_VALUE"""),0.0)</f>
        <v>0</v>
      </c>
      <c r="AC164" s="310">
        <f>IFERROR(__xludf.DUMMYFUNCTION("""COMPUTED_VALUE"""),0.0)</f>
        <v>0</v>
      </c>
      <c r="AD164" s="310">
        <f>IFERROR(__xludf.DUMMYFUNCTION("""COMPUTED_VALUE"""),0.0)</f>
        <v>0</v>
      </c>
      <c r="AE164" s="310">
        <f>IFERROR(__xludf.DUMMYFUNCTION("""COMPUTED_VALUE"""),0.0)</f>
        <v>0</v>
      </c>
      <c r="AF164" s="310" t="str">
        <f>IFERROR(__xludf.DUMMYFUNCTION("""COMPUTED_VALUE"""),"")</f>
        <v/>
      </c>
      <c r="AG164" s="310">
        <f>IFERROR(__xludf.DUMMYFUNCTION("""COMPUTED_VALUE"""),0.0)</f>
        <v>0</v>
      </c>
      <c r="AH164" s="310">
        <f>IFERROR(__xludf.DUMMYFUNCTION("""COMPUTED_VALUE"""),0.0)</f>
        <v>0</v>
      </c>
      <c r="AI164" s="310">
        <f>IFERROR(__xludf.DUMMYFUNCTION("""COMPUTED_VALUE"""),0.0)</f>
        <v>0</v>
      </c>
      <c r="AJ164" s="310"/>
    </row>
    <row r="165" ht="22.5" customHeight="1">
      <c r="A165" s="311" t="str">
        <f>IFERROR(__xludf.DUMMYFUNCTION("""COMPUTED_VALUE"""),"")</f>
        <v/>
      </c>
      <c r="B165" s="311" t="str">
        <f>IFERROR(__xludf.DUMMYFUNCTION("""COMPUTED_VALUE"""),"")</f>
        <v/>
      </c>
      <c r="C165" s="311">
        <f>IFERROR(__xludf.DUMMYFUNCTION("""COMPUTED_VALUE"""),323.0)</f>
        <v>323</v>
      </c>
      <c r="D165" s="311" t="str">
        <f>IFERROR(__xludf.DUMMYFUNCTION("""COMPUTED_VALUE"""),"Dra. Renata (Minas Gerais)")</f>
        <v>Dra. Renata (Minas Gerais)</v>
      </c>
      <c r="E165" s="315" t="str">
        <f>IFERROR(__xludf.DUMMYFUNCTION("""COMPUTED_VALUE"""),"OUTROS ESTADOS")</f>
        <v>OUTROS ESTADOS</v>
      </c>
      <c r="F165" s="311" t="str">
        <f>IFERROR(__xludf.DUMMYFUNCTION("""COMPUTED_VALUE"""),"Minas Gerais")</f>
        <v>Minas Gerais</v>
      </c>
      <c r="G165" s="311" t="str">
        <f>IFERROR(__xludf.DUMMYFUNCTION("""COMPUTED_VALUE"""),"")</f>
        <v/>
      </c>
      <c r="H165" s="311" t="str">
        <f>IFERROR(__xludf.DUMMYFUNCTION("""COMPUTED_VALUE"""),"Outra Instituição")</f>
        <v>Outra Instituição</v>
      </c>
      <c r="I165" s="311" t="str">
        <f>IFERROR(__xludf.DUMMYFUNCTION("""COMPUTED_VALUE"""),"Público")</f>
        <v>Público</v>
      </c>
      <c r="J165" s="311" t="str">
        <f>IFERROR(__xludf.DUMMYFUNCTION("""COMPUTED_VALUE"""),"")</f>
        <v/>
      </c>
      <c r="K165" s="311" t="str">
        <f>IFERROR(__xludf.DUMMYFUNCTION("""COMPUTED_VALUE"""),"")</f>
        <v/>
      </c>
      <c r="L165" s="311" t="str">
        <f>IFERROR(__xludf.DUMMYFUNCTION("""COMPUTED_VALUE"""),"")</f>
        <v/>
      </c>
      <c r="M165" s="311" t="str">
        <f>IFERROR(__xludf.DUMMYFUNCTION("""COMPUTED_VALUE"""),"")</f>
        <v/>
      </c>
      <c r="N165" s="311">
        <f>IFERROR(__xludf.DUMMYFUNCTION("""COMPUTED_VALUE"""),0.0)</f>
        <v>0</v>
      </c>
      <c r="O165" s="311">
        <f>IFERROR(__xludf.DUMMYFUNCTION("""COMPUTED_VALUE"""),0.0)</f>
        <v>0</v>
      </c>
      <c r="P165" s="311">
        <f>IFERROR(__xludf.DUMMYFUNCTION("""COMPUTED_VALUE"""),0.0)</f>
        <v>0</v>
      </c>
      <c r="Q165" s="311">
        <f>IFERROR(__xludf.DUMMYFUNCTION("""COMPUTED_VALUE"""),0.0)</f>
        <v>0</v>
      </c>
      <c r="R165" s="311">
        <f>IFERROR(__xludf.DUMMYFUNCTION("""COMPUTED_VALUE"""),0.0)</f>
        <v>0</v>
      </c>
      <c r="S165" s="311">
        <f>IFERROR(__xludf.DUMMYFUNCTION("""COMPUTED_VALUE"""),0.0)</f>
        <v>0</v>
      </c>
      <c r="T165" s="311">
        <f>IFERROR(__xludf.DUMMYFUNCTION("""COMPUTED_VALUE"""),5.0)</f>
        <v>5</v>
      </c>
      <c r="U165" s="311">
        <f>IFERROR(__xludf.DUMMYFUNCTION("""COMPUTED_VALUE"""),0.0)</f>
        <v>0</v>
      </c>
      <c r="V165" s="311">
        <f>IFERROR(__xludf.DUMMYFUNCTION("""COMPUTED_VALUE"""),0.0)</f>
        <v>0</v>
      </c>
      <c r="W165" s="311">
        <f>IFERROR(__xludf.DUMMYFUNCTION("""COMPUTED_VALUE"""),0.0)</f>
        <v>0</v>
      </c>
      <c r="X165" s="311">
        <f>IFERROR(__xludf.DUMMYFUNCTION("""COMPUTED_VALUE"""),0.0)</f>
        <v>0</v>
      </c>
      <c r="Y165" s="311">
        <f>IFERROR(__xludf.DUMMYFUNCTION("""COMPUTED_VALUE"""),0.0)</f>
        <v>0</v>
      </c>
      <c r="Z165" s="311">
        <f>IFERROR(__xludf.DUMMYFUNCTION("""COMPUTED_VALUE"""),-5.0)</f>
        <v>-5</v>
      </c>
      <c r="AA165" s="311">
        <f>IFERROR(__xludf.DUMMYFUNCTION("""COMPUTED_VALUE"""),0.0)</f>
        <v>0</v>
      </c>
      <c r="AB165" s="311">
        <f>IFERROR(__xludf.DUMMYFUNCTION("""COMPUTED_VALUE"""),0.0)</f>
        <v>0</v>
      </c>
      <c r="AC165" s="311">
        <f>IFERROR(__xludf.DUMMYFUNCTION("""COMPUTED_VALUE"""),0.0)</f>
        <v>0</v>
      </c>
      <c r="AD165" s="311">
        <f>IFERROR(__xludf.DUMMYFUNCTION("""COMPUTED_VALUE"""),0.0)</f>
        <v>0</v>
      </c>
      <c r="AE165" s="311">
        <f>IFERROR(__xludf.DUMMYFUNCTION("""COMPUTED_VALUE"""),0.0)</f>
        <v>0</v>
      </c>
      <c r="AF165" s="311" t="str">
        <f>IFERROR(__xludf.DUMMYFUNCTION("""COMPUTED_VALUE"""),"")</f>
        <v/>
      </c>
      <c r="AG165" s="311">
        <f>IFERROR(__xludf.DUMMYFUNCTION("""COMPUTED_VALUE"""),0.0)</f>
        <v>0</v>
      </c>
      <c r="AH165" s="311">
        <f>IFERROR(__xludf.DUMMYFUNCTION("""COMPUTED_VALUE"""),0.0)</f>
        <v>0</v>
      </c>
      <c r="AI165" s="311">
        <f>IFERROR(__xludf.DUMMYFUNCTION("""COMPUTED_VALUE"""),0.0)</f>
        <v>0</v>
      </c>
      <c r="AJ165" s="311"/>
    </row>
    <row r="166" ht="22.5" customHeight="1">
      <c r="A166" s="310" t="str">
        <f>IFERROR(__xludf.DUMMYFUNCTION("""COMPUTED_VALUE"""),"")</f>
        <v/>
      </c>
      <c r="B166" s="310" t="str">
        <f>IFERROR(__xludf.DUMMYFUNCTION("""COMPUTED_VALUE"""),"")</f>
        <v/>
      </c>
      <c r="C166" s="310">
        <f>IFERROR(__xludf.DUMMYFUNCTION("""COMPUTED_VALUE"""),324.0)</f>
        <v>324</v>
      </c>
      <c r="D166" s="310" t="str">
        <f>IFERROR(__xludf.DUMMYFUNCTION("""COMPUTED_VALUE"""),"Hospital Central da PMERJ")</f>
        <v>Hospital Central da PMERJ</v>
      </c>
      <c r="E166" s="313" t="str">
        <f>IFERROR(__xludf.DUMMYFUNCTION("""COMPUTED_VALUE"""),"CENTRO")</f>
        <v>CENTRO</v>
      </c>
      <c r="F166" s="310" t="str">
        <f>IFERROR(__xludf.DUMMYFUNCTION("""COMPUTED_VALUE"""),"Rio de Janeiro")</f>
        <v>Rio de Janeiro</v>
      </c>
      <c r="G166" s="310" t="str">
        <f>IFERROR(__xludf.DUMMYFUNCTION("""COMPUTED_VALUE"""),"Estacio")</f>
        <v>Estacio</v>
      </c>
      <c r="H166" s="310" t="str">
        <f>IFERROR(__xludf.DUMMYFUNCTION("""COMPUTED_VALUE"""),"Referência - ALTA COMPLEXIDADE")</f>
        <v>Referência - ALTA COMPLEXIDADE</v>
      </c>
      <c r="I166" s="310" t="str">
        <f>IFERROR(__xludf.DUMMYFUNCTION("""COMPUTED_VALUE"""),"Público")</f>
        <v>Público</v>
      </c>
      <c r="J166" s="310" t="str">
        <f>IFERROR(__xludf.DUMMYFUNCTION("""COMPUTED_VALUE"""),"")</f>
        <v/>
      </c>
      <c r="K166" s="310" t="str">
        <f>IFERROR(__xludf.DUMMYFUNCTION("""COMPUTED_VALUE"""),"")</f>
        <v/>
      </c>
      <c r="L166" s="310" t="str">
        <f>IFERROR(__xludf.DUMMYFUNCTION("""COMPUTED_VALUE"""),"")</f>
        <v/>
      </c>
      <c r="M166" s="310" t="str">
        <f>IFERROR(__xludf.DUMMYFUNCTION("""COMPUTED_VALUE"""),"")</f>
        <v/>
      </c>
      <c r="N166" s="310">
        <f>IFERROR(__xludf.DUMMYFUNCTION("""COMPUTED_VALUE"""),0.0)</f>
        <v>0</v>
      </c>
      <c r="O166" s="310">
        <f>IFERROR(__xludf.DUMMYFUNCTION("""COMPUTED_VALUE"""),0.0)</f>
        <v>0</v>
      </c>
      <c r="P166" s="310">
        <f>IFERROR(__xludf.DUMMYFUNCTION("""COMPUTED_VALUE"""),0.0)</f>
        <v>0</v>
      </c>
      <c r="Q166" s="310">
        <f>IFERROR(__xludf.DUMMYFUNCTION("""COMPUTED_VALUE"""),0.0)</f>
        <v>0</v>
      </c>
      <c r="R166" s="310">
        <f>IFERROR(__xludf.DUMMYFUNCTION("""COMPUTED_VALUE"""),0.0)</f>
        <v>0</v>
      </c>
      <c r="S166" s="310">
        <f>IFERROR(__xludf.DUMMYFUNCTION("""COMPUTED_VALUE"""),0.0)</f>
        <v>0</v>
      </c>
      <c r="T166" s="310">
        <f>IFERROR(__xludf.DUMMYFUNCTION("""COMPUTED_VALUE"""),100.0)</f>
        <v>100</v>
      </c>
      <c r="U166" s="310">
        <f>IFERROR(__xludf.DUMMYFUNCTION("""COMPUTED_VALUE"""),0.0)</f>
        <v>0</v>
      </c>
      <c r="V166" s="310">
        <f>IFERROR(__xludf.DUMMYFUNCTION("""COMPUTED_VALUE"""),0.0)</f>
        <v>0</v>
      </c>
      <c r="W166" s="310">
        <f>IFERROR(__xludf.DUMMYFUNCTION("""COMPUTED_VALUE"""),0.0)</f>
        <v>0</v>
      </c>
      <c r="X166" s="310">
        <f>IFERROR(__xludf.DUMMYFUNCTION("""COMPUTED_VALUE"""),0.0)</f>
        <v>0</v>
      </c>
      <c r="Y166" s="310">
        <f>IFERROR(__xludf.DUMMYFUNCTION("""COMPUTED_VALUE"""),0.0)</f>
        <v>0</v>
      </c>
      <c r="Z166" s="310">
        <f>IFERROR(__xludf.DUMMYFUNCTION("""COMPUTED_VALUE"""),-100.0)</f>
        <v>-100</v>
      </c>
      <c r="AA166" s="310">
        <f>IFERROR(__xludf.DUMMYFUNCTION("""COMPUTED_VALUE"""),0.0)</f>
        <v>0</v>
      </c>
      <c r="AB166" s="310">
        <f>IFERROR(__xludf.DUMMYFUNCTION("""COMPUTED_VALUE"""),0.0)</f>
        <v>0</v>
      </c>
      <c r="AC166" s="310">
        <f>IFERROR(__xludf.DUMMYFUNCTION("""COMPUTED_VALUE"""),0.0)</f>
        <v>0</v>
      </c>
      <c r="AD166" s="310">
        <f>IFERROR(__xludf.DUMMYFUNCTION("""COMPUTED_VALUE"""),0.0)</f>
        <v>0</v>
      </c>
      <c r="AE166" s="310">
        <f>IFERROR(__xludf.DUMMYFUNCTION("""COMPUTED_VALUE"""),0.0)</f>
        <v>0</v>
      </c>
      <c r="AF166" s="310" t="str">
        <f>IFERROR(__xludf.DUMMYFUNCTION("""COMPUTED_VALUE"""),"")</f>
        <v/>
      </c>
      <c r="AG166" s="310">
        <f>IFERROR(__xludf.DUMMYFUNCTION("""COMPUTED_VALUE"""),0.0)</f>
        <v>0</v>
      </c>
      <c r="AH166" s="310">
        <f>IFERROR(__xludf.DUMMYFUNCTION("""COMPUTED_VALUE"""),0.0)</f>
        <v>0</v>
      </c>
      <c r="AI166" s="310">
        <f>IFERROR(__xludf.DUMMYFUNCTION("""COMPUTED_VALUE"""),0.0)</f>
        <v>0</v>
      </c>
      <c r="AJ166" s="310"/>
    </row>
    <row r="167" ht="22.5" customHeight="1">
      <c r="A167" s="311" t="str">
        <f>IFERROR(__xludf.DUMMYFUNCTION("""COMPUTED_VALUE"""),"")</f>
        <v/>
      </c>
      <c r="B167" s="311" t="str">
        <f>IFERROR(__xludf.DUMMYFUNCTION("""COMPUTED_VALUE"""),"")</f>
        <v/>
      </c>
      <c r="C167" s="311">
        <f>IFERROR(__xludf.DUMMYFUNCTION("""COMPUTED_VALUE"""),325.0)</f>
        <v>325</v>
      </c>
      <c r="D167" s="311" t="str">
        <f>IFERROR(__xludf.DUMMYFUNCTION("""COMPUTED_VALUE"""),"Divisão de Engenharia - HUCCF")</f>
        <v>Divisão de Engenharia - HUCCF</v>
      </c>
      <c r="E167" s="315" t="str">
        <f>IFERROR(__xludf.DUMMYFUNCTION("""COMPUTED_VALUE"""),"ZONA NORTE")</f>
        <v>ZONA NORTE</v>
      </c>
      <c r="F167" s="311" t="str">
        <f>IFERROR(__xludf.DUMMYFUNCTION("""COMPUTED_VALUE"""),"Rio de Janeiro")</f>
        <v>Rio de Janeiro</v>
      </c>
      <c r="G167" s="311" t="str">
        <f>IFERROR(__xludf.DUMMYFUNCTION("""COMPUTED_VALUE"""),"Cidade Universitaria")</f>
        <v>Cidade Universitaria</v>
      </c>
      <c r="H167" s="311" t="str">
        <f>IFERROR(__xludf.DUMMYFUNCTION("""COMPUTED_VALUE"""),"Unidade básica de saúde - BAIXA COMPLEXIDADE
")</f>
        <v>Unidade básica de saúde - BAIXA COMPLEXIDADE
</v>
      </c>
      <c r="I167" s="311" t="str">
        <f>IFERROR(__xludf.DUMMYFUNCTION("""COMPUTED_VALUE"""),"Público")</f>
        <v>Público</v>
      </c>
      <c r="J167" s="311" t="str">
        <f>IFERROR(__xludf.DUMMYFUNCTION("""COMPUTED_VALUE"""),"")</f>
        <v/>
      </c>
      <c r="K167" s="311" t="str">
        <f>IFERROR(__xludf.DUMMYFUNCTION("""COMPUTED_VALUE"""),"")</f>
        <v/>
      </c>
      <c r="L167" s="311" t="str">
        <f>IFERROR(__xludf.DUMMYFUNCTION("""COMPUTED_VALUE"""),"")</f>
        <v/>
      </c>
      <c r="M167" s="311" t="str">
        <f>IFERROR(__xludf.DUMMYFUNCTION("""COMPUTED_VALUE"""),"")</f>
        <v/>
      </c>
      <c r="N167" s="311">
        <f>IFERROR(__xludf.DUMMYFUNCTION("""COMPUTED_VALUE"""),0.0)</f>
        <v>0</v>
      </c>
      <c r="O167" s="311">
        <f>IFERROR(__xludf.DUMMYFUNCTION("""COMPUTED_VALUE"""),0.0)</f>
        <v>0</v>
      </c>
      <c r="P167" s="311">
        <f>IFERROR(__xludf.DUMMYFUNCTION("""COMPUTED_VALUE"""),0.0)</f>
        <v>0</v>
      </c>
      <c r="Q167" s="311">
        <f>IFERROR(__xludf.DUMMYFUNCTION("""COMPUTED_VALUE"""),0.0)</f>
        <v>0</v>
      </c>
      <c r="R167" s="311">
        <f>IFERROR(__xludf.DUMMYFUNCTION("""COMPUTED_VALUE"""),0.0)</f>
        <v>0</v>
      </c>
      <c r="S167" s="311">
        <f>IFERROR(__xludf.DUMMYFUNCTION("""COMPUTED_VALUE"""),0.0)</f>
        <v>0</v>
      </c>
      <c r="T167" s="311">
        <f>IFERROR(__xludf.DUMMYFUNCTION("""COMPUTED_VALUE"""),0.0)</f>
        <v>0</v>
      </c>
      <c r="U167" s="311">
        <f>IFERROR(__xludf.DUMMYFUNCTION("""COMPUTED_VALUE"""),0.0)</f>
        <v>0</v>
      </c>
      <c r="V167" s="311">
        <f>IFERROR(__xludf.DUMMYFUNCTION("""COMPUTED_VALUE"""),0.0)</f>
        <v>0</v>
      </c>
      <c r="W167" s="311">
        <f>IFERROR(__xludf.DUMMYFUNCTION("""COMPUTED_VALUE"""),25.0)</f>
        <v>25</v>
      </c>
      <c r="X167" s="311">
        <f>IFERROR(__xludf.DUMMYFUNCTION("""COMPUTED_VALUE"""),0.0)</f>
        <v>0</v>
      </c>
      <c r="Y167" s="311">
        <f>IFERROR(__xludf.DUMMYFUNCTION("""COMPUTED_VALUE"""),0.0)</f>
        <v>0</v>
      </c>
      <c r="Z167" s="311">
        <f>IFERROR(__xludf.DUMMYFUNCTION("""COMPUTED_VALUE"""),0.0)</f>
        <v>0</v>
      </c>
      <c r="AA167" s="311">
        <f>IFERROR(__xludf.DUMMYFUNCTION("""COMPUTED_VALUE"""),0.0)</f>
        <v>0</v>
      </c>
      <c r="AB167" s="311">
        <f>IFERROR(__xludf.DUMMYFUNCTION("""COMPUTED_VALUE"""),0.0)</f>
        <v>0</v>
      </c>
      <c r="AC167" s="311">
        <f>IFERROR(__xludf.DUMMYFUNCTION("""COMPUTED_VALUE"""),-25.0)</f>
        <v>-25</v>
      </c>
      <c r="AD167" s="311">
        <f>IFERROR(__xludf.DUMMYFUNCTION("""COMPUTED_VALUE"""),0.0)</f>
        <v>0</v>
      </c>
      <c r="AE167" s="311">
        <f>IFERROR(__xludf.DUMMYFUNCTION("""COMPUTED_VALUE"""),0.0)</f>
        <v>0</v>
      </c>
      <c r="AF167" s="311" t="str">
        <f>IFERROR(__xludf.DUMMYFUNCTION("""COMPUTED_VALUE"""),"")</f>
        <v/>
      </c>
      <c r="AG167" s="311">
        <f>IFERROR(__xludf.DUMMYFUNCTION("""COMPUTED_VALUE"""),0.0)</f>
        <v>0</v>
      </c>
      <c r="AH167" s="311">
        <f>IFERROR(__xludf.DUMMYFUNCTION("""COMPUTED_VALUE"""),0.0)</f>
        <v>0</v>
      </c>
      <c r="AI167" s="311">
        <f>IFERROR(__xludf.DUMMYFUNCTION("""COMPUTED_VALUE"""),0.0)</f>
        <v>0</v>
      </c>
      <c r="AJ167" s="311"/>
    </row>
    <row r="168" ht="22.5" customHeight="1">
      <c r="A168" s="310" t="str">
        <f>IFERROR(__xludf.DUMMYFUNCTION("""COMPUTED_VALUE"""),"")</f>
        <v/>
      </c>
      <c r="B168" s="310" t="str">
        <f>IFERROR(__xludf.DUMMYFUNCTION("""COMPUTED_VALUE"""),"")</f>
        <v/>
      </c>
      <c r="C168" s="310">
        <f>IFERROR(__xludf.DUMMYFUNCTION("""COMPUTED_VALUE"""),327.0)</f>
        <v>327</v>
      </c>
      <c r="D168" s="310" t="str">
        <f>IFERROR(__xludf.DUMMYFUNCTION("""COMPUTED_VALUE"""),"Clinica da Familia Victor Valla")</f>
        <v>Clinica da Familia Victor Valla</v>
      </c>
      <c r="E168" s="313" t="str">
        <f>IFERROR(__xludf.DUMMYFUNCTION("""COMPUTED_VALUE"""),"ZONA NORTE")</f>
        <v>ZONA NORTE</v>
      </c>
      <c r="F168" s="310" t="str">
        <f>IFERROR(__xludf.DUMMYFUNCTION("""COMPUTED_VALUE"""),"Rio de Janeiro")</f>
        <v>Rio de Janeiro</v>
      </c>
      <c r="G168" s="310" t="str">
        <f>IFERROR(__xludf.DUMMYFUNCTION("""COMPUTED_VALUE"""),"Manguinhos")</f>
        <v>Manguinhos</v>
      </c>
      <c r="H168" s="310" t="str">
        <f>IFERROR(__xludf.DUMMYFUNCTION("""COMPUTED_VALUE"""),"Unidade básica de saúde - BAIXA COMPLEXIDADE
")</f>
        <v>Unidade básica de saúde - BAIXA COMPLEXIDADE
</v>
      </c>
      <c r="I168" s="310" t="str">
        <f>IFERROR(__xludf.DUMMYFUNCTION("""COMPUTED_VALUE"""),"Público")</f>
        <v>Público</v>
      </c>
      <c r="J168" s="310" t="str">
        <f>IFERROR(__xludf.DUMMYFUNCTION("""COMPUTED_VALUE"""),"")</f>
        <v/>
      </c>
      <c r="K168" s="310" t="str">
        <f>IFERROR(__xludf.DUMMYFUNCTION("""COMPUTED_VALUE"""),"")</f>
        <v/>
      </c>
      <c r="L168" s="310" t="str">
        <f>IFERROR(__xludf.DUMMYFUNCTION("""COMPUTED_VALUE"""),"")</f>
        <v/>
      </c>
      <c r="M168" s="310" t="str">
        <f>IFERROR(__xludf.DUMMYFUNCTION("""COMPUTED_VALUE"""),"")</f>
        <v/>
      </c>
      <c r="N168" s="310">
        <f>IFERROR(__xludf.DUMMYFUNCTION("""COMPUTED_VALUE"""),0.0)</f>
        <v>0</v>
      </c>
      <c r="O168" s="310">
        <f>IFERROR(__xludf.DUMMYFUNCTION("""COMPUTED_VALUE"""),0.0)</f>
        <v>0</v>
      </c>
      <c r="P168" s="310">
        <f>IFERROR(__xludf.DUMMYFUNCTION("""COMPUTED_VALUE"""),0.0)</f>
        <v>0</v>
      </c>
      <c r="Q168" s="310">
        <f>IFERROR(__xludf.DUMMYFUNCTION("""COMPUTED_VALUE"""),0.0)</f>
        <v>0</v>
      </c>
      <c r="R168" s="310">
        <f>IFERROR(__xludf.DUMMYFUNCTION("""COMPUTED_VALUE"""),0.0)</f>
        <v>0</v>
      </c>
      <c r="S168" s="310">
        <f>IFERROR(__xludf.DUMMYFUNCTION("""COMPUTED_VALUE"""),0.0)</f>
        <v>0</v>
      </c>
      <c r="T168" s="310">
        <f>IFERROR(__xludf.DUMMYFUNCTION("""COMPUTED_VALUE"""),25.0)</f>
        <v>25</v>
      </c>
      <c r="U168" s="310">
        <f>IFERROR(__xludf.DUMMYFUNCTION("""COMPUTED_VALUE"""),0.0)</f>
        <v>0</v>
      </c>
      <c r="V168" s="310">
        <f>IFERROR(__xludf.DUMMYFUNCTION("""COMPUTED_VALUE"""),0.0)</f>
        <v>0</v>
      </c>
      <c r="W168" s="310">
        <f>IFERROR(__xludf.DUMMYFUNCTION("""COMPUTED_VALUE"""),25.0)</f>
        <v>25</v>
      </c>
      <c r="X168" s="310">
        <f>IFERROR(__xludf.DUMMYFUNCTION("""COMPUTED_VALUE"""),50.0)</f>
        <v>50</v>
      </c>
      <c r="Y168" s="310">
        <f>IFERROR(__xludf.DUMMYFUNCTION("""COMPUTED_VALUE"""),0.0)</f>
        <v>0</v>
      </c>
      <c r="Z168" s="310">
        <f>IFERROR(__xludf.DUMMYFUNCTION("""COMPUTED_VALUE"""),-25.0)</f>
        <v>-25</v>
      </c>
      <c r="AA168" s="310">
        <f>IFERROR(__xludf.DUMMYFUNCTION("""COMPUTED_VALUE"""),0.0)</f>
        <v>0</v>
      </c>
      <c r="AB168" s="310">
        <f>IFERROR(__xludf.DUMMYFUNCTION("""COMPUTED_VALUE"""),0.0)</f>
        <v>0</v>
      </c>
      <c r="AC168" s="310">
        <f>IFERROR(__xludf.DUMMYFUNCTION("""COMPUTED_VALUE"""),-25.0)</f>
        <v>-25</v>
      </c>
      <c r="AD168" s="310">
        <f>IFERROR(__xludf.DUMMYFUNCTION("""COMPUTED_VALUE"""),0.0)</f>
        <v>0</v>
      </c>
      <c r="AE168" s="310">
        <f>IFERROR(__xludf.DUMMYFUNCTION("""COMPUTED_VALUE"""),-50.0)</f>
        <v>-50</v>
      </c>
      <c r="AF168" s="310" t="str">
        <f>IFERROR(__xludf.DUMMYFUNCTION("""COMPUTED_VALUE"""),"")</f>
        <v/>
      </c>
      <c r="AG168" s="310">
        <f>IFERROR(__xludf.DUMMYFUNCTION("""COMPUTED_VALUE"""),0.0)</f>
        <v>0</v>
      </c>
      <c r="AH168" s="310">
        <f>IFERROR(__xludf.DUMMYFUNCTION("""COMPUTED_VALUE"""),0.0)</f>
        <v>0</v>
      </c>
      <c r="AI168" s="310">
        <f>IFERROR(__xludf.DUMMYFUNCTION("""COMPUTED_VALUE"""),0.0)</f>
        <v>0</v>
      </c>
      <c r="AJ168" s="310"/>
    </row>
    <row r="169" ht="22.5" customHeight="1">
      <c r="A169" s="311" t="str">
        <f>IFERROR(__xludf.DUMMYFUNCTION("""COMPUTED_VALUE"""),"")</f>
        <v/>
      </c>
      <c r="B169" s="311" t="str">
        <f>IFERROR(__xludf.DUMMYFUNCTION("""COMPUTED_VALUE"""),"")</f>
        <v/>
      </c>
      <c r="C169" s="311">
        <f>IFERROR(__xludf.DUMMYFUNCTION("""COMPUTED_VALUE"""),328.0)</f>
        <v>328</v>
      </c>
      <c r="D169" s="311" t="str">
        <f>IFERROR(__xludf.DUMMYFUNCTION("""COMPUTED_VALUE"""),"Maternidade Municipal Drº Mario Niajar (Alcântara)")</f>
        <v>Maternidade Municipal Drº Mario Niajar (Alcântara)</v>
      </c>
      <c r="E169" s="315" t="str">
        <f>IFERROR(__xludf.DUMMYFUNCTION("""COMPUTED_VALUE"""),"REGIAO METROPOLITANA")</f>
        <v>REGIAO METROPOLITANA</v>
      </c>
      <c r="F169" s="311" t="str">
        <f>IFERROR(__xludf.DUMMYFUNCTION("""COMPUTED_VALUE"""),"Sao Gonçalo")</f>
        <v>Sao Gonçalo</v>
      </c>
      <c r="G169" s="311" t="str">
        <f>IFERROR(__xludf.DUMMYFUNCTION("""COMPUTED_VALUE"""),"Alcantara")</f>
        <v>Alcantara</v>
      </c>
      <c r="H169" s="311" t="str">
        <f>IFERROR(__xludf.DUMMYFUNCTION("""COMPUTED_VALUE"""),"Referência - ALTA COMPLEXIDADE")</f>
        <v>Referência - ALTA COMPLEXIDADE</v>
      </c>
      <c r="I169" s="311" t="str">
        <f>IFERROR(__xludf.DUMMYFUNCTION("""COMPUTED_VALUE"""),"Público")</f>
        <v>Público</v>
      </c>
      <c r="J169" s="311" t="str">
        <f>IFERROR(__xludf.DUMMYFUNCTION("""COMPUTED_VALUE"""),"")</f>
        <v/>
      </c>
      <c r="K169" s="311" t="str">
        <f>IFERROR(__xludf.DUMMYFUNCTION("""COMPUTED_VALUE"""),"")</f>
        <v/>
      </c>
      <c r="L169" s="311" t="str">
        <f>IFERROR(__xludf.DUMMYFUNCTION("""COMPUTED_VALUE"""),"")</f>
        <v/>
      </c>
      <c r="M169" s="311" t="str">
        <f>IFERROR(__xludf.DUMMYFUNCTION("""COMPUTED_VALUE"""),"")</f>
        <v/>
      </c>
      <c r="N169" s="311">
        <f>IFERROR(__xludf.DUMMYFUNCTION("""COMPUTED_VALUE"""),0.0)</f>
        <v>0</v>
      </c>
      <c r="O169" s="311">
        <f>IFERROR(__xludf.DUMMYFUNCTION("""COMPUTED_VALUE"""),0.0)</f>
        <v>0</v>
      </c>
      <c r="P169" s="311">
        <f>IFERROR(__xludf.DUMMYFUNCTION("""COMPUTED_VALUE"""),0.0)</f>
        <v>0</v>
      </c>
      <c r="Q169" s="311">
        <f>IFERROR(__xludf.DUMMYFUNCTION("""COMPUTED_VALUE"""),0.0)</f>
        <v>0</v>
      </c>
      <c r="R169" s="311">
        <f>IFERROR(__xludf.DUMMYFUNCTION("""COMPUTED_VALUE"""),0.0)</f>
        <v>0</v>
      </c>
      <c r="S169" s="311">
        <f>IFERROR(__xludf.DUMMYFUNCTION("""COMPUTED_VALUE"""),0.0)</f>
        <v>0</v>
      </c>
      <c r="T169" s="311">
        <f>IFERROR(__xludf.DUMMYFUNCTION("""COMPUTED_VALUE"""),100.0)</f>
        <v>100</v>
      </c>
      <c r="U169" s="311">
        <f>IFERROR(__xludf.DUMMYFUNCTION("""COMPUTED_VALUE"""),0.0)</f>
        <v>0</v>
      </c>
      <c r="V169" s="311">
        <f>IFERROR(__xludf.DUMMYFUNCTION("""COMPUTED_VALUE"""),0.0)</f>
        <v>0</v>
      </c>
      <c r="W169" s="311">
        <f>IFERROR(__xludf.DUMMYFUNCTION("""COMPUTED_VALUE"""),50.0)</f>
        <v>50</v>
      </c>
      <c r="X169" s="311">
        <f>IFERROR(__xludf.DUMMYFUNCTION("""COMPUTED_VALUE"""),0.0)</f>
        <v>0</v>
      </c>
      <c r="Y169" s="311">
        <f>IFERROR(__xludf.DUMMYFUNCTION("""COMPUTED_VALUE"""),0.0)</f>
        <v>0</v>
      </c>
      <c r="Z169" s="311">
        <f>IFERROR(__xludf.DUMMYFUNCTION("""COMPUTED_VALUE"""),-100.0)</f>
        <v>-100</v>
      </c>
      <c r="AA169" s="311">
        <f>IFERROR(__xludf.DUMMYFUNCTION("""COMPUTED_VALUE"""),0.0)</f>
        <v>0</v>
      </c>
      <c r="AB169" s="311">
        <f>IFERROR(__xludf.DUMMYFUNCTION("""COMPUTED_VALUE"""),0.0)</f>
        <v>0</v>
      </c>
      <c r="AC169" s="311">
        <f>IFERROR(__xludf.DUMMYFUNCTION("""COMPUTED_VALUE"""),-50.0)</f>
        <v>-50</v>
      </c>
      <c r="AD169" s="311">
        <f>IFERROR(__xludf.DUMMYFUNCTION("""COMPUTED_VALUE"""),0.0)</f>
        <v>0</v>
      </c>
      <c r="AE169" s="311">
        <f>IFERROR(__xludf.DUMMYFUNCTION("""COMPUTED_VALUE"""),0.0)</f>
        <v>0</v>
      </c>
      <c r="AF169" s="311" t="str">
        <f>IFERROR(__xludf.DUMMYFUNCTION("""COMPUTED_VALUE"""),"")</f>
        <v/>
      </c>
      <c r="AG169" s="311">
        <f>IFERROR(__xludf.DUMMYFUNCTION("""COMPUTED_VALUE"""),0.0)</f>
        <v>0</v>
      </c>
      <c r="AH169" s="311">
        <f>IFERROR(__xludf.DUMMYFUNCTION("""COMPUTED_VALUE"""),0.0)</f>
        <v>0</v>
      </c>
      <c r="AI169" s="311">
        <f>IFERROR(__xludf.DUMMYFUNCTION("""COMPUTED_VALUE"""),0.0)</f>
        <v>0</v>
      </c>
      <c r="AJ169" s="311"/>
    </row>
    <row r="170" ht="22.5" customHeight="1">
      <c r="A170" s="310" t="str">
        <f>IFERROR(__xludf.DUMMYFUNCTION("""COMPUTED_VALUE"""),"")</f>
        <v/>
      </c>
      <c r="B170" s="310" t="str">
        <f>IFERROR(__xludf.DUMMYFUNCTION("""COMPUTED_VALUE"""),"")</f>
        <v/>
      </c>
      <c r="C170" s="310">
        <f>IFERROR(__xludf.DUMMYFUNCTION("""COMPUTED_VALUE"""),332.0)</f>
        <v>332</v>
      </c>
      <c r="D170" s="310" t="str">
        <f>IFERROR(__xludf.DUMMYFUNCTION("""COMPUTED_VALUE"""),"Hospital Federal do Andaraí")</f>
        <v>Hospital Federal do Andaraí</v>
      </c>
      <c r="E170" s="313" t="str">
        <f>IFERROR(__xludf.DUMMYFUNCTION("""COMPUTED_VALUE"""),"ZONA NORTE")</f>
        <v>ZONA NORTE</v>
      </c>
      <c r="F170" s="310" t="str">
        <f>IFERROR(__xludf.DUMMYFUNCTION("""COMPUTED_VALUE"""),"Rio de Janeiro")</f>
        <v>Rio de Janeiro</v>
      </c>
      <c r="G170" s="310" t="str">
        <f>IFERROR(__xludf.DUMMYFUNCTION("""COMPUTED_VALUE"""),"Andaraí")</f>
        <v>Andaraí</v>
      </c>
      <c r="H170" s="310" t="str">
        <f>IFERROR(__xludf.DUMMYFUNCTION("""COMPUTED_VALUE"""),"Hospital de Referência - ALTA COMPLEXIDADE
")</f>
        <v>Hospital de Referência - ALTA COMPLEXIDADE
</v>
      </c>
      <c r="I170" s="310" t="str">
        <f>IFERROR(__xludf.DUMMYFUNCTION("""COMPUTED_VALUE"""),"Público")</f>
        <v>Público</v>
      </c>
      <c r="J170" s="310" t="str">
        <f>IFERROR(__xludf.DUMMYFUNCTION("""COMPUTED_VALUE"""),"")</f>
        <v/>
      </c>
      <c r="K170" s="310" t="str">
        <f>IFERROR(__xludf.DUMMYFUNCTION("""COMPUTED_VALUE"""),"")</f>
        <v/>
      </c>
      <c r="L170" s="310" t="str">
        <f>IFERROR(__xludf.DUMMYFUNCTION("""COMPUTED_VALUE"""),"")</f>
        <v/>
      </c>
      <c r="M170" s="310" t="str">
        <f>IFERROR(__xludf.DUMMYFUNCTION("""COMPUTED_VALUE"""),"")</f>
        <v/>
      </c>
      <c r="N170" s="310">
        <f>IFERROR(__xludf.DUMMYFUNCTION("""COMPUTED_VALUE"""),0.0)</f>
        <v>0</v>
      </c>
      <c r="O170" s="310">
        <f>IFERROR(__xludf.DUMMYFUNCTION("""COMPUTED_VALUE"""),0.0)</f>
        <v>0</v>
      </c>
      <c r="P170" s="310">
        <f>IFERROR(__xludf.DUMMYFUNCTION("""COMPUTED_VALUE"""),0.0)</f>
        <v>0</v>
      </c>
      <c r="Q170" s="310">
        <f>IFERROR(__xludf.DUMMYFUNCTION("""COMPUTED_VALUE"""),0.0)</f>
        <v>0</v>
      </c>
      <c r="R170" s="310">
        <f>IFERROR(__xludf.DUMMYFUNCTION("""COMPUTED_VALUE"""),0.0)</f>
        <v>0</v>
      </c>
      <c r="S170" s="310">
        <f>IFERROR(__xludf.DUMMYFUNCTION("""COMPUTED_VALUE"""),0.0)</f>
        <v>0</v>
      </c>
      <c r="T170" s="310">
        <f>IFERROR(__xludf.DUMMYFUNCTION("""COMPUTED_VALUE"""),298.0)</f>
        <v>298</v>
      </c>
      <c r="U170" s="310">
        <f>IFERROR(__xludf.DUMMYFUNCTION("""COMPUTED_VALUE"""),0.0)</f>
        <v>0</v>
      </c>
      <c r="V170" s="310">
        <f>IFERROR(__xludf.DUMMYFUNCTION("""COMPUTED_VALUE"""),0.0)</f>
        <v>0</v>
      </c>
      <c r="W170" s="310">
        <f>IFERROR(__xludf.DUMMYFUNCTION("""COMPUTED_VALUE"""),0.0)</f>
        <v>0</v>
      </c>
      <c r="X170" s="310">
        <f>IFERROR(__xludf.DUMMYFUNCTION("""COMPUTED_VALUE"""),0.0)</f>
        <v>0</v>
      </c>
      <c r="Y170" s="310">
        <f>IFERROR(__xludf.DUMMYFUNCTION("""COMPUTED_VALUE"""),0.0)</f>
        <v>0</v>
      </c>
      <c r="Z170" s="310">
        <f>IFERROR(__xludf.DUMMYFUNCTION("""COMPUTED_VALUE"""),-298.0)</f>
        <v>-298</v>
      </c>
      <c r="AA170" s="310">
        <f>IFERROR(__xludf.DUMMYFUNCTION("""COMPUTED_VALUE"""),0.0)</f>
        <v>0</v>
      </c>
      <c r="AB170" s="310">
        <f>IFERROR(__xludf.DUMMYFUNCTION("""COMPUTED_VALUE"""),0.0)</f>
        <v>0</v>
      </c>
      <c r="AC170" s="310">
        <f>IFERROR(__xludf.DUMMYFUNCTION("""COMPUTED_VALUE"""),0.0)</f>
        <v>0</v>
      </c>
      <c r="AD170" s="310">
        <f>IFERROR(__xludf.DUMMYFUNCTION("""COMPUTED_VALUE"""),0.0)</f>
        <v>0</v>
      </c>
      <c r="AE170" s="310">
        <f>IFERROR(__xludf.DUMMYFUNCTION("""COMPUTED_VALUE"""),0.0)</f>
        <v>0</v>
      </c>
      <c r="AF170" s="310" t="str">
        <f>IFERROR(__xludf.DUMMYFUNCTION("""COMPUTED_VALUE"""),"")</f>
        <v/>
      </c>
      <c r="AG170" s="310">
        <f>IFERROR(__xludf.DUMMYFUNCTION("""COMPUTED_VALUE"""),0.0)</f>
        <v>0</v>
      </c>
      <c r="AH170" s="310">
        <f>IFERROR(__xludf.DUMMYFUNCTION("""COMPUTED_VALUE"""),0.0)</f>
        <v>0</v>
      </c>
      <c r="AI170" s="310">
        <f>IFERROR(__xludf.DUMMYFUNCTION("""COMPUTED_VALUE"""),0.0)</f>
        <v>0</v>
      </c>
      <c r="AJ170" s="310"/>
    </row>
    <row r="171" ht="22.5" customHeight="1">
      <c r="A171" s="311" t="str">
        <f>IFERROR(__xludf.DUMMYFUNCTION("""COMPUTED_VALUE"""),"")</f>
        <v/>
      </c>
      <c r="B171" s="311" t="str">
        <f>IFERROR(__xludf.DUMMYFUNCTION("""COMPUTED_VALUE"""),"")</f>
        <v/>
      </c>
      <c r="C171" s="311">
        <f>IFERROR(__xludf.DUMMYFUNCTION("""COMPUTED_VALUE"""),344.0)</f>
        <v>344</v>
      </c>
      <c r="D171" s="311" t="str">
        <f>IFERROR(__xludf.DUMMYFUNCTION("""COMPUTED_VALUE"""),"Hospital Federal dos Servidores do Estado")</f>
        <v>Hospital Federal dos Servidores do Estado</v>
      </c>
      <c r="E171" s="315" t="str">
        <f>IFERROR(__xludf.DUMMYFUNCTION("""COMPUTED_VALUE"""),"CENTRO")</f>
        <v>CENTRO</v>
      </c>
      <c r="F171" s="311" t="str">
        <f>IFERROR(__xludf.DUMMYFUNCTION("""COMPUTED_VALUE"""),"Rio de Janeiro")</f>
        <v>Rio de Janeiro</v>
      </c>
      <c r="G171" s="311" t="str">
        <f>IFERROR(__xludf.DUMMYFUNCTION("""COMPUTED_VALUE"""),"Saude")</f>
        <v>Saude</v>
      </c>
      <c r="H171" s="311" t="str">
        <f>IFERROR(__xludf.DUMMYFUNCTION("""COMPUTED_VALUE"""),"Grande emergência - MÉDIA COMPLEXIDADE
")</f>
        <v>Grande emergência - MÉDIA COMPLEXIDADE
</v>
      </c>
      <c r="I171" s="311" t="str">
        <f>IFERROR(__xludf.DUMMYFUNCTION("""COMPUTED_VALUE"""),"Público")</f>
        <v>Público</v>
      </c>
      <c r="J171" s="311" t="str">
        <f>IFERROR(__xludf.DUMMYFUNCTION("""COMPUTED_VALUE"""),"")</f>
        <v/>
      </c>
      <c r="K171" s="311" t="str">
        <f>IFERROR(__xludf.DUMMYFUNCTION("""COMPUTED_VALUE"""),"")</f>
        <v/>
      </c>
      <c r="L171" s="311" t="str">
        <f>IFERROR(__xludf.DUMMYFUNCTION("""COMPUTED_VALUE"""),"")</f>
        <v/>
      </c>
      <c r="M171" s="311" t="str">
        <f>IFERROR(__xludf.DUMMYFUNCTION("""COMPUTED_VALUE"""),"")</f>
        <v/>
      </c>
      <c r="N171" s="311">
        <f>IFERROR(__xludf.DUMMYFUNCTION("""COMPUTED_VALUE"""),0.0)</f>
        <v>0</v>
      </c>
      <c r="O171" s="311">
        <f>IFERROR(__xludf.DUMMYFUNCTION("""COMPUTED_VALUE"""),0.0)</f>
        <v>0</v>
      </c>
      <c r="P171" s="311">
        <f>IFERROR(__xludf.DUMMYFUNCTION("""COMPUTED_VALUE"""),0.0)</f>
        <v>0</v>
      </c>
      <c r="Q171" s="311">
        <f>IFERROR(__xludf.DUMMYFUNCTION("""COMPUTED_VALUE"""),0.0)</f>
        <v>0</v>
      </c>
      <c r="R171" s="311">
        <f>IFERROR(__xludf.DUMMYFUNCTION("""COMPUTED_VALUE"""),0.0)</f>
        <v>0</v>
      </c>
      <c r="S171" s="311">
        <f>IFERROR(__xludf.DUMMYFUNCTION("""COMPUTED_VALUE"""),0.0)</f>
        <v>0</v>
      </c>
      <c r="T171" s="311">
        <f>IFERROR(__xludf.DUMMYFUNCTION("""COMPUTED_VALUE"""),200.0)</f>
        <v>200</v>
      </c>
      <c r="U171" s="311">
        <f>IFERROR(__xludf.DUMMYFUNCTION("""COMPUTED_VALUE"""),0.0)</f>
        <v>0</v>
      </c>
      <c r="V171" s="311">
        <f>IFERROR(__xludf.DUMMYFUNCTION("""COMPUTED_VALUE"""),0.0)</f>
        <v>0</v>
      </c>
      <c r="W171" s="311">
        <f>IFERROR(__xludf.DUMMYFUNCTION("""COMPUTED_VALUE"""),0.0)</f>
        <v>0</v>
      </c>
      <c r="X171" s="311">
        <f>IFERROR(__xludf.DUMMYFUNCTION("""COMPUTED_VALUE"""),0.0)</f>
        <v>0</v>
      </c>
      <c r="Y171" s="311">
        <f>IFERROR(__xludf.DUMMYFUNCTION("""COMPUTED_VALUE"""),0.0)</f>
        <v>0</v>
      </c>
      <c r="Z171" s="311">
        <f>IFERROR(__xludf.DUMMYFUNCTION("""COMPUTED_VALUE"""),-200.0)</f>
        <v>-200</v>
      </c>
      <c r="AA171" s="311">
        <f>IFERROR(__xludf.DUMMYFUNCTION("""COMPUTED_VALUE"""),0.0)</f>
        <v>0</v>
      </c>
      <c r="AB171" s="311">
        <f>IFERROR(__xludf.DUMMYFUNCTION("""COMPUTED_VALUE"""),0.0)</f>
        <v>0</v>
      </c>
      <c r="AC171" s="311">
        <f>IFERROR(__xludf.DUMMYFUNCTION("""COMPUTED_VALUE"""),0.0)</f>
        <v>0</v>
      </c>
      <c r="AD171" s="311">
        <f>IFERROR(__xludf.DUMMYFUNCTION("""COMPUTED_VALUE"""),0.0)</f>
        <v>0</v>
      </c>
      <c r="AE171" s="311">
        <f>IFERROR(__xludf.DUMMYFUNCTION("""COMPUTED_VALUE"""),0.0)</f>
        <v>0</v>
      </c>
      <c r="AF171" s="311" t="str">
        <f>IFERROR(__xludf.DUMMYFUNCTION("""COMPUTED_VALUE"""),"")</f>
        <v/>
      </c>
      <c r="AG171" s="311">
        <f>IFERROR(__xludf.DUMMYFUNCTION("""COMPUTED_VALUE"""),0.0)</f>
        <v>0</v>
      </c>
      <c r="AH171" s="311">
        <f>IFERROR(__xludf.DUMMYFUNCTION("""COMPUTED_VALUE"""),0.0)</f>
        <v>0</v>
      </c>
      <c r="AI171" s="311">
        <f>IFERROR(__xludf.DUMMYFUNCTION("""COMPUTED_VALUE"""),0.0)</f>
        <v>0</v>
      </c>
      <c r="AJ171" s="311"/>
    </row>
    <row r="172" ht="22.5" customHeight="1">
      <c r="A172" s="310" t="str">
        <f>IFERROR(__xludf.DUMMYFUNCTION("""COMPUTED_VALUE"""),"")</f>
        <v/>
      </c>
      <c r="B172" s="310" t="str">
        <f>IFERROR(__xludf.DUMMYFUNCTION("""COMPUTED_VALUE"""),"")</f>
        <v/>
      </c>
      <c r="C172" s="310">
        <f>IFERROR(__xludf.DUMMYFUNCTION("""COMPUTED_VALUE"""),345.0)</f>
        <v>345</v>
      </c>
      <c r="D172" s="310" t="str">
        <f>IFERROR(__xludf.DUMMYFUNCTION("""COMPUTED_VALUE"""),"Fundação Oswaldo Cruz")</f>
        <v>Fundação Oswaldo Cruz</v>
      </c>
      <c r="E172" s="313" t="str">
        <f>IFERROR(__xludf.DUMMYFUNCTION("""COMPUTED_VALUE"""),"REGIAO METROPOLITANA")</f>
        <v>REGIAO METROPOLITANA</v>
      </c>
      <c r="F172" s="310" t="str">
        <f>IFERROR(__xludf.DUMMYFUNCTION("""COMPUTED_VALUE"""),"Rio de Janeiro")</f>
        <v>Rio de Janeiro</v>
      </c>
      <c r="G172" s="310" t="str">
        <f>IFERROR(__xludf.DUMMYFUNCTION("""COMPUTED_VALUE"""),"Manguinhos")</f>
        <v>Manguinhos</v>
      </c>
      <c r="H172" s="310" t="str">
        <f>IFERROR(__xludf.DUMMYFUNCTION("""COMPUTED_VALUE"""),"Hospital de Referência - ALTA COMPLEXIDADE
")</f>
        <v>Hospital de Referência - ALTA COMPLEXIDADE
</v>
      </c>
      <c r="I172" s="310" t="str">
        <f>IFERROR(__xludf.DUMMYFUNCTION("""COMPUTED_VALUE"""),"Público")</f>
        <v>Público</v>
      </c>
      <c r="J172" s="310" t="str">
        <f>IFERROR(__xludf.DUMMYFUNCTION("""COMPUTED_VALUE"""),"")</f>
        <v/>
      </c>
      <c r="K172" s="310" t="str">
        <f>IFERROR(__xludf.DUMMYFUNCTION("""COMPUTED_VALUE"""),"")</f>
        <v/>
      </c>
      <c r="L172" s="310" t="str">
        <f>IFERROR(__xludf.DUMMYFUNCTION("""COMPUTED_VALUE"""),"")</f>
        <v/>
      </c>
      <c r="M172" s="310" t="str">
        <f>IFERROR(__xludf.DUMMYFUNCTION("""COMPUTED_VALUE"""),"")</f>
        <v/>
      </c>
      <c r="N172" s="310">
        <f>IFERROR(__xludf.DUMMYFUNCTION("""COMPUTED_VALUE"""),0.0)</f>
        <v>0</v>
      </c>
      <c r="O172" s="310">
        <f>IFERROR(__xludf.DUMMYFUNCTION("""COMPUTED_VALUE"""),0.0)</f>
        <v>0</v>
      </c>
      <c r="P172" s="310">
        <f>IFERROR(__xludf.DUMMYFUNCTION("""COMPUTED_VALUE"""),0.0)</f>
        <v>0</v>
      </c>
      <c r="Q172" s="310">
        <f>IFERROR(__xludf.DUMMYFUNCTION("""COMPUTED_VALUE"""),0.0)</f>
        <v>0</v>
      </c>
      <c r="R172" s="310">
        <f>IFERROR(__xludf.DUMMYFUNCTION("""COMPUTED_VALUE"""),0.0)</f>
        <v>0</v>
      </c>
      <c r="S172" s="310">
        <f>IFERROR(__xludf.DUMMYFUNCTION("""COMPUTED_VALUE"""),0.0)</f>
        <v>0</v>
      </c>
      <c r="T172" s="310">
        <f>IFERROR(__xludf.DUMMYFUNCTION("""COMPUTED_VALUE"""),1000.0)</f>
        <v>1000</v>
      </c>
      <c r="U172" s="310">
        <f>IFERROR(__xludf.DUMMYFUNCTION("""COMPUTED_VALUE"""),0.0)</f>
        <v>0</v>
      </c>
      <c r="V172" s="310">
        <f>IFERROR(__xludf.DUMMYFUNCTION("""COMPUTED_VALUE"""),0.0)</f>
        <v>0</v>
      </c>
      <c r="W172" s="310">
        <f>IFERROR(__xludf.DUMMYFUNCTION("""COMPUTED_VALUE"""),0.0)</f>
        <v>0</v>
      </c>
      <c r="X172" s="310">
        <f>IFERROR(__xludf.DUMMYFUNCTION("""COMPUTED_VALUE"""),0.0)</f>
        <v>0</v>
      </c>
      <c r="Y172" s="310">
        <f>IFERROR(__xludf.DUMMYFUNCTION("""COMPUTED_VALUE"""),0.0)</f>
        <v>0</v>
      </c>
      <c r="Z172" s="310">
        <f>IFERROR(__xludf.DUMMYFUNCTION("""COMPUTED_VALUE"""),-1000.0)</f>
        <v>-1000</v>
      </c>
      <c r="AA172" s="310">
        <f>IFERROR(__xludf.DUMMYFUNCTION("""COMPUTED_VALUE"""),0.0)</f>
        <v>0</v>
      </c>
      <c r="AB172" s="310">
        <f>IFERROR(__xludf.DUMMYFUNCTION("""COMPUTED_VALUE"""),0.0)</f>
        <v>0</v>
      </c>
      <c r="AC172" s="310">
        <f>IFERROR(__xludf.DUMMYFUNCTION("""COMPUTED_VALUE"""),0.0)</f>
        <v>0</v>
      </c>
      <c r="AD172" s="310">
        <f>IFERROR(__xludf.DUMMYFUNCTION("""COMPUTED_VALUE"""),0.0)</f>
        <v>0</v>
      </c>
      <c r="AE172" s="310">
        <f>IFERROR(__xludf.DUMMYFUNCTION("""COMPUTED_VALUE"""),0.0)</f>
        <v>0</v>
      </c>
      <c r="AF172" s="310" t="str">
        <f>IFERROR(__xludf.DUMMYFUNCTION("""COMPUTED_VALUE"""),"")</f>
        <v/>
      </c>
      <c r="AG172" s="310">
        <f>IFERROR(__xludf.DUMMYFUNCTION("""COMPUTED_VALUE"""),0.0)</f>
        <v>0</v>
      </c>
      <c r="AH172" s="310">
        <f>IFERROR(__xludf.DUMMYFUNCTION("""COMPUTED_VALUE"""),0.0)</f>
        <v>0</v>
      </c>
      <c r="AI172" s="310">
        <f>IFERROR(__xludf.DUMMYFUNCTION("""COMPUTED_VALUE"""),0.0)</f>
        <v>0</v>
      </c>
      <c r="AJ172" s="310"/>
    </row>
    <row r="173" ht="22.5" customHeight="1">
      <c r="A173" s="311" t="str">
        <f>IFERROR(__xludf.DUMMYFUNCTION("""COMPUTED_VALUE"""),"")</f>
        <v/>
      </c>
      <c r="B173" s="311" t="str">
        <f>IFERROR(__xludf.DUMMYFUNCTION("""COMPUTED_VALUE"""),"")</f>
        <v/>
      </c>
      <c r="C173" s="311">
        <f>IFERROR(__xludf.DUMMYFUNCTION("""COMPUTED_VALUE"""),346.0)</f>
        <v>346</v>
      </c>
      <c r="D173" s="311" t="str">
        <f>IFERROR(__xludf.DUMMYFUNCTION("""COMPUTED_VALUE"""),"Hospital Geral de Nova Iguaçu")</f>
        <v>Hospital Geral de Nova Iguaçu</v>
      </c>
      <c r="E173" s="315" t="str">
        <f>IFERROR(__xludf.DUMMYFUNCTION("""COMPUTED_VALUE"""),"BAIXADA FLUMINENSE")</f>
        <v>BAIXADA FLUMINENSE</v>
      </c>
      <c r="F173" s="311" t="str">
        <f>IFERROR(__xludf.DUMMYFUNCTION("""COMPUTED_VALUE"""),"Nova Iguaçu")</f>
        <v>Nova Iguaçu</v>
      </c>
      <c r="G173" s="311" t="str">
        <f>IFERROR(__xludf.DUMMYFUNCTION("""COMPUTED_VALUE"""),"Posse")</f>
        <v>Posse</v>
      </c>
      <c r="H173" s="311" t="str">
        <f>IFERROR(__xludf.DUMMYFUNCTION("""COMPUTED_VALUE"""),"Hospital de Referência - ALTA COMPLEXIDADE
")</f>
        <v>Hospital de Referência - ALTA COMPLEXIDADE
</v>
      </c>
      <c r="I173" s="311" t="str">
        <f>IFERROR(__xludf.DUMMYFUNCTION("""COMPUTED_VALUE"""),"Público")</f>
        <v>Público</v>
      </c>
      <c r="J173" s="311" t="str">
        <f>IFERROR(__xludf.DUMMYFUNCTION("""COMPUTED_VALUE"""),"")</f>
        <v/>
      </c>
      <c r="K173" s="311" t="str">
        <f>IFERROR(__xludf.DUMMYFUNCTION("""COMPUTED_VALUE"""),"")</f>
        <v/>
      </c>
      <c r="L173" s="311" t="str">
        <f>IFERROR(__xludf.DUMMYFUNCTION("""COMPUTED_VALUE"""),"")</f>
        <v/>
      </c>
      <c r="M173" s="311" t="str">
        <f>IFERROR(__xludf.DUMMYFUNCTION("""COMPUTED_VALUE"""),"")</f>
        <v/>
      </c>
      <c r="N173" s="311">
        <f>IFERROR(__xludf.DUMMYFUNCTION("""COMPUTED_VALUE"""),0.0)</f>
        <v>0</v>
      </c>
      <c r="O173" s="311">
        <f>IFERROR(__xludf.DUMMYFUNCTION("""COMPUTED_VALUE"""),0.0)</f>
        <v>0</v>
      </c>
      <c r="P173" s="311">
        <f>IFERROR(__xludf.DUMMYFUNCTION("""COMPUTED_VALUE"""),0.0)</f>
        <v>0</v>
      </c>
      <c r="Q173" s="311">
        <f>IFERROR(__xludf.DUMMYFUNCTION("""COMPUTED_VALUE"""),0.0)</f>
        <v>0</v>
      </c>
      <c r="R173" s="311">
        <f>IFERROR(__xludf.DUMMYFUNCTION("""COMPUTED_VALUE"""),0.0)</f>
        <v>0</v>
      </c>
      <c r="S173" s="311">
        <f>IFERROR(__xludf.DUMMYFUNCTION("""COMPUTED_VALUE"""),0.0)</f>
        <v>0</v>
      </c>
      <c r="T173" s="311">
        <f>IFERROR(__xludf.DUMMYFUNCTION("""COMPUTED_VALUE"""),400.0)</f>
        <v>400</v>
      </c>
      <c r="U173" s="311">
        <f>IFERROR(__xludf.DUMMYFUNCTION("""COMPUTED_VALUE"""),0.0)</f>
        <v>0</v>
      </c>
      <c r="V173" s="311">
        <f>IFERROR(__xludf.DUMMYFUNCTION("""COMPUTED_VALUE"""),0.0)</f>
        <v>0</v>
      </c>
      <c r="W173" s="311">
        <f>IFERROR(__xludf.DUMMYFUNCTION("""COMPUTED_VALUE"""),100.0)</f>
        <v>100</v>
      </c>
      <c r="X173" s="311">
        <f>IFERROR(__xludf.DUMMYFUNCTION("""COMPUTED_VALUE"""),0.0)</f>
        <v>0</v>
      </c>
      <c r="Y173" s="311">
        <f>IFERROR(__xludf.DUMMYFUNCTION("""COMPUTED_VALUE"""),0.0)</f>
        <v>0</v>
      </c>
      <c r="Z173" s="311">
        <f>IFERROR(__xludf.DUMMYFUNCTION("""COMPUTED_VALUE"""),-400.0)</f>
        <v>-400</v>
      </c>
      <c r="AA173" s="311">
        <f>IFERROR(__xludf.DUMMYFUNCTION("""COMPUTED_VALUE"""),0.0)</f>
        <v>0</v>
      </c>
      <c r="AB173" s="311">
        <f>IFERROR(__xludf.DUMMYFUNCTION("""COMPUTED_VALUE"""),0.0)</f>
        <v>0</v>
      </c>
      <c r="AC173" s="311">
        <f>IFERROR(__xludf.DUMMYFUNCTION("""COMPUTED_VALUE"""),-100.0)</f>
        <v>-100</v>
      </c>
      <c r="AD173" s="311">
        <f>IFERROR(__xludf.DUMMYFUNCTION("""COMPUTED_VALUE"""),0.0)</f>
        <v>0</v>
      </c>
      <c r="AE173" s="311">
        <f>IFERROR(__xludf.DUMMYFUNCTION("""COMPUTED_VALUE"""),0.0)</f>
        <v>0</v>
      </c>
      <c r="AF173" s="311" t="str">
        <f>IFERROR(__xludf.DUMMYFUNCTION("""COMPUTED_VALUE"""),"")</f>
        <v/>
      </c>
      <c r="AG173" s="311">
        <f>IFERROR(__xludf.DUMMYFUNCTION("""COMPUTED_VALUE"""),0.0)</f>
        <v>0</v>
      </c>
      <c r="AH173" s="311">
        <f>IFERROR(__xludf.DUMMYFUNCTION("""COMPUTED_VALUE"""),0.0)</f>
        <v>0</v>
      </c>
      <c r="AI173" s="311">
        <f>IFERROR(__xludf.DUMMYFUNCTION("""COMPUTED_VALUE"""),0.0)</f>
        <v>0</v>
      </c>
      <c r="AJ173" s="311"/>
    </row>
    <row r="174" ht="22.5" customHeight="1">
      <c r="A174" s="310" t="str">
        <f>IFERROR(__xludf.DUMMYFUNCTION("""COMPUTED_VALUE"""),"")</f>
        <v/>
      </c>
      <c r="B174" s="310" t="str">
        <f>IFERROR(__xludf.DUMMYFUNCTION("""COMPUTED_VALUE"""),"")</f>
        <v/>
      </c>
      <c r="C174" s="310">
        <f>IFERROR(__xludf.DUMMYFUNCTION("""COMPUTED_VALUE"""),348.0)</f>
        <v>348</v>
      </c>
      <c r="D174" s="310" t="str">
        <f>IFERROR(__xludf.DUMMYFUNCTION("""COMPUTED_VALUE"""),"CMS OSWALDO CRUZ")</f>
        <v>CMS OSWALDO CRUZ</v>
      </c>
      <c r="E174" s="313" t="str">
        <f>IFERROR(__xludf.DUMMYFUNCTION("""COMPUTED_VALUE"""),"CENTRO")</f>
        <v>CENTRO</v>
      </c>
      <c r="F174" s="310" t="str">
        <f>IFERROR(__xludf.DUMMYFUNCTION("""COMPUTED_VALUE"""),"Rio de Janeiro")</f>
        <v>Rio de Janeiro</v>
      </c>
      <c r="G174" s="310" t="str">
        <f>IFERROR(__xludf.DUMMYFUNCTION("""COMPUTED_VALUE"""),"Centro")</f>
        <v>Centro</v>
      </c>
      <c r="H174" s="310" t="str">
        <f>IFERROR(__xludf.DUMMYFUNCTION("""COMPUTED_VALUE"""),"Unidade básica de saúde - BAIXA COMPLEXIDADE
")</f>
        <v>Unidade básica de saúde - BAIXA COMPLEXIDADE
</v>
      </c>
      <c r="I174" s="310" t="str">
        <f>IFERROR(__xludf.DUMMYFUNCTION("""COMPUTED_VALUE"""),"Público")</f>
        <v>Público</v>
      </c>
      <c r="J174" s="310" t="str">
        <f>IFERROR(__xludf.DUMMYFUNCTION("""COMPUTED_VALUE"""),"")</f>
        <v/>
      </c>
      <c r="K174" s="310" t="str">
        <f>IFERROR(__xludf.DUMMYFUNCTION("""COMPUTED_VALUE"""),"")</f>
        <v/>
      </c>
      <c r="L174" s="310" t="str">
        <f>IFERROR(__xludf.DUMMYFUNCTION("""COMPUTED_VALUE"""),"")</f>
        <v/>
      </c>
      <c r="M174" s="310" t="str">
        <f>IFERROR(__xludf.DUMMYFUNCTION("""COMPUTED_VALUE"""),"")</f>
        <v/>
      </c>
      <c r="N174" s="310">
        <f>IFERROR(__xludf.DUMMYFUNCTION("""COMPUTED_VALUE"""),0.0)</f>
        <v>0</v>
      </c>
      <c r="O174" s="310">
        <f>IFERROR(__xludf.DUMMYFUNCTION("""COMPUTED_VALUE"""),0.0)</f>
        <v>0</v>
      </c>
      <c r="P174" s="310">
        <f>IFERROR(__xludf.DUMMYFUNCTION("""COMPUTED_VALUE"""),0.0)</f>
        <v>0</v>
      </c>
      <c r="Q174" s="310">
        <f>IFERROR(__xludf.DUMMYFUNCTION("""COMPUTED_VALUE"""),0.0)</f>
        <v>0</v>
      </c>
      <c r="R174" s="310">
        <f>IFERROR(__xludf.DUMMYFUNCTION("""COMPUTED_VALUE"""),0.0)</f>
        <v>0</v>
      </c>
      <c r="S174" s="310">
        <f>IFERROR(__xludf.DUMMYFUNCTION("""COMPUTED_VALUE"""),0.0)</f>
        <v>0</v>
      </c>
      <c r="T174" s="310">
        <f>IFERROR(__xludf.DUMMYFUNCTION("""COMPUTED_VALUE"""),50.0)</f>
        <v>50</v>
      </c>
      <c r="U174" s="310">
        <f>IFERROR(__xludf.DUMMYFUNCTION("""COMPUTED_VALUE"""),0.0)</f>
        <v>0</v>
      </c>
      <c r="V174" s="310">
        <f>IFERROR(__xludf.DUMMYFUNCTION("""COMPUTED_VALUE"""),0.0)</f>
        <v>0</v>
      </c>
      <c r="W174" s="310">
        <f>IFERROR(__xludf.DUMMYFUNCTION("""COMPUTED_VALUE"""),0.0)</f>
        <v>0</v>
      </c>
      <c r="X174" s="310">
        <f>IFERROR(__xludf.DUMMYFUNCTION("""COMPUTED_VALUE"""),0.0)</f>
        <v>0</v>
      </c>
      <c r="Y174" s="310">
        <f>IFERROR(__xludf.DUMMYFUNCTION("""COMPUTED_VALUE"""),0.0)</f>
        <v>0</v>
      </c>
      <c r="Z174" s="310">
        <f>IFERROR(__xludf.DUMMYFUNCTION("""COMPUTED_VALUE"""),-50.0)</f>
        <v>-50</v>
      </c>
      <c r="AA174" s="310">
        <f>IFERROR(__xludf.DUMMYFUNCTION("""COMPUTED_VALUE"""),0.0)</f>
        <v>0</v>
      </c>
      <c r="AB174" s="310">
        <f>IFERROR(__xludf.DUMMYFUNCTION("""COMPUTED_VALUE"""),0.0)</f>
        <v>0</v>
      </c>
      <c r="AC174" s="310">
        <f>IFERROR(__xludf.DUMMYFUNCTION("""COMPUTED_VALUE"""),0.0)</f>
        <v>0</v>
      </c>
      <c r="AD174" s="310">
        <f>IFERROR(__xludf.DUMMYFUNCTION("""COMPUTED_VALUE"""),0.0)</f>
        <v>0</v>
      </c>
      <c r="AE174" s="310">
        <f>IFERROR(__xludf.DUMMYFUNCTION("""COMPUTED_VALUE"""),0.0)</f>
        <v>0</v>
      </c>
      <c r="AF174" s="310" t="str">
        <f>IFERROR(__xludf.DUMMYFUNCTION("""COMPUTED_VALUE"""),"")</f>
        <v/>
      </c>
      <c r="AG174" s="310">
        <f>IFERROR(__xludf.DUMMYFUNCTION("""COMPUTED_VALUE"""),0.0)</f>
        <v>0</v>
      </c>
      <c r="AH174" s="310">
        <f>IFERROR(__xludf.DUMMYFUNCTION("""COMPUTED_VALUE"""),0.0)</f>
        <v>0</v>
      </c>
      <c r="AI174" s="310">
        <f>IFERROR(__xludf.DUMMYFUNCTION("""COMPUTED_VALUE"""),0.0)</f>
        <v>0</v>
      </c>
      <c r="AJ174" s="310"/>
    </row>
    <row r="175" ht="22.5" customHeight="1">
      <c r="A175" s="311" t="str">
        <f>IFERROR(__xludf.DUMMYFUNCTION("""COMPUTED_VALUE"""),"")</f>
        <v/>
      </c>
      <c r="B175" s="311" t="str">
        <f>IFERROR(__xludf.DUMMYFUNCTION("""COMPUTED_VALUE"""),"")</f>
        <v/>
      </c>
      <c r="C175" s="311">
        <f>IFERROR(__xludf.DUMMYFUNCTION("""COMPUTED_VALUE"""),352.0)</f>
        <v>352</v>
      </c>
      <c r="D175" s="311" t="str">
        <f>IFERROR(__xludf.DUMMYFUNCTION("""COMPUTED_VALUE"""),"Upa Austin")</f>
        <v>Upa Austin</v>
      </c>
      <c r="E175" s="315" t="str">
        <f>IFERROR(__xludf.DUMMYFUNCTION("""COMPUTED_VALUE"""),"BAIXADA FLUMINENSE")</f>
        <v>BAIXADA FLUMINENSE</v>
      </c>
      <c r="F175" s="311" t="str">
        <f>IFERROR(__xludf.DUMMYFUNCTION("""COMPUTED_VALUE"""),"Nova Iguaçu")</f>
        <v>Nova Iguaçu</v>
      </c>
      <c r="G175" s="311" t="str">
        <f>IFERROR(__xludf.DUMMYFUNCTION("""COMPUTED_VALUE"""),"Austin")</f>
        <v>Austin</v>
      </c>
      <c r="H175" s="311" t="str">
        <f>IFERROR(__xludf.DUMMYFUNCTION("""COMPUTED_VALUE"""),"Grande emergência - MÉDIA COMPLEXIDADE
")</f>
        <v>Grande emergência - MÉDIA COMPLEXIDADE
</v>
      </c>
      <c r="I175" s="311" t="str">
        <f>IFERROR(__xludf.DUMMYFUNCTION("""COMPUTED_VALUE"""),"Público")</f>
        <v>Público</v>
      </c>
      <c r="J175" s="311" t="str">
        <f>IFERROR(__xludf.DUMMYFUNCTION("""COMPUTED_VALUE"""),"")</f>
        <v/>
      </c>
      <c r="K175" s="311" t="str">
        <f>IFERROR(__xludf.DUMMYFUNCTION("""COMPUTED_VALUE"""),"")</f>
        <v/>
      </c>
      <c r="L175" s="311" t="str">
        <f>IFERROR(__xludf.DUMMYFUNCTION("""COMPUTED_VALUE"""),"")</f>
        <v/>
      </c>
      <c r="M175" s="311" t="str">
        <f>IFERROR(__xludf.DUMMYFUNCTION("""COMPUTED_VALUE"""),"")</f>
        <v/>
      </c>
      <c r="N175" s="311">
        <f>IFERROR(__xludf.DUMMYFUNCTION("""COMPUTED_VALUE"""),0.0)</f>
        <v>0</v>
      </c>
      <c r="O175" s="311">
        <f>IFERROR(__xludf.DUMMYFUNCTION("""COMPUTED_VALUE"""),0.0)</f>
        <v>0</v>
      </c>
      <c r="P175" s="311">
        <f>IFERROR(__xludf.DUMMYFUNCTION("""COMPUTED_VALUE"""),0.0)</f>
        <v>0</v>
      </c>
      <c r="Q175" s="311">
        <f>IFERROR(__xludf.DUMMYFUNCTION("""COMPUTED_VALUE"""),0.0)</f>
        <v>0</v>
      </c>
      <c r="R175" s="311">
        <f>IFERROR(__xludf.DUMMYFUNCTION("""COMPUTED_VALUE"""),0.0)</f>
        <v>0</v>
      </c>
      <c r="S175" s="311">
        <f>IFERROR(__xludf.DUMMYFUNCTION("""COMPUTED_VALUE"""),0.0)</f>
        <v>0</v>
      </c>
      <c r="T175" s="311">
        <f>IFERROR(__xludf.DUMMYFUNCTION("""COMPUTED_VALUE"""),50.0)</f>
        <v>50</v>
      </c>
      <c r="U175" s="311">
        <f>IFERROR(__xludf.DUMMYFUNCTION("""COMPUTED_VALUE"""),0.0)</f>
        <v>0</v>
      </c>
      <c r="V175" s="311">
        <f>IFERROR(__xludf.DUMMYFUNCTION("""COMPUTED_VALUE"""),0.0)</f>
        <v>0</v>
      </c>
      <c r="W175" s="311">
        <f>IFERROR(__xludf.DUMMYFUNCTION("""COMPUTED_VALUE"""),0.0)</f>
        <v>0</v>
      </c>
      <c r="X175" s="311">
        <f>IFERROR(__xludf.DUMMYFUNCTION("""COMPUTED_VALUE"""),0.0)</f>
        <v>0</v>
      </c>
      <c r="Y175" s="311">
        <f>IFERROR(__xludf.DUMMYFUNCTION("""COMPUTED_VALUE"""),0.0)</f>
        <v>0</v>
      </c>
      <c r="Z175" s="311">
        <f>IFERROR(__xludf.DUMMYFUNCTION("""COMPUTED_VALUE"""),-50.0)</f>
        <v>-50</v>
      </c>
      <c r="AA175" s="311">
        <f>IFERROR(__xludf.DUMMYFUNCTION("""COMPUTED_VALUE"""),0.0)</f>
        <v>0</v>
      </c>
      <c r="AB175" s="311">
        <f>IFERROR(__xludf.DUMMYFUNCTION("""COMPUTED_VALUE"""),0.0)</f>
        <v>0</v>
      </c>
      <c r="AC175" s="311">
        <f>IFERROR(__xludf.DUMMYFUNCTION("""COMPUTED_VALUE"""),0.0)</f>
        <v>0</v>
      </c>
      <c r="AD175" s="311">
        <f>IFERROR(__xludf.DUMMYFUNCTION("""COMPUTED_VALUE"""),0.0)</f>
        <v>0</v>
      </c>
      <c r="AE175" s="311">
        <f>IFERROR(__xludf.DUMMYFUNCTION("""COMPUTED_VALUE"""),0.0)</f>
        <v>0</v>
      </c>
      <c r="AF175" s="311" t="str">
        <f>IFERROR(__xludf.DUMMYFUNCTION("""COMPUTED_VALUE"""),"")</f>
        <v/>
      </c>
      <c r="AG175" s="311">
        <f>IFERROR(__xludf.DUMMYFUNCTION("""COMPUTED_VALUE"""),0.0)</f>
        <v>0</v>
      </c>
      <c r="AH175" s="311">
        <f>IFERROR(__xludf.DUMMYFUNCTION("""COMPUTED_VALUE"""),0.0)</f>
        <v>0</v>
      </c>
      <c r="AI175" s="311">
        <f>IFERROR(__xludf.DUMMYFUNCTION("""COMPUTED_VALUE"""),0.0)</f>
        <v>0</v>
      </c>
      <c r="AJ175" s="311"/>
    </row>
    <row r="176" ht="22.5" customHeight="1">
      <c r="A176" s="310" t="str">
        <f>IFERROR(__xludf.DUMMYFUNCTION("""COMPUTED_VALUE"""),"")</f>
        <v/>
      </c>
      <c r="B176" s="310" t="str">
        <f>IFERROR(__xludf.DUMMYFUNCTION("""COMPUTED_VALUE"""),"")</f>
        <v/>
      </c>
      <c r="C176" s="310">
        <f>IFERROR(__xludf.DUMMYFUNCTION("""COMPUTED_VALUE"""),354.0)</f>
        <v>354</v>
      </c>
      <c r="D176" s="310" t="str">
        <f>IFERROR(__xludf.DUMMYFUNCTION("""COMPUTED_VALUE"""),"Hospital Municipal Evandro Freire")</f>
        <v>Hospital Municipal Evandro Freire</v>
      </c>
      <c r="E176" s="313" t="str">
        <f>IFERROR(__xludf.DUMMYFUNCTION("""COMPUTED_VALUE"""),"ZONA NORTE")</f>
        <v>ZONA NORTE</v>
      </c>
      <c r="F176" s="310" t="str">
        <f>IFERROR(__xludf.DUMMYFUNCTION("""COMPUTED_VALUE"""),"Rio de Janeiro")</f>
        <v>Rio de Janeiro</v>
      </c>
      <c r="G176" s="310" t="str">
        <f>IFERROR(__xludf.DUMMYFUNCTION("""COMPUTED_VALUE"""),"Portuguesa")</f>
        <v>Portuguesa</v>
      </c>
      <c r="H176" s="310" t="str">
        <f>IFERROR(__xludf.DUMMYFUNCTION("""COMPUTED_VALUE"""),"Hospital de Referência - ALTA COMPLEXIDADE
")</f>
        <v>Hospital de Referência - ALTA COMPLEXIDADE
</v>
      </c>
      <c r="I176" s="310" t="str">
        <f>IFERROR(__xludf.DUMMYFUNCTION("""COMPUTED_VALUE"""),"Público")</f>
        <v>Público</v>
      </c>
      <c r="J176" s="310" t="str">
        <f>IFERROR(__xludf.DUMMYFUNCTION("""COMPUTED_VALUE"""),"")</f>
        <v/>
      </c>
      <c r="K176" s="310" t="str">
        <f>IFERROR(__xludf.DUMMYFUNCTION("""COMPUTED_VALUE"""),"")</f>
        <v/>
      </c>
      <c r="L176" s="310" t="str">
        <f>IFERROR(__xludf.DUMMYFUNCTION("""COMPUTED_VALUE"""),"")</f>
        <v/>
      </c>
      <c r="M176" s="310" t="str">
        <f>IFERROR(__xludf.DUMMYFUNCTION("""COMPUTED_VALUE"""),"")</f>
        <v/>
      </c>
      <c r="N176" s="310">
        <f>IFERROR(__xludf.DUMMYFUNCTION("""COMPUTED_VALUE"""),0.0)</f>
        <v>0</v>
      </c>
      <c r="O176" s="310">
        <f>IFERROR(__xludf.DUMMYFUNCTION("""COMPUTED_VALUE"""),0.0)</f>
        <v>0</v>
      </c>
      <c r="P176" s="310">
        <f>IFERROR(__xludf.DUMMYFUNCTION("""COMPUTED_VALUE"""),0.0)</f>
        <v>0</v>
      </c>
      <c r="Q176" s="310">
        <f>IFERROR(__xludf.DUMMYFUNCTION("""COMPUTED_VALUE"""),0.0)</f>
        <v>0</v>
      </c>
      <c r="R176" s="310">
        <f>IFERROR(__xludf.DUMMYFUNCTION("""COMPUTED_VALUE"""),0.0)</f>
        <v>0</v>
      </c>
      <c r="S176" s="310">
        <f>IFERROR(__xludf.DUMMYFUNCTION("""COMPUTED_VALUE"""),0.0)</f>
        <v>0</v>
      </c>
      <c r="T176" s="310">
        <f>IFERROR(__xludf.DUMMYFUNCTION("""COMPUTED_VALUE"""),305.0)</f>
        <v>305</v>
      </c>
      <c r="U176" s="310">
        <f>IFERROR(__xludf.DUMMYFUNCTION("""COMPUTED_VALUE"""),0.0)</f>
        <v>0</v>
      </c>
      <c r="V176" s="310">
        <f>IFERROR(__xludf.DUMMYFUNCTION("""COMPUTED_VALUE"""),0.0)</f>
        <v>0</v>
      </c>
      <c r="W176" s="310">
        <f>IFERROR(__xludf.DUMMYFUNCTION("""COMPUTED_VALUE"""),0.0)</f>
        <v>0</v>
      </c>
      <c r="X176" s="310">
        <f>IFERROR(__xludf.DUMMYFUNCTION("""COMPUTED_VALUE"""),0.0)</f>
        <v>0</v>
      </c>
      <c r="Y176" s="310">
        <f>IFERROR(__xludf.DUMMYFUNCTION("""COMPUTED_VALUE"""),0.0)</f>
        <v>0</v>
      </c>
      <c r="Z176" s="310">
        <f>IFERROR(__xludf.DUMMYFUNCTION("""COMPUTED_VALUE"""),-305.0)</f>
        <v>-305</v>
      </c>
      <c r="AA176" s="310">
        <f>IFERROR(__xludf.DUMMYFUNCTION("""COMPUTED_VALUE"""),0.0)</f>
        <v>0</v>
      </c>
      <c r="AB176" s="310">
        <f>IFERROR(__xludf.DUMMYFUNCTION("""COMPUTED_VALUE"""),0.0)</f>
        <v>0</v>
      </c>
      <c r="AC176" s="310">
        <f>IFERROR(__xludf.DUMMYFUNCTION("""COMPUTED_VALUE"""),0.0)</f>
        <v>0</v>
      </c>
      <c r="AD176" s="310">
        <f>IFERROR(__xludf.DUMMYFUNCTION("""COMPUTED_VALUE"""),0.0)</f>
        <v>0</v>
      </c>
      <c r="AE176" s="310">
        <f>IFERROR(__xludf.DUMMYFUNCTION("""COMPUTED_VALUE"""),0.0)</f>
        <v>0</v>
      </c>
      <c r="AF176" s="310" t="str">
        <f>IFERROR(__xludf.DUMMYFUNCTION("""COMPUTED_VALUE"""),"")</f>
        <v/>
      </c>
      <c r="AG176" s="310">
        <f>IFERROR(__xludf.DUMMYFUNCTION("""COMPUTED_VALUE"""),0.0)</f>
        <v>0</v>
      </c>
      <c r="AH176" s="310">
        <f>IFERROR(__xludf.DUMMYFUNCTION("""COMPUTED_VALUE"""),0.0)</f>
        <v>0</v>
      </c>
      <c r="AI176" s="310">
        <f>IFERROR(__xludf.DUMMYFUNCTION("""COMPUTED_VALUE"""),0.0)</f>
        <v>0</v>
      </c>
      <c r="AJ176" s="310"/>
    </row>
    <row r="177" ht="22.5" customHeight="1">
      <c r="A177" s="311" t="str">
        <f>IFERROR(__xludf.DUMMYFUNCTION("""COMPUTED_VALUE"""),"")</f>
        <v/>
      </c>
      <c r="B177" s="311" t="str">
        <f>IFERROR(__xludf.DUMMYFUNCTION("""COMPUTED_VALUE"""),"")</f>
        <v/>
      </c>
      <c r="C177" s="311">
        <f>IFERROR(__xludf.DUMMYFUNCTION("""COMPUTED_VALUE"""),355.0)</f>
        <v>355</v>
      </c>
      <c r="D177" s="311" t="str">
        <f>IFERROR(__xludf.DUMMYFUNCTION("""COMPUTED_VALUE"""),"UPA 24h Botafogo")</f>
        <v>UPA 24h Botafogo</v>
      </c>
      <c r="E177" s="315" t="str">
        <f>IFERROR(__xludf.DUMMYFUNCTION("""COMPUTED_VALUE"""),"ZONA SUL")</f>
        <v>ZONA SUL</v>
      </c>
      <c r="F177" s="311" t="str">
        <f>IFERROR(__xludf.DUMMYFUNCTION("""COMPUTED_VALUE"""),"Rio de Janeiro")</f>
        <v>Rio de Janeiro</v>
      </c>
      <c r="G177" s="311" t="str">
        <f>IFERROR(__xludf.DUMMYFUNCTION("""COMPUTED_VALUE"""),"Botafogo")</f>
        <v>Botafogo</v>
      </c>
      <c r="H177" s="311" t="str">
        <f>IFERROR(__xludf.DUMMYFUNCTION("""COMPUTED_VALUE"""),"Grande emergência - MÉDIA COMPLEXIDADE")</f>
        <v>Grande emergência - MÉDIA COMPLEXIDADE</v>
      </c>
      <c r="I177" s="311" t="str">
        <f>IFERROR(__xludf.DUMMYFUNCTION("""COMPUTED_VALUE"""),"Público")</f>
        <v>Público</v>
      </c>
      <c r="J177" s="311" t="str">
        <f>IFERROR(__xludf.DUMMYFUNCTION("""COMPUTED_VALUE"""),"")</f>
        <v/>
      </c>
      <c r="K177" s="311" t="str">
        <f>IFERROR(__xludf.DUMMYFUNCTION("""COMPUTED_VALUE"""),"")</f>
        <v/>
      </c>
      <c r="L177" s="311" t="str">
        <f>IFERROR(__xludf.DUMMYFUNCTION("""COMPUTED_VALUE"""),"")</f>
        <v/>
      </c>
      <c r="M177" s="311" t="str">
        <f>IFERROR(__xludf.DUMMYFUNCTION("""COMPUTED_VALUE"""),"")</f>
        <v/>
      </c>
      <c r="N177" s="311">
        <f>IFERROR(__xludf.DUMMYFUNCTION("""COMPUTED_VALUE"""),0.0)</f>
        <v>0</v>
      </c>
      <c r="O177" s="311">
        <f>IFERROR(__xludf.DUMMYFUNCTION("""COMPUTED_VALUE"""),0.0)</f>
        <v>0</v>
      </c>
      <c r="P177" s="311">
        <f>IFERROR(__xludf.DUMMYFUNCTION("""COMPUTED_VALUE"""),0.0)</f>
        <v>0</v>
      </c>
      <c r="Q177" s="311">
        <f>IFERROR(__xludf.DUMMYFUNCTION("""COMPUTED_VALUE"""),0.0)</f>
        <v>0</v>
      </c>
      <c r="R177" s="311">
        <f>IFERROR(__xludf.DUMMYFUNCTION("""COMPUTED_VALUE"""),0.0)</f>
        <v>0</v>
      </c>
      <c r="S177" s="311">
        <f>IFERROR(__xludf.DUMMYFUNCTION("""COMPUTED_VALUE"""),0.0)</f>
        <v>0</v>
      </c>
      <c r="T177" s="311">
        <f>IFERROR(__xludf.DUMMYFUNCTION("""COMPUTED_VALUE"""),50.0)</f>
        <v>50</v>
      </c>
      <c r="U177" s="311">
        <f>IFERROR(__xludf.DUMMYFUNCTION("""COMPUTED_VALUE"""),0.0)</f>
        <v>0</v>
      </c>
      <c r="V177" s="311">
        <f>IFERROR(__xludf.DUMMYFUNCTION("""COMPUTED_VALUE"""),0.0)</f>
        <v>0</v>
      </c>
      <c r="W177" s="311">
        <f>IFERROR(__xludf.DUMMYFUNCTION("""COMPUTED_VALUE"""),0.0)</f>
        <v>0</v>
      </c>
      <c r="X177" s="311">
        <f>IFERROR(__xludf.DUMMYFUNCTION("""COMPUTED_VALUE"""),0.0)</f>
        <v>0</v>
      </c>
      <c r="Y177" s="311">
        <f>IFERROR(__xludf.DUMMYFUNCTION("""COMPUTED_VALUE"""),0.0)</f>
        <v>0</v>
      </c>
      <c r="Z177" s="311">
        <f>IFERROR(__xludf.DUMMYFUNCTION("""COMPUTED_VALUE"""),-50.0)</f>
        <v>-50</v>
      </c>
      <c r="AA177" s="311">
        <f>IFERROR(__xludf.DUMMYFUNCTION("""COMPUTED_VALUE"""),0.0)</f>
        <v>0</v>
      </c>
      <c r="AB177" s="311">
        <f>IFERROR(__xludf.DUMMYFUNCTION("""COMPUTED_VALUE"""),0.0)</f>
        <v>0</v>
      </c>
      <c r="AC177" s="311">
        <f>IFERROR(__xludf.DUMMYFUNCTION("""COMPUTED_VALUE"""),0.0)</f>
        <v>0</v>
      </c>
      <c r="AD177" s="311">
        <f>IFERROR(__xludf.DUMMYFUNCTION("""COMPUTED_VALUE"""),0.0)</f>
        <v>0</v>
      </c>
      <c r="AE177" s="311">
        <f>IFERROR(__xludf.DUMMYFUNCTION("""COMPUTED_VALUE"""),0.0)</f>
        <v>0</v>
      </c>
      <c r="AF177" s="311" t="str">
        <f>IFERROR(__xludf.DUMMYFUNCTION("""COMPUTED_VALUE"""),"")</f>
        <v/>
      </c>
      <c r="AG177" s="311">
        <f>IFERROR(__xludf.DUMMYFUNCTION("""COMPUTED_VALUE"""),0.0)</f>
        <v>0</v>
      </c>
      <c r="AH177" s="311">
        <f>IFERROR(__xludf.DUMMYFUNCTION("""COMPUTED_VALUE"""),0.0)</f>
        <v>0</v>
      </c>
      <c r="AI177" s="311">
        <f>IFERROR(__xludf.DUMMYFUNCTION("""COMPUTED_VALUE"""),0.0)</f>
        <v>0</v>
      </c>
      <c r="AJ177" s="311"/>
    </row>
    <row r="178" ht="22.5" customHeight="1">
      <c r="A178" s="310" t="str">
        <f>IFERROR(__xludf.DUMMYFUNCTION("""COMPUTED_VALUE"""),"")</f>
        <v/>
      </c>
      <c r="B178" s="310" t="str">
        <f>IFERROR(__xludf.DUMMYFUNCTION("""COMPUTED_VALUE"""),"")</f>
        <v/>
      </c>
      <c r="C178" s="310">
        <f>IFERROR(__xludf.DUMMYFUNCTION("""COMPUTED_VALUE"""),356.0)</f>
        <v>356</v>
      </c>
      <c r="D178" s="310" t="str">
        <f>IFERROR(__xludf.DUMMYFUNCTION("""COMPUTED_VALUE"""),"Hemonucleo Costa Verde")</f>
        <v>Hemonucleo Costa Verde</v>
      </c>
      <c r="E178" s="313" t="str">
        <f>IFERROR(__xludf.DUMMYFUNCTION("""COMPUTED_VALUE"""),"REGIAO CENTRO SUL")</f>
        <v>REGIAO CENTRO SUL</v>
      </c>
      <c r="F178" s="310" t="str">
        <f>IFERROR(__xludf.DUMMYFUNCTION("""COMPUTED_VALUE"""),"Angra Dos Reis")</f>
        <v>Angra Dos Reis</v>
      </c>
      <c r="G178" s="310" t="str">
        <f>IFERROR(__xludf.DUMMYFUNCTION("""COMPUTED_VALUE"""),"Japuiba")</f>
        <v>Japuiba</v>
      </c>
      <c r="H178" s="310" t="str">
        <f>IFERROR(__xludf.DUMMYFUNCTION("""COMPUTED_VALUE"""),"Serviço de hemoterapia")</f>
        <v>Serviço de hemoterapia</v>
      </c>
      <c r="I178" s="310" t="str">
        <f>IFERROR(__xludf.DUMMYFUNCTION("""COMPUTED_VALUE"""),"Público")</f>
        <v>Público</v>
      </c>
      <c r="J178" s="310" t="str">
        <f>IFERROR(__xludf.DUMMYFUNCTION("""COMPUTED_VALUE"""),"")</f>
        <v/>
      </c>
      <c r="K178" s="310" t="str">
        <f>IFERROR(__xludf.DUMMYFUNCTION("""COMPUTED_VALUE"""),"")</f>
        <v/>
      </c>
      <c r="L178" s="310" t="str">
        <f>IFERROR(__xludf.DUMMYFUNCTION("""COMPUTED_VALUE"""),"")</f>
        <v/>
      </c>
      <c r="M178" s="310" t="str">
        <f>IFERROR(__xludf.DUMMYFUNCTION("""COMPUTED_VALUE"""),"")</f>
        <v/>
      </c>
      <c r="N178" s="310">
        <f>IFERROR(__xludf.DUMMYFUNCTION("""COMPUTED_VALUE"""),0.0)</f>
        <v>0</v>
      </c>
      <c r="O178" s="310">
        <f>IFERROR(__xludf.DUMMYFUNCTION("""COMPUTED_VALUE"""),0.0)</f>
        <v>0</v>
      </c>
      <c r="P178" s="310">
        <f>IFERROR(__xludf.DUMMYFUNCTION("""COMPUTED_VALUE"""),0.0)</f>
        <v>0</v>
      </c>
      <c r="Q178" s="310">
        <f>IFERROR(__xludf.DUMMYFUNCTION("""COMPUTED_VALUE"""),0.0)</f>
        <v>0</v>
      </c>
      <c r="R178" s="310">
        <f>IFERROR(__xludf.DUMMYFUNCTION("""COMPUTED_VALUE"""),0.0)</f>
        <v>0</v>
      </c>
      <c r="S178" s="310">
        <f>IFERROR(__xludf.DUMMYFUNCTION("""COMPUTED_VALUE"""),0.0)</f>
        <v>0</v>
      </c>
      <c r="T178" s="310">
        <f>IFERROR(__xludf.DUMMYFUNCTION("""COMPUTED_VALUE"""),50.0)</f>
        <v>50</v>
      </c>
      <c r="U178" s="310">
        <f>IFERROR(__xludf.DUMMYFUNCTION("""COMPUTED_VALUE"""),0.0)</f>
        <v>0</v>
      </c>
      <c r="V178" s="310">
        <f>IFERROR(__xludf.DUMMYFUNCTION("""COMPUTED_VALUE"""),0.0)</f>
        <v>0</v>
      </c>
      <c r="W178" s="310">
        <f>IFERROR(__xludf.DUMMYFUNCTION("""COMPUTED_VALUE"""),0.0)</f>
        <v>0</v>
      </c>
      <c r="X178" s="310">
        <f>IFERROR(__xludf.DUMMYFUNCTION("""COMPUTED_VALUE"""),0.0)</f>
        <v>0</v>
      </c>
      <c r="Y178" s="310">
        <f>IFERROR(__xludf.DUMMYFUNCTION("""COMPUTED_VALUE"""),0.0)</f>
        <v>0</v>
      </c>
      <c r="Z178" s="310">
        <f>IFERROR(__xludf.DUMMYFUNCTION("""COMPUTED_VALUE"""),-50.0)</f>
        <v>-50</v>
      </c>
      <c r="AA178" s="310">
        <f>IFERROR(__xludf.DUMMYFUNCTION("""COMPUTED_VALUE"""),0.0)</f>
        <v>0</v>
      </c>
      <c r="AB178" s="310">
        <f>IFERROR(__xludf.DUMMYFUNCTION("""COMPUTED_VALUE"""),0.0)</f>
        <v>0</v>
      </c>
      <c r="AC178" s="310">
        <f>IFERROR(__xludf.DUMMYFUNCTION("""COMPUTED_VALUE"""),0.0)</f>
        <v>0</v>
      </c>
      <c r="AD178" s="310">
        <f>IFERROR(__xludf.DUMMYFUNCTION("""COMPUTED_VALUE"""),0.0)</f>
        <v>0</v>
      </c>
      <c r="AE178" s="310">
        <f>IFERROR(__xludf.DUMMYFUNCTION("""COMPUTED_VALUE"""),0.0)</f>
        <v>0</v>
      </c>
      <c r="AF178" s="310" t="str">
        <f>IFERROR(__xludf.DUMMYFUNCTION("""COMPUTED_VALUE"""),"")</f>
        <v/>
      </c>
      <c r="AG178" s="310">
        <f>IFERROR(__xludf.DUMMYFUNCTION("""COMPUTED_VALUE"""),0.0)</f>
        <v>0</v>
      </c>
      <c r="AH178" s="310">
        <f>IFERROR(__xludf.DUMMYFUNCTION("""COMPUTED_VALUE"""),0.0)</f>
        <v>0</v>
      </c>
      <c r="AI178" s="310">
        <f>IFERROR(__xludf.DUMMYFUNCTION("""COMPUTED_VALUE"""),0.0)</f>
        <v>0</v>
      </c>
      <c r="AJ178" s="310"/>
    </row>
    <row r="179" ht="22.5" customHeight="1">
      <c r="A179" s="311" t="str">
        <f>IFERROR(__xludf.DUMMYFUNCTION("""COMPUTED_VALUE"""),"")</f>
        <v/>
      </c>
      <c r="B179" s="311" t="str">
        <f>IFERROR(__xludf.DUMMYFUNCTION("""COMPUTED_VALUE"""),"")</f>
        <v/>
      </c>
      <c r="C179" s="311">
        <f>IFERROR(__xludf.DUMMYFUNCTION("""COMPUTED_VALUE"""),357.0)</f>
        <v>357</v>
      </c>
      <c r="D179" s="311" t="str">
        <f>IFERROR(__xludf.DUMMYFUNCTION("""COMPUTED_VALUE"""),"Upa Mesquita")</f>
        <v>Upa Mesquita</v>
      </c>
      <c r="E179" s="315" t="str">
        <f>IFERROR(__xludf.DUMMYFUNCTION("""COMPUTED_VALUE"""),"ZONA NORTE")</f>
        <v>ZONA NORTE</v>
      </c>
      <c r="F179" s="311" t="str">
        <f>IFERROR(__xludf.DUMMYFUNCTION("""COMPUTED_VALUE"""),"Mesquita")</f>
        <v>Mesquita</v>
      </c>
      <c r="G179" s="311" t="str">
        <f>IFERROR(__xludf.DUMMYFUNCTION("""COMPUTED_VALUE"""),"Edson Passos")</f>
        <v>Edson Passos</v>
      </c>
      <c r="H179" s="311" t="str">
        <f>IFERROR(__xludf.DUMMYFUNCTION("""COMPUTED_VALUE"""),"Grande emergência - MÉDIA COMPLEXIDADE
")</f>
        <v>Grande emergência - MÉDIA COMPLEXIDADE
</v>
      </c>
      <c r="I179" s="311" t="str">
        <f>IFERROR(__xludf.DUMMYFUNCTION("""COMPUTED_VALUE"""),"Público")</f>
        <v>Público</v>
      </c>
      <c r="J179" s="311" t="str">
        <f>IFERROR(__xludf.DUMMYFUNCTION("""COMPUTED_VALUE"""),"")</f>
        <v/>
      </c>
      <c r="K179" s="311" t="str">
        <f>IFERROR(__xludf.DUMMYFUNCTION("""COMPUTED_VALUE"""),"")</f>
        <v/>
      </c>
      <c r="L179" s="311" t="str">
        <f>IFERROR(__xludf.DUMMYFUNCTION("""COMPUTED_VALUE"""),"")</f>
        <v/>
      </c>
      <c r="M179" s="311" t="str">
        <f>IFERROR(__xludf.DUMMYFUNCTION("""COMPUTED_VALUE"""),"")</f>
        <v/>
      </c>
      <c r="N179" s="311">
        <f>IFERROR(__xludf.DUMMYFUNCTION("""COMPUTED_VALUE"""),0.0)</f>
        <v>0</v>
      </c>
      <c r="O179" s="311">
        <f>IFERROR(__xludf.DUMMYFUNCTION("""COMPUTED_VALUE"""),0.0)</f>
        <v>0</v>
      </c>
      <c r="P179" s="311">
        <f>IFERROR(__xludf.DUMMYFUNCTION("""COMPUTED_VALUE"""),0.0)</f>
        <v>0</v>
      </c>
      <c r="Q179" s="311">
        <f>IFERROR(__xludf.DUMMYFUNCTION("""COMPUTED_VALUE"""),0.0)</f>
        <v>0</v>
      </c>
      <c r="R179" s="311">
        <f>IFERROR(__xludf.DUMMYFUNCTION("""COMPUTED_VALUE"""),0.0)</f>
        <v>0</v>
      </c>
      <c r="S179" s="311">
        <f>IFERROR(__xludf.DUMMYFUNCTION("""COMPUTED_VALUE"""),0.0)</f>
        <v>0</v>
      </c>
      <c r="T179" s="311">
        <f>IFERROR(__xludf.DUMMYFUNCTION("""COMPUTED_VALUE"""),50.0)</f>
        <v>50</v>
      </c>
      <c r="U179" s="311">
        <f>IFERROR(__xludf.DUMMYFUNCTION("""COMPUTED_VALUE"""),0.0)</f>
        <v>0</v>
      </c>
      <c r="V179" s="311">
        <f>IFERROR(__xludf.DUMMYFUNCTION("""COMPUTED_VALUE"""),0.0)</f>
        <v>0</v>
      </c>
      <c r="W179" s="311">
        <f>IFERROR(__xludf.DUMMYFUNCTION("""COMPUTED_VALUE"""),0.0)</f>
        <v>0</v>
      </c>
      <c r="X179" s="311">
        <f>IFERROR(__xludf.DUMMYFUNCTION("""COMPUTED_VALUE"""),0.0)</f>
        <v>0</v>
      </c>
      <c r="Y179" s="311">
        <f>IFERROR(__xludf.DUMMYFUNCTION("""COMPUTED_VALUE"""),0.0)</f>
        <v>0</v>
      </c>
      <c r="Z179" s="311">
        <f>IFERROR(__xludf.DUMMYFUNCTION("""COMPUTED_VALUE"""),-50.0)</f>
        <v>-50</v>
      </c>
      <c r="AA179" s="311">
        <f>IFERROR(__xludf.DUMMYFUNCTION("""COMPUTED_VALUE"""),0.0)</f>
        <v>0</v>
      </c>
      <c r="AB179" s="311">
        <f>IFERROR(__xludf.DUMMYFUNCTION("""COMPUTED_VALUE"""),0.0)</f>
        <v>0</v>
      </c>
      <c r="AC179" s="311">
        <f>IFERROR(__xludf.DUMMYFUNCTION("""COMPUTED_VALUE"""),0.0)</f>
        <v>0</v>
      </c>
      <c r="AD179" s="311">
        <f>IFERROR(__xludf.DUMMYFUNCTION("""COMPUTED_VALUE"""),0.0)</f>
        <v>0</v>
      </c>
      <c r="AE179" s="311">
        <f>IFERROR(__xludf.DUMMYFUNCTION("""COMPUTED_VALUE"""),0.0)</f>
        <v>0</v>
      </c>
      <c r="AF179" s="311" t="str">
        <f>IFERROR(__xludf.DUMMYFUNCTION("""COMPUTED_VALUE"""),"")</f>
        <v/>
      </c>
      <c r="AG179" s="311">
        <f>IFERROR(__xludf.DUMMYFUNCTION("""COMPUTED_VALUE"""),0.0)</f>
        <v>0</v>
      </c>
      <c r="AH179" s="311">
        <f>IFERROR(__xludf.DUMMYFUNCTION("""COMPUTED_VALUE"""),0.0)</f>
        <v>0</v>
      </c>
      <c r="AI179" s="311">
        <f>IFERROR(__xludf.DUMMYFUNCTION("""COMPUTED_VALUE"""),0.0)</f>
        <v>0</v>
      </c>
      <c r="AJ179" s="311"/>
    </row>
    <row r="180" ht="22.5" customHeight="1">
      <c r="A180" s="310" t="str">
        <f>IFERROR(__xludf.DUMMYFUNCTION("""COMPUTED_VALUE"""),"")</f>
        <v/>
      </c>
      <c r="B180" s="310" t="str">
        <f>IFERROR(__xludf.DUMMYFUNCTION("""COMPUTED_VALUE"""),"")</f>
        <v/>
      </c>
      <c r="C180" s="310">
        <f>IFERROR(__xludf.DUMMYFUNCTION("""COMPUTED_VALUE"""),360.0)</f>
        <v>360</v>
      </c>
      <c r="D180" s="310" t="str">
        <f>IFERROR(__xludf.DUMMYFUNCTION("""COMPUTED_VALUE"""),"Hospital Municipal Francisco da Silva Telles")</f>
        <v>Hospital Municipal Francisco da Silva Telles</v>
      </c>
      <c r="E180" s="313" t="str">
        <f>IFERROR(__xludf.DUMMYFUNCTION("""COMPUTED_VALUE"""),"ZONA NORTE")</f>
        <v>ZONA NORTE</v>
      </c>
      <c r="F180" s="310" t="str">
        <f>IFERROR(__xludf.DUMMYFUNCTION("""COMPUTED_VALUE"""),"Rio de janeiro")</f>
        <v>Rio de janeiro</v>
      </c>
      <c r="G180" s="310" t="str">
        <f>IFERROR(__xludf.DUMMYFUNCTION("""COMPUTED_VALUE"""),"Iraja")</f>
        <v>Iraja</v>
      </c>
      <c r="H180" s="310" t="str">
        <f>IFERROR(__xludf.DUMMYFUNCTION("""COMPUTED_VALUE"""),"Hospital de Referência - ALTA COMPLEXIDADE")</f>
        <v>Hospital de Referência - ALTA COMPLEXIDADE</v>
      </c>
      <c r="I180" s="310" t="str">
        <f>IFERROR(__xludf.DUMMYFUNCTION("""COMPUTED_VALUE"""),"Público")</f>
        <v>Público</v>
      </c>
      <c r="J180" s="310" t="str">
        <f>IFERROR(__xludf.DUMMYFUNCTION("""COMPUTED_VALUE"""),"")</f>
        <v/>
      </c>
      <c r="K180" s="310" t="str">
        <f>IFERROR(__xludf.DUMMYFUNCTION("""COMPUTED_VALUE"""),"")</f>
        <v/>
      </c>
      <c r="L180" s="310" t="str">
        <f>IFERROR(__xludf.DUMMYFUNCTION("""COMPUTED_VALUE"""),"")</f>
        <v/>
      </c>
      <c r="M180" s="310" t="str">
        <f>IFERROR(__xludf.DUMMYFUNCTION("""COMPUTED_VALUE"""),"")</f>
        <v/>
      </c>
      <c r="N180" s="310">
        <f>IFERROR(__xludf.DUMMYFUNCTION("""COMPUTED_VALUE"""),0.0)</f>
        <v>0</v>
      </c>
      <c r="O180" s="310">
        <f>IFERROR(__xludf.DUMMYFUNCTION("""COMPUTED_VALUE"""),0.0)</f>
        <v>0</v>
      </c>
      <c r="P180" s="310">
        <f>IFERROR(__xludf.DUMMYFUNCTION("""COMPUTED_VALUE"""),0.0)</f>
        <v>0</v>
      </c>
      <c r="Q180" s="310">
        <f>IFERROR(__xludf.DUMMYFUNCTION("""COMPUTED_VALUE"""),0.0)</f>
        <v>0</v>
      </c>
      <c r="R180" s="310">
        <f>IFERROR(__xludf.DUMMYFUNCTION("""COMPUTED_VALUE"""),0.0)</f>
        <v>0</v>
      </c>
      <c r="S180" s="310">
        <f>IFERROR(__xludf.DUMMYFUNCTION("""COMPUTED_VALUE"""),0.0)</f>
        <v>0</v>
      </c>
      <c r="T180" s="310">
        <f>IFERROR(__xludf.DUMMYFUNCTION("""COMPUTED_VALUE"""),50.0)</f>
        <v>50</v>
      </c>
      <c r="U180" s="310">
        <f>IFERROR(__xludf.DUMMYFUNCTION("""COMPUTED_VALUE"""),0.0)</f>
        <v>0</v>
      </c>
      <c r="V180" s="310">
        <f>IFERROR(__xludf.DUMMYFUNCTION("""COMPUTED_VALUE"""),0.0)</f>
        <v>0</v>
      </c>
      <c r="W180" s="310">
        <f>IFERROR(__xludf.DUMMYFUNCTION("""COMPUTED_VALUE"""),0.0)</f>
        <v>0</v>
      </c>
      <c r="X180" s="310">
        <f>IFERROR(__xludf.DUMMYFUNCTION("""COMPUTED_VALUE"""),0.0)</f>
        <v>0</v>
      </c>
      <c r="Y180" s="310">
        <f>IFERROR(__xludf.DUMMYFUNCTION("""COMPUTED_VALUE"""),0.0)</f>
        <v>0</v>
      </c>
      <c r="Z180" s="310">
        <f>IFERROR(__xludf.DUMMYFUNCTION("""COMPUTED_VALUE"""),-50.0)</f>
        <v>-50</v>
      </c>
      <c r="AA180" s="310">
        <f>IFERROR(__xludf.DUMMYFUNCTION("""COMPUTED_VALUE"""),0.0)</f>
        <v>0</v>
      </c>
      <c r="AB180" s="310">
        <f>IFERROR(__xludf.DUMMYFUNCTION("""COMPUTED_VALUE"""),0.0)</f>
        <v>0</v>
      </c>
      <c r="AC180" s="310">
        <f>IFERROR(__xludf.DUMMYFUNCTION("""COMPUTED_VALUE"""),0.0)</f>
        <v>0</v>
      </c>
      <c r="AD180" s="310">
        <f>IFERROR(__xludf.DUMMYFUNCTION("""COMPUTED_VALUE"""),0.0)</f>
        <v>0</v>
      </c>
      <c r="AE180" s="310">
        <f>IFERROR(__xludf.DUMMYFUNCTION("""COMPUTED_VALUE"""),0.0)</f>
        <v>0</v>
      </c>
      <c r="AF180" s="310" t="str">
        <f>IFERROR(__xludf.DUMMYFUNCTION("""COMPUTED_VALUE"""),"")</f>
        <v/>
      </c>
      <c r="AG180" s="310">
        <f>IFERROR(__xludf.DUMMYFUNCTION("""COMPUTED_VALUE"""),0.0)</f>
        <v>0</v>
      </c>
      <c r="AH180" s="310">
        <f>IFERROR(__xludf.DUMMYFUNCTION("""COMPUTED_VALUE"""),0.0)</f>
        <v>0</v>
      </c>
      <c r="AI180" s="310">
        <f>IFERROR(__xludf.DUMMYFUNCTION("""COMPUTED_VALUE"""),0.0)</f>
        <v>0</v>
      </c>
      <c r="AJ180" s="310"/>
    </row>
    <row r="181" ht="22.5" customHeight="1">
      <c r="A181" s="311" t="str">
        <f>IFERROR(__xludf.DUMMYFUNCTION("""COMPUTED_VALUE"""),"")</f>
        <v/>
      </c>
      <c r="B181" s="311" t="str">
        <f>IFERROR(__xludf.DUMMYFUNCTION("""COMPUTED_VALUE"""),"")</f>
        <v/>
      </c>
      <c r="C181" s="311">
        <f>IFERROR(__xludf.DUMMYFUNCTION("""COMPUTED_VALUE"""),361.0)</f>
        <v>361</v>
      </c>
      <c r="D181" s="311" t="str">
        <f>IFERROR(__xludf.DUMMYFUNCTION("""COMPUTED_VALUE"""),"Hospital Federal dos Servidores do Estado")</f>
        <v>Hospital Federal dos Servidores do Estado</v>
      </c>
      <c r="E181" s="315" t="str">
        <f>IFERROR(__xludf.DUMMYFUNCTION("""COMPUTED_VALUE"""),"CENTRO")</f>
        <v>CENTRO</v>
      </c>
      <c r="F181" s="311" t="str">
        <f>IFERROR(__xludf.DUMMYFUNCTION("""COMPUTED_VALUE"""),"Rio de Janeiro")</f>
        <v>Rio de Janeiro</v>
      </c>
      <c r="G181" s="311" t="str">
        <f>IFERROR(__xludf.DUMMYFUNCTION("""COMPUTED_VALUE"""),"Saude")</f>
        <v>Saude</v>
      </c>
      <c r="H181" s="311" t="str">
        <f>IFERROR(__xludf.DUMMYFUNCTION("""COMPUTED_VALUE"""),"Grande emergência - MÉDIA COMPLEXIDADE
")</f>
        <v>Grande emergência - MÉDIA COMPLEXIDADE
</v>
      </c>
      <c r="I181" s="311" t="str">
        <f>IFERROR(__xludf.DUMMYFUNCTION("""COMPUTED_VALUE"""),"Público")</f>
        <v>Público</v>
      </c>
      <c r="J181" s="311" t="str">
        <f>IFERROR(__xludf.DUMMYFUNCTION("""COMPUTED_VALUE"""),"")</f>
        <v/>
      </c>
      <c r="K181" s="311" t="str">
        <f>IFERROR(__xludf.DUMMYFUNCTION("""COMPUTED_VALUE"""),"")</f>
        <v/>
      </c>
      <c r="L181" s="311" t="str">
        <f>IFERROR(__xludf.DUMMYFUNCTION("""COMPUTED_VALUE"""),"")</f>
        <v/>
      </c>
      <c r="M181" s="311" t="str">
        <f>IFERROR(__xludf.DUMMYFUNCTION("""COMPUTED_VALUE"""),"")</f>
        <v/>
      </c>
      <c r="N181" s="311">
        <f>IFERROR(__xludf.DUMMYFUNCTION("""COMPUTED_VALUE"""),0.0)</f>
        <v>0</v>
      </c>
      <c r="O181" s="311">
        <f>IFERROR(__xludf.DUMMYFUNCTION("""COMPUTED_VALUE"""),0.0)</f>
        <v>0</v>
      </c>
      <c r="P181" s="311">
        <f>IFERROR(__xludf.DUMMYFUNCTION("""COMPUTED_VALUE"""),0.0)</f>
        <v>0</v>
      </c>
      <c r="Q181" s="311">
        <f>IFERROR(__xludf.DUMMYFUNCTION("""COMPUTED_VALUE"""),0.0)</f>
        <v>0</v>
      </c>
      <c r="R181" s="311">
        <f>IFERROR(__xludf.DUMMYFUNCTION("""COMPUTED_VALUE"""),0.0)</f>
        <v>0</v>
      </c>
      <c r="S181" s="311">
        <f>IFERROR(__xludf.DUMMYFUNCTION("""COMPUTED_VALUE"""),0.0)</f>
        <v>0</v>
      </c>
      <c r="T181" s="311">
        <f>IFERROR(__xludf.DUMMYFUNCTION("""COMPUTED_VALUE"""),200.0)</f>
        <v>200</v>
      </c>
      <c r="U181" s="311">
        <f>IFERROR(__xludf.DUMMYFUNCTION("""COMPUTED_VALUE"""),0.0)</f>
        <v>0</v>
      </c>
      <c r="V181" s="311">
        <f>IFERROR(__xludf.DUMMYFUNCTION("""COMPUTED_VALUE"""),0.0)</f>
        <v>0</v>
      </c>
      <c r="W181" s="311">
        <f>IFERROR(__xludf.DUMMYFUNCTION("""COMPUTED_VALUE"""),0.0)</f>
        <v>0</v>
      </c>
      <c r="X181" s="311">
        <f>IFERROR(__xludf.DUMMYFUNCTION("""COMPUTED_VALUE"""),0.0)</f>
        <v>0</v>
      </c>
      <c r="Y181" s="311">
        <f>IFERROR(__xludf.DUMMYFUNCTION("""COMPUTED_VALUE"""),0.0)</f>
        <v>0</v>
      </c>
      <c r="Z181" s="311">
        <f>IFERROR(__xludf.DUMMYFUNCTION("""COMPUTED_VALUE"""),-200.0)</f>
        <v>-200</v>
      </c>
      <c r="AA181" s="311">
        <f>IFERROR(__xludf.DUMMYFUNCTION("""COMPUTED_VALUE"""),0.0)</f>
        <v>0</v>
      </c>
      <c r="AB181" s="311">
        <f>IFERROR(__xludf.DUMMYFUNCTION("""COMPUTED_VALUE"""),0.0)</f>
        <v>0</v>
      </c>
      <c r="AC181" s="311">
        <f>IFERROR(__xludf.DUMMYFUNCTION("""COMPUTED_VALUE"""),0.0)</f>
        <v>0</v>
      </c>
      <c r="AD181" s="311">
        <f>IFERROR(__xludf.DUMMYFUNCTION("""COMPUTED_VALUE"""),0.0)</f>
        <v>0</v>
      </c>
      <c r="AE181" s="311">
        <f>IFERROR(__xludf.DUMMYFUNCTION("""COMPUTED_VALUE"""),0.0)</f>
        <v>0</v>
      </c>
      <c r="AF181" s="311" t="str">
        <f>IFERROR(__xludf.DUMMYFUNCTION("""COMPUTED_VALUE"""),"")</f>
        <v/>
      </c>
      <c r="AG181" s="311">
        <f>IFERROR(__xludf.DUMMYFUNCTION("""COMPUTED_VALUE"""),0.0)</f>
        <v>0</v>
      </c>
      <c r="AH181" s="311">
        <f>IFERROR(__xludf.DUMMYFUNCTION("""COMPUTED_VALUE"""),0.0)</f>
        <v>0</v>
      </c>
      <c r="AI181" s="311">
        <f>IFERROR(__xludf.DUMMYFUNCTION("""COMPUTED_VALUE"""),0.0)</f>
        <v>0</v>
      </c>
      <c r="AJ181" s="311"/>
    </row>
    <row r="182" ht="22.5" customHeight="1">
      <c r="A182" s="310" t="str">
        <f>IFERROR(__xludf.DUMMYFUNCTION("""COMPUTED_VALUE"""),"")</f>
        <v/>
      </c>
      <c r="B182" s="310" t="str">
        <f>IFERROR(__xludf.DUMMYFUNCTION("""COMPUTED_VALUE"""),"")</f>
        <v/>
      </c>
      <c r="C182" s="310">
        <f>IFERROR(__xludf.DUMMYFUNCTION("""COMPUTED_VALUE"""),365.0)</f>
        <v>365</v>
      </c>
      <c r="D182" s="310" t="str">
        <f>IFERROR(__xludf.DUMMYFUNCTION("""COMPUTED_VALUE"""),"UBS Meudom")</f>
        <v>UBS Meudom</v>
      </c>
      <c r="E182" s="313" t="str">
        <f>IFERROR(__xludf.DUMMYFUNCTION("""COMPUTED_VALUE"""),"REGIAO SERRANA")</f>
        <v>REGIAO SERRANA</v>
      </c>
      <c r="F182" s="310" t="str">
        <f>IFERROR(__xludf.DUMMYFUNCTION("""COMPUTED_VALUE"""),"Teresopolis")</f>
        <v>Teresopolis</v>
      </c>
      <c r="G182" s="310" t="str">
        <f>IFERROR(__xludf.DUMMYFUNCTION("""COMPUTED_VALUE"""),"Meudom")</f>
        <v>Meudom</v>
      </c>
      <c r="H182" s="310" t="str">
        <f>IFERROR(__xludf.DUMMYFUNCTION("""COMPUTED_VALUE"""),"Unidade básica de saúde - BAIXA COMPLEXIDADE")</f>
        <v>Unidade básica de saúde - BAIXA COMPLEXIDADE</v>
      </c>
      <c r="I182" s="310" t="str">
        <f>IFERROR(__xludf.DUMMYFUNCTION("""COMPUTED_VALUE"""),"Público")</f>
        <v>Público</v>
      </c>
      <c r="J182" s="310" t="str">
        <f>IFERROR(__xludf.DUMMYFUNCTION("""COMPUTED_VALUE"""),"")</f>
        <v/>
      </c>
      <c r="K182" s="310" t="str">
        <f>IFERROR(__xludf.DUMMYFUNCTION("""COMPUTED_VALUE"""),"")</f>
        <v/>
      </c>
      <c r="L182" s="310" t="str">
        <f>IFERROR(__xludf.DUMMYFUNCTION("""COMPUTED_VALUE"""),"")</f>
        <v/>
      </c>
      <c r="M182" s="310" t="str">
        <f>IFERROR(__xludf.DUMMYFUNCTION("""COMPUTED_VALUE"""),"")</f>
        <v/>
      </c>
      <c r="N182" s="310">
        <f>IFERROR(__xludf.DUMMYFUNCTION("""COMPUTED_VALUE"""),0.0)</f>
        <v>0</v>
      </c>
      <c r="O182" s="310">
        <f>IFERROR(__xludf.DUMMYFUNCTION("""COMPUTED_VALUE"""),0.0)</f>
        <v>0</v>
      </c>
      <c r="P182" s="310">
        <f>IFERROR(__xludf.DUMMYFUNCTION("""COMPUTED_VALUE"""),0.0)</f>
        <v>0</v>
      </c>
      <c r="Q182" s="310">
        <f>IFERROR(__xludf.DUMMYFUNCTION("""COMPUTED_VALUE"""),0.0)</f>
        <v>0</v>
      </c>
      <c r="R182" s="310">
        <f>IFERROR(__xludf.DUMMYFUNCTION("""COMPUTED_VALUE"""),2400.0)</f>
        <v>2400</v>
      </c>
      <c r="S182" s="310">
        <f>IFERROR(__xludf.DUMMYFUNCTION("""COMPUTED_VALUE"""),2400.0)</f>
        <v>2400</v>
      </c>
      <c r="T182" s="310">
        <f>IFERROR(__xludf.DUMMYFUNCTION("""COMPUTED_VALUE"""),20.0)</f>
        <v>20</v>
      </c>
      <c r="U182" s="310">
        <f>IFERROR(__xludf.DUMMYFUNCTION("""COMPUTED_VALUE"""),0.0)</f>
        <v>0</v>
      </c>
      <c r="V182" s="310">
        <f>IFERROR(__xludf.DUMMYFUNCTION("""COMPUTED_VALUE"""),0.0)</f>
        <v>0</v>
      </c>
      <c r="W182" s="310">
        <f>IFERROR(__xludf.DUMMYFUNCTION("""COMPUTED_VALUE"""),0.0)</f>
        <v>0</v>
      </c>
      <c r="X182" s="310">
        <f>IFERROR(__xludf.DUMMYFUNCTION("""COMPUTED_VALUE"""),0.0)</f>
        <v>0</v>
      </c>
      <c r="Y182" s="310">
        <f>IFERROR(__xludf.DUMMYFUNCTION("""COMPUTED_VALUE"""),0.0)</f>
        <v>0</v>
      </c>
      <c r="Z182" s="310">
        <f>IFERROR(__xludf.DUMMYFUNCTION("""COMPUTED_VALUE"""),-20.0)</f>
        <v>-20</v>
      </c>
      <c r="AA182" s="310">
        <f>IFERROR(__xludf.DUMMYFUNCTION("""COMPUTED_VALUE"""),0.0)</f>
        <v>0</v>
      </c>
      <c r="AB182" s="310">
        <f>IFERROR(__xludf.DUMMYFUNCTION("""COMPUTED_VALUE"""),0.0)</f>
        <v>0</v>
      </c>
      <c r="AC182" s="310">
        <f>IFERROR(__xludf.DUMMYFUNCTION("""COMPUTED_VALUE"""),0.0)</f>
        <v>0</v>
      </c>
      <c r="AD182" s="310">
        <f>IFERROR(__xludf.DUMMYFUNCTION("""COMPUTED_VALUE"""),2400.0)</f>
        <v>2400</v>
      </c>
      <c r="AE182" s="310">
        <f>IFERROR(__xludf.DUMMYFUNCTION("""COMPUTED_VALUE"""),2400.0)</f>
        <v>2400</v>
      </c>
      <c r="AF182" s="310" t="str">
        <f>IFERROR(__xludf.DUMMYFUNCTION("""COMPUTED_VALUE"""),"")</f>
        <v/>
      </c>
      <c r="AG182" s="310">
        <f>IFERROR(__xludf.DUMMYFUNCTION("""COMPUTED_VALUE"""),0.0)</f>
        <v>0</v>
      </c>
      <c r="AH182" s="310">
        <f>IFERROR(__xludf.DUMMYFUNCTION("""COMPUTED_VALUE"""),0.0)</f>
        <v>0</v>
      </c>
      <c r="AI182" s="310">
        <f>IFERROR(__xludf.DUMMYFUNCTION("""COMPUTED_VALUE"""),0.0)</f>
        <v>0</v>
      </c>
      <c r="AJ182" s="310"/>
    </row>
    <row r="183" ht="22.5" customHeight="1">
      <c r="A183" s="311" t="str">
        <f>IFERROR(__xludf.DUMMYFUNCTION("""COMPUTED_VALUE"""),"")</f>
        <v/>
      </c>
      <c r="B183" s="311" t="str">
        <f>IFERROR(__xludf.DUMMYFUNCTION("""COMPUTED_VALUE"""),"")</f>
        <v/>
      </c>
      <c r="C183" s="311">
        <f>IFERROR(__xludf.DUMMYFUNCTION("""COMPUTED_VALUE"""),374.0)</f>
        <v>374</v>
      </c>
      <c r="D183" s="311" t="str">
        <f>IFERROR(__xludf.DUMMYFUNCTION("""COMPUTED_VALUE"""),"Coletivo Nós")</f>
        <v>Coletivo Nós</v>
      </c>
      <c r="E183" s="315" t="str">
        <f>IFERROR(__xludf.DUMMYFUNCTION("""COMPUTED_VALUE"""),"ZONA OESTE")</f>
        <v>ZONA OESTE</v>
      </c>
      <c r="F183" s="311" t="str">
        <f>IFERROR(__xludf.DUMMYFUNCTION("""COMPUTED_VALUE"""),"Rio de Janeiro")</f>
        <v>Rio de Janeiro</v>
      </c>
      <c r="G183" s="311" t="str">
        <f>IFERROR(__xludf.DUMMYFUNCTION("""COMPUTED_VALUE"""),"Santa Cruz")</f>
        <v>Santa Cruz</v>
      </c>
      <c r="H183" s="311" t="str">
        <f>IFERROR(__xludf.DUMMYFUNCTION("""COMPUTED_VALUE"""),"Outra Instituição")</f>
        <v>Outra Instituição</v>
      </c>
      <c r="I183" s="311" t="str">
        <f>IFERROR(__xludf.DUMMYFUNCTION("""COMPUTED_VALUE"""),"Público")</f>
        <v>Público</v>
      </c>
      <c r="J183" s="311" t="str">
        <f>IFERROR(__xludf.DUMMYFUNCTION("""COMPUTED_VALUE"""),"")</f>
        <v/>
      </c>
      <c r="K183" s="311" t="str">
        <f>IFERROR(__xludf.DUMMYFUNCTION("""COMPUTED_VALUE"""),"")</f>
        <v/>
      </c>
      <c r="L183" s="311" t="str">
        <f>IFERROR(__xludf.DUMMYFUNCTION("""COMPUTED_VALUE"""),"")</f>
        <v/>
      </c>
      <c r="M183" s="311" t="str">
        <f>IFERROR(__xludf.DUMMYFUNCTION("""COMPUTED_VALUE"""),"")</f>
        <v/>
      </c>
      <c r="N183" s="311">
        <f>IFERROR(__xludf.DUMMYFUNCTION("""COMPUTED_VALUE"""),0.0)</f>
        <v>0</v>
      </c>
      <c r="O183" s="311">
        <f>IFERROR(__xludf.DUMMYFUNCTION("""COMPUTED_VALUE"""),0.0)</f>
        <v>0</v>
      </c>
      <c r="P183" s="311">
        <f>IFERROR(__xludf.DUMMYFUNCTION("""COMPUTED_VALUE"""),0.0)</f>
        <v>0</v>
      </c>
      <c r="Q183" s="311">
        <f>IFERROR(__xludf.DUMMYFUNCTION("""COMPUTED_VALUE"""),0.0)</f>
        <v>0</v>
      </c>
      <c r="R183" s="311">
        <f>IFERROR(__xludf.DUMMYFUNCTION("""COMPUTED_VALUE"""),0.0)</f>
        <v>0</v>
      </c>
      <c r="S183" s="311">
        <f>IFERROR(__xludf.DUMMYFUNCTION("""COMPUTED_VALUE"""),0.0)</f>
        <v>0</v>
      </c>
      <c r="T183" s="311">
        <f>IFERROR(__xludf.DUMMYFUNCTION("""COMPUTED_VALUE"""),15.0)</f>
        <v>15</v>
      </c>
      <c r="U183" s="311">
        <f>IFERROR(__xludf.DUMMYFUNCTION("""COMPUTED_VALUE"""),0.0)</f>
        <v>0</v>
      </c>
      <c r="V183" s="311">
        <f>IFERROR(__xludf.DUMMYFUNCTION("""COMPUTED_VALUE"""),0.0)</f>
        <v>0</v>
      </c>
      <c r="W183" s="311">
        <f>IFERROR(__xludf.DUMMYFUNCTION("""COMPUTED_VALUE"""),0.0)</f>
        <v>0</v>
      </c>
      <c r="X183" s="311">
        <f>IFERROR(__xludf.DUMMYFUNCTION("""COMPUTED_VALUE"""),0.0)</f>
        <v>0</v>
      </c>
      <c r="Y183" s="311">
        <f>IFERROR(__xludf.DUMMYFUNCTION("""COMPUTED_VALUE"""),0.0)</f>
        <v>0</v>
      </c>
      <c r="Z183" s="311">
        <f>IFERROR(__xludf.DUMMYFUNCTION("""COMPUTED_VALUE"""),-15.0)</f>
        <v>-15</v>
      </c>
      <c r="AA183" s="311">
        <f>IFERROR(__xludf.DUMMYFUNCTION("""COMPUTED_VALUE"""),0.0)</f>
        <v>0</v>
      </c>
      <c r="AB183" s="311">
        <f>IFERROR(__xludf.DUMMYFUNCTION("""COMPUTED_VALUE"""),0.0)</f>
        <v>0</v>
      </c>
      <c r="AC183" s="311">
        <f>IFERROR(__xludf.DUMMYFUNCTION("""COMPUTED_VALUE"""),0.0)</f>
        <v>0</v>
      </c>
      <c r="AD183" s="311">
        <f>IFERROR(__xludf.DUMMYFUNCTION("""COMPUTED_VALUE"""),0.0)</f>
        <v>0</v>
      </c>
      <c r="AE183" s="311">
        <f>IFERROR(__xludf.DUMMYFUNCTION("""COMPUTED_VALUE"""),0.0)</f>
        <v>0</v>
      </c>
      <c r="AF183" s="311" t="str">
        <f>IFERROR(__xludf.DUMMYFUNCTION("""COMPUTED_VALUE"""),"")</f>
        <v/>
      </c>
      <c r="AG183" s="311">
        <f>IFERROR(__xludf.DUMMYFUNCTION("""COMPUTED_VALUE"""),0.0)</f>
        <v>0</v>
      </c>
      <c r="AH183" s="311">
        <f>IFERROR(__xludf.DUMMYFUNCTION("""COMPUTED_VALUE"""),0.0)</f>
        <v>0</v>
      </c>
      <c r="AI183" s="311">
        <f>IFERROR(__xludf.DUMMYFUNCTION("""COMPUTED_VALUE"""),0.0)</f>
        <v>0</v>
      </c>
      <c r="AJ183" s="311"/>
    </row>
    <row r="184" ht="22.5" customHeight="1">
      <c r="A184" s="310" t="str">
        <f>IFERROR(__xludf.DUMMYFUNCTION("""COMPUTED_VALUE"""),"")</f>
        <v/>
      </c>
      <c r="B184" s="310" t="str">
        <f>IFERROR(__xludf.DUMMYFUNCTION("""COMPUTED_VALUE"""),"")</f>
        <v/>
      </c>
      <c r="C184" s="310">
        <f>IFERROR(__xludf.DUMMYFUNCTION("""COMPUTED_VALUE"""),377.0)</f>
        <v>377</v>
      </c>
      <c r="D184" s="310" t="str">
        <f>IFERROR(__xludf.DUMMYFUNCTION("""COMPUTED_VALUE"""),"Clínicas da Família - Superintendência")</f>
        <v>Clínicas da Família - Superintendência</v>
      </c>
      <c r="E184" s="313" t="str">
        <f>IFERROR(__xludf.DUMMYFUNCTION("""COMPUTED_VALUE"""),"CENTRO")</f>
        <v>CENTRO</v>
      </c>
      <c r="F184" s="310" t="str">
        <f>IFERROR(__xludf.DUMMYFUNCTION("""COMPUTED_VALUE"""),"Rio de Janeiro")</f>
        <v>Rio de Janeiro</v>
      </c>
      <c r="G184" s="310" t="str">
        <f>IFERROR(__xludf.DUMMYFUNCTION("""COMPUTED_VALUE"""),"Centro")</f>
        <v>Centro</v>
      </c>
      <c r="H184" s="310" t="str">
        <f>IFERROR(__xludf.DUMMYFUNCTION("""COMPUTED_VALUE"""),"Unidade básica de saúde - BAIXA COMPLEXIDADE")</f>
        <v>Unidade básica de saúde - BAIXA COMPLEXIDADE</v>
      </c>
      <c r="I184" s="310" t="str">
        <f>IFERROR(__xludf.DUMMYFUNCTION("""COMPUTED_VALUE"""),"Público")</f>
        <v>Público</v>
      </c>
      <c r="J184" s="310" t="str">
        <f>IFERROR(__xludf.DUMMYFUNCTION("""COMPUTED_VALUE"""),"")</f>
        <v/>
      </c>
      <c r="K184" s="310" t="str">
        <f>IFERROR(__xludf.DUMMYFUNCTION("""COMPUTED_VALUE"""),"")</f>
        <v/>
      </c>
      <c r="L184" s="310" t="str">
        <f>IFERROR(__xludf.DUMMYFUNCTION("""COMPUTED_VALUE"""),"")</f>
        <v/>
      </c>
      <c r="M184" s="310" t="str">
        <f>IFERROR(__xludf.DUMMYFUNCTION("""COMPUTED_VALUE"""),"")</f>
        <v/>
      </c>
      <c r="N184" s="310">
        <f>IFERROR(__xludf.DUMMYFUNCTION("""COMPUTED_VALUE"""),0.0)</f>
        <v>0</v>
      </c>
      <c r="O184" s="310">
        <f>IFERROR(__xludf.DUMMYFUNCTION("""COMPUTED_VALUE"""),0.0)</f>
        <v>0</v>
      </c>
      <c r="P184" s="310">
        <f>IFERROR(__xludf.DUMMYFUNCTION("""COMPUTED_VALUE"""),0.0)</f>
        <v>0</v>
      </c>
      <c r="Q184" s="310">
        <f>IFERROR(__xludf.DUMMYFUNCTION("""COMPUTED_VALUE"""),0.0)</f>
        <v>0</v>
      </c>
      <c r="R184" s="310">
        <f>IFERROR(__xludf.DUMMYFUNCTION("""COMPUTED_VALUE"""),0.0)</f>
        <v>0</v>
      </c>
      <c r="S184" s="310">
        <f>IFERROR(__xludf.DUMMYFUNCTION("""COMPUTED_VALUE"""),0.0)</f>
        <v>0</v>
      </c>
      <c r="T184" s="310">
        <f>IFERROR(__xludf.DUMMYFUNCTION("""COMPUTED_VALUE"""),100.0)</f>
        <v>100</v>
      </c>
      <c r="U184" s="310">
        <f>IFERROR(__xludf.DUMMYFUNCTION("""COMPUTED_VALUE"""),0.0)</f>
        <v>0</v>
      </c>
      <c r="V184" s="310">
        <f>IFERROR(__xludf.DUMMYFUNCTION("""COMPUTED_VALUE"""),0.0)</f>
        <v>0</v>
      </c>
      <c r="W184" s="310">
        <f>IFERROR(__xludf.DUMMYFUNCTION("""COMPUTED_VALUE"""),0.0)</f>
        <v>0</v>
      </c>
      <c r="X184" s="310">
        <f>IFERROR(__xludf.DUMMYFUNCTION("""COMPUTED_VALUE"""),0.0)</f>
        <v>0</v>
      </c>
      <c r="Y184" s="310">
        <f>IFERROR(__xludf.DUMMYFUNCTION("""COMPUTED_VALUE"""),0.0)</f>
        <v>0</v>
      </c>
      <c r="Z184" s="310">
        <f>IFERROR(__xludf.DUMMYFUNCTION("""COMPUTED_VALUE"""),-100.0)</f>
        <v>-100</v>
      </c>
      <c r="AA184" s="310">
        <f>IFERROR(__xludf.DUMMYFUNCTION("""COMPUTED_VALUE"""),0.0)</f>
        <v>0</v>
      </c>
      <c r="AB184" s="310">
        <f>IFERROR(__xludf.DUMMYFUNCTION("""COMPUTED_VALUE"""),0.0)</f>
        <v>0</v>
      </c>
      <c r="AC184" s="310">
        <f>IFERROR(__xludf.DUMMYFUNCTION("""COMPUTED_VALUE"""),0.0)</f>
        <v>0</v>
      </c>
      <c r="AD184" s="310">
        <f>IFERROR(__xludf.DUMMYFUNCTION("""COMPUTED_VALUE"""),0.0)</f>
        <v>0</v>
      </c>
      <c r="AE184" s="310">
        <f>IFERROR(__xludf.DUMMYFUNCTION("""COMPUTED_VALUE"""),0.0)</f>
        <v>0</v>
      </c>
      <c r="AF184" s="310" t="str">
        <f>IFERROR(__xludf.DUMMYFUNCTION("""COMPUTED_VALUE"""),"")</f>
        <v/>
      </c>
      <c r="AG184" s="310">
        <f>IFERROR(__xludf.DUMMYFUNCTION("""COMPUTED_VALUE"""),0.0)</f>
        <v>0</v>
      </c>
      <c r="AH184" s="310">
        <f>IFERROR(__xludf.DUMMYFUNCTION("""COMPUTED_VALUE"""),0.0)</f>
        <v>0</v>
      </c>
      <c r="AI184" s="310">
        <f>IFERROR(__xludf.DUMMYFUNCTION("""COMPUTED_VALUE"""),0.0)</f>
        <v>0</v>
      </c>
      <c r="AJ184" s="310"/>
    </row>
    <row r="185" ht="22.5" customHeight="1">
      <c r="A185" s="311" t="str">
        <f>IFERROR(__xludf.DUMMYFUNCTION("""COMPUTED_VALUE"""),"")</f>
        <v/>
      </c>
      <c r="B185" s="311" t="str">
        <f>IFERROR(__xludf.DUMMYFUNCTION("""COMPUTED_VALUE"""),"")</f>
        <v/>
      </c>
      <c r="C185" s="311">
        <f>IFERROR(__xludf.DUMMYFUNCTION("""COMPUTED_VALUE"""),378.0)</f>
        <v>378</v>
      </c>
      <c r="D185" s="311" t="str">
        <f>IFERROR(__xludf.DUMMYFUNCTION("""COMPUTED_VALUE"""),"Fiocruz - Laboratório")</f>
        <v>Fiocruz - Laboratório</v>
      </c>
      <c r="E185" s="315" t="str">
        <f>IFERROR(__xludf.DUMMYFUNCTION("""COMPUTED_VALUE"""),"ZONA NORTE")</f>
        <v>ZONA NORTE</v>
      </c>
      <c r="F185" s="311" t="str">
        <f>IFERROR(__xludf.DUMMYFUNCTION("""COMPUTED_VALUE"""),"Rio de Janeiro")</f>
        <v>Rio de Janeiro</v>
      </c>
      <c r="G185" s="311" t="str">
        <f>IFERROR(__xludf.DUMMYFUNCTION("""COMPUTED_VALUE"""),"Manguinhos")</f>
        <v>Manguinhos</v>
      </c>
      <c r="H185" s="311" t="str">
        <f>IFERROR(__xludf.DUMMYFUNCTION("""COMPUTED_VALUE"""),"Unidade de Pesquisa")</f>
        <v>Unidade de Pesquisa</v>
      </c>
      <c r="I185" s="311" t="str">
        <f>IFERROR(__xludf.DUMMYFUNCTION("""COMPUTED_VALUE"""),"Público")</f>
        <v>Público</v>
      </c>
      <c r="J185" s="311" t="str">
        <f>IFERROR(__xludf.DUMMYFUNCTION("""COMPUTED_VALUE"""),"")</f>
        <v/>
      </c>
      <c r="K185" s="311" t="str">
        <f>IFERROR(__xludf.DUMMYFUNCTION("""COMPUTED_VALUE"""),"")</f>
        <v/>
      </c>
      <c r="L185" s="311" t="str">
        <f>IFERROR(__xludf.DUMMYFUNCTION("""COMPUTED_VALUE"""),"")</f>
        <v/>
      </c>
      <c r="M185" s="311" t="str">
        <f>IFERROR(__xludf.DUMMYFUNCTION("""COMPUTED_VALUE"""),"")</f>
        <v/>
      </c>
      <c r="N185" s="311">
        <f>IFERROR(__xludf.DUMMYFUNCTION("""COMPUTED_VALUE"""),0.0)</f>
        <v>0</v>
      </c>
      <c r="O185" s="311">
        <f>IFERROR(__xludf.DUMMYFUNCTION("""COMPUTED_VALUE"""),0.0)</f>
        <v>0</v>
      </c>
      <c r="P185" s="311">
        <f>IFERROR(__xludf.DUMMYFUNCTION("""COMPUTED_VALUE"""),0.0)</f>
        <v>0</v>
      </c>
      <c r="Q185" s="311">
        <f>IFERROR(__xludf.DUMMYFUNCTION("""COMPUTED_VALUE"""),0.0)</f>
        <v>0</v>
      </c>
      <c r="R185" s="311">
        <f>IFERROR(__xludf.DUMMYFUNCTION("""COMPUTED_VALUE"""),0.0)</f>
        <v>0</v>
      </c>
      <c r="S185" s="311">
        <f>IFERROR(__xludf.DUMMYFUNCTION("""COMPUTED_VALUE"""),0.0)</f>
        <v>0</v>
      </c>
      <c r="T185" s="311">
        <f>IFERROR(__xludf.DUMMYFUNCTION("""COMPUTED_VALUE"""),40.0)</f>
        <v>40</v>
      </c>
      <c r="U185" s="311">
        <f>IFERROR(__xludf.DUMMYFUNCTION("""COMPUTED_VALUE"""),0.0)</f>
        <v>0</v>
      </c>
      <c r="V185" s="311">
        <f>IFERROR(__xludf.DUMMYFUNCTION("""COMPUTED_VALUE"""),0.0)</f>
        <v>0</v>
      </c>
      <c r="W185" s="311">
        <f>IFERROR(__xludf.DUMMYFUNCTION("""COMPUTED_VALUE"""),0.0)</f>
        <v>0</v>
      </c>
      <c r="X185" s="311">
        <f>IFERROR(__xludf.DUMMYFUNCTION("""COMPUTED_VALUE"""),0.0)</f>
        <v>0</v>
      </c>
      <c r="Y185" s="311">
        <f>IFERROR(__xludf.DUMMYFUNCTION("""COMPUTED_VALUE"""),0.0)</f>
        <v>0</v>
      </c>
      <c r="Z185" s="311">
        <f>IFERROR(__xludf.DUMMYFUNCTION("""COMPUTED_VALUE"""),-40.0)</f>
        <v>-40</v>
      </c>
      <c r="AA185" s="311">
        <f>IFERROR(__xludf.DUMMYFUNCTION("""COMPUTED_VALUE"""),0.0)</f>
        <v>0</v>
      </c>
      <c r="AB185" s="311">
        <f>IFERROR(__xludf.DUMMYFUNCTION("""COMPUTED_VALUE"""),0.0)</f>
        <v>0</v>
      </c>
      <c r="AC185" s="311">
        <f>IFERROR(__xludf.DUMMYFUNCTION("""COMPUTED_VALUE"""),0.0)</f>
        <v>0</v>
      </c>
      <c r="AD185" s="311">
        <f>IFERROR(__xludf.DUMMYFUNCTION("""COMPUTED_VALUE"""),0.0)</f>
        <v>0</v>
      </c>
      <c r="AE185" s="311">
        <f>IFERROR(__xludf.DUMMYFUNCTION("""COMPUTED_VALUE"""),0.0)</f>
        <v>0</v>
      </c>
      <c r="AF185" s="311" t="str">
        <f>IFERROR(__xludf.DUMMYFUNCTION("""COMPUTED_VALUE"""),"")</f>
        <v/>
      </c>
      <c r="AG185" s="311">
        <f>IFERROR(__xludf.DUMMYFUNCTION("""COMPUTED_VALUE"""),0.0)</f>
        <v>0</v>
      </c>
      <c r="AH185" s="311">
        <f>IFERROR(__xludf.DUMMYFUNCTION("""COMPUTED_VALUE"""),0.0)</f>
        <v>0</v>
      </c>
      <c r="AI185" s="311">
        <f>IFERROR(__xludf.DUMMYFUNCTION("""COMPUTED_VALUE"""),0.0)</f>
        <v>0</v>
      </c>
      <c r="AJ185" s="311"/>
    </row>
    <row r="186" ht="22.5" customHeight="1">
      <c r="A186" s="310" t="str">
        <f>IFERROR(__xludf.DUMMYFUNCTION("""COMPUTED_VALUE"""),"")</f>
        <v/>
      </c>
      <c r="B186" s="310" t="str">
        <f>IFERROR(__xludf.DUMMYFUNCTION("""COMPUTED_VALUE"""),"")</f>
        <v/>
      </c>
      <c r="C186" s="310">
        <f>IFERROR(__xludf.DUMMYFUNCTION("""COMPUTED_VALUE"""),379.0)</f>
        <v>379</v>
      </c>
      <c r="D186" s="310" t="str">
        <f>IFERROR(__xludf.DUMMYFUNCTION("""COMPUTED_VALUE"""),"Hospital Estadual Prefeito Jõao Batista Caffaro")</f>
        <v>Hospital Estadual Prefeito Jõao Batista Caffaro</v>
      </c>
      <c r="E186" s="313" t="str">
        <f>IFERROR(__xludf.DUMMYFUNCTION("""COMPUTED_VALUE"""),"REGIAO METROPOLITANA")</f>
        <v>REGIAO METROPOLITANA</v>
      </c>
      <c r="F186" s="310" t="str">
        <f>IFERROR(__xludf.DUMMYFUNCTION("""COMPUTED_VALUE"""),"Itaboraí")</f>
        <v>Itaboraí</v>
      </c>
      <c r="G186" s="310" t="str">
        <f>IFERROR(__xludf.DUMMYFUNCTION("""COMPUTED_VALUE"""),"Manilha")</f>
        <v>Manilha</v>
      </c>
      <c r="H186" s="310" t="str">
        <f>IFERROR(__xludf.DUMMYFUNCTION("""COMPUTED_VALUE"""),"Hospital de Referência - ALTA COMPLEXIDADE")</f>
        <v>Hospital de Referência - ALTA COMPLEXIDADE</v>
      </c>
      <c r="I186" s="310" t="str">
        <f>IFERROR(__xludf.DUMMYFUNCTION("""COMPUTED_VALUE"""),"Público")</f>
        <v>Público</v>
      </c>
      <c r="J186" s="310" t="str">
        <f>IFERROR(__xludf.DUMMYFUNCTION("""COMPUTED_VALUE"""),"")</f>
        <v/>
      </c>
      <c r="K186" s="310" t="str">
        <f>IFERROR(__xludf.DUMMYFUNCTION("""COMPUTED_VALUE"""),"")</f>
        <v/>
      </c>
      <c r="L186" s="310" t="str">
        <f>IFERROR(__xludf.DUMMYFUNCTION("""COMPUTED_VALUE"""),"")</f>
        <v/>
      </c>
      <c r="M186" s="310" t="str">
        <f>IFERROR(__xludf.DUMMYFUNCTION("""COMPUTED_VALUE"""),"")</f>
        <v/>
      </c>
      <c r="N186" s="310">
        <f>IFERROR(__xludf.DUMMYFUNCTION("""COMPUTED_VALUE"""),0.0)</f>
        <v>0</v>
      </c>
      <c r="O186" s="310">
        <f>IFERROR(__xludf.DUMMYFUNCTION("""COMPUTED_VALUE"""),0.0)</f>
        <v>0</v>
      </c>
      <c r="P186" s="310">
        <f>IFERROR(__xludf.DUMMYFUNCTION("""COMPUTED_VALUE"""),0.0)</f>
        <v>0</v>
      </c>
      <c r="Q186" s="310">
        <f>IFERROR(__xludf.DUMMYFUNCTION("""COMPUTED_VALUE"""),0.0)</f>
        <v>0</v>
      </c>
      <c r="R186" s="310">
        <f>IFERROR(__xludf.DUMMYFUNCTION("""COMPUTED_VALUE"""),0.0)</f>
        <v>0</v>
      </c>
      <c r="S186" s="310">
        <f>IFERROR(__xludf.DUMMYFUNCTION("""COMPUTED_VALUE"""),0.0)</f>
        <v>0</v>
      </c>
      <c r="T186" s="310">
        <f>IFERROR(__xludf.DUMMYFUNCTION("""COMPUTED_VALUE"""),100.0)</f>
        <v>100</v>
      </c>
      <c r="U186" s="310">
        <f>IFERROR(__xludf.DUMMYFUNCTION("""COMPUTED_VALUE"""),0.0)</f>
        <v>0</v>
      </c>
      <c r="V186" s="310">
        <f>IFERROR(__xludf.DUMMYFUNCTION("""COMPUTED_VALUE"""),0.0)</f>
        <v>0</v>
      </c>
      <c r="W186" s="310">
        <f>IFERROR(__xludf.DUMMYFUNCTION("""COMPUTED_VALUE"""),0.0)</f>
        <v>0</v>
      </c>
      <c r="X186" s="310">
        <f>IFERROR(__xludf.DUMMYFUNCTION("""COMPUTED_VALUE"""),0.0)</f>
        <v>0</v>
      </c>
      <c r="Y186" s="310">
        <f>IFERROR(__xludf.DUMMYFUNCTION("""COMPUTED_VALUE"""),0.0)</f>
        <v>0</v>
      </c>
      <c r="Z186" s="310">
        <f>IFERROR(__xludf.DUMMYFUNCTION("""COMPUTED_VALUE"""),-100.0)</f>
        <v>-100</v>
      </c>
      <c r="AA186" s="310">
        <f>IFERROR(__xludf.DUMMYFUNCTION("""COMPUTED_VALUE"""),0.0)</f>
        <v>0</v>
      </c>
      <c r="AB186" s="310">
        <f>IFERROR(__xludf.DUMMYFUNCTION("""COMPUTED_VALUE"""),0.0)</f>
        <v>0</v>
      </c>
      <c r="AC186" s="310">
        <f>IFERROR(__xludf.DUMMYFUNCTION("""COMPUTED_VALUE"""),0.0)</f>
        <v>0</v>
      </c>
      <c r="AD186" s="310">
        <f>IFERROR(__xludf.DUMMYFUNCTION("""COMPUTED_VALUE"""),0.0)</f>
        <v>0</v>
      </c>
      <c r="AE186" s="310">
        <f>IFERROR(__xludf.DUMMYFUNCTION("""COMPUTED_VALUE"""),0.0)</f>
        <v>0</v>
      </c>
      <c r="AF186" s="310" t="str">
        <f>IFERROR(__xludf.DUMMYFUNCTION("""COMPUTED_VALUE"""),"")</f>
        <v/>
      </c>
      <c r="AG186" s="310">
        <f>IFERROR(__xludf.DUMMYFUNCTION("""COMPUTED_VALUE"""),0.0)</f>
        <v>0</v>
      </c>
      <c r="AH186" s="310">
        <f>IFERROR(__xludf.DUMMYFUNCTION("""COMPUTED_VALUE"""),0.0)</f>
        <v>0</v>
      </c>
      <c r="AI186" s="310">
        <f>IFERROR(__xludf.DUMMYFUNCTION("""COMPUTED_VALUE"""),0.0)</f>
        <v>0</v>
      </c>
      <c r="AJ186" s="310"/>
    </row>
    <row r="187" ht="22.5" customHeight="1">
      <c r="A187" s="311" t="str">
        <f>IFERROR(__xludf.DUMMYFUNCTION("""COMPUTED_VALUE"""),"")</f>
        <v/>
      </c>
      <c r="B187" s="311" t="str">
        <f>IFERROR(__xludf.DUMMYFUNCTION("""COMPUTED_VALUE"""),"")</f>
        <v/>
      </c>
      <c r="C187" s="311">
        <f>IFERROR(__xludf.DUMMYFUNCTION("""COMPUTED_VALUE"""),380.0)</f>
        <v>380</v>
      </c>
      <c r="D187" s="311" t="str">
        <f>IFERROR(__xludf.DUMMYFUNCTION("""COMPUTED_VALUE"""),"Hospital Municipal Álvaro Ramos ")</f>
        <v>Hospital Municipal Álvaro Ramos </v>
      </c>
      <c r="E187" s="315" t="str">
        <f>IFERROR(__xludf.DUMMYFUNCTION("""COMPUTED_VALUE"""),"ZONA OESTE")</f>
        <v>ZONA OESTE</v>
      </c>
      <c r="F187" s="311" t="str">
        <f>IFERROR(__xludf.DUMMYFUNCTION("""COMPUTED_VALUE"""),"Rio de Janeiro")</f>
        <v>Rio de Janeiro</v>
      </c>
      <c r="G187" s="311" t="str">
        <f>IFERROR(__xludf.DUMMYFUNCTION("""COMPUTED_VALUE"""),"Taquara")</f>
        <v>Taquara</v>
      </c>
      <c r="H187" s="311" t="str">
        <f>IFERROR(__xludf.DUMMYFUNCTION("""COMPUTED_VALUE"""),"Grande emergência - MÉDIA COMPLEXIDADE
")</f>
        <v>Grande emergência - MÉDIA COMPLEXIDADE
</v>
      </c>
      <c r="I187" s="311" t="str">
        <f>IFERROR(__xludf.DUMMYFUNCTION("""COMPUTED_VALUE"""),"Público")</f>
        <v>Público</v>
      </c>
      <c r="J187" s="311" t="str">
        <f>IFERROR(__xludf.DUMMYFUNCTION("""COMPUTED_VALUE"""),"")</f>
        <v/>
      </c>
      <c r="K187" s="311" t="str">
        <f>IFERROR(__xludf.DUMMYFUNCTION("""COMPUTED_VALUE"""),"")</f>
        <v/>
      </c>
      <c r="L187" s="311" t="str">
        <f>IFERROR(__xludf.DUMMYFUNCTION("""COMPUTED_VALUE"""),"")</f>
        <v/>
      </c>
      <c r="M187" s="311" t="str">
        <f>IFERROR(__xludf.DUMMYFUNCTION("""COMPUTED_VALUE"""),"")</f>
        <v/>
      </c>
      <c r="N187" s="311">
        <f>IFERROR(__xludf.DUMMYFUNCTION("""COMPUTED_VALUE"""),0.0)</f>
        <v>0</v>
      </c>
      <c r="O187" s="311">
        <f>IFERROR(__xludf.DUMMYFUNCTION("""COMPUTED_VALUE"""),0.0)</f>
        <v>0</v>
      </c>
      <c r="P187" s="311">
        <f>IFERROR(__xludf.DUMMYFUNCTION("""COMPUTED_VALUE"""),0.0)</f>
        <v>0</v>
      </c>
      <c r="Q187" s="311">
        <f>IFERROR(__xludf.DUMMYFUNCTION("""COMPUTED_VALUE"""),0.0)</f>
        <v>0</v>
      </c>
      <c r="R187" s="311">
        <f>IFERROR(__xludf.DUMMYFUNCTION("""COMPUTED_VALUE"""),0.0)</f>
        <v>0</v>
      </c>
      <c r="S187" s="311">
        <f>IFERROR(__xludf.DUMMYFUNCTION("""COMPUTED_VALUE"""),0.0)</f>
        <v>0</v>
      </c>
      <c r="T187" s="311">
        <f>IFERROR(__xludf.DUMMYFUNCTION("""COMPUTED_VALUE"""),90.0)</f>
        <v>90</v>
      </c>
      <c r="U187" s="311">
        <f>IFERROR(__xludf.DUMMYFUNCTION("""COMPUTED_VALUE"""),0.0)</f>
        <v>0</v>
      </c>
      <c r="V187" s="311">
        <f>IFERROR(__xludf.DUMMYFUNCTION("""COMPUTED_VALUE"""),0.0)</f>
        <v>0</v>
      </c>
      <c r="W187" s="311">
        <f>IFERROR(__xludf.DUMMYFUNCTION("""COMPUTED_VALUE"""),0.0)</f>
        <v>0</v>
      </c>
      <c r="X187" s="311">
        <f>IFERROR(__xludf.DUMMYFUNCTION("""COMPUTED_VALUE"""),0.0)</f>
        <v>0</v>
      </c>
      <c r="Y187" s="311">
        <f>IFERROR(__xludf.DUMMYFUNCTION("""COMPUTED_VALUE"""),0.0)</f>
        <v>0</v>
      </c>
      <c r="Z187" s="311">
        <f>IFERROR(__xludf.DUMMYFUNCTION("""COMPUTED_VALUE"""),-90.0)</f>
        <v>-90</v>
      </c>
      <c r="AA187" s="311">
        <f>IFERROR(__xludf.DUMMYFUNCTION("""COMPUTED_VALUE"""),0.0)</f>
        <v>0</v>
      </c>
      <c r="AB187" s="311">
        <f>IFERROR(__xludf.DUMMYFUNCTION("""COMPUTED_VALUE"""),0.0)</f>
        <v>0</v>
      </c>
      <c r="AC187" s="311">
        <f>IFERROR(__xludf.DUMMYFUNCTION("""COMPUTED_VALUE"""),0.0)</f>
        <v>0</v>
      </c>
      <c r="AD187" s="311">
        <f>IFERROR(__xludf.DUMMYFUNCTION("""COMPUTED_VALUE"""),0.0)</f>
        <v>0</v>
      </c>
      <c r="AE187" s="311">
        <f>IFERROR(__xludf.DUMMYFUNCTION("""COMPUTED_VALUE"""),0.0)</f>
        <v>0</v>
      </c>
      <c r="AF187" s="311" t="str">
        <f>IFERROR(__xludf.DUMMYFUNCTION("""COMPUTED_VALUE"""),"")</f>
        <v/>
      </c>
      <c r="AG187" s="311">
        <f>IFERROR(__xludf.DUMMYFUNCTION("""COMPUTED_VALUE"""),0.0)</f>
        <v>0</v>
      </c>
      <c r="AH187" s="311">
        <f>IFERROR(__xludf.DUMMYFUNCTION("""COMPUTED_VALUE"""),0.0)</f>
        <v>0</v>
      </c>
      <c r="AI187" s="311">
        <f>IFERROR(__xludf.DUMMYFUNCTION("""COMPUTED_VALUE"""),0.0)</f>
        <v>0</v>
      </c>
      <c r="AJ187" s="311"/>
    </row>
    <row r="188" ht="22.5" customHeight="1">
      <c r="A188" s="310" t="str">
        <f>IFERROR(__xludf.DUMMYFUNCTION("""COMPUTED_VALUE"""),"")</f>
        <v/>
      </c>
      <c r="B188" s="310" t="str">
        <f>IFERROR(__xludf.DUMMYFUNCTION("""COMPUTED_VALUE"""),"")</f>
        <v/>
      </c>
      <c r="C188" s="310">
        <f>IFERROR(__xludf.DUMMYFUNCTION("""COMPUTED_VALUE"""),381.0)</f>
        <v>381</v>
      </c>
      <c r="D188" s="310" t="str">
        <f>IFERROR(__xludf.DUMMYFUNCTION("""COMPUTED_VALUE"""),"Hospital Municipal Barata Ribeiro ")</f>
        <v>Hospital Municipal Barata Ribeiro </v>
      </c>
      <c r="E188" s="313" t="str">
        <f>IFERROR(__xludf.DUMMYFUNCTION("""COMPUTED_VALUE"""),"CENTRO")</f>
        <v>CENTRO</v>
      </c>
      <c r="F188" s="310" t="str">
        <f>IFERROR(__xludf.DUMMYFUNCTION("""COMPUTED_VALUE"""),"Rio de Janeiro")</f>
        <v>Rio de Janeiro</v>
      </c>
      <c r="G188" s="310" t="str">
        <f>IFERROR(__xludf.DUMMYFUNCTION("""COMPUTED_VALUE"""),"Mangueira")</f>
        <v>Mangueira</v>
      </c>
      <c r="H188" s="310" t="str">
        <f>IFERROR(__xludf.DUMMYFUNCTION("""COMPUTED_VALUE"""),"Grande emergência - MÉDIA COMPLEXIDADE
")</f>
        <v>Grande emergência - MÉDIA COMPLEXIDADE
</v>
      </c>
      <c r="I188" s="310" t="str">
        <f>IFERROR(__xludf.DUMMYFUNCTION("""COMPUTED_VALUE"""),"Público")</f>
        <v>Público</v>
      </c>
      <c r="J188" s="310" t="str">
        <f>IFERROR(__xludf.DUMMYFUNCTION("""COMPUTED_VALUE"""),"")</f>
        <v/>
      </c>
      <c r="K188" s="310" t="str">
        <f>IFERROR(__xludf.DUMMYFUNCTION("""COMPUTED_VALUE"""),"")</f>
        <v/>
      </c>
      <c r="L188" s="310" t="str">
        <f>IFERROR(__xludf.DUMMYFUNCTION("""COMPUTED_VALUE"""),"")</f>
        <v/>
      </c>
      <c r="M188" s="310" t="str">
        <f>IFERROR(__xludf.DUMMYFUNCTION("""COMPUTED_VALUE"""),"")</f>
        <v/>
      </c>
      <c r="N188" s="310">
        <f>IFERROR(__xludf.DUMMYFUNCTION("""COMPUTED_VALUE"""),0.0)</f>
        <v>0</v>
      </c>
      <c r="O188" s="310">
        <f>IFERROR(__xludf.DUMMYFUNCTION("""COMPUTED_VALUE"""),0.0)</f>
        <v>0</v>
      </c>
      <c r="P188" s="310">
        <f>IFERROR(__xludf.DUMMYFUNCTION("""COMPUTED_VALUE"""),0.0)</f>
        <v>0</v>
      </c>
      <c r="Q188" s="310">
        <f>IFERROR(__xludf.DUMMYFUNCTION("""COMPUTED_VALUE"""),0.0)</f>
        <v>0</v>
      </c>
      <c r="R188" s="310">
        <f>IFERROR(__xludf.DUMMYFUNCTION("""COMPUTED_VALUE"""),0.0)</f>
        <v>0</v>
      </c>
      <c r="S188" s="310">
        <f>IFERROR(__xludf.DUMMYFUNCTION("""COMPUTED_VALUE"""),0.0)</f>
        <v>0</v>
      </c>
      <c r="T188" s="310">
        <f>IFERROR(__xludf.DUMMYFUNCTION("""COMPUTED_VALUE"""),100.0)</f>
        <v>100</v>
      </c>
      <c r="U188" s="310">
        <f>IFERROR(__xludf.DUMMYFUNCTION("""COMPUTED_VALUE"""),0.0)</f>
        <v>0</v>
      </c>
      <c r="V188" s="310">
        <f>IFERROR(__xludf.DUMMYFUNCTION("""COMPUTED_VALUE"""),0.0)</f>
        <v>0</v>
      </c>
      <c r="W188" s="310">
        <f>IFERROR(__xludf.DUMMYFUNCTION("""COMPUTED_VALUE"""),0.0)</f>
        <v>0</v>
      </c>
      <c r="X188" s="310">
        <f>IFERROR(__xludf.DUMMYFUNCTION("""COMPUTED_VALUE"""),0.0)</f>
        <v>0</v>
      </c>
      <c r="Y188" s="310">
        <f>IFERROR(__xludf.DUMMYFUNCTION("""COMPUTED_VALUE"""),0.0)</f>
        <v>0</v>
      </c>
      <c r="Z188" s="310">
        <f>IFERROR(__xludf.DUMMYFUNCTION("""COMPUTED_VALUE"""),-100.0)</f>
        <v>-100</v>
      </c>
      <c r="AA188" s="310">
        <f>IFERROR(__xludf.DUMMYFUNCTION("""COMPUTED_VALUE"""),0.0)</f>
        <v>0</v>
      </c>
      <c r="AB188" s="310">
        <f>IFERROR(__xludf.DUMMYFUNCTION("""COMPUTED_VALUE"""),0.0)</f>
        <v>0</v>
      </c>
      <c r="AC188" s="310">
        <f>IFERROR(__xludf.DUMMYFUNCTION("""COMPUTED_VALUE"""),0.0)</f>
        <v>0</v>
      </c>
      <c r="AD188" s="310">
        <f>IFERROR(__xludf.DUMMYFUNCTION("""COMPUTED_VALUE"""),0.0)</f>
        <v>0</v>
      </c>
      <c r="AE188" s="310">
        <f>IFERROR(__xludf.DUMMYFUNCTION("""COMPUTED_VALUE"""),0.0)</f>
        <v>0</v>
      </c>
      <c r="AF188" s="310" t="str">
        <f>IFERROR(__xludf.DUMMYFUNCTION("""COMPUTED_VALUE"""),"")</f>
        <v/>
      </c>
      <c r="AG188" s="310">
        <f>IFERROR(__xludf.DUMMYFUNCTION("""COMPUTED_VALUE"""),0.0)</f>
        <v>0</v>
      </c>
      <c r="AH188" s="310">
        <f>IFERROR(__xludf.DUMMYFUNCTION("""COMPUTED_VALUE"""),0.0)</f>
        <v>0</v>
      </c>
      <c r="AI188" s="310">
        <f>IFERROR(__xludf.DUMMYFUNCTION("""COMPUTED_VALUE"""),0.0)</f>
        <v>0</v>
      </c>
      <c r="AJ188" s="310"/>
    </row>
    <row r="189" ht="22.5" customHeight="1">
      <c r="A189" s="311" t="str">
        <f>IFERROR(__xludf.DUMMYFUNCTION("""COMPUTED_VALUE"""),"")</f>
        <v/>
      </c>
      <c r="B189" s="311" t="str">
        <f>IFERROR(__xludf.DUMMYFUNCTION("""COMPUTED_VALUE"""),"")</f>
        <v/>
      </c>
      <c r="C189" s="311">
        <f>IFERROR(__xludf.DUMMYFUNCTION("""COMPUTED_VALUE"""),382.0)</f>
        <v>382</v>
      </c>
      <c r="D189" s="311" t="str">
        <f>IFERROR(__xludf.DUMMYFUNCTION("""COMPUTED_VALUE"""),"Hospital Municipal Desembargador Leal Jr. ")</f>
        <v>Hospital Municipal Desembargador Leal Jr. </v>
      </c>
      <c r="E189" s="315" t="str">
        <f>IFERROR(__xludf.DUMMYFUNCTION("""COMPUTED_VALUE"""),"REGIAO METROPOLITANA")</f>
        <v>REGIAO METROPOLITANA</v>
      </c>
      <c r="F189" s="311" t="str">
        <f>IFERROR(__xludf.DUMMYFUNCTION("""COMPUTED_VALUE"""),"Itaboraí")</f>
        <v>Itaboraí</v>
      </c>
      <c r="G189" s="311" t="str">
        <f>IFERROR(__xludf.DUMMYFUNCTION("""COMPUTED_VALUE"""),"Nancilândia")</f>
        <v>Nancilândia</v>
      </c>
      <c r="H189" s="311" t="str">
        <f>IFERROR(__xludf.DUMMYFUNCTION("""COMPUTED_VALUE"""),"Grande emergência - MÉDIA COMPLEXIDADE
")</f>
        <v>Grande emergência - MÉDIA COMPLEXIDADE
</v>
      </c>
      <c r="I189" s="311" t="str">
        <f>IFERROR(__xludf.DUMMYFUNCTION("""COMPUTED_VALUE"""),"Público")</f>
        <v>Público</v>
      </c>
      <c r="J189" s="311" t="str">
        <f>IFERROR(__xludf.DUMMYFUNCTION("""COMPUTED_VALUE"""),"")</f>
        <v/>
      </c>
      <c r="K189" s="311" t="str">
        <f>IFERROR(__xludf.DUMMYFUNCTION("""COMPUTED_VALUE"""),"")</f>
        <v/>
      </c>
      <c r="L189" s="311" t="str">
        <f>IFERROR(__xludf.DUMMYFUNCTION("""COMPUTED_VALUE"""),"")</f>
        <v/>
      </c>
      <c r="M189" s="311" t="str">
        <f>IFERROR(__xludf.DUMMYFUNCTION("""COMPUTED_VALUE"""),"")</f>
        <v/>
      </c>
      <c r="N189" s="311">
        <f>IFERROR(__xludf.DUMMYFUNCTION("""COMPUTED_VALUE"""),0.0)</f>
        <v>0</v>
      </c>
      <c r="O189" s="311">
        <f>IFERROR(__xludf.DUMMYFUNCTION("""COMPUTED_VALUE"""),0.0)</f>
        <v>0</v>
      </c>
      <c r="P189" s="311">
        <f>IFERROR(__xludf.DUMMYFUNCTION("""COMPUTED_VALUE"""),0.0)</f>
        <v>0</v>
      </c>
      <c r="Q189" s="311">
        <f>IFERROR(__xludf.DUMMYFUNCTION("""COMPUTED_VALUE"""),0.0)</f>
        <v>0</v>
      </c>
      <c r="R189" s="311">
        <f>IFERROR(__xludf.DUMMYFUNCTION("""COMPUTED_VALUE"""),0.0)</f>
        <v>0</v>
      </c>
      <c r="S189" s="311">
        <f>IFERROR(__xludf.DUMMYFUNCTION("""COMPUTED_VALUE"""),0.0)</f>
        <v>0</v>
      </c>
      <c r="T189" s="311">
        <f>IFERROR(__xludf.DUMMYFUNCTION("""COMPUTED_VALUE"""),100.0)</f>
        <v>100</v>
      </c>
      <c r="U189" s="311">
        <f>IFERROR(__xludf.DUMMYFUNCTION("""COMPUTED_VALUE"""),0.0)</f>
        <v>0</v>
      </c>
      <c r="V189" s="311">
        <f>IFERROR(__xludf.DUMMYFUNCTION("""COMPUTED_VALUE"""),0.0)</f>
        <v>0</v>
      </c>
      <c r="W189" s="311">
        <f>IFERROR(__xludf.DUMMYFUNCTION("""COMPUTED_VALUE"""),0.0)</f>
        <v>0</v>
      </c>
      <c r="X189" s="311">
        <f>IFERROR(__xludf.DUMMYFUNCTION("""COMPUTED_VALUE"""),0.0)</f>
        <v>0</v>
      </c>
      <c r="Y189" s="311">
        <f>IFERROR(__xludf.DUMMYFUNCTION("""COMPUTED_VALUE"""),0.0)</f>
        <v>0</v>
      </c>
      <c r="Z189" s="311">
        <f>IFERROR(__xludf.DUMMYFUNCTION("""COMPUTED_VALUE"""),-100.0)</f>
        <v>-100</v>
      </c>
      <c r="AA189" s="311">
        <f>IFERROR(__xludf.DUMMYFUNCTION("""COMPUTED_VALUE"""),0.0)</f>
        <v>0</v>
      </c>
      <c r="AB189" s="311">
        <f>IFERROR(__xludf.DUMMYFUNCTION("""COMPUTED_VALUE"""),0.0)</f>
        <v>0</v>
      </c>
      <c r="AC189" s="311">
        <f>IFERROR(__xludf.DUMMYFUNCTION("""COMPUTED_VALUE"""),0.0)</f>
        <v>0</v>
      </c>
      <c r="AD189" s="311">
        <f>IFERROR(__xludf.DUMMYFUNCTION("""COMPUTED_VALUE"""),0.0)</f>
        <v>0</v>
      </c>
      <c r="AE189" s="311">
        <f>IFERROR(__xludf.DUMMYFUNCTION("""COMPUTED_VALUE"""),0.0)</f>
        <v>0</v>
      </c>
      <c r="AF189" s="311" t="str">
        <f>IFERROR(__xludf.DUMMYFUNCTION("""COMPUTED_VALUE"""),"")</f>
        <v/>
      </c>
      <c r="AG189" s="311">
        <f>IFERROR(__xludf.DUMMYFUNCTION("""COMPUTED_VALUE"""),0.0)</f>
        <v>0</v>
      </c>
      <c r="AH189" s="311">
        <f>IFERROR(__xludf.DUMMYFUNCTION("""COMPUTED_VALUE"""),0.0)</f>
        <v>0</v>
      </c>
      <c r="AI189" s="311">
        <f>IFERROR(__xludf.DUMMYFUNCTION("""COMPUTED_VALUE"""),0.0)</f>
        <v>0</v>
      </c>
      <c r="AJ189" s="311"/>
    </row>
    <row r="190" ht="22.5" customHeight="1">
      <c r="A190" s="310" t="str">
        <f>IFERROR(__xludf.DUMMYFUNCTION("""COMPUTED_VALUE"""),"")</f>
        <v/>
      </c>
      <c r="B190" s="310" t="str">
        <f>IFERROR(__xludf.DUMMYFUNCTION("""COMPUTED_VALUE"""),"")</f>
        <v/>
      </c>
      <c r="C190" s="310">
        <f>IFERROR(__xludf.DUMMYFUNCTION("""COMPUTED_VALUE"""),383.0)</f>
        <v>383</v>
      </c>
      <c r="D190" s="310" t="str">
        <f>IFERROR(__xludf.DUMMYFUNCTION("""COMPUTED_VALUE"""),"INCA/CPQ")</f>
        <v>INCA/CPQ</v>
      </c>
      <c r="E190" s="313" t="str">
        <f>IFERROR(__xludf.DUMMYFUNCTION("""COMPUTED_VALUE"""),"CENTRO")</f>
        <v>CENTRO</v>
      </c>
      <c r="F190" s="310" t="str">
        <f>IFERROR(__xludf.DUMMYFUNCTION("""COMPUTED_VALUE"""),"Rio de Janeiro")</f>
        <v>Rio de Janeiro</v>
      </c>
      <c r="G190" s="310" t="str">
        <f>IFERROR(__xludf.DUMMYFUNCTION("""COMPUTED_VALUE"""),"CENTRO")</f>
        <v>CENTRO</v>
      </c>
      <c r="H190" s="310" t="str">
        <f>IFERROR(__xludf.DUMMYFUNCTION("""COMPUTED_VALUE"""),"Unidade de Pesquisa")</f>
        <v>Unidade de Pesquisa</v>
      </c>
      <c r="I190" s="310" t="str">
        <f>IFERROR(__xludf.DUMMYFUNCTION("""COMPUTED_VALUE"""),"Público")</f>
        <v>Público</v>
      </c>
      <c r="J190" s="310" t="str">
        <f>IFERROR(__xludf.DUMMYFUNCTION("""COMPUTED_VALUE"""),"")</f>
        <v/>
      </c>
      <c r="K190" s="310" t="str">
        <f>IFERROR(__xludf.DUMMYFUNCTION("""COMPUTED_VALUE"""),"")</f>
        <v/>
      </c>
      <c r="L190" s="310" t="str">
        <f>IFERROR(__xludf.DUMMYFUNCTION("""COMPUTED_VALUE"""),"")</f>
        <v/>
      </c>
      <c r="M190" s="310" t="str">
        <f>IFERROR(__xludf.DUMMYFUNCTION("""COMPUTED_VALUE"""),"")</f>
        <v/>
      </c>
      <c r="N190" s="310">
        <f>IFERROR(__xludf.DUMMYFUNCTION("""COMPUTED_VALUE"""),0.0)</f>
        <v>0</v>
      </c>
      <c r="O190" s="310">
        <f>IFERROR(__xludf.DUMMYFUNCTION("""COMPUTED_VALUE"""),0.0)</f>
        <v>0</v>
      </c>
      <c r="P190" s="310">
        <f>IFERROR(__xludf.DUMMYFUNCTION("""COMPUTED_VALUE"""),0.0)</f>
        <v>0</v>
      </c>
      <c r="Q190" s="310">
        <f>IFERROR(__xludf.DUMMYFUNCTION("""COMPUTED_VALUE"""),0.0)</f>
        <v>0</v>
      </c>
      <c r="R190" s="310">
        <f>IFERROR(__xludf.DUMMYFUNCTION("""COMPUTED_VALUE"""),0.0)</f>
        <v>0</v>
      </c>
      <c r="S190" s="310">
        <f>IFERROR(__xludf.DUMMYFUNCTION("""COMPUTED_VALUE"""),0.0)</f>
        <v>0</v>
      </c>
      <c r="T190" s="310">
        <f>IFERROR(__xludf.DUMMYFUNCTION("""COMPUTED_VALUE"""),25.0)</f>
        <v>25</v>
      </c>
      <c r="U190" s="310">
        <f>IFERROR(__xludf.DUMMYFUNCTION("""COMPUTED_VALUE"""),0.0)</f>
        <v>0</v>
      </c>
      <c r="V190" s="310">
        <f>IFERROR(__xludf.DUMMYFUNCTION("""COMPUTED_VALUE"""),0.0)</f>
        <v>0</v>
      </c>
      <c r="W190" s="310">
        <f>IFERROR(__xludf.DUMMYFUNCTION("""COMPUTED_VALUE"""),0.0)</f>
        <v>0</v>
      </c>
      <c r="X190" s="310">
        <f>IFERROR(__xludf.DUMMYFUNCTION("""COMPUTED_VALUE"""),0.0)</f>
        <v>0</v>
      </c>
      <c r="Y190" s="310">
        <f>IFERROR(__xludf.DUMMYFUNCTION("""COMPUTED_VALUE"""),0.0)</f>
        <v>0</v>
      </c>
      <c r="Z190" s="310">
        <f>IFERROR(__xludf.DUMMYFUNCTION("""COMPUTED_VALUE"""),-25.0)</f>
        <v>-25</v>
      </c>
      <c r="AA190" s="310">
        <f>IFERROR(__xludf.DUMMYFUNCTION("""COMPUTED_VALUE"""),0.0)</f>
        <v>0</v>
      </c>
      <c r="AB190" s="310">
        <f>IFERROR(__xludf.DUMMYFUNCTION("""COMPUTED_VALUE"""),0.0)</f>
        <v>0</v>
      </c>
      <c r="AC190" s="310">
        <f>IFERROR(__xludf.DUMMYFUNCTION("""COMPUTED_VALUE"""),0.0)</f>
        <v>0</v>
      </c>
      <c r="AD190" s="310">
        <f>IFERROR(__xludf.DUMMYFUNCTION("""COMPUTED_VALUE"""),0.0)</f>
        <v>0</v>
      </c>
      <c r="AE190" s="310">
        <f>IFERROR(__xludf.DUMMYFUNCTION("""COMPUTED_VALUE"""),0.0)</f>
        <v>0</v>
      </c>
      <c r="AF190" s="310" t="str">
        <f>IFERROR(__xludf.DUMMYFUNCTION("""COMPUTED_VALUE"""),"")</f>
        <v/>
      </c>
      <c r="AG190" s="310">
        <f>IFERROR(__xludf.DUMMYFUNCTION("""COMPUTED_VALUE"""),0.0)</f>
        <v>0</v>
      </c>
      <c r="AH190" s="310">
        <f>IFERROR(__xludf.DUMMYFUNCTION("""COMPUTED_VALUE"""),0.0)</f>
        <v>0</v>
      </c>
      <c r="AI190" s="310">
        <f>IFERROR(__xludf.DUMMYFUNCTION("""COMPUTED_VALUE"""),0.0)</f>
        <v>0</v>
      </c>
      <c r="AJ190" s="310"/>
    </row>
    <row r="191" ht="22.5" customHeight="1">
      <c r="A191" s="311" t="str">
        <f>IFERROR(__xludf.DUMMYFUNCTION("""COMPUTED_VALUE"""),"")</f>
        <v/>
      </c>
      <c r="B191" s="311" t="str">
        <f>IFERROR(__xludf.DUMMYFUNCTION("""COMPUTED_VALUE"""),"")</f>
        <v/>
      </c>
      <c r="C191" s="311">
        <f>IFERROR(__xludf.DUMMYFUNCTION("""COMPUTED_VALUE"""),385.0)</f>
        <v>385</v>
      </c>
      <c r="D191" s="311" t="str">
        <f>IFERROR(__xludf.DUMMYFUNCTION("""COMPUTED_VALUE"""),"Clinica da Familia - Centro de Testagem COVID-19")</f>
        <v>Clinica da Familia - Centro de Testagem COVID-19</v>
      </c>
      <c r="E191" s="315" t="str">
        <f>IFERROR(__xludf.DUMMYFUNCTION("""COMPUTED_VALUE"""),"BAIXADA FLUMINENSE")</f>
        <v>BAIXADA FLUMINENSE</v>
      </c>
      <c r="F191" s="311" t="str">
        <f>IFERROR(__xludf.DUMMYFUNCTION("""COMPUTED_VALUE"""),"Mesquita")</f>
        <v>Mesquita</v>
      </c>
      <c r="G191" s="311" t="str">
        <f>IFERROR(__xludf.DUMMYFUNCTION("""COMPUTED_VALUE"""),"Santa Terezinha")</f>
        <v>Santa Terezinha</v>
      </c>
      <c r="H191" s="311" t="str">
        <f>IFERROR(__xludf.DUMMYFUNCTION("""COMPUTED_VALUE"""),"Unidade básica de saúde - BAIXA COMPLEXIDADE")</f>
        <v>Unidade básica de saúde - BAIXA COMPLEXIDADE</v>
      </c>
      <c r="I191" s="311" t="str">
        <f>IFERROR(__xludf.DUMMYFUNCTION("""COMPUTED_VALUE"""),"Público")</f>
        <v>Público</v>
      </c>
      <c r="J191" s="311" t="str">
        <f>IFERROR(__xludf.DUMMYFUNCTION("""COMPUTED_VALUE"""),"")</f>
        <v/>
      </c>
      <c r="K191" s="311" t="str">
        <f>IFERROR(__xludf.DUMMYFUNCTION("""COMPUTED_VALUE"""),"")</f>
        <v/>
      </c>
      <c r="L191" s="311" t="str">
        <f>IFERROR(__xludf.DUMMYFUNCTION("""COMPUTED_VALUE"""),"")</f>
        <v/>
      </c>
      <c r="M191" s="311" t="str">
        <f>IFERROR(__xludf.DUMMYFUNCTION("""COMPUTED_VALUE"""),"")</f>
        <v/>
      </c>
      <c r="N191" s="311">
        <f>IFERROR(__xludf.DUMMYFUNCTION("""COMPUTED_VALUE"""),0.0)</f>
        <v>0</v>
      </c>
      <c r="O191" s="311">
        <f>IFERROR(__xludf.DUMMYFUNCTION("""COMPUTED_VALUE"""),0.0)</f>
        <v>0</v>
      </c>
      <c r="P191" s="311">
        <f>IFERROR(__xludf.DUMMYFUNCTION("""COMPUTED_VALUE"""),0.0)</f>
        <v>0</v>
      </c>
      <c r="Q191" s="311">
        <f>IFERROR(__xludf.DUMMYFUNCTION("""COMPUTED_VALUE"""),0.0)</f>
        <v>0</v>
      </c>
      <c r="R191" s="311">
        <f>IFERROR(__xludf.DUMMYFUNCTION("""COMPUTED_VALUE"""),0.0)</f>
        <v>0</v>
      </c>
      <c r="S191" s="311">
        <f>IFERROR(__xludf.DUMMYFUNCTION("""COMPUTED_VALUE"""),0.0)</f>
        <v>0</v>
      </c>
      <c r="T191" s="311">
        <f>IFERROR(__xludf.DUMMYFUNCTION("""COMPUTED_VALUE"""),50.0)</f>
        <v>50</v>
      </c>
      <c r="U191" s="311">
        <f>IFERROR(__xludf.DUMMYFUNCTION("""COMPUTED_VALUE"""),0.0)</f>
        <v>0</v>
      </c>
      <c r="V191" s="311">
        <f>IFERROR(__xludf.DUMMYFUNCTION("""COMPUTED_VALUE"""),0.0)</f>
        <v>0</v>
      </c>
      <c r="W191" s="311">
        <f>IFERROR(__xludf.DUMMYFUNCTION("""COMPUTED_VALUE"""),0.0)</f>
        <v>0</v>
      </c>
      <c r="X191" s="311">
        <f>IFERROR(__xludf.DUMMYFUNCTION("""COMPUTED_VALUE"""),0.0)</f>
        <v>0</v>
      </c>
      <c r="Y191" s="311">
        <f>IFERROR(__xludf.DUMMYFUNCTION("""COMPUTED_VALUE"""),0.0)</f>
        <v>0</v>
      </c>
      <c r="Z191" s="311">
        <f>IFERROR(__xludf.DUMMYFUNCTION("""COMPUTED_VALUE"""),-50.0)</f>
        <v>-50</v>
      </c>
      <c r="AA191" s="311">
        <f>IFERROR(__xludf.DUMMYFUNCTION("""COMPUTED_VALUE"""),0.0)</f>
        <v>0</v>
      </c>
      <c r="AB191" s="311">
        <f>IFERROR(__xludf.DUMMYFUNCTION("""COMPUTED_VALUE"""),0.0)</f>
        <v>0</v>
      </c>
      <c r="AC191" s="311">
        <f>IFERROR(__xludf.DUMMYFUNCTION("""COMPUTED_VALUE"""),0.0)</f>
        <v>0</v>
      </c>
      <c r="AD191" s="311">
        <f>IFERROR(__xludf.DUMMYFUNCTION("""COMPUTED_VALUE"""),0.0)</f>
        <v>0</v>
      </c>
      <c r="AE191" s="311">
        <f>IFERROR(__xludf.DUMMYFUNCTION("""COMPUTED_VALUE"""),0.0)</f>
        <v>0</v>
      </c>
      <c r="AF191" s="311" t="str">
        <f>IFERROR(__xludf.DUMMYFUNCTION("""COMPUTED_VALUE"""),"")</f>
        <v/>
      </c>
      <c r="AG191" s="311">
        <f>IFERROR(__xludf.DUMMYFUNCTION("""COMPUTED_VALUE"""),0.0)</f>
        <v>0</v>
      </c>
      <c r="AH191" s="311">
        <f>IFERROR(__xludf.DUMMYFUNCTION("""COMPUTED_VALUE"""),0.0)</f>
        <v>0</v>
      </c>
      <c r="AI191" s="311">
        <f>IFERROR(__xludf.DUMMYFUNCTION("""COMPUTED_VALUE"""),0.0)</f>
        <v>0</v>
      </c>
      <c r="AJ191" s="311"/>
    </row>
    <row r="192" ht="22.5" customHeight="1">
      <c r="A192" s="310" t="str">
        <f>IFERROR(__xludf.DUMMYFUNCTION("""COMPUTED_VALUE"""),"")</f>
        <v/>
      </c>
      <c r="B192" s="310" t="str">
        <f>IFERROR(__xludf.DUMMYFUNCTION("""COMPUTED_VALUE"""),"")</f>
        <v/>
      </c>
      <c r="C192" s="310">
        <f>IFERROR(__xludf.DUMMYFUNCTION("""COMPUTED_VALUE"""),386.0)</f>
        <v>386</v>
      </c>
      <c r="D192" s="310" t="str">
        <f>IFERROR(__xludf.DUMMYFUNCTION("""COMPUTED_VALUE"""),"DASA - SÃO PAULO")</f>
        <v>DASA - SÃO PAULO</v>
      </c>
      <c r="E192" s="313" t="str">
        <f>IFERROR(__xludf.DUMMYFUNCTION("""COMPUTED_VALUE"""),"OUTROS ESTADOS")</f>
        <v>OUTROS ESTADOS</v>
      </c>
      <c r="F192" s="310" t="str">
        <f>IFERROR(__xludf.DUMMYFUNCTION("""COMPUTED_VALUE"""),"")</f>
        <v/>
      </c>
      <c r="G192" s="310" t="str">
        <f>IFERROR(__xludf.DUMMYFUNCTION("""COMPUTED_VALUE"""),"")</f>
        <v/>
      </c>
      <c r="H192" s="310" t="str">
        <f>IFERROR(__xludf.DUMMYFUNCTION("""COMPUTED_VALUE"""),"Outra Instituição")</f>
        <v>Outra Instituição</v>
      </c>
      <c r="I192" s="310" t="str">
        <f>IFERROR(__xludf.DUMMYFUNCTION("""COMPUTED_VALUE"""),"Público")</f>
        <v>Público</v>
      </c>
      <c r="J192" s="310" t="str">
        <f>IFERROR(__xludf.DUMMYFUNCTION("""COMPUTED_VALUE"""),"")</f>
        <v/>
      </c>
      <c r="K192" s="310" t="str">
        <f>IFERROR(__xludf.DUMMYFUNCTION("""COMPUTED_VALUE"""),"")</f>
        <v/>
      </c>
      <c r="L192" s="310" t="str">
        <f>IFERROR(__xludf.DUMMYFUNCTION("""COMPUTED_VALUE"""),"")</f>
        <v/>
      </c>
      <c r="M192" s="310" t="str">
        <f>IFERROR(__xludf.DUMMYFUNCTION("""COMPUTED_VALUE"""),"")</f>
        <v/>
      </c>
      <c r="N192" s="310">
        <f>IFERROR(__xludf.DUMMYFUNCTION("""COMPUTED_VALUE"""),0.0)</f>
        <v>0</v>
      </c>
      <c r="O192" s="310">
        <f>IFERROR(__xludf.DUMMYFUNCTION("""COMPUTED_VALUE"""),0.0)</f>
        <v>0</v>
      </c>
      <c r="P192" s="310">
        <f>IFERROR(__xludf.DUMMYFUNCTION("""COMPUTED_VALUE"""),0.0)</f>
        <v>0</v>
      </c>
      <c r="Q192" s="310">
        <f>IFERROR(__xludf.DUMMYFUNCTION("""COMPUTED_VALUE"""),0.0)</f>
        <v>0</v>
      </c>
      <c r="R192" s="310">
        <f>IFERROR(__xludf.DUMMYFUNCTION("""COMPUTED_VALUE"""),0.0)</f>
        <v>0</v>
      </c>
      <c r="S192" s="310">
        <f>IFERROR(__xludf.DUMMYFUNCTION("""COMPUTED_VALUE"""),0.0)</f>
        <v>0</v>
      </c>
      <c r="T192" s="310">
        <f>IFERROR(__xludf.DUMMYFUNCTION("""COMPUTED_VALUE"""),30.0)</f>
        <v>30</v>
      </c>
      <c r="U192" s="310">
        <f>IFERROR(__xludf.DUMMYFUNCTION("""COMPUTED_VALUE"""),0.0)</f>
        <v>0</v>
      </c>
      <c r="V192" s="310">
        <f>IFERROR(__xludf.DUMMYFUNCTION("""COMPUTED_VALUE"""),0.0)</f>
        <v>0</v>
      </c>
      <c r="W192" s="310">
        <f>IFERROR(__xludf.DUMMYFUNCTION("""COMPUTED_VALUE"""),0.0)</f>
        <v>0</v>
      </c>
      <c r="X192" s="310">
        <f>IFERROR(__xludf.DUMMYFUNCTION("""COMPUTED_VALUE"""),0.0)</f>
        <v>0</v>
      </c>
      <c r="Y192" s="310">
        <f>IFERROR(__xludf.DUMMYFUNCTION("""COMPUTED_VALUE"""),0.0)</f>
        <v>0</v>
      </c>
      <c r="Z192" s="310">
        <f>IFERROR(__xludf.DUMMYFUNCTION("""COMPUTED_VALUE"""),-30.0)</f>
        <v>-30</v>
      </c>
      <c r="AA192" s="310">
        <f>IFERROR(__xludf.DUMMYFUNCTION("""COMPUTED_VALUE"""),0.0)</f>
        <v>0</v>
      </c>
      <c r="AB192" s="310">
        <f>IFERROR(__xludf.DUMMYFUNCTION("""COMPUTED_VALUE"""),0.0)</f>
        <v>0</v>
      </c>
      <c r="AC192" s="310">
        <f>IFERROR(__xludf.DUMMYFUNCTION("""COMPUTED_VALUE"""),0.0)</f>
        <v>0</v>
      </c>
      <c r="AD192" s="310">
        <f>IFERROR(__xludf.DUMMYFUNCTION("""COMPUTED_VALUE"""),0.0)</f>
        <v>0</v>
      </c>
      <c r="AE192" s="310">
        <f>IFERROR(__xludf.DUMMYFUNCTION("""COMPUTED_VALUE"""),0.0)</f>
        <v>0</v>
      </c>
      <c r="AF192" s="310" t="str">
        <f>IFERROR(__xludf.DUMMYFUNCTION("""COMPUTED_VALUE"""),"")</f>
        <v/>
      </c>
      <c r="AG192" s="310">
        <f>IFERROR(__xludf.DUMMYFUNCTION("""COMPUTED_VALUE"""),0.0)</f>
        <v>0</v>
      </c>
      <c r="AH192" s="310">
        <f>IFERROR(__xludf.DUMMYFUNCTION("""COMPUTED_VALUE"""),0.0)</f>
        <v>0</v>
      </c>
      <c r="AI192" s="310">
        <f>IFERROR(__xludf.DUMMYFUNCTION("""COMPUTED_VALUE"""),0.0)</f>
        <v>0</v>
      </c>
      <c r="AJ192" s="310"/>
    </row>
    <row r="193" ht="22.5" customHeight="1">
      <c r="A193" s="311" t="str">
        <f>IFERROR(__xludf.DUMMYFUNCTION("""COMPUTED_VALUE"""),"")</f>
        <v/>
      </c>
      <c r="B193" s="311" t="str">
        <f>IFERROR(__xludf.DUMMYFUNCTION("""COMPUTED_VALUE"""),"")</f>
        <v/>
      </c>
      <c r="C193" s="311">
        <f>IFERROR(__xludf.DUMMYFUNCTION("""COMPUTED_VALUE"""),387.0)</f>
        <v>387</v>
      </c>
      <c r="D193" s="311" t="str">
        <f>IFERROR(__xludf.DUMMYFUNCTION("""COMPUTED_VALUE"""),"Central da Polícia Civil")</f>
        <v>Central da Polícia Civil</v>
      </c>
      <c r="E193" s="315" t="str">
        <f>IFERROR(__xludf.DUMMYFUNCTION("""COMPUTED_VALUE"""),"CENTRO")</f>
        <v>CENTRO</v>
      </c>
      <c r="F193" s="311" t="str">
        <f>IFERROR(__xludf.DUMMYFUNCTION("""COMPUTED_VALUE"""),"Rio de Janeiro")</f>
        <v>Rio de Janeiro</v>
      </c>
      <c r="G193" s="311" t="str">
        <f>IFERROR(__xludf.DUMMYFUNCTION("""COMPUTED_VALUE"""),"Cidade Nova")</f>
        <v>Cidade Nova</v>
      </c>
      <c r="H193" s="311" t="str">
        <f>IFERROR(__xludf.DUMMYFUNCTION("""COMPUTED_VALUE"""),"Outra Instituição")</f>
        <v>Outra Instituição</v>
      </c>
      <c r="I193" s="311" t="str">
        <f>IFERROR(__xludf.DUMMYFUNCTION("""COMPUTED_VALUE"""),"Público")</f>
        <v>Público</v>
      </c>
      <c r="J193" s="311" t="str">
        <f>IFERROR(__xludf.DUMMYFUNCTION("""COMPUTED_VALUE"""),"")</f>
        <v/>
      </c>
      <c r="K193" s="311" t="str">
        <f>IFERROR(__xludf.DUMMYFUNCTION("""COMPUTED_VALUE"""),"")</f>
        <v/>
      </c>
      <c r="L193" s="311" t="str">
        <f>IFERROR(__xludf.DUMMYFUNCTION("""COMPUTED_VALUE"""),"")</f>
        <v/>
      </c>
      <c r="M193" s="311" t="str">
        <f>IFERROR(__xludf.DUMMYFUNCTION("""COMPUTED_VALUE"""),"")</f>
        <v/>
      </c>
      <c r="N193" s="311">
        <f>IFERROR(__xludf.DUMMYFUNCTION("""COMPUTED_VALUE"""),0.0)</f>
        <v>0</v>
      </c>
      <c r="O193" s="311">
        <f>IFERROR(__xludf.DUMMYFUNCTION("""COMPUTED_VALUE"""),0.0)</f>
        <v>0</v>
      </c>
      <c r="P193" s="311">
        <f>IFERROR(__xludf.DUMMYFUNCTION("""COMPUTED_VALUE"""),0.0)</f>
        <v>0</v>
      </c>
      <c r="Q193" s="311">
        <f>IFERROR(__xludf.DUMMYFUNCTION("""COMPUTED_VALUE"""),0.0)</f>
        <v>0</v>
      </c>
      <c r="R193" s="311">
        <f>IFERROR(__xludf.DUMMYFUNCTION("""COMPUTED_VALUE"""),0.0)</f>
        <v>0</v>
      </c>
      <c r="S193" s="311">
        <f>IFERROR(__xludf.DUMMYFUNCTION("""COMPUTED_VALUE"""),0.0)</f>
        <v>0</v>
      </c>
      <c r="T193" s="311">
        <f>IFERROR(__xludf.DUMMYFUNCTION("""COMPUTED_VALUE"""),200.0)</f>
        <v>200</v>
      </c>
      <c r="U193" s="311">
        <f>IFERROR(__xludf.DUMMYFUNCTION("""COMPUTED_VALUE"""),0.0)</f>
        <v>0</v>
      </c>
      <c r="V193" s="311">
        <f>IFERROR(__xludf.DUMMYFUNCTION("""COMPUTED_VALUE"""),0.0)</f>
        <v>0</v>
      </c>
      <c r="W193" s="311">
        <f>IFERROR(__xludf.DUMMYFUNCTION("""COMPUTED_VALUE"""),0.0)</f>
        <v>0</v>
      </c>
      <c r="X193" s="311">
        <f>IFERROR(__xludf.DUMMYFUNCTION("""COMPUTED_VALUE"""),0.0)</f>
        <v>0</v>
      </c>
      <c r="Y193" s="311">
        <f>IFERROR(__xludf.DUMMYFUNCTION("""COMPUTED_VALUE"""),0.0)</f>
        <v>0</v>
      </c>
      <c r="Z193" s="311">
        <f>IFERROR(__xludf.DUMMYFUNCTION("""COMPUTED_VALUE"""),-200.0)</f>
        <v>-200</v>
      </c>
      <c r="AA193" s="311">
        <f>IFERROR(__xludf.DUMMYFUNCTION("""COMPUTED_VALUE"""),0.0)</f>
        <v>0</v>
      </c>
      <c r="AB193" s="311">
        <f>IFERROR(__xludf.DUMMYFUNCTION("""COMPUTED_VALUE"""),0.0)</f>
        <v>0</v>
      </c>
      <c r="AC193" s="311">
        <f>IFERROR(__xludf.DUMMYFUNCTION("""COMPUTED_VALUE"""),0.0)</f>
        <v>0</v>
      </c>
      <c r="AD193" s="311">
        <f>IFERROR(__xludf.DUMMYFUNCTION("""COMPUTED_VALUE"""),0.0)</f>
        <v>0</v>
      </c>
      <c r="AE193" s="311">
        <f>IFERROR(__xludf.DUMMYFUNCTION("""COMPUTED_VALUE"""),0.0)</f>
        <v>0</v>
      </c>
      <c r="AF193" s="311" t="str">
        <f>IFERROR(__xludf.DUMMYFUNCTION("""COMPUTED_VALUE"""),"")</f>
        <v/>
      </c>
      <c r="AG193" s="311">
        <f>IFERROR(__xludf.DUMMYFUNCTION("""COMPUTED_VALUE"""),0.0)</f>
        <v>0</v>
      </c>
      <c r="AH193" s="311">
        <f>IFERROR(__xludf.DUMMYFUNCTION("""COMPUTED_VALUE"""),0.0)</f>
        <v>0</v>
      </c>
      <c r="AI193" s="311">
        <f>IFERROR(__xludf.DUMMYFUNCTION("""COMPUTED_VALUE"""),0.0)</f>
        <v>0</v>
      </c>
      <c r="AJ193" s="311"/>
    </row>
    <row r="194" ht="22.5" customHeight="1">
      <c r="A194" s="310" t="str">
        <f>IFERROR(__xludf.DUMMYFUNCTION("""COMPUTED_VALUE"""),"")</f>
        <v/>
      </c>
      <c r="B194" s="310" t="str">
        <f>IFERROR(__xludf.DUMMYFUNCTION("""COMPUTED_VALUE"""),"")</f>
        <v/>
      </c>
      <c r="C194" s="310">
        <f>IFERROR(__xludf.DUMMYFUNCTION("""COMPUTED_VALUE"""),388.0)</f>
        <v>388</v>
      </c>
      <c r="D194" s="310" t="str">
        <f>IFERROR(__xludf.DUMMYFUNCTION("""COMPUTED_VALUE"""),"(DIRECIONAMENO DA PUC )")</f>
        <v>(DIRECIONAMENO DA PUC )</v>
      </c>
      <c r="E194" s="313" t="str">
        <f>IFERROR(__xludf.DUMMYFUNCTION("""COMPUTED_VALUE"""),"ZONA SUL")</f>
        <v>ZONA SUL</v>
      </c>
      <c r="F194" s="310" t="str">
        <f>IFERROR(__xludf.DUMMYFUNCTION("""COMPUTED_VALUE"""),"Rio de Janeiro")</f>
        <v>Rio de Janeiro</v>
      </c>
      <c r="G194" s="310" t="str">
        <f>IFERROR(__xludf.DUMMYFUNCTION("""COMPUTED_VALUE"""),"Gávea")</f>
        <v>Gávea</v>
      </c>
      <c r="H194" s="310" t="str">
        <f>IFERROR(__xludf.DUMMYFUNCTION("""COMPUTED_VALUE"""),"Outra Instituição")</f>
        <v>Outra Instituição</v>
      </c>
      <c r="I194" s="310" t="str">
        <f>IFERROR(__xludf.DUMMYFUNCTION("""COMPUTED_VALUE"""),"Privado")</f>
        <v>Privado</v>
      </c>
      <c r="J194" s="310" t="str">
        <f>IFERROR(__xludf.DUMMYFUNCTION("""COMPUTED_VALUE"""),"")</f>
        <v/>
      </c>
      <c r="K194" s="310" t="str">
        <f>IFERROR(__xludf.DUMMYFUNCTION("""COMPUTED_VALUE"""),"")</f>
        <v/>
      </c>
      <c r="L194" s="310" t="str">
        <f>IFERROR(__xludf.DUMMYFUNCTION("""COMPUTED_VALUE"""),"")</f>
        <v/>
      </c>
      <c r="M194" s="310" t="str">
        <f>IFERROR(__xludf.DUMMYFUNCTION("""COMPUTED_VALUE"""),"")</f>
        <v/>
      </c>
      <c r="N194" s="310">
        <f>IFERROR(__xludf.DUMMYFUNCTION("""COMPUTED_VALUE"""),0.0)</f>
        <v>0</v>
      </c>
      <c r="O194" s="310">
        <f>IFERROR(__xludf.DUMMYFUNCTION("""COMPUTED_VALUE"""),0.0)</f>
        <v>0</v>
      </c>
      <c r="P194" s="310">
        <f>IFERROR(__xludf.DUMMYFUNCTION("""COMPUTED_VALUE"""),0.0)</f>
        <v>0</v>
      </c>
      <c r="Q194" s="310">
        <f>IFERROR(__xludf.DUMMYFUNCTION("""COMPUTED_VALUE"""),0.0)</f>
        <v>0</v>
      </c>
      <c r="R194" s="310">
        <f>IFERROR(__xludf.DUMMYFUNCTION("""COMPUTED_VALUE"""),0.0)</f>
        <v>0</v>
      </c>
      <c r="S194" s="310">
        <f>IFERROR(__xludf.DUMMYFUNCTION("""COMPUTED_VALUE"""),0.0)</f>
        <v>0</v>
      </c>
      <c r="T194" s="310">
        <f>IFERROR(__xludf.DUMMYFUNCTION("""COMPUTED_VALUE"""),50.0)</f>
        <v>50</v>
      </c>
      <c r="U194" s="310">
        <f>IFERROR(__xludf.DUMMYFUNCTION("""COMPUTED_VALUE"""),0.0)</f>
        <v>0</v>
      </c>
      <c r="V194" s="310">
        <f>IFERROR(__xludf.DUMMYFUNCTION("""COMPUTED_VALUE"""),0.0)</f>
        <v>0</v>
      </c>
      <c r="W194" s="310">
        <f>IFERROR(__xludf.DUMMYFUNCTION("""COMPUTED_VALUE"""),0.0)</f>
        <v>0</v>
      </c>
      <c r="X194" s="310">
        <f>IFERROR(__xludf.DUMMYFUNCTION("""COMPUTED_VALUE"""),0.0)</f>
        <v>0</v>
      </c>
      <c r="Y194" s="310">
        <f>IFERROR(__xludf.DUMMYFUNCTION("""COMPUTED_VALUE"""),0.0)</f>
        <v>0</v>
      </c>
      <c r="Z194" s="310">
        <f>IFERROR(__xludf.DUMMYFUNCTION("""COMPUTED_VALUE"""),-50.0)</f>
        <v>-50</v>
      </c>
      <c r="AA194" s="310">
        <f>IFERROR(__xludf.DUMMYFUNCTION("""COMPUTED_VALUE"""),0.0)</f>
        <v>0</v>
      </c>
      <c r="AB194" s="310">
        <f>IFERROR(__xludf.DUMMYFUNCTION("""COMPUTED_VALUE"""),0.0)</f>
        <v>0</v>
      </c>
      <c r="AC194" s="310">
        <f>IFERROR(__xludf.DUMMYFUNCTION("""COMPUTED_VALUE"""),0.0)</f>
        <v>0</v>
      </c>
      <c r="AD194" s="310">
        <f>IFERROR(__xludf.DUMMYFUNCTION("""COMPUTED_VALUE"""),0.0)</f>
        <v>0</v>
      </c>
      <c r="AE194" s="310">
        <f>IFERROR(__xludf.DUMMYFUNCTION("""COMPUTED_VALUE"""),0.0)</f>
        <v>0</v>
      </c>
      <c r="AF194" s="310" t="str">
        <f>IFERROR(__xludf.DUMMYFUNCTION("""COMPUTED_VALUE"""),"")</f>
        <v/>
      </c>
      <c r="AG194" s="310">
        <f>IFERROR(__xludf.DUMMYFUNCTION("""COMPUTED_VALUE"""),0.0)</f>
        <v>0</v>
      </c>
      <c r="AH194" s="310">
        <f>IFERROR(__xludf.DUMMYFUNCTION("""COMPUTED_VALUE"""),0.0)</f>
        <v>0</v>
      </c>
      <c r="AI194" s="310">
        <f>IFERROR(__xludf.DUMMYFUNCTION("""COMPUTED_VALUE"""),0.0)</f>
        <v>0</v>
      </c>
      <c r="AJ194" s="310"/>
    </row>
    <row r="195" ht="22.5" customHeight="1">
      <c r="A195" s="311" t="str">
        <f>IFERROR(__xludf.DUMMYFUNCTION("""COMPUTED_VALUE"""),"")</f>
        <v/>
      </c>
      <c r="B195" s="311" t="str">
        <f>IFERROR(__xludf.DUMMYFUNCTION("""COMPUTED_VALUE"""),"")</f>
        <v/>
      </c>
      <c r="C195" s="311">
        <f>IFERROR(__xludf.DUMMYFUNCTION("""COMPUTED_VALUE"""),389.0)</f>
        <v>389</v>
      </c>
      <c r="D195" s="311" t="str">
        <f>IFERROR(__xludf.DUMMYFUNCTION("""COMPUTED_VALUE"""),"Frente CDD")</f>
        <v>Frente CDD</v>
      </c>
      <c r="E195" s="315" t="str">
        <f>IFERROR(__xludf.DUMMYFUNCTION("""COMPUTED_VALUE"""),"ZONA OESTE")</f>
        <v>ZONA OESTE</v>
      </c>
      <c r="F195" s="311" t="str">
        <f>IFERROR(__xludf.DUMMYFUNCTION("""COMPUTED_VALUE"""),"Rio de Janeiro")</f>
        <v>Rio de Janeiro</v>
      </c>
      <c r="G195" s="311" t="str">
        <f>IFERROR(__xludf.DUMMYFUNCTION("""COMPUTED_VALUE"""),"Cidade de Deus")</f>
        <v>Cidade de Deus</v>
      </c>
      <c r="H195" s="311" t="str">
        <f>IFERROR(__xludf.DUMMYFUNCTION("""COMPUTED_VALUE"""),"Outra Instituição")</f>
        <v>Outra Instituição</v>
      </c>
      <c r="I195" s="311" t="str">
        <f>IFERROR(__xludf.DUMMYFUNCTION("""COMPUTED_VALUE"""),"Público")</f>
        <v>Público</v>
      </c>
      <c r="J195" s="311" t="str">
        <f>IFERROR(__xludf.DUMMYFUNCTION("""COMPUTED_VALUE"""),"")</f>
        <v/>
      </c>
      <c r="K195" s="311" t="str">
        <f>IFERROR(__xludf.DUMMYFUNCTION("""COMPUTED_VALUE"""),"")</f>
        <v/>
      </c>
      <c r="L195" s="311" t="str">
        <f>IFERROR(__xludf.DUMMYFUNCTION("""COMPUTED_VALUE"""),"")</f>
        <v/>
      </c>
      <c r="M195" s="311" t="str">
        <f>IFERROR(__xludf.DUMMYFUNCTION("""COMPUTED_VALUE"""),"")</f>
        <v/>
      </c>
      <c r="N195" s="311">
        <f>IFERROR(__xludf.DUMMYFUNCTION("""COMPUTED_VALUE"""),0.0)</f>
        <v>0</v>
      </c>
      <c r="O195" s="311">
        <f>IFERROR(__xludf.DUMMYFUNCTION("""COMPUTED_VALUE"""),0.0)</f>
        <v>0</v>
      </c>
      <c r="P195" s="311">
        <f>IFERROR(__xludf.DUMMYFUNCTION("""COMPUTED_VALUE"""),0.0)</f>
        <v>0</v>
      </c>
      <c r="Q195" s="311">
        <f>IFERROR(__xludf.DUMMYFUNCTION("""COMPUTED_VALUE"""),0.0)</f>
        <v>0</v>
      </c>
      <c r="R195" s="311">
        <f>IFERROR(__xludf.DUMMYFUNCTION("""COMPUTED_VALUE"""),0.0)</f>
        <v>0</v>
      </c>
      <c r="S195" s="311">
        <f>IFERROR(__xludf.DUMMYFUNCTION("""COMPUTED_VALUE"""),0.0)</f>
        <v>0</v>
      </c>
      <c r="T195" s="311">
        <f>IFERROR(__xludf.DUMMYFUNCTION("""COMPUTED_VALUE"""),30.0)</f>
        <v>30</v>
      </c>
      <c r="U195" s="311">
        <f>IFERROR(__xludf.DUMMYFUNCTION("""COMPUTED_VALUE"""),0.0)</f>
        <v>0</v>
      </c>
      <c r="V195" s="311">
        <f>IFERROR(__xludf.DUMMYFUNCTION("""COMPUTED_VALUE"""),0.0)</f>
        <v>0</v>
      </c>
      <c r="W195" s="311">
        <f>IFERROR(__xludf.DUMMYFUNCTION("""COMPUTED_VALUE"""),0.0)</f>
        <v>0</v>
      </c>
      <c r="X195" s="311">
        <f>IFERROR(__xludf.DUMMYFUNCTION("""COMPUTED_VALUE"""),0.0)</f>
        <v>0</v>
      </c>
      <c r="Y195" s="311">
        <f>IFERROR(__xludf.DUMMYFUNCTION("""COMPUTED_VALUE"""),0.0)</f>
        <v>0</v>
      </c>
      <c r="Z195" s="311">
        <f>IFERROR(__xludf.DUMMYFUNCTION("""COMPUTED_VALUE"""),-30.0)</f>
        <v>-30</v>
      </c>
      <c r="AA195" s="311">
        <f>IFERROR(__xludf.DUMMYFUNCTION("""COMPUTED_VALUE"""),0.0)</f>
        <v>0</v>
      </c>
      <c r="AB195" s="311">
        <f>IFERROR(__xludf.DUMMYFUNCTION("""COMPUTED_VALUE"""),0.0)</f>
        <v>0</v>
      </c>
      <c r="AC195" s="311">
        <f>IFERROR(__xludf.DUMMYFUNCTION("""COMPUTED_VALUE"""),0.0)</f>
        <v>0</v>
      </c>
      <c r="AD195" s="311">
        <f>IFERROR(__xludf.DUMMYFUNCTION("""COMPUTED_VALUE"""),0.0)</f>
        <v>0</v>
      </c>
      <c r="AE195" s="311">
        <f>IFERROR(__xludf.DUMMYFUNCTION("""COMPUTED_VALUE"""),0.0)</f>
        <v>0</v>
      </c>
      <c r="AF195" s="311" t="str">
        <f>IFERROR(__xludf.DUMMYFUNCTION("""COMPUTED_VALUE"""),"")</f>
        <v/>
      </c>
      <c r="AG195" s="311">
        <f>IFERROR(__xludf.DUMMYFUNCTION("""COMPUTED_VALUE"""),0.0)</f>
        <v>0</v>
      </c>
      <c r="AH195" s="311">
        <f>IFERROR(__xludf.DUMMYFUNCTION("""COMPUTED_VALUE"""),0.0)</f>
        <v>0</v>
      </c>
      <c r="AI195" s="311">
        <f>IFERROR(__xludf.DUMMYFUNCTION("""COMPUTED_VALUE"""),0.0)</f>
        <v>0</v>
      </c>
      <c r="AJ195" s="311"/>
    </row>
    <row r="196" ht="22.5" customHeight="1">
      <c r="A196" s="310" t="str">
        <f>IFERROR(__xludf.DUMMYFUNCTION("""COMPUTED_VALUE"""),"")</f>
        <v/>
      </c>
      <c r="B196" s="310" t="str">
        <f>IFERROR(__xludf.DUMMYFUNCTION("""COMPUTED_VALUE"""),"")</f>
        <v/>
      </c>
      <c r="C196" s="310">
        <f>IFERROR(__xludf.DUMMYFUNCTION("""COMPUTED_VALUE"""),390.0)</f>
        <v>390</v>
      </c>
      <c r="D196" s="310" t="str">
        <f>IFERROR(__xludf.DUMMYFUNCTION("""COMPUTED_VALUE"""),"CMS Maria Cristina Roma")</f>
        <v>CMS Maria Cristina Roma</v>
      </c>
      <c r="E196" s="313" t="str">
        <f>IFERROR(__xludf.DUMMYFUNCTION("""COMPUTED_VALUE"""),"ZONA NORTE")</f>
        <v>ZONA NORTE</v>
      </c>
      <c r="F196" s="310" t="str">
        <f>IFERROR(__xludf.DUMMYFUNCTION("""COMPUTED_VALUE"""),"Rio de Janeiro")</f>
        <v>Rio de Janeiro</v>
      </c>
      <c r="G196" s="310" t="str">
        <f>IFERROR(__xludf.DUMMYFUNCTION("""COMPUTED_VALUE"""),"Ramos")</f>
        <v>Ramos</v>
      </c>
      <c r="H196" s="310" t="str">
        <f>IFERROR(__xludf.DUMMYFUNCTION("""COMPUTED_VALUE"""),"Unidade básica de saúde - BAIXA COMPLEXIDADE")</f>
        <v>Unidade básica de saúde - BAIXA COMPLEXIDADE</v>
      </c>
      <c r="I196" s="310" t="str">
        <f>IFERROR(__xludf.DUMMYFUNCTION("""COMPUTED_VALUE"""),"Público")</f>
        <v>Público</v>
      </c>
      <c r="J196" s="310" t="str">
        <f>IFERROR(__xludf.DUMMYFUNCTION("""COMPUTED_VALUE"""),"")</f>
        <v/>
      </c>
      <c r="K196" s="310" t="str">
        <f>IFERROR(__xludf.DUMMYFUNCTION("""COMPUTED_VALUE"""),"")</f>
        <v/>
      </c>
      <c r="L196" s="310" t="str">
        <f>IFERROR(__xludf.DUMMYFUNCTION("""COMPUTED_VALUE"""),"")</f>
        <v/>
      </c>
      <c r="M196" s="310" t="str">
        <f>IFERROR(__xludf.DUMMYFUNCTION("""COMPUTED_VALUE"""),"")</f>
        <v/>
      </c>
      <c r="N196" s="310">
        <f>IFERROR(__xludf.DUMMYFUNCTION("""COMPUTED_VALUE"""),0.0)</f>
        <v>0</v>
      </c>
      <c r="O196" s="310">
        <f>IFERROR(__xludf.DUMMYFUNCTION("""COMPUTED_VALUE"""),0.0)</f>
        <v>0</v>
      </c>
      <c r="P196" s="310">
        <f>IFERROR(__xludf.DUMMYFUNCTION("""COMPUTED_VALUE"""),0.0)</f>
        <v>0</v>
      </c>
      <c r="Q196" s="310">
        <f>IFERROR(__xludf.DUMMYFUNCTION("""COMPUTED_VALUE"""),0.0)</f>
        <v>0</v>
      </c>
      <c r="R196" s="310">
        <f>IFERROR(__xludf.DUMMYFUNCTION("""COMPUTED_VALUE"""),0.0)</f>
        <v>0</v>
      </c>
      <c r="S196" s="310">
        <f>IFERROR(__xludf.DUMMYFUNCTION("""COMPUTED_VALUE"""),0.0)</f>
        <v>0</v>
      </c>
      <c r="T196" s="310">
        <f>IFERROR(__xludf.DUMMYFUNCTION("""COMPUTED_VALUE"""),30.0)</f>
        <v>30</v>
      </c>
      <c r="U196" s="310">
        <f>IFERROR(__xludf.DUMMYFUNCTION("""COMPUTED_VALUE"""),0.0)</f>
        <v>0</v>
      </c>
      <c r="V196" s="310">
        <f>IFERROR(__xludf.DUMMYFUNCTION("""COMPUTED_VALUE"""),0.0)</f>
        <v>0</v>
      </c>
      <c r="W196" s="310">
        <f>IFERROR(__xludf.DUMMYFUNCTION("""COMPUTED_VALUE"""),0.0)</f>
        <v>0</v>
      </c>
      <c r="X196" s="310">
        <f>IFERROR(__xludf.DUMMYFUNCTION("""COMPUTED_VALUE"""),0.0)</f>
        <v>0</v>
      </c>
      <c r="Y196" s="310">
        <f>IFERROR(__xludf.DUMMYFUNCTION("""COMPUTED_VALUE"""),0.0)</f>
        <v>0</v>
      </c>
      <c r="Z196" s="310">
        <f>IFERROR(__xludf.DUMMYFUNCTION("""COMPUTED_VALUE"""),-30.0)</f>
        <v>-30</v>
      </c>
      <c r="AA196" s="310">
        <f>IFERROR(__xludf.DUMMYFUNCTION("""COMPUTED_VALUE"""),0.0)</f>
        <v>0</v>
      </c>
      <c r="AB196" s="310">
        <f>IFERROR(__xludf.DUMMYFUNCTION("""COMPUTED_VALUE"""),0.0)</f>
        <v>0</v>
      </c>
      <c r="AC196" s="310">
        <f>IFERROR(__xludf.DUMMYFUNCTION("""COMPUTED_VALUE"""),0.0)</f>
        <v>0</v>
      </c>
      <c r="AD196" s="310">
        <f>IFERROR(__xludf.DUMMYFUNCTION("""COMPUTED_VALUE"""),0.0)</f>
        <v>0</v>
      </c>
      <c r="AE196" s="310">
        <f>IFERROR(__xludf.DUMMYFUNCTION("""COMPUTED_VALUE"""),0.0)</f>
        <v>0</v>
      </c>
      <c r="AF196" s="310" t="str">
        <f>IFERROR(__xludf.DUMMYFUNCTION("""COMPUTED_VALUE"""),"")</f>
        <v/>
      </c>
      <c r="AG196" s="310">
        <f>IFERROR(__xludf.DUMMYFUNCTION("""COMPUTED_VALUE"""),0.0)</f>
        <v>0</v>
      </c>
      <c r="AH196" s="310">
        <f>IFERROR(__xludf.DUMMYFUNCTION("""COMPUTED_VALUE"""),0.0)</f>
        <v>0</v>
      </c>
      <c r="AI196" s="310">
        <f>IFERROR(__xludf.DUMMYFUNCTION("""COMPUTED_VALUE"""),0.0)</f>
        <v>0</v>
      </c>
      <c r="AJ196" s="310"/>
    </row>
    <row r="197" ht="22.5" customHeight="1">
      <c r="A197" s="311" t="str">
        <f>IFERROR(__xludf.DUMMYFUNCTION("""COMPUTED_VALUE"""),"")</f>
        <v/>
      </c>
      <c r="B197" s="311" t="str">
        <f>IFERROR(__xludf.DUMMYFUNCTION("""COMPUTED_VALUE"""),"")</f>
        <v/>
      </c>
      <c r="C197" s="311">
        <f>IFERROR(__xludf.DUMMYFUNCTION("""COMPUTED_VALUE"""),391.0)</f>
        <v>391</v>
      </c>
      <c r="D197" s="311" t="str">
        <f>IFERROR(__xludf.DUMMYFUNCTION("""COMPUTED_VALUE"""),"UPA da João XXII")</f>
        <v>UPA da João XXII</v>
      </c>
      <c r="E197" s="315" t="str">
        <f>IFERROR(__xludf.DUMMYFUNCTION("""COMPUTED_VALUE"""),"ZONA OESTE")</f>
        <v>ZONA OESTE</v>
      </c>
      <c r="F197" s="311" t="str">
        <f>IFERROR(__xludf.DUMMYFUNCTION("""COMPUTED_VALUE"""),"Rio de Janeiro")</f>
        <v>Rio de Janeiro</v>
      </c>
      <c r="G197" s="311" t="str">
        <f>IFERROR(__xludf.DUMMYFUNCTION("""COMPUTED_VALUE"""),"Santa Cruz")</f>
        <v>Santa Cruz</v>
      </c>
      <c r="H197" s="311" t="str">
        <f>IFERROR(__xludf.DUMMYFUNCTION("""COMPUTED_VALUE"""),"Grande emergência - MÉDIA COMPLEXIDADE
")</f>
        <v>Grande emergência - MÉDIA COMPLEXIDADE
</v>
      </c>
      <c r="I197" s="311" t="str">
        <f>IFERROR(__xludf.DUMMYFUNCTION("""COMPUTED_VALUE"""),"Público")</f>
        <v>Público</v>
      </c>
      <c r="J197" s="311" t="str">
        <f>IFERROR(__xludf.DUMMYFUNCTION("""COMPUTED_VALUE"""),"")</f>
        <v/>
      </c>
      <c r="K197" s="311" t="str">
        <f>IFERROR(__xludf.DUMMYFUNCTION("""COMPUTED_VALUE"""),"")</f>
        <v/>
      </c>
      <c r="L197" s="311" t="str">
        <f>IFERROR(__xludf.DUMMYFUNCTION("""COMPUTED_VALUE"""),"")</f>
        <v/>
      </c>
      <c r="M197" s="311" t="str">
        <f>IFERROR(__xludf.DUMMYFUNCTION("""COMPUTED_VALUE"""),"")</f>
        <v/>
      </c>
      <c r="N197" s="311">
        <f>IFERROR(__xludf.DUMMYFUNCTION("""COMPUTED_VALUE"""),0.0)</f>
        <v>0</v>
      </c>
      <c r="O197" s="311">
        <f>IFERROR(__xludf.DUMMYFUNCTION("""COMPUTED_VALUE"""),0.0)</f>
        <v>0</v>
      </c>
      <c r="P197" s="311">
        <f>IFERROR(__xludf.DUMMYFUNCTION("""COMPUTED_VALUE"""),0.0)</f>
        <v>0</v>
      </c>
      <c r="Q197" s="311">
        <f>IFERROR(__xludf.DUMMYFUNCTION("""COMPUTED_VALUE"""),0.0)</f>
        <v>0</v>
      </c>
      <c r="R197" s="311">
        <f>IFERROR(__xludf.DUMMYFUNCTION("""COMPUTED_VALUE"""),0.0)</f>
        <v>0</v>
      </c>
      <c r="S197" s="311">
        <f>IFERROR(__xludf.DUMMYFUNCTION("""COMPUTED_VALUE"""),0.0)</f>
        <v>0</v>
      </c>
      <c r="T197" s="311">
        <f>IFERROR(__xludf.DUMMYFUNCTION("""COMPUTED_VALUE"""),90.0)</f>
        <v>90</v>
      </c>
      <c r="U197" s="311">
        <f>IFERROR(__xludf.DUMMYFUNCTION("""COMPUTED_VALUE"""),0.0)</f>
        <v>0</v>
      </c>
      <c r="V197" s="311">
        <f>IFERROR(__xludf.DUMMYFUNCTION("""COMPUTED_VALUE"""),0.0)</f>
        <v>0</v>
      </c>
      <c r="W197" s="311">
        <f>IFERROR(__xludf.DUMMYFUNCTION("""COMPUTED_VALUE"""),0.0)</f>
        <v>0</v>
      </c>
      <c r="X197" s="311">
        <f>IFERROR(__xludf.DUMMYFUNCTION("""COMPUTED_VALUE"""),0.0)</f>
        <v>0</v>
      </c>
      <c r="Y197" s="311">
        <f>IFERROR(__xludf.DUMMYFUNCTION("""COMPUTED_VALUE"""),0.0)</f>
        <v>0</v>
      </c>
      <c r="Z197" s="311">
        <f>IFERROR(__xludf.DUMMYFUNCTION("""COMPUTED_VALUE"""),-90.0)</f>
        <v>-90</v>
      </c>
      <c r="AA197" s="311">
        <f>IFERROR(__xludf.DUMMYFUNCTION("""COMPUTED_VALUE"""),0.0)</f>
        <v>0</v>
      </c>
      <c r="AB197" s="311">
        <f>IFERROR(__xludf.DUMMYFUNCTION("""COMPUTED_VALUE"""),0.0)</f>
        <v>0</v>
      </c>
      <c r="AC197" s="311">
        <f>IFERROR(__xludf.DUMMYFUNCTION("""COMPUTED_VALUE"""),0.0)</f>
        <v>0</v>
      </c>
      <c r="AD197" s="311">
        <f>IFERROR(__xludf.DUMMYFUNCTION("""COMPUTED_VALUE"""),0.0)</f>
        <v>0</v>
      </c>
      <c r="AE197" s="311">
        <f>IFERROR(__xludf.DUMMYFUNCTION("""COMPUTED_VALUE"""),0.0)</f>
        <v>0</v>
      </c>
      <c r="AF197" s="311" t="str">
        <f>IFERROR(__xludf.DUMMYFUNCTION("""COMPUTED_VALUE"""),"")</f>
        <v/>
      </c>
      <c r="AG197" s="311">
        <f>IFERROR(__xludf.DUMMYFUNCTION("""COMPUTED_VALUE"""),0.0)</f>
        <v>0</v>
      </c>
      <c r="AH197" s="311">
        <f>IFERROR(__xludf.DUMMYFUNCTION("""COMPUTED_VALUE"""),0.0)</f>
        <v>0</v>
      </c>
      <c r="AI197" s="311">
        <f>IFERROR(__xludf.DUMMYFUNCTION("""COMPUTED_VALUE"""),0.0)</f>
        <v>0</v>
      </c>
      <c r="AJ197" s="311"/>
    </row>
    <row r="198" ht="22.5" customHeight="1">
      <c r="A198" s="310" t="str">
        <f>IFERROR(__xludf.DUMMYFUNCTION("""COMPUTED_VALUE"""),"")</f>
        <v/>
      </c>
      <c r="B198" s="310" t="str">
        <f>IFERROR(__xludf.DUMMYFUNCTION("""COMPUTED_VALUE"""),"")</f>
        <v/>
      </c>
      <c r="C198" s="310">
        <f>IFERROR(__xludf.DUMMYFUNCTION("""COMPUTED_VALUE"""),392.0)</f>
        <v>392</v>
      </c>
      <c r="D198" s="310" t="str">
        <f>IFERROR(__xludf.DUMMYFUNCTION("""COMPUTED_VALUE"""),"Hospital da Força Aérea do Galeão")</f>
        <v>Hospital da Força Aérea do Galeão</v>
      </c>
      <c r="E198" s="313" t="str">
        <f>IFERROR(__xludf.DUMMYFUNCTION("""COMPUTED_VALUE"""),"ZONA NORTE")</f>
        <v>ZONA NORTE</v>
      </c>
      <c r="F198" s="310" t="str">
        <f>IFERROR(__xludf.DUMMYFUNCTION("""COMPUTED_VALUE"""),"Rio de Janeiro")</f>
        <v>Rio de Janeiro</v>
      </c>
      <c r="G198" s="310" t="str">
        <f>IFERROR(__xludf.DUMMYFUNCTION("""COMPUTED_VALUE"""),"Ilha do Governador")</f>
        <v>Ilha do Governador</v>
      </c>
      <c r="H198" s="310" t="str">
        <f>IFERROR(__xludf.DUMMYFUNCTION("""COMPUTED_VALUE"""),"Hospital de Apoio - MÉDIA COMPLEXIDADE
")</f>
        <v>Hospital de Apoio - MÉDIA COMPLEXIDADE
</v>
      </c>
      <c r="I198" s="310" t="str">
        <f>IFERROR(__xludf.DUMMYFUNCTION("""COMPUTED_VALUE"""),"Público")</f>
        <v>Público</v>
      </c>
      <c r="J198" s="310" t="str">
        <f>IFERROR(__xludf.DUMMYFUNCTION("""COMPUTED_VALUE"""),"")</f>
        <v/>
      </c>
      <c r="K198" s="310" t="str">
        <f>IFERROR(__xludf.DUMMYFUNCTION("""COMPUTED_VALUE"""),"")</f>
        <v/>
      </c>
      <c r="L198" s="310" t="str">
        <f>IFERROR(__xludf.DUMMYFUNCTION("""COMPUTED_VALUE"""),"")</f>
        <v/>
      </c>
      <c r="M198" s="310" t="str">
        <f>IFERROR(__xludf.DUMMYFUNCTION("""COMPUTED_VALUE"""),"")</f>
        <v/>
      </c>
      <c r="N198" s="310">
        <f>IFERROR(__xludf.DUMMYFUNCTION("""COMPUTED_VALUE"""),0.0)</f>
        <v>0</v>
      </c>
      <c r="O198" s="310">
        <f>IFERROR(__xludf.DUMMYFUNCTION("""COMPUTED_VALUE"""),0.0)</f>
        <v>0</v>
      </c>
      <c r="P198" s="310">
        <f>IFERROR(__xludf.DUMMYFUNCTION("""COMPUTED_VALUE"""),0.0)</f>
        <v>0</v>
      </c>
      <c r="Q198" s="310">
        <f>IFERROR(__xludf.DUMMYFUNCTION("""COMPUTED_VALUE"""),0.0)</f>
        <v>0</v>
      </c>
      <c r="R198" s="310">
        <f>IFERROR(__xludf.DUMMYFUNCTION("""COMPUTED_VALUE"""),0.0)</f>
        <v>0</v>
      </c>
      <c r="S198" s="310">
        <f>IFERROR(__xludf.DUMMYFUNCTION("""COMPUTED_VALUE"""),0.0)</f>
        <v>0</v>
      </c>
      <c r="T198" s="310">
        <f>IFERROR(__xludf.DUMMYFUNCTION("""COMPUTED_VALUE"""),100.0)</f>
        <v>100</v>
      </c>
      <c r="U198" s="310">
        <f>IFERROR(__xludf.DUMMYFUNCTION("""COMPUTED_VALUE"""),0.0)</f>
        <v>0</v>
      </c>
      <c r="V198" s="310">
        <f>IFERROR(__xludf.DUMMYFUNCTION("""COMPUTED_VALUE"""),0.0)</f>
        <v>0</v>
      </c>
      <c r="W198" s="310">
        <f>IFERROR(__xludf.DUMMYFUNCTION("""COMPUTED_VALUE"""),0.0)</f>
        <v>0</v>
      </c>
      <c r="X198" s="310">
        <f>IFERROR(__xludf.DUMMYFUNCTION("""COMPUTED_VALUE"""),0.0)</f>
        <v>0</v>
      </c>
      <c r="Y198" s="310">
        <f>IFERROR(__xludf.DUMMYFUNCTION("""COMPUTED_VALUE"""),0.0)</f>
        <v>0</v>
      </c>
      <c r="Z198" s="310">
        <f>IFERROR(__xludf.DUMMYFUNCTION("""COMPUTED_VALUE"""),-100.0)</f>
        <v>-100</v>
      </c>
      <c r="AA198" s="310">
        <f>IFERROR(__xludf.DUMMYFUNCTION("""COMPUTED_VALUE"""),0.0)</f>
        <v>0</v>
      </c>
      <c r="AB198" s="310">
        <f>IFERROR(__xludf.DUMMYFUNCTION("""COMPUTED_VALUE"""),0.0)</f>
        <v>0</v>
      </c>
      <c r="AC198" s="310">
        <f>IFERROR(__xludf.DUMMYFUNCTION("""COMPUTED_VALUE"""),0.0)</f>
        <v>0</v>
      </c>
      <c r="AD198" s="310">
        <f>IFERROR(__xludf.DUMMYFUNCTION("""COMPUTED_VALUE"""),0.0)</f>
        <v>0</v>
      </c>
      <c r="AE198" s="310">
        <f>IFERROR(__xludf.DUMMYFUNCTION("""COMPUTED_VALUE"""),0.0)</f>
        <v>0</v>
      </c>
      <c r="AF198" s="310" t="str">
        <f>IFERROR(__xludf.DUMMYFUNCTION("""COMPUTED_VALUE"""),"")</f>
        <v/>
      </c>
      <c r="AG198" s="310">
        <f>IFERROR(__xludf.DUMMYFUNCTION("""COMPUTED_VALUE"""),0.0)</f>
        <v>0</v>
      </c>
      <c r="AH198" s="310">
        <f>IFERROR(__xludf.DUMMYFUNCTION("""COMPUTED_VALUE"""),0.0)</f>
        <v>0</v>
      </c>
      <c r="AI198" s="310">
        <f>IFERROR(__xludf.DUMMYFUNCTION("""COMPUTED_VALUE"""),0.0)</f>
        <v>0</v>
      </c>
      <c r="AJ198" s="310"/>
    </row>
    <row r="199" ht="22.5" customHeight="1">
      <c r="A199" s="311" t="str">
        <f>IFERROR(__xludf.DUMMYFUNCTION("""COMPUTED_VALUE"""),"")</f>
        <v/>
      </c>
      <c r="B199" s="311" t="str">
        <f>IFERROR(__xludf.DUMMYFUNCTION("""COMPUTED_VALUE"""),"")</f>
        <v/>
      </c>
      <c r="C199" s="311">
        <f>IFERROR(__xludf.DUMMYFUNCTION("""COMPUTED_VALUE"""),393.0)</f>
        <v>393</v>
      </c>
      <c r="D199" s="311" t="str">
        <f>IFERROR(__xludf.DUMMYFUNCTION("""COMPUTED_VALUE"""),"Médico Sem Fronteira - Rio de Janeiro")</f>
        <v>Médico Sem Fronteira - Rio de Janeiro</v>
      </c>
      <c r="E199" s="315" t="str">
        <f>IFERROR(__xludf.DUMMYFUNCTION("""COMPUTED_VALUE"""),"")</f>
        <v/>
      </c>
      <c r="F199" s="311" t="str">
        <f>IFERROR(__xludf.DUMMYFUNCTION("""COMPUTED_VALUE"""),"Rio de Janeiro")</f>
        <v>Rio de Janeiro</v>
      </c>
      <c r="G199" s="311" t="str">
        <f>IFERROR(__xludf.DUMMYFUNCTION("""COMPUTED_VALUE"""),"Rio de Janeiro")</f>
        <v>Rio de Janeiro</v>
      </c>
      <c r="H199" s="311" t="str">
        <f>IFERROR(__xludf.DUMMYFUNCTION("""COMPUTED_VALUE"""),"Outra Instituição")</f>
        <v>Outra Instituição</v>
      </c>
      <c r="I199" s="311" t="str">
        <f>IFERROR(__xludf.DUMMYFUNCTION("""COMPUTED_VALUE"""),"Público")</f>
        <v>Público</v>
      </c>
      <c r="J199" s="311" t="str">
        <f>IFERROR(__xludf.DUMMYFUNCTION("""COMPUTED_VALUE"""),"")</f>
        <v/>
      </c>
      <c r="K199" s="311" t="str">
        <f>IFERROR(__xludf.DUMMYFUNCTION("""COMPUTED_VALUE"""),"")</f>
        <v/>
      </c>
      <c r="L199" s="311" t="str">
        <f>IFERROR(__xludf.DUMMYFUNCTION("""COMPUTED_VALUE"""),"")</f>
        <v/>
      </c>
      <c r="M199" s="311" t="str">
        <f>IFERROR(__xludf.DUMMYFUNCTION("""COMPUTED_VALUE"""),"")</f>
        <v/>
      </c>
      <c r="N199" s="311">
        <f>IFERROR(__xludf.DUMMYFUNCTION("""COMPUTED_VALUE"""),0.0)</f>
        <v>0</v>
      </c>
      <c r="O199" s="311">
        <f>IFERROR(__xludf.DUMMYFUNCTION("""COMPUTED_VALUE"""),0.0)</f>
        <v>0</v>
      </c>
      <c r="P199" s="311">
        <f>IFERROR(__xludf.DUMMYFUNCTION("""COMPUTED_VALUE"""),0.0)</f>
        <v>0</v>
      </c>
      <c r="Q199" s="311">
        <f>IFERROR(__xludf.DUMMYFUNCTION("""COMPUTED_VALUE"""),0.0)</f>
        <v>0</v>
      </c>
      <c r="R199" s="311">
        <f>IFERROR(__xludf.DUMMYFUNCTION("""COMPUTED_VALUE"""),0.0)</f>
        <v>0</v>
      </c>
      <c r="S199" s="311">
        <f>IFERROR(__xludf.DUMMYFUNCTION("""COMPUTED_VALUE"""),0.0)</f>
        <v>0</v>
      </c>
      <c r="T199" s="311">
        <f>IFERROR(__xludf.DUMMYFUNCTION("""COMPUTED_VALUE"""),50.0)</f>
        <v>50</v>
      </c>
      <c r="U199" s="311">
        <f>IFERROR(__xludf.DUMMYFUNCTION("""COMPUTED_VALUE"""),0.0)</f>
        <v>0</v>
      </c>
      <c r="V199" s="311">
        <f>IFERROR(__xludf.DUMMYFUNCTION("""COMPUTED_VALUE"""),0.0)</f>
        <v>0</v>
      </c>
      <c r="W199" s="311">
        <f>IFERROR(__xludf.DUMMYFUNCTION("""COMPUTED_VALUE"""),0.0)</f>
        <v>0</v>
      </c>
      <c r="X199" s="311">
        <f>IFERROR(__xludf.DUMMYFUNCTION("""COMPUTED_VALUE"""),0.0)</f>
        <v>0</v>
      </c>
      <c r="Y199" s="311">
        <f>IFERROR(__xludf.DUMMYFUNCTION("""COMPUTED_VALUE"""),0.0)</f>
        <v>0</v>
      </c>
      <c r="Z199" s="311">
        <f>IFERROR(__xludf.DUMMYFUNCTION("""COMPUTED_VALUE"""),-50.0)</f>
        <v>-50</v>
      </c>
      <c r="AA199" s="311">
        <f>IFERROR(__xludf.DUMMYFUNCTION("""COMPUTED_VALUE"""),0.0)</f>
        <v>0</v>
      </c>
      <c r="AB199" s="311">
        <f>IFERROR(__xludf.DUMMYFUNCTION("""COMPUTED_VALUE"""),0.0)</f>
        <v>0</v>
      </c>
      <c r="AC199" s="311">
        <f>IFERROR(__xludf.DUMMYFUNCTION("""COMPUTED_VALUE"""),0.0)</f>
        <v>0</v>
      </c>
      <c r="AD199" s="311">
        <f>IFERROR(__xludf.DUMMYFUNCTION("""COMPUTED_VALUE"""),0.0)</f>
        <v>0</v>
      </c>
      <c r="AE199" s="311">
        <f>IFERROR(__xludf.DUMMYFUNCTION("""COMPUTED_VALUE"""),0.0)</f>
        <v>0</v>
      </c>
      <c r="AF199" s="311" t="str">
        <f>IFERROR(__xludf.DUMMYFUNCTION("""COMPUTED_VALUE"""),"")</f>
        <v/>
      </c>
      <c r="AG199" s="311">
        <f>IFERROR(__xludf.DUMMYFUNCTION("""COMPUTED_VALUE"""),0.0)</f>
        <v>0</v>
      </c>
      <c r="AH199" s="311">
        <f>IFERROR(__xludf.DUMMYFUNCTION("""COMPUTED_VALUE"""),0.0)</f>
        <v>0</v>
      </c>
      <c r="AI199" s="311">
        <f>IFERROR(__xludf.DUMMYFUNCTION("""COMPUTED_VALUE"""),0.0)</f>
        <v>0</v>
      </c>
      <c r="AJ199" s="311"/>
    </row>
    <row r="200" ht="22.5" customHeight="1">
      <c r="A200" s="310" t="str">
        <f>IFERROR(__xludf.DUMMYFUNCTION("""COMPUTED_VALUE"""),"")</f>
        <v/>
      </c>
      <c r="B200" s="310" t="str">
        <f>IFERROR(__xludf.DUMMYFUNCTION("""COMPUTED_VALUE"""),"")</f>
        <v/>
      </c>
      <c r="C200" s="310">
        <f>IFERROR(__xludf.DUMMYFUNCTION("""COMPUTED_VALUE"""),394.0)</f>
        <v>394</v>
      </c>
      <c r="D200" s="310" t="str">
        <f>IFERROR(__xludf.DUMMYFUNCTION("""COMPUTED_VALUE"""),"Redes Maré")</f>
        <v>Redes Maré</v>
      </c>
      <c r="E200" s="313" t="str">
        <f>IFERROR(__xludf.DUMMYFUNCTION("""COMPUTED_VALUE"""),"ZONA NORTE")</f>
        <v>ZONA NORTE</v>
      </c>
      <c r="F200" s="310" t="str">
        <f>IFERROR(__xludf.DUMMYFUNCTION("""COMPUTED_VALUE"""),"Rio de Janeiro")</f>
        <v>Rio de Janeiro</v>
      </c>
      <c r="G200" s="310" t="str">
        <f>IFERROR(__xludf.DUMMYFUNCTION("""COMPUTED_VALUE"""),"Maré")</f>
        <v>Maré</v>
      </c>
      <c r="H200" s="310" t="str">
        <f>IFERROR(__xludf.DUMMYFUNCTION("""COMPUTED_VALUE"""),"Outra Instituição")</f>
        <v>Outra Instituição</v>
      </c>
      <c r="I200" s="310" t="str">
        <f>IFERROR(__xludf.DUMMYFUNCTION("""COMPUTED_VALUE"""),"Público")</f>
        <v>Público</v>
      </c>
      <c r="J200" s="310" t="str">
        <f>IFERROR(__xludf.DUMMYFUNCTION("""COMPUTED_VALUE"""),"")</f>
        <v/>
      </c>
      <c r="K200" s="310" t="str">
        <f>IFERROR(__xludf.DUMMYFUNCTION("""COMPUTED_VALUE"""),"")</f>
        <v/>
      </c>
      <c r="L200" s="310" t="str">
        <f>IFERROR(__xludf.DUMMYFUNCTION("""COMPUTED_VALUE"""),"")</f>
        <v/>
      </c>
      <c r="M200" s="310" t="str">
        <f>IFERROR(__xludf.DUMMYFUNCTION("""COMPUTED_VALUE"""),"")</f>
        <v/>
      </c>
      <c r="N200" s="310">
        <f>IFERROR(__xludf.DUMMYFUNCTION("""COMPUTED_VALUE"""),0.0)</f>
        <v>0</v>
      </c>
      <c r="O200" s="310">
        <f>IFERROR(__xludf.DUMMYFUNCTION("""COMPUTED_VALUE"""),0.0)</f>
        <v>0</v>
      </c>
      <c r="P200" s="310">
        <f>IFERROR(__xludf.DUMMYFUNCTION("""COMPUTED_VALUE"""),0.0)</f>
        <v>0</v>
      </c>
      <c r="Q200" s="310">
        <f>IFERROR(__xludf.DUMMYFUNCTION("""COMPUTED_VALUE"""),0.0)</f>
        <v>0</v>
      </c>
      <c r="R200" s="310">
        <f>IFERROR(__xludf.DUMMYFUNCTION("""COMPUTED_VALUE"""),0.0)</f>
        <v>0</v>
      </c>
      <c r="S200" s="310">
        <f>IFERROR(__xludf.DUMMYFUNCTION("""COMPUTED_VALUE"""),0.0)</f>
        <v>0</v>
      </c>
      <c r="T200" s="310">
        <f>IFERROR(__xludf.DUMMYFUNCTION("""COMPUTED_VALUE"""),0.0)</f>
        <v>0</v>
      </c>
      <c r="U200" s="310">
        <f>IFERROR(__xludf.DUMMYFUNCTION("""COMPUTED_VALUE"""),0.0)</f>
        <v>0</v>
      </c>
      <c r="V200" s="310">
        <f>IFERROR(__xludf.DUMMYFUNCTION("""COMPUTED_VALUE"""),0.0)</f>
        <v>0</v>
      </c>
      <c r="W200" s="310">
        <f>IFERROR(__xludf.DUMMYFUNCTION("""COMPUTED_VALUE"""),400.0)</f>
        <v>400</v>
      </c>
      <c r="X200" s="310">
        <f>IFERROR(__xludf.DUMMYFUNCTION("""COMPUTED_VALUE"""),0.0)</f>
        <v>0</v>
      </c>
      <c r="Y200" s="310">
        <f>IFERROR(__xludf.DUMMYFUNCTION("""COMPUTED_VALUE"""),48.0)</f>
        <v>48</v>
      </c>
      <c r="Z200" s="310">
        <f>IFERROR(__xludf.DUMMYFUNCTION("""COMPUTED_VALUE"""),0.0)</f>
        <v>0</v>
      </c>
      <c r="AA200" s="310">
        <f>IFERROR(__xludf.DUMMYFUNCTION("""COMPUTED_VALUE"""),0.0)</f>
        <v>0</v>
      </c>
      <c r="AB200" s="310">
        <f>IFERROR(__xludf.DUMMYFUNCTION("""COMPUTED_VALUE"""),0.0)</f>
        <v>0</v>
      </c>
      <c r="AC200" s="310">
        <f>IFERROR(__xludf.DUMMYFUNCTION("""COMPUTED_VALUE"""),-400.0)</f>
        <v>-400</v>
      </c>
      <c r="AD200" s="310">
        <f>IFERROR(__xludf.DUMMYFUNCTION("""COMPUTED_VALUE"""),-48.0)</f>
        <v>-48</v>
      </c>
      <c r="AE200" s="310">
        <f>IFERROR(__xludf.DUMMYFUNCTION("""COMPUTED_VALUE"""),0.0)</f>
        <v>0</v>
      </c>
      <c r="AF200" s="310" t="str">
        <f>IFERROR(__xludf.DUMMYFUNCTION("""COMPUTED_VALUE"""),"")</f>
        <v/>
      </c>
      <c r="AG200" s="310">
        <f>IFERROR(__xludf.DUMMYFUNCTION("""COMPUTED_VALUE"""),0.0)</f>
        <v>0</v>
      </c>
      <c r="AH200" s="310">
        <f>IFERROR(__xludf.DUMMYFUNCTION("""COMPUTED_VALUE"""),0.0)</f>
        <v>0</v>
      </c>
      <c r="AI200" s="310">
        <f>IFERROR(__xludf.DUMMYFUNCTION("""COMPUTED_VALUE"""),0.0)</f>
        <v>0</v>
      </c>
      <c r="AJ200" s="310"/>
    </row>
    <row r="201" ht="22.5" customHeight="1">
      <c r="A201" s="311" t="str">
        <f>IFERROR(__xludf.DUMMYFUNCTION("""COMPUTED_VALUE"""),"")</f>
        <v/>
      </c>
      <c r="B201" s="311" t="str">
        <f>IFERROR(__xludf.DUMMYFUNCTION("""COMPUTED_VALUE"""),"")</f>
        <v/>
      </c>
      <c r="C201" s="311">
        <f>IFERROR(__xludf.DUMMYFUNCTION("""COMPUTED_VALUE"""),395.0)</f>
        <v>395</v>
      </c>
      <c r="D201" s="311" t="str">
        <f>IFERROR(__xludf.DUMMYFUNCTION("""COMPUTED_VALUE"""),"DCE UFRJ")</f>
        <v>DCE UFRJ</v>
      </c>
      <c r="E201" s="315" t="str">
        <f>IFERROR(__xludf.DUMMYFUNCTION("""COMPUTED_VALUE"""),"ZONA NORTE")</f>
        <v>ZONA NORTE</v>
      </c>
      <c r="F201" s="311" t="str">
        <f>IFERROR(__xludf.DUMMYFUNCTION("""COMPUTED_VALUE"""),"Rio de Janeiro")</f>
        <v>Rio de Janeiro</v>
      </c>
      <c r="G201" s="311" t="str">
        <f>IFERROR(__xludf.DUMMYFUNCTION("""COMPUTED_VALUE"""),"Ilha do Fundão")</f>
        <v>Ilha do Fundão</v>
      </c>
      <c r="H201" s="311" t="str">
        <f>IFERROR(__xludf.DUMMYFUNCTION("""COMPUTED_VALUE"""),"Outra Instituição")</f>
        <v>Outra Instituição</v>
      </c>
      <c r="I201" s="311" t="str">
        <f>IFERROR(__xludf.DUMMYFUNCTION("""COMPUTED_VALUE"""),"Público")</f>
        <v>Público</v>
      </c>
      <c r="J201" s="311" t="str">
        <f>IFERROR(__xludf.DUMMYFUNCTION("""COMPUTED_VALUE"""),"")</f>
        <v/>
      </c>
      <c r="K201" s="311" t="str">
        <f>IFERROR(__xludf.DUMMYFUNCTION("""COMPUTED_VALUE"""),"")</f>
        <v/>
      </c>
      <c r="L201" s="311" t="str">
        <f>IFERROR(__xludf.DUMMYFUNCTION("""COMPUTED_VALUE"""),"")</f>
        <v/>
      </c>
      <c r="M201" s="311" t="str">
        <f>IFERROR(__xludf.DUMMYFUNCTION("""COMPUTED_VALUE"""),"")</f>
        <v/>
      </c>
      <c r="N201" s="311">
        <f>IFERROR(__xludf.DUMMYFUNCTION("""COMPUTED_VALUE"""),0.0)</f>
        <v>0</v>
      </c>
      <c r="O201" s="311">
        <f>IFERROR(__xludf.DUMMYFUNCTION("""COMPUTED_VALUE"""),0.0)</f>
        <v>0</v>
      </c>
      <c r="P201" s="311">
        <f>IFERROR(__xludf.DUMMYFUNCTION("""COMPUTED_VALUE"""),0.0)</f>
        <v>0</v>
      </c>
      <c r="Q201" s="311">
        <f>IFERROR(__xludf.DUMMYFUNCTION("""COMPUTED_VALUE"""),0.0)</f>
        <v>0</v>
      </c>
      <c r="R201" s="311">
        <f>IFERROR(__xludf.DUMMYFUNCTION("""COMPUTED_VALUE"""),0.0)</f>
        <v>0</v>
      </c>
      <c r="S201" s="311">
        <f>IFERROR(__xludf.DUMMYFUNCTION("""COMPUTED_VALUE"""),0.0)</f>
        <v>0</v>
      </c>
      <c r="T201" s="311">
        <f>IFERROR(__xludf.DUMMYFUNCTION("""COMPUTED_VALUE"""),25.0)</f>
        <v>25</v>
      </c>
      <c r="U201" s="311">
        <f>IFERROR(__xludf.DUMMYFUNCTION("""COMPUTED_VALUE"""),0.0)</f>
        <v>0</v>
      </c>
      <c r="V201" s="311">
        <f>IFERROR(__xludf.DUMMYFUNCTION("""COMPUTED_VALUE"""),0.0)</f>
        <v>0</v>
      </c>
      <c r="W201" s="311">
        <f>IFERROR(__xludf.DUMMYFUNCTION("""COMPUTED_VALUE"""),0.0)</f>
        <v>0</v>
      </c>
      <c r="X201" s="311">
        <f>IFERROR(__xludf.DUMMYFUNCTION("""COMPUTED_VALUE"""),0.0)</f>
        <v>0</v>
      </c>
      <c r="Y201" s="311">
        <f>IFERROR(__xludf.DUMMYFUNCTION("""COMPUTED_VALUE"""),0.0)</f>
        <v>0</v>
      </c>
      <c r="Z201" s="311">
        <f>IFERROR(__xludf.DUMMYFUNCTION("""COMPUTED_VALUE"""),-25.0)</f>
        <v>-25</v>
      </c>
      <c r="AA201" s="311">
        <f>IFERROR(__xludf.DUMMYFUNCTION("""COMPUTED_VALUE"""),0.0)</f>
        <v>0</v>
      </c>
      <c r="AB201" s="311">
        <f>IFERROR(__xludf.DUMMYFUNCTION("""COMPUTED_VALUE"""),0.0)</f>
        <v>0</v>
      </c>
      <c r="AC201" s="311">
        <f>IFERROR(__xludf.DUMMYFUNCTION("""COMPUTED_VALUE"""),0.0)</f>
        <v>0</v>
      </c>
      <c r="AD201" s="311">
        <f>IFERROR(__xludf.DUMMYFUNCTION("""COMPUTED_VALUE"""),0.0)</f>
        <v>0</v>
      </c>
      <c r="AE201" s="311">
        <f>IFERROR(__xludf.DUMMYFUNCTION("""COMPUTED_VALUE"""),0.0)</f>
        <v>0</v>
      </c>
      <c r="AF201" s="311" t="str">
        <f>IFERROR(__xludf.DUMMYFUNCTION("""COMPUTED_VALUE"""),"")</f>
        <v/>
      </c>
      <c r="AG201" s="311">
        <f>IFERROR(__xludf.DUMMYFUNCTION("""COMPUTED_VALUE"""),0.0)</f>
        <v>0</v>
      </c>
      <c r="AH201" s="311">
        <f>IFERROR(__xludf.DUMMYFUNCTION("""COMPUTED_VALUE"""),0.0)</f>
        <v>0</v>
      </c>
      <c r="AI201" s="311">
        <f>IFERROR(__xludf.DUMMYFUNCTION("""COMPUTED_VALUE"""),0.0)</f>
        <v>0</v>
      </c>
      <c r="AJ201" s="311"/>
    </row>
    <row r="202" ht="22.5" customHeight="1">
      <c r="A202" s="310" t="str">
        <f>IFERROR(__xludf.DUMMYFUNCTION("""COMPUTED_VALUE"""),"")</f>
        <v/>
      </c>
      <c r="B202" s="310" t="str">
        <f>IFERROR(__xludf.DUMMYFUNCTION("""COMPUTED_VALUE"""),"")</f>
        <v/>
      </c>
      <c r="C202" s="310">
        <f>IFERROR(__xludf.DUMMYFUNCTION("""COMPUTED_VALUE"""),396.0)</f>
        <v>396</v>
      </c>
      <c r="D202" s="310" t="str">
        <f>IFERROR(__xludf.DUMMYFUNCTION("""COMPUTED_VALUE"""),"Hospital Municipal Alcides Carneiro")</f>
        <v>Hospital Municipal Alcides Carneiro</v>
      </c>
      <c r="E202" s="313" t="str">
        <f>IFERROR(__xludf.DUMMYFUNCTION("""COMPUTED_VALUE"""),"REGIAO SERRANA")</f>
        <v>REGIAO SERRANA</v>
      </c>
      <c r="F202" s="310" t="str">
        <f>IFERROR(__xludf.DUMMYFUNCTION("""COMPUTED_VALUE"""),"Petrópolis")</f>
        <v>Petrópolis</v>
      </c>
      <c r="G202" s="310" t="str">
        <f>IFERROR(__xludf.DUMMYFUNCTION("""COMPUTED_VALUE"""),"Côrreas")</f>
        <v>Côrreas</v>
      </c>
      <c r="H202" s="310" t="str">
        <f>IFERROR(__xludf.DUMMYFUNCTION("""COMPUTED_VALUE"""),"Grande emergência - MÉDIA COMPLEXIDADE
")</f>
        <v>Grande emergência - MÉDIA COMPLEXIDADE
</v>
      </c>
      <c r="I202" s="310" t="str">
        <f>IFERROR(__xludf.DUMMYFUNCTION("""COMPUTED_VALUE"""),"Público")</f>
        <v>Público</v>
      </c>
      <c r="J202" s="310" t="str">
        <f>IFERROR(__xludf.DUMMYFUNCTION("""COMPUTED_VALUE"""),"")</f>
        <v/>
      </c>
      <c r="K202" s="310" t="str">
        <f>IFERROR(__xludf.DUMMYFUNCTION("""COMPUTED_VALUE"""),"")</f>
        <v/>
      </c>
      <c r="L202" s="310" t="str">
        <f>IFERROR(__xludf.DUMMYFUNCTION("""COMPUTED_VALUE"""),"")</f>
        <v/>
      </c>
      <c r="M202" s="310" t="str">
        <f>IFERROR(__xludf.DUMMYFUNCTION("""COMPUTED_VALUE"""),"")</f>
        <v/>
      </c>
      <c r="N202" s="310">
        <f>IFERROR(__xludf.DUMMYFUNCTION("""COMPUTED_VALUE"""),0.0)</f>
        <v>0</v>
      </c>
      <c r="O202" s="310">
        <f>IFERROR(__xludf.DUMMYFUNCTION("""COMPUTED_VALUE"""),0.0)</f>
        <v>0</v>
      </c>
      <c r="P202" s="310">
        <f>IFERROR(__xludf.DUMMYFUNCTION("""COMPUTED_VALUE"""),0.0)</f>
        <v>0</v>
      </c>
      <c r="Q202" s="310">
        <f>IFERROR(__xludf.DUMMYFUNCTION("""COMPUTED_VALUE"""),0.0)</f>
        <v>0</v>
      </c>
      <c r="R202" s="310">
        <f>IFERROR(__xludf.DUMMYFUNCTION("""COMPUTED_VALUE"""),0.0)</f>
        <v>0</v>
      </c>
      <c r="S202" s="310">
        <f>IFERROR(__xludf.DUMMYFUNCTION("""COMPUTED_VALUE"""),0.0)</f>
        <v>0</v>
      </c>
      <c r="T202" s="310">
        <f>IFERROR(__xludf.DUMMYFUNCTION("""COMPUTED_VALUE"""),40.0)</f>
        <v>40</v>
      </c>
      <c r="U202" s="310">
        <f>IFERROR(__xludf.DUMMYFUNCTION("""COMPUTED_VALUE"""),0.0)</f>
        <v>0</v>
      </c>
      <c r="V202" s="310">
        <f>IFERROR(__xludf.DUMMYFUNCTION("""COMPUTED_VALUE"""),0.0)</f>
        <v>0</v>
      </c>
      <c r="W202" s="310">
        <f>IFERROR(__xludf.DUMMYFUNCTION("""COMPUTED_VALUE"""),0.0)</f>
        <v>0</v>
      </c>
      <c r="X202" s="310">
        <f>IFERROR(__xludf.DUMMYFUNCTION("""COMPUTED_VALUE"""),0.0)</f>
        <v>0</v>
      </c>
      <c r="Y202" s="310">
        <f>IFERROR(__xludf.DUMMYFUNCTION("""COMPUTED_VALUE"""),0.0)</f>
        <v>0</v>
      </c>
      <c r="Z202" s="310">
        <f>IFERROR(__xludf.DUMMYFUNCTION("""COMPUTED_VALUE"""),-40.0)</f>
        <v>-40</v>
      </c>
      <c r="AA202" s="310">
        <f>IFERROR(__xludf.DUMMYFUNCTION("""COMPUTED_VALUE"""),0.0)</f>
        <v>0</v>
      </c>
      <c r="AB202" s="310">
        <f>IFERROR(__xludf.DUMMYFUNCTION("""COMPUTED_VALUE"""),0.0)</f>
        <v>0</v>
      </c>
      <c r="AC202" s="310">
        <f>IFERROR(__xludf.DUMMYFUNCTION("""COMPUTED_VALUE"""),0.0)</f>
        <v>0</v>
      </c>
      <c r="AD202" s="310">
        <f>IFERROR(__xludf.DUMMYFUNCTION("""COMPUTED_VALUE"""),0.0)</f>
        <v>0</v>
      </c>
      <c r="AE202" s="310">
        <f>IFERROR(__xludf.DUMMYFUNCTION("""COMPUTED_VALUE"""),0.0)</f>
        <v>0</v>
      </c>
      <c r="AF202" s="310" t="str">
        <f>IFERROR(__xludf.DUMMYFUNCTION("""COMPUTED_VALUE"""),"")</f>
        <v/>
      </c>
      <c r="AG202" s="310">
        <f>IFERROR(__xludf.DUMMYFUNCTION("""COMPUTED_VALUE"""),0.0)</f>
        <v>0</v>
      </c>
      <c r="AH202" s="310">
        <f>IFERROR(__xludf.DUMMYFUNCTION("""COMPUTED_VALUE"""),0.0)</f>
        <v>0</v>
      </c>
      <c r="AI202" s="310">
        <f>IFERROR(__xludf.DUMMYFUNCTION("""COMPUTED_VALUE"""),0.0)</f>
        <v>0</v>
      </c>
      <c r="AJ202" s="310"/>
    </row>
    <row r="203" ht="22.5" customHeight="1">
      <c r="A203" s="311" t="str">
        <f>IFERROR(__xludf.DUMMYFUNCTION("""COMPUTED_VALUE"""),"")</f>
        <v/>
      </c>
      <c r="B203" s="311" t="str">
        <f>IFERROR(__xludf.DUMMYFUNCTION("""COMPUTED_VALUE"""),"")</f>
        <v/>
      </c>
      <c r="C203" s="311">
        <f>IFERROR(__xludf.DUMMYFUNCTION("""COMPUTED_VALUE"""),397.0)</f>
        <v>397</v>
      </c>
      <c r="D203" s="311" t="str">
        <f>IFERROR(__xludf.DUMMYFUNCTION("""COMPUTED_VALUE"""),"Dr. Alexandre")</f>
        <v>Dr. Alexandre</v>
      </c>
      <c r="E203" s="315" t="str">
        <f>IFERROR(__xludf.DUMMYFUNCTION("""COMPUTED_VALUE"""),"")</f>
        <v/>
      </c>
      <c r="F203" s="311" t="str">
        <f>IFERROR(__xludf.DUMMYFUNCTION("""COMPUTED_VALUE"""),"Rio de Janeiro")</f>
        <v>Rio de Janeiro</v>
      </c>
      <c r="G203" s="311" t="str">
        <f>IFERROR(__xludf.DUMMYFUNCTION("""COMPUTED_VALUE"""),"Rio de Janeiro")</f>
        <v>Rio de Janeiro</v>
      </c>
      <c r="H203" s="311" t="str">
        <f>IFERROR(__xludf.DUMMYFUNCTION("""COMPUTED_VALUE"""),"Outra Instituição")</f>
        <v>Outra Instituição</v>
      </c>
      <c r="I203" s="311" t="str">
        <f>IFERROR(__xludf.DUMMYFUNCTION("""COMPUTED_VALUE"""),"Privado")</f>
        <v>Privado</v>
      </c>
      <c r="J203" s="311" t="str">
        <f>IFERROR(__xludf.DUMMYFUNCTION("""COMPUTED_VALUE"""),"")</f>
        <v/>
      </c>
      <c r="K203" s="311" t="str">
        <f>IFERROR(__xludf.DUMMYFUNCTION("""COMPUTED_VALUE"""),"")</f>
        <v/>
      </c>
      <c r="L203" s="311" t="str">
        <f>IFERROR(__xludf.DUMMYFUNCTION("""COMPUTED_VALUE"""),"")</f>
        <v/>
      </c>
      <c r="M203" s="311" t="str">
        <f>IFERROR(__xludf.DUMMYFUNCTION("""COMPUTED_VALUE"""),"")</f>
        <v/>
      </c>
      <c r="N203" s="311">
        <f>IFERROR(__xludf.DUMMYFUNCTION("""COMPUTED_VALUE"""),0.0)</f>
        <v>0</v>
      </c>
      <c r="O203" s="311">
        <f>IFERROR(__xludf.DUMMYFUNCTION("""COMPUTED_VALUE"""),0.0)</f>
        <v>0</v>
      </c>
      <c r="P203" s="311">
        <f>IFERROR(__xludf.DUMMYFUNCTION("""COMPUTED_VALUE"""),0.0)</f>
        <v>0</v>
      </c>
      <c r="Q203" s="311">
        <f>IFERROR(__xludf.DUMMYFUNCTION("""COMPUTED_VALUE"""),0.0)</f>
        <v>0</v>
      </c>
      <c r="R203" s="311">
        <f>IFERROR(__xludf.DUMMYFUNCTION("""COMPUTED_VALUE"""),0.0)</f>
        <v>0</v>
      </c>
      <c r="S203" s="311">
        <f>IFERROR(__xludf.DUMMYFUNCTION("""COMPUTED_VALUE"""),0.0)</f>
        <v>0</v>
      </c>
      <c r="T203" s="311">
        <f>IFERROR(__xludf.DUMMYFUNCTION("""COMPUTED_VALUE"""),100.0)</f>
        <v>100</v>
      </c>
      <c r="U203" s="311">
        <f>IFERROR(__xludf.DUMMYFUNCTION("""COMPUTED_VALUE"""),0.0)</f>
        <v>0</v>
      </c>
      <c r="V203" s="311">
        <f>IFERROR(__xludf.DUMMYFUNCTION("""COMPUTED_VALUE"""),0.0)</f>
        <v>0</v>
      </c>
      <c r="W203" s="311">
        <f>IFERROR(__xludf.DUMMYFUNCTION("""COMPUTED_VALUE"""),0.0)</f>
        <v>0</v>
      </c>
      <c r="X203" s="311">
        <f>IFERROR(__xludf.DUMMYFUNCTION("""COMPUTED_VALUE"""),0.0)</f>
        <v>0</v>
      </c>
      <c r="Y203" s="311">
        <f>IFERROR(__xludf.DUMMYFUNCTION("""COMPUTED_VALUE"""),0.0)</f>
        <v>0</v>
      </c>
      <c r="Z203" s="311">
        <f>IFERROR(__xludf.DUMMYFUNCTION("""COMPUTED_VALUE"""),-100.0)</f>
        <v>-100</v>
      </c>
      <c r="AA203" s="311">
        <f>IFERROR(__xludf.DUMMYFUNCTION("""COMPUTED_VALUE"""),0.0)</f>
        <v>0</v>
      </c>
      <c r="AB203" s="311">
        <f>IFERROR(__xludf.DUMMYFUNCTION("""COMPUTED_VALUE"""),0.0)</f>
        <v>0</v>
      </c>
      <c r="AC203" s="311">
        <f>IFERROR(__xludf.DUMMYFUNCTION("""COMPUTED_VALUE"""),0.0)</f>
        <v>0</v>
      </c>
      <c r="AD203" s="311">
        <f>IFERROR(__xludf.DUMMYFUNCTION("""COMPUTED_VALUE"""),0.0)</f>
        <v>0</v>
      </c>
      <c r="AE203" s="311">
        <f>IFERROR(__xludf.DUMMYFUNCTION("""COMPUTED_VALUE"""),0.0)</f>
        <v>0</v>
      </c>
      <c r="AF203" s="311" t="str">
        <f>IFERROR(__xludf.DUMMYFUNCTION("""COMPUTED_VALUE"""),"")</f>
        <v/>
      </c>
      <c r="AG203" s="311">
        <f>IFERROR(__xludf.DUMMYFUNCTION("""COMPUTED_VALUE"""),0.0)</f>
        <v>0</v>
      </c>
      <c r="AH203" s="311">
        <f>IFERROR(__xludf.DUMMYFUNCTION("""COMPUTED_VALUE"""),0.0)</f>
        <v>0</v>
      </c>
      <c r="AI203" s="311">
        <f>IFERROR(__xludf.DUMMYFUNCTION("""COMPUTED_VALUE"""),0.0)</f>
        <v>0</v>
      </c>
      <c r="AJ203" s="311"/>
    </row>
    <row r="204" ht="22.5" customHeight="1">
      <c r="A204" s="310" t="str">
        <f>IFERROR(__xludf.DUMMYFUNCTION("""COMPUTED_VALUE"""),"")</f>
        <v/>
      </c>
      <c r="B204" s="310" t="str">
        <f>IFERROR(__xludf.DUMMYFUNCTION("""COMPUTED_VALUE"""),"")</f>
        <v/>
      </c>
      <c r="C204" s="310">
        <f>IFERROR(__xludf.DUMMYFUNCTION("""COMPUTED_VALUE"""),398.0)</f>
        <v>398</v>
      </c>
      <c r="D204" s="310" t="str">
        <f>IFERROR(__xludf.DUMMYFUNCTION("""COMPUTED_VALUE"""),"Movimento “Profissionais da Saúde eu me importo”")</f>
        <v>Movimento “Profissionais da Saúde eu me importo”</v>
      </c>
      <c r="E204" s="313" t="str">
        <f>IFERROR(__xludf.DUMMYFUNCTION("""COMPUTED_VALUE"""),"")</f>
        <v/>
      </c>
      <c r="F204" s="310" t="str">
        <f>IFERROR(__xludf.DUMMYFUNCTION("""COMPUTED_VALUE"""),"Rio de Janeiro")</f>
        <v>Rio de Janeiro</v>
      </c>
      <c r="G204" s="310" t="str">
        <f>IFERROR(__xludf.DUMMYFUNCTION("""COMPUTED_VALUE"""),"Rio de Janeiro")</f>
        <v>Rio de Janeiro</v>
      </c>
      <c r="H204" s="310" t="str">
        <f>IFERROR(__xludf.DUMMYFUNCTION("""COMPUTED_VALUE"""),"Outra Instituição")</f>
        <v>Outra Instituição</v>
      </c>
      <c r="I204" s="310" t="str">
        <f>IFERROR(__xludf.DUMMYFUNCTION("""COMPUTED_VALUE"""),"Público")</f>
        <v>Público</v>
      </c>
      <c r="J204" s="310" t="str">
        <f>IFERROR(__xludf.DUMMYFUNCTION("""COMPUTED_VALUE"""),"")</f>
        <v/>
      </c>
      <c r="K204" s="310" t="str">
        <f>IFERROR(__xludf.DUMMYFUNCTION("""COMPUTED_VALUE"""),"")</f>
        <v/>
      </c>
      <c r="L204" s="310" t="str">
        <f>IFERROR(__xludf.DUMMYFUNCTION("""COMPUTED_VALUE"""),"")</f>
        <v/>
      </c>
      <c r="M204" s="310" t="str">
        <f>IFERROR(__xludf.DUMMYFUNCTION("""COMPUTED_VALUE"""),"")</f>
        <v/>
      </c>
      <c r="N204" s="310">
        <f>IFERROR(__xludf.DUMMYFUNCTION("""COMPUTED_VALUE"""),0.0)</f>
        <v>0</v>
      </c>
      <c r="O204" s="310">
        <f>IFERROR(__xludf.DUMMYFUNCTION("""COMPUTED_VALUE"""),0.0)</f>
        <v>0</v>
      </c>
      <c r="P204" s="310">
        <f>IFERROR(__xludf.DUMMYFUNCTION("""COMPUTED_VALUE"""),0.0)</f>
        <v>0</v>
      </c>
      <c r="Q204" s="310">
        <f>IFERROR(__xludf.DUMMYFUNCTION("""COMPUTED_VALUE"""),0.0)</f>
        <v>0</v>
      </c>
      <c r="R204" s="310">
        <f>IFERROR(__xludf.DUMMYFUNCTION("""COMPUTED_VALUE"""),0.0)</f>
        <v>0</v>
      </c>
      <c r="S204" s="310">
        <f>IFERROR(__xludf.DUMMYFUNCTION("""COMPUTED_VALUE"""),0.0)</f>
        <v>0</v>
      </c>
      <c r="T204" s="310">
        <f>IFERROR(__xludf.DUMMYFUNCTION("""COMPUTED_VALUE"""),350.0)</f>
        <v>350</v>
      </c>
      <c r="U204" s="310">
        <f>IFERROR(__xludf.DUMMYFUNCTION("""COMPUTED_VALUE"""),0.0)</f>
        <v>0</v>
      </c>
      <c r="V204" s="310">
        <f>IFERROR(__xludf.DUMMYFUNCTION("""COMPUTED_VALUE"""),0.0)</f>
        <v>0</v>
      </c>
      <c r="W204" s="310">
        <f>IFERROR(__xludf.DUMMYFUNCTION("""COMPUTED_VALUE"""),0.0)</f>
        <v>0</v>
      </c>
      <c r="X204" s="310">
        <f>IFERROR(__xludf.DUMMYFUNCTION("""COMPUTED_VALUE"""),0.0)</f>
        <v>0</v>
      </c>
      <c r="Y204" s="310">
        <f>IFERROR(__xludf.DUMMYFUNCTION("""COMPUTED_VALUE"""),0.0)</f>
        <v>0</v>
      </c>
      <c r="Z204" s="310">
        <f>IFERROR(__xludf.DUMMYFUNCTION("""COMPUTED_VALUE"""),-350.0)</f>
        <v>-350</v>
      </c>
      <c r="AA204" s="310">
        <f>IFERROR(__xludf.DUMMYFUNCTION("""COMPUTED_VALUE"""),0.0)</f>
        <v>0</v>
      </c>
      <c r="AB204" s="310">
        <f>IFERROR(__xludf.DUMMYFUNCTION("""COMPUTED_VALUE"""),0.0)</f>
        <v>0</v>
      </c>
      <c r="AC204" s="310">
        <f>IFERROR(__xludf.DUMMYFUNCTION("""COMPUTED_VALUE"""),0.0)</f>
        <v>0</v>
      </c>
      <c r="AD204" s="310">
        <f>IFERROR(__xludf.DUMMYFUNCTION("""COMPUTED_VALUE"""),0.0)</f>
        <v>0</v>
      </c>
      <c r="AE204" s="310">
        <f>IFERROR(__xludf.DUMMYFUNCTION("""COMPUTED_VALUE"""),0.0)</f>
        <v>0</v>
      </c>
      <c r="AF204" s="310" t="str">
        <f>IFERROR(__xludf.DUMMYFUNCTION("""COMPUTED_VALUE"""),"")</f>
        <v/>
      </c>
      <c r="AG204" s="310">
        <f>IFERROR(__xludf.DUMMYFUNCTION("""COMPUTED_VALUE"""),0.0)</f>
        <v>0</v>
      </c>
      <c r="AH204" s="310">
        <f>IFERROR(__xludf.DUMMYFUNCTION("""COMPUTED_VALUE"""),0.0)</f>
        <v>0</v>
      </c>
      <c r="AI204" s="310">
        <f>IFERROR(__xludf.DUMMYFUNCTION("""COMPUTED_VALUE"""),0.0)</f>
        <v>0</v>
      </c>
      <c r="AJ204" s="310"/>
    </row>
    <row r="205" ht="22.5" customHeight="1">
      <c r="A205" s="311" t="str">
        <f>IFERROR(__xludf.DUMMYFUNCTION("""COMPUTED_VALUE"""),"")</f>
        <v/>
      </c>
      <c r="B205" s="311" t="str">
        <f>IFERROR(__xludf.DUMMYFUNCTION("""COMPUTED_VALUE"""),"")</f>
        <v/>
      </c>
      <c r="C205" s="311">
        <f>IFERROR(__xludf.DUMMYFUNCTION("""COMPUTED_VALUE"""),399.0)</f>
        <v>399</v>
      </c>
      <c r="D205" s="311" t="str">
        <f>IFERROR(__xludf.DUMMYFUNCTION("""COMPUTED_VALUE"""),"CONSELHO TUTELAR ")</f>
        <v>CONSELHO TUTELAR </v>
      </c>
      <c r="E205" s="315" t="str">
        <f>IFERROR(__xludf.DUMMYFUNCTION("""COMPUTED_VALUE"""),"ZONA OESTE")</f>
        <v>ZONA OESTE</v>
      </c>
      <c r="F205" s="311" t="str">
        <f>IFERROR(__xludf.DUMMYFUNCTION("""COMPUTED_VALUE"""),"Rio de Janeiro")</f>
        <v>Rio de Janeiro</v>
      </c>
      <c r="G205" s="311" t="str">
        <f>IFERROR(__xludf.DUMMYFUNCTION("""COMPUTED_VALUE"""),"Cidade de Deus")</f>
        <v>Cidade de Deus</v>
      </c>
      <c r="H205" s="311" t="str">
        <f>IFERROR(__xludf.DUMMYFUNCTION("""COMPUTED_VALUE"""),"Outra Instituição")</f>
        <v>Outra Instituição</v>
      </c>
      <c r="I205" s="311" t="str">
        <f>IFERROR(__xludf.DUMMYFUNCTION("""COMPUTED_VALUE"""),"Público")</f>
        <v>Público</v>
      </c>
      <c r="J205" s="311" t="str">
        <f>IFERROR(__xludf.DUMMYFUNCTION("""COMPUTED_VALUE"""),"")</f>
        <v/>
      </c>
      <c r="K205" s="311" t="str">
        <f>IFERROR(__xludf.DUMMYFUNCTION("""COMPUTED_VALUE"""),"")</f>
        <v/>
      </c>
      <c r="L205" s="311" t="str">
        <f>IFERROR(__xludf.DUMMYFUNCTION("""COMPUTED_VALUE"""),"")</f>
        <v/>
      </c>
      <c r="M205" s="311" t="str">
        <f>IFERROR(__xludf.DUMMYFUNCTION("""COMPUTED_VALUE"""),"")</f>
        <v/>
      </c>
      <c r="N205" s="311">
        <f>IFERROR(__xludf.DUMMYFUNCTION("""COMPUTED_VALUE"""),0.0)</f>
        <v>0</v>
      </c>
      <c r="O205" s="311">
        <f>IFERROR(__xludf.DUMMYFUNCTION("""COMPUTED_VALUE"""),0.0)</f>
        <v>0</v>
      </c>
      <c r="P205" s="311">
        <f>IFERROR(__xludf.DUMMYFUNCTION("""COMPUTED_VALUE"""),0.0)</f>
        <v>0</v>
      </c>
      <c r="Q205" s="311">
        <f>IFERROR(__xludf.DUMMYFUNCTION("""COMPUTED_VALUE"""),0.0)</f>
        <v>0</v>
      </c>
      <c r="R205" s="311">
        <f>IFERROR(__xludf.DUMMYFUNCTION("""COMPUTED_VALUE"""),0.0)</f>
        <v>0</v>
      </c>
      <c r="S205" s="311">
        <f>IFERROR(__xludf.DUMMYFUNCTION("""COMPUTED_VALUE"""),0.0)</f>
        <v>0</v>
      </c>
      <c r="T205" s="311">
        <f>IFERROR(__xludf.DUMMYFUNCTION("""COMPUTED_VALUE"""),100.0)</f>
        <v>100</v>
      </c>
      <c r="U205" s="311">
        <f>IFERROR(__xludf.DUMMYFUNCTION("""COMPUTED_VALUE"""),0.0)</f>
        <v>0</v>
      </c>
      <c r="V205" s="311">
        <f>IFERROR(__xludf.DUMMYFUNCTION("""COMPUTED_VALUE"""),0.0)</f>
        <v>0</v>
      </c>
      <c r="W205" s="311">
        <f>IFERROR(__xludf.DUMMYFUNCTION("""COMPUTED_VALUE"""),0.0)</f>
        <v>0</v>
      </c>
      <c r="X205" s="311">
        <f>IFERROR(__xludf.DUMMYFUNCTION("""COMPUTED_VALUE"""),0.0)</f>
        <v>0</v>
      </c>
      <c r="Y205" s="311">
        <f>IFERROR(__xludf.DUMMYFUNCTION("""COMPUTED_VALUE"""),49.0)</f>
        <v>49</v>
      </c>
      <c r="Z205" s="311">
        <f>IFERROR(__xludf.DUMMYFUNCTION("""COMPUTED_VALUE"""),-100.0)</f>
        <v>-100</v>
      </c>
      <c r="AA205" s="311">
        <f>IFERROR(__xludf.DUMMYFUNCTION("""COMPUTED_VALUE"""),0.0)</f>
        <v>0</v>
      </c>
      <c r="AB205" s="311">
        <f>IFERROR(__xludf.DUMMYFUNCTION("""COMPUTED_VALUE"""),0.0)</f>
        <v>0</v>
      </c>
      <c r="AC205" s="311">
        <f>IFERROR(__xludf.DUMMYFUNCTION("""COMPUTED_VALUE"""),0.0)</f>
        <v>0</v>
      </c>
      <c r="AD205" s="311">
        <f>IFERROR(__xludf.DUMMYFUNCTION("""COMPUTED_VALUE"""),-49.0)</f>
        <v>-49</v>
      </c>
      <c r="AE205" s="311">
        <f>IFERROR(__xludf.DUMMYFUNCTION("""COMPUTED_VALUE"""),0.0)</f>
        <v>0</v>
      </c>
      <c r="AF205" s="311" t="str">
        <f>IFERROR(__xludf.DUMMYFUNCTION("""COMPUTED_VALUE"""),"")</f>
        <v/>
      </c>
      <c r="AG205" s="311">
        <f>IFERROR(__xludf.DUMMYFUNCTION("""COMPUTED_VALUE"""),0.0)</f>
        <v>0</v>
      </c>
      <c r="AH205" s="311">
        <f>IFERROR(__xludf.DUMMYFUNCTION("""COMPUTED_VALUE"""),0.0)</f>
        <v>0</v>
      </c>
      <c r="AI205" s="311">
        <f>IFERROR(__xludf.DUMMYFUNCTION("""COMPUTED_VALUE"""),0.0)</f>
        <v>0</v>
      </c>
      <c r="AJ205" s="311"/>
    </row>
    <row r="206" ht="22.5" customHeight="1">
      <c r="A206" s="310" t="str">
        <f>IFERROR(__xludf.DUMMYFUNCTION("""COMPUTED_VALUE"""),"")</f>
        <v/>
      </c>
      <c r="B206" s="310" t="str">
        <f>IFERROR(__xludf.DUMMYFUNCTION("""COMPUTED_VALUE"""),"")</f>
        <v/>
      </c>
      <c r="C206" s="310">
        <f>IFERROR(__xludf.DUMMYFUNCTION("""COMPUTED_VALUE"""),400.0)</f>
        <v>400</v>
      </c>
      <c r="D206" s="310" t="str">
        <f>IFERROR(__xludf.DUMMYFUNCTION("""COMPUTED_VALUE"""),"Secretaria Municipal de Saúde de Teresópolis")</f>
        <v>Secretaria Municipal de Saúde de Teresópolis</v>
      </c>
      <c r="E206" s="313" t="str">
        <f>IFERROR(__xludf.DUMMYFUNCTION("""COMPUTED_VALUE"""),"REGIAO SERRANA")</f>
        <v>REGIAO SERRANA</v>
      </c>
      <c r="F206" s="310" t="str">
        <f>IFERROR(__xludf.DUMMYFUNCTION("""COMPUTED_VALUE"""),"Teresópolis")</f>
        <v>Teresópolis</v>
      </c>
      <c r="G206" s="310" t="str">
        <f>IFERROR(__xludf.DUMMYFUNCTION("""COMPUTED_VALUE"""),"Teresópolis")</f>
        <v>Teresópolis</v>
      </c>
      <c r="H206" s="310" t="str">
        <f>IFERROR(__xludf.DUMMYFUNCTION("""COMPUTED_VALUE"""),"Outra Instituição")</f>
        <v>Outra Instituição</v>
      </c>
      <c r="I206" s="310" t="str">
        <f>IFERROR(__xludf.DUMMYFUNCTION("""COMPUTED_VALUE"""),"Público")</f>
        <v>Público</v>
      </c>
      <c r="J206" s="310" t="str">
        <f>IFERROR(__xludf.DUMMYFUNCTION("""COMPUTED_VALUE"""),"")</f>
        <v/>
      </c>
      <c r="K206" s="310" t="str">
        <f>IFERROR(__xludf.DUMMYFUNCTION("""COMPUTED_VALUE"""),"")</f>
        <v/>
      </c>
      <c r="L206" s="310" t="str">
        <f>IFERROR(__xludf.DUMMYFUNCTION("""COMPUTED_VALUE"""),"")</f>
        <v/>
      </c>
      <c r="M206" s="310" t="str">
        <f>IFERROR(__xludf.DUMMYFUNCTION("""COMPUTED_VALUE"""),"")</f>
        <v/>
      </c>
      <c r="N206" s="310">
        <f>IFERROR(__xludf.DUMMYFUNCTION("""COMPUTED_VALUE"""),0.0)</f>
        <v>0</v>
      </c>
      <c r="O206" s="310">
        <f>IFERROR(__xludf.DUMMYFUNCTION("""COMPUTED_VALUE"""),0.0)</f>
        <v>0</v>
      </c>
      <c r="P206" s="310">
        <f>IFERROR(__xludf.DUMMYFUNCTION("""COMPUTED_VALUE"""),0.0)</f>
        <v>0</v>
      </c>
      <c r="Q206" s="310">
        <f>IFERROR(__xludf.DUMMYFUNCTION("""COMPUTED_VALUE"""),0.0)</f>
        <v>0</v>
      </c>
      <c r="R206" s="310">
        <f>IFERROR(__xludf.DUMMYFUNCTION("""COMPUTED_VALUE"""),0.0)</f>
        <v>0</v>
      </c>
      <c r="S206" s="310">
        <f>IFERROR(__xludf.DUMMYFUNCTION("""COMPUTED_VALUE"""),0.0)</f>
        <v>0</v>
      </c>
      <c r="T206" s="310">
        <f>IFERROR(__xludf.DUMMYFUNCTION("""COMPUTED_VALUE"""),130.0)</f>
        <v>130</v>
      </c>
      <c r="U206" s="310">
        <f>IFERROR(__xludf.DUMMYFUNCTION("""COMPUTED_VALUE"""),0.0)</f>
        <v>0</v>
      </c>
      <c r="V206" s="310">
        <f>IFERROR(__xludf.DUMMYFUNCTION("""COMPUTED_VALUE"""),0.0)</f>
        <v>0</v>
      </c>
      <c r="W206" s="310">
        <f>IFERROR(__xludf.DUMMYFUNCTION("""COMPUTED_VALUE"""),0.0)</f>
        <v>0</v>
      </c>
      <c r="X206" s="310">
        <f>IFERROR(__xludf.DUMMYFUNCTION("""COMPUTED_VALUE"""),0.0)</f>
        <v>0</v>
      </c>
      <c r="Y206" s="310">
        <f>IFERROR(__xludf.DUMMYFUNCTION("""COMPUTED_VALUE"""),50.0)</f>
        <v>50</v>
      </c>
      <c r="Z206" s="310">
        <f>IFERROR(__xludf.DUMMYFUNCTION("""COMPUTED_VALUE"""),-130.0)</f>
        <v>-130</v>
      </c>
      <c r="AA206" s="310">
        <f>IFERROR(__xludf.DUMMYFUNCTION("""COMPUTED_VALUE"""),0.0)</f>
        <v>0</v>
      </c>
      <c r="AB206" s="310">
        <f>IFERROR(__xludf.DUMMYFUNCTION("""COMPUTED_VALUE"""),0.0)</f>
        <v>0</v>
      </c>
      <c r="AC206" s="310">
        <f>IFERROR(__xludf.DUMMYFUNCTION("""COMPUTED_VALUE"""),0.0)</f>
        <v>0</v>
      </c>
      <c r="AD206" s="310">
        <f>IFERROR(__xludf.DUMMYFUNCTION("""COMPUTED_VALUE"""),-50.0)</f>
        <v>-50</v>
      </c>
      <c r="AE206" s="310">
        <f>IFERROR(__xludf.DUMMYFUNCTION("""COMPUTED_VALUE"""),0.0)</f>
        <v>0</v>
      </c>
      <c r="AF206" s="310" t="str">
        <f>IFERROR(__xludf.DUMMYFUNCTION("""COMPUTED_VALUE"""),"")</f>
        <v/>
      </c>
      <c r="AG206" s="310">
        <f>IFERROR(__xludf.DUMMYFUNCTION("""COMPUTED_VALUE"""),0.0)</f>
        <v>0</v>
      </c>
      <c r="AH206" s="310">
        <f>IFERROR(__xludf.DUMMYFUNCTION("""COMPUTED_VALUE"""),0.0)</f>
        <v>0</v>
      </c>
      <c r="AI206" s="310">
        <f>IFERROR(__xludf.DUMMYFUNCTION("""COMPUTED_VALUE"""),0.0)</f>
        <v>0</v>
      </c>
      <c r="AJ206" s="310"/>
    </row>
    <row r="207" ht="22.5" customHeight="1">
      <c r="A207" s="311" t="str">
        <f>IFERROR(__xludf.DUMMYFUNCTION("""COMPUTED_VALUE"""),"")</f>
        <v/>
      </c>
      <c r="B207" s="311" t="str">
        <f>IFERROR(__xludf.DUMMYFUNCTION("""COMPUTED_VALUE"""),"")</f>
        <v/>
      </c>
      <c r="C207" s="311">
        <f>IFERROR(__xludf.DUMMYFUNCTION("""COMPUTED_VALUE"""),401.0)</f>
        <v>401</v>
      </c>
      <c r="D207" s="311" t="str">
        <f>IFERROR(__xludf.DUMMYFUNCTION("""COMPUTED_VALUE"""),"UPA Parque Lafaiete")</f>
        <v>UPA Parque Lafaiete</v>
      </c>
      <c r="E207" s="315" t="str">
        <f>IFERROR(__xludf.DUMMYFUNCTION("""COMPUTED_VALUE"""),"BAIXADA FLUMINENSE")</f>
        <v>BAIXADA FLUMINENSE</v>
      </c>
      <c r="F207" s="311" t="str">
        <f>IFERROR(__xludf.DUMMYFUNCTION("""COMPUTED_VALUE"""),"Duque de Caxias")</f>
        <v>Duque de Caxias</v>
      </c>
      <c r="G207" s="311" t="str">
        <f>IFERROR(__xludf.DUMMYFUNCTION("""COMPUTED_VALUE"""),"Parque Lafaiete")</f>
        <v>Parque Lafaiete</v>
      </c>
      <c r="H207" s="311" t="str">
        <f>IFERROR(__xludf.DUMMYFUNCTION("""COMPUTED_VALUE"""),"Grande emergência - MÉDIA COMPLEXIDADE
")</f>
        <v>Grande emergência - MÉDIA COMPLEXIDADE
</v>
      </c>
      <c r="I207" s="311" t="str">
        <f>IFERROR(__xludf.DUMMYFUNCTION("""COMPUTED_VALUE"""),"Público")</f>
        <v>Público</v>
      </c>
      <c r="J207" s="311" t="str">
        <f>IFERROR(__xludf.DUMMYFUNCTION("""COMPUTED_VALUE"""),"")</f>
        <v/>
      </c>
      <c r="K207" s="311" t="str">
        <f>IFERROR(__xludf.DUMMYFUNCTION("""COMPUTED_VALUE"""),"")</f>
        <v/>
      </c>
      <c r="L207" s="311" t="str">
        <f>IFERROR(__xludf.DUMMYFUNCTION("""COMPUTED_VALUE"""),"")</f>
        <v/>
      </c>
      <c r="M207" s="311" t="str">
        <f>IFERROR(__xludf.DUMMYFUNCTION("""COMPUTED_VALUE"""),"")</f>
        <v/>
      </c>
      <c r="N207" s="311">
        <f>IFERROR(__xludf.DUMMYFUNCTION("""COMPUTED_VALUE"""),0.0)</f>
        <v>0</v>
      </c>
      <c r="O207" s="311">
        <f>IFERROR(__xludf.DUMMYFUNCTION("""COMPUTED_VALUE"""),0.0)</f>
        <v>0</v>
      </c>
      <c r="P207" s="311">
        <f>IFERROR(__xludf.DUMMYFUNCTION("""COMPUTED_VALUE"""),0.0)</f>
        <v>0</v>
      </c>
      <c r="Q207" s="311">
        <f>IFERROR(__xludf.DUMMYFUNCTION("""COMPUTED_VALUE"""),0.0)</f>
        <v>0</v>
      </c>
      <c r="R207" s="311">
        <f>IFERROR(__xludf.DUMMYFUNCTION("""COMPUTED_VALUE"""),0.0)</f>
        <v>0</v>
      </c>
      <c r="S207" s="311">
        <f>IFERROR(__xludf.DUMMYFUNCTION("""COMPUTED_VALUE"""),0.0)</f>
        <v>0</v>
      </c>
      <c r="T207" s="311">
        <f>IFERROR(__xludf.DUMMYFUNCTION("""COMPUTED_VALUE"""),50.0)</f>
        <v>50</v>
      </c>
      <c r="U207" s="311">
        <f>IFERROR(__xludf.DUMMYFUNCTION("""COMPUTED_VALUE"""),0.0)</f>
        <v>0</v>
      </c>
      <c r="V207" s="311">
        <f>IFERROR(__xludf.DUMMYFUNCTION("""COMPUTED_VALUE"""),0.0)</f>
        <v>0</v>
      </c>
      <c r="W207" s="311">
        <f>IFERROR(__xludf.DUMMYFUNCTION("""COMPUTED_VALUE"""),0.0)</f>
        <v>0</v>
      </c>
      <c r="X207" s="311">
        <f>IFERROR(__xludf.DUMMYFUNCTION("""COMPUTED_VALUE"""),0.0)</f>
        <v>0</v>
      </c>
      <c r="Y207" s="311">
        <f>IFERROR(__xludf.DUMMYFUNCTION("""COMPUTED_VALUE"""),0.0)</f>
        <v>0</v>
      </c>
      <c r="Z207" s="311">
        <f>IFERROR(__xludf.DUMMYFUNCTION("""COMPUTED_VALUE"""),-50.0)</f>
        <v>-50</v>
      </c>
      <c r="AA207" s="311">
        <f>IFERROR(__xludf.DUMMYFUNCTION("""COMPUTED_VALUE"""),0.0)</f>
        <v>0</v>
      </c>
      <c r="AB207" s="311">
        <f>IFERROR(__xludf.DUMMYFUNCTION("""COMPUTED_VALUE"""),0.0)</f>
        <v>0</v>
      </c>
      <c r="AC207" s="311">
        <f>IFERROR(__xludf.DUMMYFUNCTION("""COMPUTED_VALUE"""),0.0)</f>
        <v>0</v>
      </c>
      <c r="AD207" s="311">
        <f>IFERROR(__xludf.DUMMYFUNCTION("""COMPUTED_VALUE"""),0.0)</f>
        <v>0</v>
      </c>
      <c r="AE207" s="311">
        <f>IFERROR(__xludf.DUMMYFUNCTION("""COMPUTED_VALUE"""),0.0)</f>
        <v>0</v>
      </c>
      <c r="AF207" s="311" t="str">
        <f>IFERROR(__xludf.DUMMYFUNCTION("""COMPUTED_VALUE"""),"")</f>
        <v/>
      </c>
      <c r="AG207" s="311">
        <f>IFERROR(__xludf.DUMMYFUNCTION("""COMPUTED_VALUE"""),0.0)</f>
        <v>0</v>
      </c>
      <c r="AH207" s="311">
        <f>IFERROR(__xludf.DUMMYFUNCTION("""COMPUTED_VALUE"""),0.0)</f>
        <v>0</v>
      </c>
      <c r="AI207" s="311">
        <f>IFERROR(__xludf.DUMMYFUNCTION("""COMPUTED_VALUE"""),0.0)</f>
        <v>0</v>
      </c>
      <c r="AJ207" s="311"/>
    </row>
    <row r="208" ht="22.5" customHeight="1">
      <c r="A208" s="310" t="str">
        <f>IFERROR(__xludf.DUMMYFUNCTION("""COMPUTED_VALUE"""),"")</f>
        <v/>
      </c>
      <c r="B208" s="310" t="str">
        <f>IFERROR(__xludf.DUMMYFUNCTION("""COMPUTED_VALUE"""),"")</f>
        <v/>
      </c>
      <c r="C208" s="310">
        <f>IFERROR(__xludf.DUMMYFUNCTION("""COMPUTED_VALUE"""),402.0)</f>
        <v>402</v>
      </c>
      <c r="D208" s="310" t="str">
        <f>IFERROR(__xludf.DUMMYFUNCTION("""COMPUTED_VALUE"""),"Unidade de emergência de figueira")</f>
        <v>Unidade de emergência de figueira</v>
      </c>
      <c r="E208" s="313" t="str">
        <f>IFERROR(__xludf.DUMMYFUNCTION("""COMPUTED_VALUE"""),"REGIAO DOS LAGOS")</f>
        <v>REGIAO DOS LAGOS</v>
      </c>
      <c r="F208" s="310" t="str">
        <f>IFERROR(__xludf.DUMMYFUNCTION("""COMPUTED_VALUE"""),"Arraial do Cabo")</f>
        <v>Arraial do Cabo</v>
      </c>
      <c r="G208" s="310" t="str">
        <f>IFERROR(__xludf.DUMMYFUNCTION("""COMPUTED_VALUE"""),"Figueira")</f>
        <v>Figueira</v>
      </c>
      <c r="H208" s="310" t="str">
        <f>IFERROR(__xludf.DUMMYFUNCTION("""COMPUTED_VALUE"""),"Grande emergência - MÉDIA COMPLEXIDADE
")</f>
        <v>Grande emergência - MÉDIA COMPLEXIDADE
</v>
      </c>
      <c r="I208" s="310" t="str">
        <f>IFERROR(__xludf.DUMMYFUNCTION("""COMPUTED_VALUE"""),"Público")</f>
        <v>Público</v>
      </c>
      <c r="J208" s="310" t="str">
        <f>IFERROR(__xludf.DUMMYFUNCTION("""COMPUTED_VALUE"""),"")</f>
        <v/>
      </c>
      <c r="K208" s="310" t="str">
        <f>IFERROR(__xludf.DUMMYFUNCTION("""COMPUTED_VALUE"""),"")</f>
        <v/>
      </c>
      <c r="L208" s="310" t="str">
        <f>IFERROR(__xludf.DUMMYFUNCTION("""COMPUTED_VALUE"""),"")</f>
        <v/>
      </c>
      <c r="M208" s="310" t="str">
        <f>IFERROR(__xludf.DUMMYFUNCTION("""COMPUTED_VALUE"""),"")</f>
        <v/>
      </c>
      <c r="N208" s="310">
        <f>IFERROR(__xludf.DUMMYFUNCTION("""COMPUTED_VALUE"""),0.0)</f>
        <v>0</v>
      </c>
      <c r="O208" s="310">
        <f>IFERROR(__xludf.DUMMYFUNCTION("""COMPUTED_VALUE"""),0.0)</f>
        <v>0</v>
      </c>
      <c r="P208" s="310">
        <f>IFERROR(__xludf.DUMMYFUNCTION("""COMPUTED_VALUE"""),0.0)</f>
        <v>0</v>
      </c>
      <c r="Q208" s="310">
        <f>IFERROR(__xludf.DUMMYFUNCTION("""COMPUTED_VALUE"""),0.0)</f>
        <v>0</v>
      </c>
      <c r="R208" s="310">
        <f>IFERROR(__xludf.DUMMYFUNCTION("""COMPUTED_VALUE"""),0.0)</f>
        <v>0</v>
      </c>
      <c r="S208" s="310">
        <f>IFERROR(__xludf.DUMMYFUNCTION("""COMPUTED_VALUE"""),0.0)</f>
        <v>0</v>
      </c>
      <c r="T208" s="310">
        <f>IFERROR(__xludf.DUMMYFUNCTION("""COMPUTED_VALUE"""),100.0)</f>
        <v>100</v>
      </c>
      <c r="U208" s="310">
        <f>IFERROR(__xludf.DUMMYFUNCTION("""COMPUTED_VALUE"""),0.0)</f>
        <v>0</v>
      </c>
      <c r="V208" s="310">
        <f>IFERROR(__xludf.DUMMYFUNCTION("""COMPUTED_VALUE"""),0.0)</f>
        <v>0</v>
      </c>
      <c r="W208" s="310">
        <f>IFERROR(__xludf.DUMMYFUNCTION("""COMPUTED_VALUE"""),0.0)</f>
        <v>0</v>
      </c>
      <c r="X208" s="310">
        <f>IFERROR(__xludf.DUMMYFUNCTION("""COMPUTED_VALUE"""),0.0)</f>
        <v>0</v>
      </c>
      <c r="Y208" s="310">
        <f>IFERROR(__xludf.DUMMYFUNCTION("""COMPUTED_VALUE"""),0.0)</f>
        <v>0</v>
      </c>
      <c r="Z208" s="310">
        <f>IFERROR(__xludf.DUMMYFUNCTION("""COMPUTED_VALUE"""),-100.0)</f>
        <v>-100</v>
      </c>
      <c r="AA208" s="310">
        <f>IFERROR(__xludf.DUMMYFUNCTION("""COMPUTED_VALUE"""),0.0)</f>
        <v>0</v>
      </c>
      <c r="AB208" s="310">
        <f>IFERROR(__xludf.DUMMYFUNCTION("""COMPUTED_VALUE"""),0.0)</f>
        <v>0</v>
      </c>
      <c r="AC208" s="310">
        <f>IFERROR(__xludf.DUMMYFUNCTION("""COMPUTED_VALUE"""),0.0)</f>
        <v>0</v>
      </c>
      <c r="AD208" s="310">
        <f>IFERROR(__xludf.DUMMYFUNCTION("""COMPUTED_VALUE"""),0.0)</f>
        <v>0</v>
      </c>
      <c r="AE208" s="310">
        <f>IFERROR(__xludf.DUMMYFUNCTION("""COMPUTED_VALUE"""),0.0)</f>
        <v>0</v>
      </c>
      <c r="AF208" s="310" t="str">
        <f>IFERROR(__xludf.DUMMYFUNCTION("""COMPUTED_VALUE"""),"")</f>
        <v/>
      </c>
      <c r="AG208" s="310">
        <f>IFERROR(__xludf.DUMMYFUNCTION("""COMPUTED_VALUE"""),0.0)</f>
        <v>0</v>
      </c>
      <c r="AH208" s="310">
        <f>IFERROR(__xludf.DUMMYFUNCTION("""COMPUTED_VALUE"""),0.0)</f>
        <v>0</v>
      </c>
      <c r="AI208" s="310">
        <f>IFERROR(__xludf.DUMMYFUNCTION("""COMPUTED_VALUE"""),0.0)</f>
        <v>0</v>
      </c>
      <c r="AJ208" s="310"/>
    </row>
    <row r="209" ht="22.5" customHeight="1">
      <c r="A209" s="311" t="str">
        <f>IFERROR(__xludf.DUMMYFUNCTION("""COMPUTED_VALUE"""),"")</f>
        <v/>
      </c>
      <c r="B209" s="311" t="str">
        <f>IFERROR(__xludf.DUMMYFUNCTION("""COMPUTED_VALUE"""),"")</f>
        <v/>
      </c>
      <c r="C209" s="311">
        <f>IFERROR(__xludf.DUMMYFUNCTION("""COMPUTED_VALUE"""),403.0)</f>
        <v>403</v>
      </c>
      <c r="D209" s="311" t="str">
        <f>IFERROR(__xludf.DUMMYFUNCTION("""COMPUTED_VALUE"""),"CMS CATIRI")</f>
        <v>CMS CATIRI</v>
      </c>
      <c r="E209" s="315" t="str">
        <f>IFERROR(__xludf.DUMMYFUNCTION("""COMPUTED_VALUE"""),"ZONA OESTE")</f>
        <v>ZONA OESTE</v>
      </c>
      <c r="F209" s="311" t="str">
        <f>IFERROR(__xludf.DUMMYFUNCTION("""COMPUTED_VALUE"""),"Rio de Janeiro")</f>
        <v>Rio de Janeiro</v>
      </c>
      <c r="G209" s="311" t="str">
        <f>IFERROR(__xludf.DUMMYFUNCTION("""COMPUTED_VALUE"""),"Bangu")</f>
        <v>Bangu</v>
      </c>
      <c r="H209" s="311" t="str">
        <f>IFERROR(__xludf.DUMMYFUNCTION("""COMPUTED_VALUE"""),"Unidade básica de saúde - BAIXA COMPLEXIDADE")</f>
        <v>Unidade básica de saúde - BAIXA COMPLEXIDADE</v>
      </c>
      <c r="I209" s="311" t="str">
        <f>IFERROR(__xludf.DUMMYFUNCTION("""COMPUTED_VALUE"""),"Público")</f>
        <v>Público</v>
      </c>
      <c r="J209" s="311" t="str">
        <f>IFERROR(__xludf.DUMMYFUNCTION("""COMPUTED_VALUE"""),"")</f>
        <v/>
      </c>
      <c r="K209" s="311" t="str">
        <f>IFERROR(__xludf.DUMMYFUNCTION("""COMPUTED_VALUE"""),"")</f>
        <v/>
      </c>
      <c r="L209" s="311" t="str">
        <f>IFERROR(__xludf.DUMMYFUNCTION("""COMPUTED_VALUE"""),"")</f>
        <v/>
      </c>
      <c r="M209" s="311" t="str">
        <f>IFERROR(__xludf.DUMMYFUNCTION("""COMPUTED_VALUE"""),"")</f>
        <v/>
      </c>
      <c r="N209" s="311">
        <f>IFERROR(__xludf.DUMMYFUNCTION("""COMPUTED_VALUE"""),0.0)</f>
        <v>0</v>
      </c>
      <c r="O209" s="311">
        <f>IFERROR(__xludf.DUMMYFUNCTION("""COMPUTED_VALUE"""),0.0)</f>
        <v>0</v>
      </c>
      <c r="P209" s="311">
        <f>IFERROR(__xludf.DUMMYFUNCTION("""COMPUTED_VALUE"""),0.0)</f>
        <v>0</v>
      </c>
      <c r="Q209" s="311">
        <f>IFERROR(__xludf.DUMMYFUNCTION("""COMPUTED_VALUE"""),0.0)</f>
        <v>0</v>
      </c>
      <c r="R209" s="311">
        <f>IFERROR(__xludf.DUMMYFUNCTION("""COMPUTED_VALUE"""),0.0)</f>
        <v>0</v>
      </c>
      <c r="S209" s="311">
        <f>IFERROR(__xludf.DUMMYFUNCTION("""COMPUTED_VALUE"""),0.0)</f>
        <v>0</v>
      </c>
      <c r="T209" s="311">
        <f>IFERROR(__xludf.DUMMYFUNCTION("""COMPUTED_VALUE"""),50.0)</f>
        <v>50</v>
      </c>
      <c r="U209" s="311">
        <f>IFERROR(__xludf.DUMMYFUNCTION("""COMPUTED_VALUE"""),0.0)</f>
        <v>0</v>
      </c>
      <c r="V209" s="311">
        <f>IFERROR(__xludf.DUMMYFUNCTION("""COMPUTED_VALUE"""),0.0)</f>
        <v>0</v>
      </c>
      <c r="W209" s="311">
        <f>IFERROR(__xludf.DUMMYFUNCTION("""COMPUTED_VALUE"""),0.0)</f>
        <v>0</v>
      </c>
      <c r="X209" s="311">
        <f>IFERROR(__xludf.DUMMYFUNCTION("""COMPUTED_VALUE"""),0.0)</f>
        <v>0</v>
      </c>
      <c r="Y209" s="311">
        <f>IFERROR(__xludf.DUMMYFUNCTION("""COMPUTED_VALUE"""),0.0)</f>
        <v>0</v>
      </c>
      <c r="Z209" s="311">
        <f>IFERROR(__xludf.DUMMYFUNCTION("""COMPUTED_VALUE"""),-50.0)</f>
        <v>-50</v>
      </c>
      <c r="AA209" s="311">
        <f>IFERROR(__xludf.DUMMYFUNCTION("""COMPUTED_VALUE"""),0.0)</f>
        <v>0</v>
      </c>
      <c r="AB209" s="311">
        <f>IFERROR(__xludf.DUMMYFUNCTION("""COMPUTED_VALUE"""),0.0)</f>
        <v>0</v>
      </c>
      <c r="AC209" s="311">
        <f>IFERROR(__xludf.DUMMYFUNCTION("""COMPUTED_VALUE"""),0.0)</f>
        <v>0</v>
      </c>
      <c r="AD209" s="311">
        <f>IFERROR(__xludf.DUMMYFUNCTION("""COMPUTED_VALUE"""),0.0)</f>
        <v>0</v>
      </c>
      <c r="AE209" s="311">
        <f>IFERROR(__xludf.DUMMYFUNCTION("""COMPUTED_VALUE"""),0.0)</f>
        <v>0</v>
      </c>
      <c r="AF209" s="311" t="str">
        <f>IFERROR(__xludf.DUMMYFUNCTION("""COMPUTED_VALUE"""),"")</f>
        <v/>
      </c>
      <c r="AG209" s="311">
        <f>IFERROR(__xludf.DUMMYFUNCTION("""COMPUTED_VALUE"""),0.0)</f>
        <v>0</v>
      </c>
      <c r="AH209" s="311">
        <f>IFERROR(__xludf.DUMMYFUNCTION("""COMPUTED_VALUE"""),0.0)</f>
        <v>0</v>
      </c>
      <c r="AI209" s="311">
        <f>IFERROR(__xludf.DUMMYFUNCTION("""COMPUTED_VALUE"""),0.0)</f>
        <v>0</v>
      </c>
      <c r="AJ209" s="311"/>
    </row>
    <row r="210" ht="22.5" customHeight="1">
      <c r="A210" s="310" t="str">
        <f>IFERROR(__xludf.DUMMYFUNCTION("""COMPUTED_VALUE"""),"")</f>
        <v/>
      </c>
      <c r="B210" s="310" t="str">
        <f>IFERROR(__xludf.DUMMYFUNCTION("""COMPUTED_VALUE"""),"")</f>
        <v/>
      </c>
      <c r="C210" s="310">
        <f>IFERROR(__xludf.DUMMYFUNCTION("""COMPUTED_VALUE"""),404.0)</f>
        <v>404</v>
      </c>
      <c r="D210" s="310" t="str">
        <f>IFERROR(__xludf.DUMMYFUNCTION("""COMPUTED_VALUE"""),"CMS Waldir Franco")</f>
        <v>CMS Waldir Franco</v>
      </c>
      <c r="E210" s="313" t="str">
        <f>IFERROR(__xludf.DUMMYFUNCTION("""COMPUTED_VALUE"""),"ZONA OESTE")</f>
        <v>ZONA OESTE</v>
      </c>
      <c r="F210" s="310" t="str">
        <f>IFERROR(__xludf.DUMMYFUNCTION("""COMPUTED_VALUE"""),"Rio de Janeiro")</f>
        <v>Rio de Janeiro</v>
      </c>
      <c r="G210" s="310" t="str">
        <f>IFERROR(__xludf.DUMMYFUNCTION("""COMPUTED_VALUE"""),"Bangu")</f>
        <v>Bangu</v>
      </c>
      <c r="H210" s="310" t="str">
        <f>IFERROR(__xludf.DUMMYFUNCTION("""COMPUTED_VALUE"""),"Unidade básica de saúde - BAIXA COMPLEXIDADE")</f>
        <v>Unidade básica de saúde - BAIXA COMPLEXIDADE</v>
      </c>
      <c r="I210" s="310" t="str">
        <f>IFERROR(__xludf.DUMMYFUNCTION("""COMPUTED_VALUE"""),"Público")</f>
        <v>Público</v>
      </c>
      <c r="J210" s="310" t="str">
        <f>IFERROR(__xludf.DUMMYFUNCTION("""COMPUTED_VALUE"""),"")</f>
        <v/>
      </c>
      <c r="K210" s="310" t="str">
        <f>IFERROR(__xludf.DUMMYFUNCTION("""COMPUTED_VALUE"""),"")</f>
        <v/>
      </c>
      <c r="L210" s="310" t="str">
        <f>IFERROR(__xludf.DUMMYFUNCTION("""COMPUTED_VALUE"""),"")</f>
        <v/>
      </c>
      <c r="M210" s="310" t="str">
        <f>IFERROR(__xludf.DUMMYFUNCTION("""COMPUTED_VALUE"""),"")</f>
        <v/>
      </c>
      <c r="N210" s="310">
        <f>IFERROR(__xludf.DUMMYFUNCTION("""COMPUTED_VALUE"""),0.0)</f>
        <v>0</v>
      </c>
      <c r="O210" s="310">
        <f>IFERROR(__xludf.DUMMYFUNCTION("""COMPUTED_VALUE"""),0.0)</f>
        <v>0</v>
      </c>
      <c r="P210" s="310">
        <f>IFERROR(__xludf.DUMMYFUNCTION("""COMPUTED_VALUE"""),0.0)</f>
        <v>0</v>
      </c>
      <c r="Q210" s="310">
        <f>IFERROR(__xludf.DUMMYFUNCTION("""COMPUTED_VALUE"""),0.0)</f>
        <v>0</v>
      </c>
      <c r="R210" s="310">
        <f>IFERROR(__xludf.DUMMYFUNCTION("""COMPUTED_VALUE"""),0.0)</f>
        <v>0</v>
      </c>
      <c r="S210" s="310">
        <f>IFERROR(__xludf.DUMMYFUNCTION("""COMPUTED_VALUE"""),0.0)</f>
        <v>0</v>
      </c>
      <c r="T210" s="310">
        <f>IFERROR(__xludf.DUMMYFUNCTION("""COMPUTED_VALUE"""),50.0)</f>
        <v>50</v>
      </c>
      <c r="U210" s="310">
        <f>IFERROR(__xludf.DUMMYFUNCTION("""COMPUTED_VALUE"""),0.0)</f>
        <v>0</v>
      </c>
      <c r="V210" s="310">
        <f>IFERROR(__xludf.DUMMYFUNCTION("""COMPUTED_VALUE"""),0.0)</f>
        <v>0</v>
      </c>
      <c r="W210" s="310">
        <f>IFERROR(__xludf.DUMMYFUNCTION("""COMPUTED_VALUE"""),0.0)</f>
        <v>0</v>
      </c>
      <c r="X210" s="310">
        <f>IFERROR(__xludf.DUMMYFUNCTION("""COMPUTED_VALUE"""),0.0)</f>
        <v>0</v>
      </c>
      <c r="Y210" s="310">
        <f>IFERROR(__xludf.DUMMYFUNCTION("""COMPUTED_VALUE"""),0.0)</f>
        <v>0</v>
      </c>
      <c r="Z210" s="310">
        <f>IFERROR(__xludf.DUMMYFUNCTION("""COMPUTED_VALUE"""),-50.0)</f>
        <v>-50</v>
      </c>
      <c r="AA210" s="310">
        <f>IFERROR(__xludf.DUMMYFUNCTION("""COMPUTED_VALUE"""),0.0)</f>
        <v>0</v>
      </c>
      <c r="AB210" s="310">
        <f>IFERROR(__xludf.DUMMYFUNCTION("""COMPUTED_VALUE"""),0.0)</f>
        <v>0</v>
      </c>
      <c r="AC210" s="310">
        <f>IFERROR(__xludf.DUMMYFUNCTION("""COMPUTED_VALUE"""),0.0)</f>
        <v>0</v>
      </c>
      <c r="AD210" s="310">
        <f>IFERROR(__xludf.DUMMYFUNCTION("""COMPUTED_VALUE"""),0.0)</f>
        <v>0</v>
      </c>
      <c r="AE210" s="310">
        <f>IFERROR(__xludf.DUMMYFUNCTION("""COMPUTED_VALUE"""),0.0)</f>
        <v>0</v>
      </c>
      <c r="AF210" s="310" t="str">
        <f>IFERROR(__xludf.DUMMYFUNCTION("""COMPUTED_VALUE"""),"")</f>
        <v/>
      </c>
      <c r="AG210" s="310">
        <f>IFERROR(__xludf.DUMMYFUNCTION("""COMPUTED_VALUE"""),0.0)</f>
        <v>0</v>
      </c>
      <c r="AH210" s="310">
        <f>IFERROR(__xludf.DUMMYFUNCTION("""COMPUTED_VALUE"""),0.0)</f>
        <v>0</v>
      </c>
      <c r="AI210" s="310">
        <f>IFERROR(__xludf.DUMMYFUNCTION("""COMPUTED_VALUE"""),0.0)</f>
        <v>0</v>
      </c>
      <c r="AJ210" s="310"/>
    </row>
    <row r="211" ht="22.5" customHeight="1">
      <c r="A211" s="311" t="str">
        <f>IFERROR(__xludf.DUMMYFUNCTION("""COMPUTED_VALUE"""),"")</f>
        <v/>
      </c>
      <c r="B211" s="311" t="str">
        <f>IFERROR(__xludf.DUMMYFUNCTION("""COMPUTED_VALUE"""),"")</f>
        <v/>
      </c>
      <c r="C211" s="311">
        <f>IFERROR(__xludf.DUMMYFUNCTION("""COMPUTED_VALUE"""),405.0)</f>
        <v>405</v>
      </c>
      <c r="D211" s="311" t="str">
        <f>IFERROR(__xludf.DUMMYFUNCTION("""COMPUTED_VALUE"""),"CMS Dr Eithel Pinheiro de Oliveira Lima")</f>
        <v>CMS Dr Eithel Pinheiro de Oliveira Lima</v>
      </c>
      <c r="E211" s="315" t="str">
        <f>IFERROR(__xludf.DUMMYFUNCTION("""COMPUTED_VALUE"""),"ZONA OESTE")</f>
        <v>ZONA OESTE</v>
      </c>
      <c r="F211" s="311" t="str">
        <f>IFERROR(__xludf.DUMMYFUNCTION("""COMPUTED_VALUE"""),"Rio de Janeiro")</f>
        <v>Rio de Janeiro</v>
      </c>
      <c r="G211" s="311" t="str">
        <f>IFERROR(__xludf.DUMMYFUNCTION("""COMPUTED_VALUE"""),"Senador Camará")</f>
        <v>Senador Camará</v>
      </c>
      <c r="H211" s="311" t="str">
        <f>IFERROR(__xludf.DUMMYFUNCTION("""COMPUTED_VALUE"""),"Unidade básica de saúde - BAIXA COMPLEXIDADE")</f>
        <v>Unidade básica de saúde - BAIXA COMPLEXIDADE</v>
      </c>
      <c r="I211" s="311" t="str">
        <f>IFERROR(__xludf.DUMMYFUNCTION("""COMPUTED_VALUE"""),"Público")</f>
        <v>Público</v>
      </c>
      <c r="J211" s="311" t="str">
        <f>IFERROR(__xludf.DUMMYFUNCTION("""COMPUTED_VALUE"""),"")</f>
        <v/>
      </c>
      <c r="K211" s="311" t="str">
        <f>IFERROR(__xludf.DUMMYFUNCTION("""COMPUTED_VALUE"""),"")</f>
        <v/>
      </c>
      <c r="L211" s="311" t="str">
        <f>IFERROR(__xludf.DUMMYFUNCTION("""COMPUTED_VALUE"""),"")</f>
        <v/>
      </c>
      <c r="M211" s="311" t="str">
        <f>IFERROR(__xludf.DUMMYFUNCTION("""COMPUTED_VALUE"""),"")</f>
        <v/>
      </c>
      <c r="N211" s="311">
        <f>IFERROR(__xludf.DUMMYFUNCTION("""COMPUTED_VALUE"""),0.0)</f>
        <v>0</v>
      </c>
      <c r="O211" s="311">
        <f>IFERROR(__xludf.DUMMYFUNCTION("""COMPUTED_VALUE"""),0.0)</f>
        <v>0</v>
      </c>
      <c r="P211" s="311">
        <f>IFERROR(__xludf.DUMMYFUNCTION("""COMPUTED_VALUE"""),0.0)</f>
        <v>0</v>
      </c>
      <c r="Q211" s="311">
        <f>IFERROR(__xludf.DUMMYFUNCTION("""COMPUTED_VALUE"""),0.0)</f>
        <v>0</v>
      </c>
      <c r="R211" s="311">
        <f>IFERROR(__xludf.DUMMYFUNCTION("""COMPUTED_VALUE"""),0.0)</f>
        <v>0</v>
      </c>
      <c r="S211" s="311">
        <f>IFERROR(__xludf.DUMMYFUNCTION("""COMPUTED_VALUE"""),0.0)</f>
        <v>0</v>
      </c>
      <c r="T211" s="311">
        <f>IFERROR(__xludf.DUMMYFUNCTION("""COMPUTED_VALUE"""),50.0)</f>
        <v>50</v>
      </c>
      <c r="U211" s="311">
        <f>IFERROR(__xludf.DUMMYFUNCTION("""COMPUTED_VALUE"""),0.0)</f>
        <v>0</v>
      </c>
      <c r="V211" s="311">
        <f>IFERROR(__xludf.DUMMYFUNCTION("""COMPUTED_VALUE"""),0.0)</f>
        <v>0</v>
      </c>
      <c r="W211" s="311">
        <f>IFERROR(__xludf.DUMMYFUNCTION("""COMPUTED_VALUE"""),0.0)</f>
        <v>0</v>
      </c>
      <c r="X211" s="311">
        <f>IFERROR(__xludf.DUMMYFUNCTION("""COMPUTED_VALUE"""),0.0)</f>
        <v>0</v>
      </c>
      <c r="Y211" s="311">
        <f>IFERROR(__xludf.DUMMYFUNCTION("""COMPUTED_VALUE"""),0.0)</f>
        <v>0</v>
      </c>
      <c r="Z211" s="311">
        <f>IFERROR(__xludf.DUMMYFUNCTION("""COMPUTED_VALUE"""),-50.0)</f>
        <v>-50</v>
      </c>
      <c r="AA211" s="311">
        <f>IFERROR(__xludf.DUMMYFUNCTION("""COMPUTED_VALUE"""),0.0)</f>
        <v>0</v>
      </c>
      <c r="AB211" s="311">
        <f>IFERROR(__xludf.DUMMYFUNCTION("""COMPUTED_VALUE"""),0.0)</f>
        <v>0</v>
      </c>
      <c r="AC211" s="311">
        <f>IFERROR(__xludf.DUMMYFUNCTION("""COMPUTED_VALUE"""),0.0)</f>
        <v>0</v>
      </c>
      <c r="AD211" s="311">
        <f>IFERROR(__xludf.DUMMYFUNCTION("""COMPUTED_VALUE"""),0.0)</f>
        <v>0</v>
      </c>
      <c r="AE211" s="311">
        <f>IFERROR(__xludf.DUMMYFUNCTION("""COMPUTED_VALUE"""),0.0)</f>
        <v>0</v>
      </c>
      <c r="AF211" s="311" t="str">
        <f>IFERROR(__xludf.DUMMYFUNCTION("""COMPUTED_VALUE"""),"")</f>
        <v/>
      </c>
      <c r="AG211" s="311">
        <f>IFERROR(__xludf.DUMMYFUNCTION("""COMPUTED_VALUE"""),0.0)</f>
        <v>0</v>
      </c>
      <c r="AH211" s="311">
        <f>IFERROR(__xludf.DUMMYFUNCTION("""COMPUTED_VALUE"""),0.0)</f>
        <v>0</v>
      </c>
      <c r="AI211" s="311">
        <f>IFERROR(__xludf.DUMMYFUNCTION("""COMPUTED_VALUE"""),0.0)</f>
        <v>0</v>
      </c>
      <c r="AJ211" s="311"/>
    </row>
    <row r="212" ht="22.5" customHeight="1">
      <c r="A212" s="310" t="str">
        <f>IFERROR(__xludf.DUMMYFUNCTION("""COMPUTED_VALUE"""),"")</f>
        <v/>
      </c>
      <c r="B212" s="310" t="str">
        <f>IFERROR(__xludf.DUMMYFUNCTION("""COMPUTED_VALUE"""),"")</f>
        <v/>
      </c>
      <c r="C212" s="310">
        <f>IFERROR(__xludf.DUMMYFUNCTION("""COMPUTED_VALUE"""),406.0)</f>
        <v>406</v>
      </c>
      <c r="D212" s="310" t="str">
        <f>IFERROR(__xludf.DUMMYFUNCTION("""COMPUTED_VALUE"""),"Clinica Brasil sem Alergia ")</f>
        <v>Clinica Brasil sem Alergia </v>
      </c>
      <c r="E212" s="313" t="str">
        <f>IFERROR(__xludf.DUMMYFUNCTION("""COMPUTED_VALUE"""),"")</f>
        <v/>
      </c>
      <c r="F212" s="310" t="str">
        <f>IFERROR(__xludf.DUMMYFUNCTION("""COMPUTED_VALUE"""),"Rio de Janeiro")</f>
        <v>Rio de Janeiro</v>
      </c>
      <c r="G212" s="310" t="str">
        <f>IFERROR(__xludf.DUMMYFUNCTION("""COMPUTED_VALUE"""),"Rio de Janeiro")</f>
        <v>Rio de Janeiro</v>
      </c>
      <c r="H212" s="310" t="str">
        <f>IFERROR(__xludf.DUMMYFUNCTION("""COMPUTED_VALUE"""),"Outra Instituição")</f>
        <v>Outra Instituição</v>
      </c>
      <c r="I212" s="310" t="str">
        <f>IFERROR(__xludf.DUMMYFUNCTION("""COMPUTED_VALUE"""),"Público")</f>
        <v>Público</v>
      </c>
      <c r="J212" s="310" t="str">
        <f>IFERROR(__xludf.DUMMYFUNCTION("""COMPUTED_VALUE"""),"")</f>
        <v/>
      </c>
      <c r="K212" s="310" t="str">
        <f>IFERROR(__xludf.DUMMYFUNCTION("""COMPUTED_VALUE"""),"")</f>
        <v/>
      </c>
      <c r="L212" s="310" t="str">
        <f>IFERROR(__xludf.DUMMYFUNCTION("""COMPUTED_VALUE"""),"")</f>
        <v/>
      </c>
      <c r="M212" s="310" t="str">
        <f>IFERROR(__xludf.DUMMYFUNCTION("""COMPUTED_VALUE"""),"")</f>
        <v/>
      </c>
      <c r="N212" s="310">
        <f>IFERROR(__xludf.DUMMYFUNCTION("""COMPUTED_VALUE"""),0.0)</f>
        <v>0</v>
      </c>
      <c r="O212" s="310">
        <f>IFERROR(__xludf.DUMMYFUNCTION("""COMPUTED_VALUE"""),0.0)</f>
        <v>0</v>
      </c>
      <c r="P212" s="310">
        <f>IFERROR(__xludf.DUMMYFUNCTION("""COMPUTED_VALUE"""),0.0)</f>
        <v>0</v>
      </c>
      <c r="Q212" s="310">
        <f>IFERROR(__xludf.DUMMYFUNCTION("""COMPUTED_VALUE"""),0.0)</f>
        <v>0</v>
      </c>
      <c r="R212" s="310">
        <f>IFERROR(__xludf.DUMMYFUNCTION("""COMPUTED_VALUE"""),0.0)</f>
        <v>0</v>
      </c>
      <c r="S212" s="310">
        <f>IFERROR(__xludf.DUMMYFUNCTION("""COMPUTED_VALUE"""),0.0)</f>
        <v>0</v>
      </c>
      <c r="T212" s="310">
        <f>IFERROR(__xludf.DUMMYFUNCTION("""COMPUTED_VALUE"""),50.0)</f>
        <v>50</v>
      </c>
      <c r="U212" s="310">
        <f>IFERROR(__xludf.DUMMYFUNCTION("""COMPUTED_VALUE"""),0.0)</f>
        <v>0</v>
      </c>
      <c r="V212" s="310">
        <f>IFERROR(__xludf.DUMMYFUNCTION("""COMPUTED_VALUE"""),0.0)</f>
        <v>0</v>
      </c>
      <c r="W212" s="310">
        <f>IFERROR(__xludf.DUMMYFUNCTION("""COMPUTED_VALUE"""),0.0)</f>
        <v>0</v>
      </c>
      <c r="X212" s="310">
        <f>IFERROR(__xludf.DUMMYFUNCTION("""COMPUTED_VALUE"""),0.0)</f>
        <v>0</v>
      </c>
      <c r="Y212" s="310">
        <f>IFERROR(__xludf.DUMMYFUNCTION("""COMPUTED_VALUE"""),0.0)</f>
        <v>0</v>
      </c>
      <c r="Z212" s="310">
        <f>IFERROR(__xludf.DUMMYFUNCTION("""COMPUTED_VALUE"""),-50.0)</f>
        <v>-50</v>
      </c>
      <c r="AA212" s="310">
        <f>IFERROR(__xludf.DUMMYFUNCTION("""COMPUTED_VALUE"""),0.0)</f>
        <v>0</v>
      </c>
      <c r="AB212" s="310">
        <f>IFERROR(__xludf.DUMMYFUNCTION("""COMPUTED_VALUE"""),0.0)</f>
        <v>0</v>
      </c>
      <c r="AC212" s="310">
        <f>IFERROR(__xludf.DUMMYFUNCTION("""COMPUTED_VALUE"""),0.0)</f>
        <v>0</v>
      </c>
      <c r="AD212" s="310">
        <f>IFERROR(__xludf.DUMMYFUNCTION("""COMPUTED_VALUE"""),0.0)</f>
        <v>0</v>
      </c>
      <c r="AE212" s="310">
        <f>IFERROR(__xludf.DUMMYFUNCTION("""COMPUTED_VALUE"""),0.0)</f>
        <v>0</v>
      </c>
      <c r="AF212" s="310" t="str">
        <f>IFERROR(__xludf.DUMMYFUNCTION("""COMPUTED_VALUE"""),"")</f>
        <v/>
      </c>
      <c r="AG212" s="310">
        <f>IFERROR(__xludf.DUMMYFUNCTION("""COMPUTED_VALUE"""),0.0)</f>
        <v>0</v>
      </c>
      <c r="AH212" s="310">
        <f>IFERROR(__xludf.DUMMYFUNCTION("""COMPUTED_VALUE"""),0.0)</f>
        <v>0</v>
      </c>
      <c r="AI212" s="310">
        <f>IFERROR(__xludf.DUMMYFUNCTION("""COMPUTED_VALUE"""),0.0)</f>
        <v>0</v>
      </c>
      <c r="AJ212" s="310"/>
    </row>
    <row r="213" ht="22.5" customHeight="1">
      <c r="A213" s="311" t="str">
        <f>IFERROR(__xludf.DUMMYFUNCTION("""COMPUTED_VALUE"""),"")</f>
        <v/>
      </c>
      <c r="B213" s="311" t="str">
        <f>IFERROR(__xludf.DUMMYFUNCTION("""COMPUTED_VALUE"""),"")</f>
        <v/>
      </c>
      <c r="C213" s="311">
        <f>IFERROR(__xludf.DUMMYFUNCTION("""COMPUTED_VALUE"""),407.0)</f>
        <v>407</v>
      </c>
      <c r="D213" s="311" t="str">
        <f>IFERROR(__xludf.DUMMYFUNCTION("""COMPUTED_VALUE"""),"Clínica da Família Maestro Celestino")</f>
        <v>Clínica da Família Maestro Celestino</v>
      </c>
      <c r="E213" s="315" t="str">
        <f>IFERROR(__xludf.DUMMYFUNCTION("""COMPUTED_VALUE"""),"ZONA NORTE")</f>
        <v>ZONA NORTE</v>
      </c>
      <c r="F213" s="311" t="str">
        <f>IFERROR(__xludf.DUMMYFUNCTION("""COMPUTED_VALUE"""),"Rio de Janeiro")</f>
        <v>Rio de Janeiro</v>
      </c>
      <c r="G213" s="311" t="str">
        <f>IFERROR(__xludf.DUMMYFUNCTION("""COMPUTED_VALUE"""),"Marechal Hermes")</f>
        <v>Marechal Hermes</v>
      </c>
      <c r="H213" s="311" t="str">
        <f>IFERROR(__xludf.DUMMYFUNCTION("""COMPUTED_VALUE"""),"Unidade básica de saúde - BAIXA COMPLEXIDADE")</f>
        <v>Unidade básica de saúde - BAIXA COMPLEXIDADE</v>
      </c>
      <c r="I213" s="311" t="str">
        <f>IFERROR(__xludf.DUMMYFUNCTION("""COMPUTED_VALUE"""),"Público")</f>
        <v>Público</v>
      </c>
      <c r="J213" s="311" t="str">
        <f>IFERROR(__xludf.DUMMYFUNCTION("""COMPUTED_VALUE"""),"")</f>
        <v/>
      </c>
      <c r="K213" s="311" t="str">
        <f>IFERROR(__xludf.DUMMYFUNCTION("""COMPUTED_VALUE"""),"")</f>
        <v/>
      </c>
      <c r="L213" s="311" t="str">
        <f>IFERROR(__xludf.DUMMYFUNCTION("""COMPUTED_VALUE"""),"")</f>
        <v/>
      </c>
      <c r="M213" s="311" t="str">
        <f>IFERROR(__xludf.DUMMYFUNCTION("""COMPUTED_VALUE"""),"")</f>
        <v/>
      </c>
      <c r="N213" s="311">
        <f>IFERROR(__xludf.DUMMYFUNCTION("""COMPUTED_VALUE"""),0.0)</f>
        <v>0</v>
      </c>
      <c r="O213" s="311">
        <f>IFERROR(__xludf.DUMMYFUNCTION("""COMPUTED_VALUE"""),0.0)</f>
        <v>0</v>
      </c>
      <c r="P213" s="311">
        <f>IFERROR(__xludf.DUMMYFUNCTION("""COMPUTED_VALUE"""),0.0)</f>
        <v>0</v>
      </c>
      <c r="Q213" s="311">
        <f>IFERROR(__xludf.DUMMYFUNCTION("""COMPUTED_VALUE"""),0.0)</f>
        <v>0</v>
      </c>
      <c r="R213" s="311">
        <f>IFERROR(__xludf.DUMMYFUNCTION("""COMPUTED_VALUE"""),0.0)</f>
        <v>0</v>
      </c>
      <c r="S213" s="311">
        <f>IFERROR(__xludf.DUMMYFUNCTION("""COMPUTED_VALUE"""),0.0)</f>
        <v>0</v>
      </c>
      <c r="T213" s="311">
        <f>IFERROR(__xludf.DUMMYFUNCTION("""COMPUTED_VALUE"""),50.0)</f>
        <v>50</v>
      </c>
      <c r="U213" s="311">
        <f>IFERROR(__xludf.DUMMYFUNCTION("""COMPUTED_VALUE"""),0.0)</f>
        <v>0</v>
      </c>
      <c r="V213" s="311">
        <f>IFERROR(__xludf.DUMMYFUNCTION("""COMPUTED_VALUE"""),0.0)</f>
        <v>0</v>
      </c>
      <c r="W213" s="311">
        <f>IFERROR(__xludf.DUMMYFUNCTION("""COMPUTED_VALUE"""),0.0)</f>
        <v>0</v>
      </c>
      <c r="X213" s="311">
        <f>IFERROR(__xludf.DUMMYFUNCTION("""COMPUTED_VALUE"""),10.0)</f>
        <v>10</v>
      </c>
      <c r="Y213" s="311">
        <f>IFERROR(__xludf.DUMMYFUNCTION("""COMPUTED_VALUE"""),20.0)</f>
        <v>20</v>
      </c>
      <c r="Z213" s="311">
        <f>IFERROR(__xludf.DUMMYFUNCTION("""COMPUTED_VALUE"""),-50.0)</f>
        <v>-50</v>
      </c>
      <c r="AA213" s="311">
        <f>IFERROR(__xludf.DUMMYFUNCTION("""COMPUTED_VALUE"""),0.0)</f>
        <v>0</v>
      </c>
      <c r="AB213" s="311">
        <f>IFERROR(__xludf.DUMMYFUNCTION("""COMPUTED_VALUE"""),0.0)</f>
        <v>0</v>
      </c>
      <c r="AC213" s="311">
        <f>IFERROR(__xludf.DUMMYFUNCTION("""COMPUTED_VALUE"""),0.0)</f>
        <v>0</v>
      </c>
      <c r="AD213" s="311">
        <f>IFERROR(__xludf.DUMMYFUNCTION("""COMPUTED_VALUE"""),-20.0)</f>
        <v>-20</v>
      </c>
      <c r="AE213" s="311">
        <f>IFERROR(__xludf.DUMMYFUNCTION("""COMPUTED_VALUE"""),-10.0)</f>
        <v>-10</v>
      </c>
      <c r="AF213" s="311" t="str">
        <f>IFERROR(__xludf.DUMMYFUNCTION("""COMPUTED_VALUE"""),"")</f>
        <v/>
      </c>
      <c r="AG213" s="311">
        <f>IFERROR(__xludf.DUMMYFUNCTION("""COMPUTED_VALUE"""),0.0)</f>
        <v>0</v>
      </c>
      <c r="AH213" s="311">
        <f>IFERROR(__xludf.DUMMYFUNCTION("""COMPUTED_VALUE"""),0.0)</f>
        <v>0</v>
      </c>
      <c r="AI213" s="311">
        <f>IFERROR(__xludf.DUMMYFUNCTION("""COMPUTED_VALUE"""),0.0)</f>
        <v>0</v>
      </c>
      <c r="AJ213" s="311"/>
    </row>
    <row r="214" ht="22.5" customHeight="1">
      <c r="A214" s="310" t="str">
        <f>IFERROR(__xludf.DUMMYFUNCTION("""COMPUTED_VALUE"""),"")</f>
        <v/>
      </c>
      <c r="B214" s="310" t="str">
        <f>IFERROR(__xludf.DUMMYFUNCTION("""COMPUTED_VALUE"""),"")</f>
        <v/>
      </c>
      <c r="C214" s="310">
        <f>IFERROR(__xludf.DUMMYFUNCTION("""COMPUTED_VALUE"""),408.0)</f>
        <v>408</v>
      </c>
      <c r="D214" s="310" t="str">
        <f>IFERROR(__xludf.DUMMYFUNCTION("""COMPUTED_VALUE"""),"Clinica da Familia Rosino Baccarini")</f>
        <v>Clinica da Familia Rosino Baccarini</v>
      </c>
      <c r="E214" s="313" t="str">
        <f>IFERROR(__xludf.DUMMYFUNCTION("""COMPUTED_VALUE"""),"ZONA OESTE")</f>
        <v>ZONA OESTE</v>
      </c>
      <c r="F214" s="310" t="str">
        <f>IFERROR(__xludf.DUMMYFUNCTION("""COMPUTED_VALUE"""),"Rio de Janeiro")</f>
        <v>Rio de Janeiro</v>
      </c>
      <c r="G214" s="310" t="str">
        <f>IFERROR(__xludf.DUMMYFUNCTION("""COMPUTED_VALUE"""),"Bangu")</f>
        <v>Bangu</v>
      </c>
      <c r="H214" s="310" t="str">
        <f>IFERROR(__xludf.DUMMYFUNCTION("""COMPUTED_VALUE"""),"Unidade básica de saúde - BAIXA COMPLEXIDADE")</f>
        <v>Unidade básica de saúde - BAIXA COMPLEXIDADE</v>
      </c>
      <c r="I214" s="310" t="str">
        <f>IFERROR(__xludf.DUMMYFUNCTION("""COMPUTED_VALUE"""),"Público")</f>
        <v>Público</v>
      </c>
      <c r="J214" s="310" t="str">
        <f>IFERROR(__xludf.DUMMYFUNCTION("""COMPUTED_VALUE"""),"")</f>
        <v/>
      </c>
      <c r="K214" s="310" t="str">
        <f>IFERROR(__xludf.DUMMYFUNCTION("""COMPUTED_VALUE"""),"")</f>
        <v/>
      </c>
      <c r="L214" s="310" t="str">
        <f>IFERROR(__xludf.DUMMYFUNCTION("""COMPUTED_VALUE"""),"")</f>
        <v/>
      </c>
      <c r="M214" s="310" t="str">
        <f>IFERROR(__xludf.DUMMYFUNCTION("""COMPUTED_VALUE"""),"")</f>
        <v/>
      </c>
      <c r="N214" s="310">
        <f>IFERROR(__xludf.DUMMYFUNCTION("""COMPUTED_VALUE"""),0.0)</f>
        <v>0</v>
      </c>
      <c r="O214" s="310">
        <f>IFERROR(__xludf.DUMMYFUNCTION("""COMPUTED_VALUE"""),0.0)</f>
        <v>0</v>
      </c>
      <c r="P214" s="310">
        <f>IFERROR(__xludf.DUMMYFUNCTION("""COMPUTED_VALUE"""),0.0)</f>
        <v>0</v>
      </c>
      <c r="Q214" s="310">
        <f>IFERROR(__xludf.DUMMYFUNCTION("""COMPUTED_VALUE"""),0.0)</f>
        <v>0</v>
      </c>
      <c r="R214" s="310">
        <f>IFERROR(__xludf.DUMMYFUNCTION("""COMPUTED_VALUE"""),0.0)</f>
        <v>0</v>
      </c>
      <c r="S214" s="310">
        <f>IFERROR(__xludf.DUMMYFUNCTION("""COMPUTED_VALUE"""),0.0)</f>
        <v>0</v>
      </c>
      <c r="T214" s="310">
        <f>IFERROR(__xludf.DUMMYFUNCTION("""COMPUTED_VALUE"""),50.0)</f>
        <v>50</v>
      </c>
      <c r="U214" s="310">
        <f>IFERROR(__xludf.DUMMYFUNCTION("""COMPUTED_VALUE"""),0.0)</f>
        <v>0</v>
      </c>
      <c r="V214" s="310">
        <f>IFERROR(__xludf.DUMMYFUNCTION("""COMPUTED_VALUE"""),0.0)</f>
        <v>0</v>
      </c>
      <c r="W214" s="310">
        <f>IFERROR(__xludf.DUMMYFUNCTION("""COMPUTED_VALUE"""),0.0)</f>
        <v>0</v>
      </c>
      <c r="X214" s="310">
        <f>IFERROR(__xludf.DUMMYFUNCTION("""COMPUTED_VALUE"""),20.0)</f>
        <v>20</v>
      </c>
      <c r="Y214" s="310">
        <f>IFERROR(__xludf.DUMMYFUNCTION("""COMPUTED_VALUE"""),10.0)</f>
        <v>10</v>
      </c>
      <c r="Z214" s="310">
        <f>IFERROR(__xludf.DUMMYFUNCTION("""COMPUTED_VALUE"""),-50.0)</f>
        <v>-50</v>
      </c>
      <c r="AA214" s="310">
        <f>IFERROR(__xludf.DUMMYFUNCTION("""COMPUTED_VALUE"""),0.0)</f>
        <v>0</v>
      </c>
      <c r="AB214" s="310">
        <f>IFERROR(__xludf.DUMMYFUNCTION("""COMPUTED_VALUE"""),0.0)</f>
        <v>0</v>
      </c>
      <c r="AC214" s="310">
        <f>IFERROR(__xludf.DUMMYFUNCTION("""COMPUTED_VALUE"""),0.0)</f>
        <v>0</v>
      </c>
      <c r="AD214" s="310">
        <f>IFERROR(__xludf.DUMMYFUNCTION("""COMPUTED_VALUE"""),-10.0)</f>
        <v>-10</v>
      </c>
      <c r="AE214" s="310">
        <f>IFERROR(__xludf.DUMMYFUNCTION("""COMPUTED_VALUE"""),-20.0)</f>
        <v>-20</v>
      </c>
      <c r="AF214" s="310" t="str">
        <f>IFERROR(__xludf.DUMMYFUNCTION("""COMPUTED_VALUE"""),"")</f>
        <v/>
      </c>
      <c r="AG214" s="310">
        <f>IFERROR(__xludf.DUMMYFUNCTION("""COMPUTED_VALUE"""),0.0)</f>
        <v>0</v>
      </c>
      <c r="AH214" s="310">
        <f>IFERROR(__xludf.DUMMYFUNCTION("""COMPUTED_VALUE"""),0.0)</f>
        <v>0</v>
      </c>
      <c r="AI214" s="310">
        <f>IFERROR(__xludf.DUMMYFUNCTION("""COMPUTED_VALUE"""),0.0)</f>
        <v>0</v>
      </c>
      <c r="AJ214" s="310"/>
    </row>
    <row r="215" ht="22.5" customHeight="1">
      <c r="A215" s="311" t="str">
        <f>IFERROR(__xludf.DUMMYFUNCTION("""COMPUTED_VALUE"""),"")</f>
        <v/>
      </c>
      <c r="B215" s="311" t="str">
        <f>IFERROR(__xludf.DUMMYFUNCTION("""COMPUTED_VALUE"""),"")</f>
        <v/>
      </c>
      <c r="C215" s="311">
        <f>IFERROR(__xludf.DUMMYFUNCTION("""COMPUTED_VALUE"""),409.0)</f>
        <v>409</v>
      </c>
      <c r="D215" s="311" t="str">
        <f>IFERROR(__xludf.DUMMYFUNCTION("""COMPUTED_VALUE"""),"Clínica da Família Olimia Esteves")</f>
        <v>Clínica da Família Olimia Esteves</v>
      </c>
      <c r="E215" s="315" t="str">
        <f>IFERROR(__xludf.DUMMYFUNCTION("""COMPUTED_VALUE"""),"ZONA OESTE")</f>
        <v>ZONA OESTE</v>
      </c>
      <c r="F215" s="311" t="str">
        <f>IFERROR(__xludf.DUMMYFUNCTION("""COMPUTED_VALUE"""),"Rio de Janeiro")</f>
        <v>Rio de Janeiro</v>
      </c>
      <c r="G215" s="311" t="str">
        <f>IFERROR(__xludf.DUMMYFUNCTION("""COMPUTED_VALUE"""),"Padre Miguel")</f>
        <v>Padre Miguel</v>
      </c>
      <c r="H215" s="311" t="str">
        <f>IFERROR(__xludf.DUMMYFUNCTION("""COMPUTED_VALUE"""),"Unidade básica de saúde - BAIXA COMPLEXIDADE")</f>
        <v>Unidade básica de saúde - BAIXA COMPLEXIDADE</v>
      </c>
      <c r="I215" s="311" t="str">
        <f>IFERROR(__xludf.DUMMYFUNCTION("""COMPUTED_VALUE"""),"Público")</f>
        <v>Público</v>
      </c>
      <c r="J215" s="311" t="str">
        <f>IFERROR(__xludf.DUMMYFUNCTION("""COMPUTED_VALUE"""),"")</f>
        <v/>
      </c>
      <c r="K215" s="311" t="str">
        <f>IFERROR(__xludf.DUMMYFUNCTION("""COMPUTED_VALUE"""),"")</f>
        <v/>
      </c>
      <c r="L215" s="311" t="str">
        <f>IFERROR(__xludf.DUMMYFUNCTION("""COMPUTED_VALUE"""),"")</f>
        <v/>
      </c>
      <c r="M215" s="311" t="str">
        <f>IFERROR(__xludf.DUMMYFUNCTION("""COMPUTED_VALUE"""),"")</f>
        <v/>
      </c>
      <c r="N215" s="311">
        <f>IFERROR(__xludf.DUMMYFUNCTION("""COMPUTED_VALUE"""),0.0)</f>
        <v>0</v>
      </c>
      <c r="O215" s="311">
        <f>IFERROR(__xludf.DUMMYFUNCTION("""COMPUTED_VALUE"""),0.0)</f>
        <v>0</v>
      </c>
      <c r="P215" s="311">
        <f>IFERROR(__xludf.DUMMYFUNCTION("""COMPUTED_VALUE"""),0.0)</f>
        <v>0</v>
      </c>
      <c r="Q215" s="311">
        <f>IFERROR(__xludf.DUMMYFUNCTION("""COMPUTED_VALUE"""),0.0)</f>
        <v>0</v>
      </c>
      <c r="R215" s="311">
        <f>IFERROR(__xludf.DUMMYFUNCTION("""COMPUTED_VALUE"""),0.0)</f>
        <v>0</v>
      </c>
      <c r="S215" s="311">
        <f>IFERROR(__xludf.DUMMYFUNCTION("""COMPUTED_VALUE"""),0.0)</f>
        <v>0</v>
      </c>
      <c r="T215" s="311">
        <f>IFERROR(__xludf.DUMMYFUNCTION("""COMPUTED_VALUE"""),50.0)</f>
        <v>50</v>
      </c>
      <c r="U215" s="311">
        <f>IFERROR(__xludf.DUMMYFUNCTION("""COMPUTED_VALUE"""),0.0)</f>
        <v>0</v>
      </c>
      <c r="V215" s="311">
        <f>IFERROR(__xludf.DUMMYFUNCTION("""COMPUTED_VALUE"""),0.0)</f>
        <v>0</v>
      </c>
      <c r="W215" s="311">
        <f>IFERROR(__xludf.DUMMYFUNCTION("""COMPUTED_VALUE"""),0.0)</f>
        <v>0</v>
      </c>
      <c r="X215" s="311">
        <f>IFERROR(__xludf.DUMMYFUNCTION("""COMPUTED_VALUE"""),20.0)</f>
        <v>20</v>
      </c>
      <c r="Y215" s="311">
        <f>IFERROR(__xludf.DUMMYFUNCTION("""COMPUTED_VALUE"""),10.0)</f>
        <v>10</v>
      </c>
      <c r="Z215" s="311">
        <f>IFERROR(__xludf.DUMMYFUNCTION("""COMPUTED_VALUE"""),-50.0)</f>
        <v>-50</v>
      </c>
      <c r="AA215" s="311">
        <f>IFERROR(__xludf.DUMMYFUNCTION("""COMPUTED_VALUE"""),0.0)</f>
        <v>0</v>
      </c>
      <c r="AB215" s="311">
        <f>IFERROR(__xludf.DUMMYFUNCTION("""COMPUTED_VALUE"""),0.0)</f>
        <v>0</v>
      </c>
      <c r="AC215" s="311">
        <f>IFERROR(__xludf.DUMMYFUNCTION("""COMPUTED_VALUE"""),0.0)</f>
        <v>0</v>
      </c>
      <c r="AD215" s="311">
        <f>IFERROR(__xludf.DUMMYFUNCTION("""COMPUTED_VALUE"""),-10.0)</f>
        <v>-10</v>
      </c>
      <c r="AE215" s="311">
        <f>IFERROR(__xludf.DUMMYFUNCTION("""COMPUTED_VALUE"""),-20.0)</f>
        <v>-20</v>
      </c>
      <c r="AF215" s="311" t="str">
        <f>IFERROR(__xludf.DUMMYFUNCTION("""COMPUTED_VALUE"""),"")</f>
        <v/>
      </c>
      <c r="AG215" s="311">
        <f>IFERROR(__xludf.DUMMYFUNCTION("""COMPUTED_VALUE"""),0.0)</f>
        <v>0</v>
      </c>
      <c r="AH215" s="311">
        <f>IFERROR(__xludf.DUMMYFUNCTION("""COMPUTED_VALUE"""),0.0)</f>
        <v>0</v>
      </c>
      <c r="AI215" s="311">
        <f>IFERROR(__xludf.DUMMYFUNCTION("""COMPUTED_VALUE"""),0.0)</f>
        <v>0</v>
      </c>
      <c r="AJ215" s="311"/>
    </row>
    <row r="216" ht="22.5" customHeight="1">
      <c r="A216" s="310" t="str">
        <f>IFERROR(__xludf.DUMMYFUNCTION("""COMPUTED_VALUE"""),"")</f>
        <v/>
      </c>
      <c r="B216" s="310" t="str">
        <f>IFERROR(__xludf.DUMMYFUNCTION("""COMPUTED_VALUE"""),"")</f>
        <v/>
      </c>
      <c r="C216" s="310">
        <f>IFERROR(__xludf.DUMMYFUNCTION("""COMPUTED_VALUE"""),410.0)</f>
        <v>410</v>
      </c>
      <c r="D216" s="310" t="str">
        <f>IFERROR(__xludf.DUMMYFUNCTION("""COMPUTED_VALUE"""),"Clinica da Familia Wilson Mello Santos")</f>
        <v>Clinica da Familia Wilson Mello Santos</v>
      </c>
      <c r="E216" s="313" t="str">
        <f>IFERROR(__xludf.DUMMYFUNCTION("""COMPUTED_VALUE"""),"ZONA OESTE")</f>
        <v>ZONA OESTE</v>
      </c>
      <c r="F216" s="310" t="str">
        <f>IFERROR(__xludf.DUMMYFUNCTION("""COMPUTED_VALUE"""),"Rio de Janeiro")</f>
        <v>Rio de Janeiro</v>
      </c>
      <c r="G216" s="310" t="str">
        <f>IFERROR(__xludf.DUMMYFUNCTION("""COMPUTED_VALUE"""),"Vila Kennedy")</f>
        <v>Vila Kennedy</v>
      </c>
      <c r="H216" s="310" t="str">
        <f>IFERROR(__xludf.DUMMYFUNCTION("""COMPUTED_VALUE"""),"Unidade básica de saúde - BAIXA COMPLEXIDADE")</f>
        <v>Unidade básica de saúde - BAIXA COMPLEXIDADE</v>
      </c>
      <c r="I216" s="310" t="str">
        <f>IFERROR(__xludf.DUMMYFUNCTION("""COMPUTED_VALUE"""),"Público")</f>
        <v>Público</v>
      </c>
      <c r="J216" s="310" t="str">
        <f>IFERROR(__xludf.DUMMYFUNCTION("""COMPUTED_VALUE"""),"")</f>
        <v/>
      </c>
      <c r="K216" s="310" t="str">
        <f>IFERROR(__xludf.DUMMYFUNCTION("""COMPUTED_VALUE"""),"")</f>
        <v/>
      </c>
      <c r="L216" s="310" t="str">
        <f>IFERROR(__xludf.DUMMYFUNCTION("""COMPUTED_VALUE"""),"")</f>
        <v/>
      </c>
      <c r="M216" s="310" t="str">
        <f>IFERROR(__xludf.DUMMYFUNCTION("""COMPUTED_VALUE"""),"")</f>
        <v/>
      </c>
      <c r="N216" s="310">
        <f>IFERROR(__xludf.DUMMYFUNCTION("""COMPUTED_VALUE"""),0.0)</f>
        <v>0</v>
      </c>
      <c r="O216" s="310">
        <f>IFERROR(__xludf.DUMMYFUNCTION("""COMPUTED_VALUE"""),0.0)</f>
        <v>0</v>
      </c>
      <c r="P216" s="310">
        <f>IFERROR(__xludf.DUMMYFUNCTION("""COMPUTED_VALUE"""),0.0)</f>
        <v>0</v>
      </c>
      <c r="Q216" s="310">
        <f>IFERROR(__xludf.DUMMYFUNCTION("""COMPUTED_VALUE"""),0.0)</f>
        <v>0</v>
      </c>
      <c r="R216" s="310">
        <f>IFERROR(__xludf.DUMMYFUNCTION("""COMPUTED_VALUE"""),0.0)</f>
        <v>0</v>
      </c>
      <c r="S216" s="310">
        <f>IFERROR(__xludf.DUMMYFUNCTION("""COMPUTED_VALUE"""),0.0)</f>
        <v>0</v>
      </c>
      <c r="T216" s="310">
        <f>IFERROR(__xludf.DUMMYFUNCTION("""COMPUTED_VALUE"""),50.0)</f>
        <v>50</v>
      </c>
      <c r="U216" s="310">
        <f>IFERROR(__xludf.DUMMYFUNCTION("""COMPUTED_VALUE"""),0.0)</f>
        <v>0</v>
      </c>
      <c r="V216" s="310">
        <f>IFERROR(__xludf.DUMMYFUNCTION("""COMPUTED_VALUE"""),0.0)</f>
        <v>0</v>
      </c>
      <c r="W216" s="310">
        <f>IFERROR(__xludf.DUMMYFUNCTION("""COMPUTED_VALUE"""),0.0)</f>
        <v>0</v>
      </c>
      <c r="X216" s="310">
        <f>IFERROR(__xludf.DUMMYFUNCTION("""COMPUTED_VALUE"""),20.0)</f>
        <v>20</v>
      </c>
      <c r="Y216" s="310">
        <f>IFERROR(__xludf.DUMMYFUNCTION("""COMPUTED_VALUE"""),10.0)</f>
        <v>10</v>
      </c>
      <c r="Z216" s="310">
        <f>IFERROR(__xludf.DUMMYFUNCTION("""COMPUTED_VALUE"""),-50.0)</f>
        <v>-50</v>
      </c>
      <c r="AA216" s="310">
        <f>IFERROR(__xludf.DUMMYFUNCTION("""COMPUTED_VALUE"""),0.0)</f>
        <v>0</v>
      </c>
      <c r="AB216" s="310">
        <f>IFERROR(__xludf.DUMMYFUNCTION("""COMPUTED_VALUE"""),0.0)</f>
        <v>0</v>
      </c>
      <c r="AC216" s="310">
        <f>IFERROR(__xludf.DUMMYFUNCTION("""COMPUTED_VALUE"""),0.0)</f>
        <v>0</v>
      </c>
      <c r="AD216" s="310">
        <f>IFERROR(__xludf.DUMMYFUNCTION("""COMPUTED_VALUE"""),-10.0)</f>
        <v>-10</v>
      </c>
      <c r="AE216" s="310">
        <f>IFERROR(__xludf.DUMMYFUNCTION("""COMPUTED_VALUE"""),-20.0)</f>
        <v>-20</v>
      </c>
      <c r="AF216" s="310" t="str">
        <f>IFERROR(__xludf.DUMMYFUNCTION("""COMPUTED_VALUE"""),"")</f>
        <v/>
      </c>
      <c r="AG216" s="310">
        <f>IFERROR(__xludf.DUMMYFUNCTION("""COMPUTED_VALUE"""),0.0)</f>
        <v>0</v>
      </c>
      <c r="AH216" s="310">
        <f>IFERROR(__xludf.DUMMYFUNCTION("""COMPUTED_VALUE"""),0.0)</f>
        <v>0</v>
      </c>
      <c r="AI216" s="310">
        <f>IFERROR(__xludf.DUMMYFUNCTION("""COMPUTED_VALUE"""),0.0)</f>
        <v>0</v>
      </c>
      <c r="AJ216" s="310"/>
    </row>
    <row r="217" ht="22.5" customHeight="1">
      <c r="A217" s="311" t="str">
        <f>IFERROR(__xludf.DUMMYFUNCTION("""COMPUTED_VALUE"""),"")</f>
        <v/>
      </c>
      <c r="B217" s="311" t="str">
        <f>IFERROR(__xludf.DUMMYFUNCTION("""COMPUTED_VALUE"""),"")</f>
        <v/>
      </c>
      <c r="C217" s="311">
        <f>IFERROR(__xludf.DUMMYFUNCTION("""COMPUTED_VALUE"""),411.0)</f>
        <v>411</v>
      </c>
      <c r="D217" s="311" t="str">
        <f>IFERROR(__xludf.DUMMYFUNCTION("""COMPUTED_VALUE"""),"Clinica da Família Kelly Cristina de Sá Lacerda")</f>
        <v>Clinica da Família Kelly Cristina de Sá Lacerda</v>
      </c>
      <c r="E217" s="315" t="str">
        <f>IFERROR(__xludf.DUMMYFUNCTION("""COMPUTED_VALUE"""),"ZONA OESTE")</f>
        <v>ZONA OESTE</v>
      </c>
      <c r="F217" s="311" t="str">
        <f>IFERROR(__xludf.DUMMYFUNCTION("""COMPUTED_VALUE"""),"Rio de Janeiro")</f>
        <v>Rio de Janeiro</v>
      </c>
      <c r="G217" s="311" t="str">
        <f>IFERROR(__xludf.DUMMYFUNCTION("""COMPUTED_VALUE"""),"Senador Camará")</f>
        <v>Senador Camará</v>
      </c>
      <c r="H217" s="311" t="str">
        <f>IFERROR(__xludf.DUMMYFUNCTION("""COMPUTED_VALUE"""),"Unidade básica de saúde - BAIXA COMPLEXIDADE")</f>
        <v>Unidade básica de saúde - BAIXA COMPLEXIDADE</v>
      </c>
      <c r="I217" s="311" t="str">
        <f>IFERROR(__xludf.DUMMYFUNCTION("""COMPUTED_VALUE"""),"Público")</f>
        <v>Público</v>
      </c>
      <c r="J217" s="311" t="str">
        <f>IFERROR(__xludf.DUMMYFUNCTION("""COMPUTED_VALUE"""),"")</f>
        <v/>
      </c>
      <c r="K217" s="311" t="str">
        <f>IFERROR(__xludf.DUMMYFUNCTION("""COMPUTED_VALUE"""),"")</f>
        <v/>
      </c>
      <c r="L217" s="311" t="str">
        <f>IFERROR(__xludf.DUMMYFUNCTION("""COMPUTED_VALUE"""),"")</f>
        <v/>
      </c>
      <c r="M217" s="311" t="str">
        <f>IFERROR(__xludf.DUMMYFUNCTION("""COMPUTED_VALUE"""),"")</f>
        <v/>
      </c>
      <c r="N217" s="311">
        <f>IFERROR(__xludf.DUMMYFUNCTION("""COMPUTED_VALUE"""),0.0)</f>
        <v>0</v>
      </c>
      <c r="O217" s="311">
        <f>IFERROR(__xludf.DUMMYFUNCTION("""COMPUTED_VALUE"""),0.0)</f>
        <v>0</v>
      </c>
      <c r="P217" s="311">
        <f>IFERROR(__xludf.DUMMYFUNCTION("""COMPUTED_VALUE"""),0.0)</f>
        <v>0</v>
      </c>
      <c r="Q217" s="311">
        <f>IFERROR(__xludf.DUMMYFUNCTION("""COMPUTED_VALUE"""),0.0)</f>
        <v>0</v>
      </c>
      <c r="R217" s="311">
        <f>IFERROR(__xludf.DUMMYFUNCTION("""COMPUTED_VALUE"""),0.0)</f>
        <v>0</v>
      </c>
      <c r="S217" s="311">
        <f>IFERROR(__xludf.DUMMYFUNCTION("""COMPUTED_VALUE"""),0.0)</f>
        <v>0</v>
      </c>
      <c r="T217" s="311">
        <f>IFERROR(__xludf.DUMMYFUNCTION("""COMPUTED_VALUE"""),50.0)</f>
        <v>50</v>
      </c>
      <c r="U217" s="311">
        <f>IFERROR(__xludf.DUMMYFUNCTION("""COMPUTED_VALUE"""),0.0)</f>
        <v>0</v>
      </c>
      <c r="V217" s="311">
        <f>IFERROR(__xludf.DUMMYFUNCTION("""COMPUTED_VALUE"""),0.0)</f>
        <v>0</v>
      </c>
      <c r="W217" s="311">
        <f>IFERROR(__xludf.DUMMYFUNCTION("""COMPUTED_VALUE"""),0.0)</f>
        <v>0</v>
      </c>
      <c r="X217" s="311">
        <f>IFERROR(__xludf.DUMMYFUNCTION("""COMPUTED_VALUE"""),50.0)</f>
        <v>50</v>
      </c>
      <c r="Y217" s="311">
        <f>IFERROR(__xludf.DUMMYFUNCTION("""COMPUTED_VALUE"""),10.0)</f>
        <v>10</v>
      </c>
      <c r="Z217" s="311">
        <f>IFERROR(__xludf.DUMMYFUNCTION("""COMPUTED_VALUE"""),-50.0)</f>
        <v>-50</v>
      </c>
      <c r="AA217" s="311">
        <f>IFERROR(__xludf.DUMMYFUNCTION("""COMPUTED_VALUE"""),0.0)</f>
        <v>0</v>
      </c>
      <c r="AB217" s="311">
        <f>IFERROR(__xludf.DUMMYFUNCTION("""COMPUTED_VALUE"""),0.0)</f>
        <v>0</v>
      </c>
      <c r="AC217" s="311">
        <f>IFERROR(__xludf.DUMMYFUNCTION("""COMPUTED_VALUE"""),0.0)</f>
        <v>0</v>
      </c>
      <c r="AD217" s="311">
        <f>IFERROR(__xludf.DUMMYFUNCTION("""COMPUTED_VALUE"""),-10.0)</f>
        <v>-10</v>
      </c>
      <c r="AE217" s="311">
        <f>IFERROR(__xludf.DUMMYFUNCTION("""COMPUTED_VALUE"""),-50.0)</f>
        <v>-50</v>
      </c>
      <c r="AF217" s="311" t="str">
        <f>IFERROR(__xludf.DUMMYFUNCTION("""COMPUTED_VALUE"""),"")</f>
        <v/>
      </c>
      <c r="AG217" s="311">
        <f>IFERROR(__xludf.DUMMYFUNCTION("""COMPUTED_VALUE"""),0.0)</f>
        <v>0</v>
      </c>
      <c r="AH217" s="311">
        <f>IFERROR(__xludf.DUMMYFUNCTION("""COMPUTED_VALUE"""),0.0)</f>
        <v>0</v>
      </c>
      <c r="AI217" s="311">
        <f>IFERROR(__xludf.DUMMYFUNCTION("""COMPUTED_VALUE"""),0.0)</f>
        <v>0</v>
      </c>
      <c r="AJ217" s="311"/>
    </row>
    <row r="218" ht="22.5" customHeight="1">
      <c r="A218" s="310" t="str">
        <f>IFERROR(__xludf.DUMMYFUNCTION("""COMPUTED_VALUE"""),"")</f>
        <v/>
      </c>
      <c r="B218" s="310" t="str">
        <f>IFERROR(__xludf.DUMMYFUNCTION("""COMPUTED_VALUE"""),"")</f>
        <v/>
      </c>
      <c r="C218" s="310">
        <f>IFERROR(__xludf.DUMMYFUNCTION("""COMPUTED_VALUE"""),412.0)</f>
        <v>412</v>
      </c>
      <c r="D218" s="310" t="str">
        <f>IFERROR(__xludf.DUMMYFUNCTION("""COMPUTED_VALUE"""),"Clínica da Família Cypriano das Chagas Medeiros")</f>
        <v>Clínica da Família Cypriano das Chagas Medeiros</v>
      </c>
      <c r="E218" s="313" t="str">
        <f>IFERROR(__xludf.DUMMYFUNCTION("""COMPUTED_VALUE"""),"ZONA NORTE")</f>
        <v>ZONA NORTE</v>
      </c>
      <c r="F218" s="310" t="str">
        <f>IFERROR(__xludf.DUMMYFUNCTION("""COMPUTED_VALUE"""),"Rio de Janeiro")</f>
        <v>Rio de Janeiro</v>
      </c>
      <c r="G218" s="310" t="str">
        <f>IFERROR(__xludf.DUMMYFUNCTION("""COMPUTED_VALUE"""),"Coelho Neto")</f>
        <v>Coelho Neto</v>
      </c>
      <c r="H218" s="310" t="str">
        <f>IFERROR(__xludf.DUMMYFUNCTION("""COMPUTED_VALUE"""),"Unidade básica de saúde - BAIXA COMPLEXIDADE")</f>
        <v>Unidade básica de saúde - BAIXA COMPLEXIDADE</v>
      </c>
      <c r="I218" s="310" t="str">
        <f>IFERROR(__xludf.DUMMYFUNCTION("""COMPUTED_VALUE"""),"Público")</f>
        <v>Público</v>
      </c>
      <c r="J218" s="310" t="str">
        <f>IFERROR(__xludf.DUMMYFUNCTION("""COMPUTED_VALUE"""),"")</f>
        <v/>
      </c>
      <c r="K218" s="310" t="str">
        <f>IFERROR(__xludf.DUMMYFUNCTION("""COMPUTED_VALUE"""),"")</f>
        <v/>
      </c>
      <c r="L218" s="310" t="str">
        <f>IFERROR(__xludf.DUMMYFUNCTION("""COMPUTED_VALUE"""),"")</f>
        <v/>
      </c>
      <c r="M218" s="310" t="str">
        <f>IFERROR(__xludf.DUMMYFUNCTION("""COMPUTED_VALUE"""),"")</f>
        <v/>
      </c>
      <c r="N218" s="310">
        <f>IFERROR(__xludf.DUMMYFUNCTION("""COMPUTED_VALUE"""),0.0)</f>
        <v>0</v>
      </c>
      <c r="O218" s="310">
        <f>IFERROR(__xludf.DUMMYFUNCTION("""COMPUTED_VALUE"""),0.0)</f>
        <v>0</v>
      </c>
      <c r="P218" s="310">
        <f>IFERROR(__xludf.DUMMYFUNCTION("""COMPUTED_VALUE"""),0.0)</f>
        <v>0</v>
      </c>
      <c r="Q218" s="310">
        <f>IFERROR(__xludf.DUMMYFUNCTION("""COMPUTED_VALUE"""),0.0)</f>
        <v>0</v>
      </c>
      <c r="R218" s="310">
        <f>IFERROR(__xludf.DUMMYFUNCTION("""COMPUTED_VALUE"""),0.0)</f>
        <v>0</v>
      </c>
      <c r="S218" s="310">
        <f>IFERROR(__xludf.DUMMYFUNCTION("""COMPUTED_VALUE"""),0.0)</f>
        <v>0</v>
      </c>
      <c r="T218" s="310">
        <f>IFERROR(__xludf.DUMMYFUNCTION("""COMPUTED_VALUE"""),50.0)</f>
        <v>50</v>
      </c>
      <c r="U218" s="310">
        <f>IFERROR(__xludf.DUMMYFUNCTION("""COMPUTED_VALUE"""),0.0)</f>
        <v>0</v>
      </c>
      <c r="V218" s="310">
        <f>IFERROR(__xludf.DUMMYFUNCTION("""COMPUTED_VALUE"""),0.0)</f>
        <v>0</v>
      </c>
      <c r="W218" s="310">
        <f>IFERROR(__xludf.DUMMYFUNCTION("""COMPUTED_VALUE"""),0.0)</f>
        <v>0</v>
      </c>
      <c r="X218" s="310">
        <f>IFERROR(__xludf.DUMMYFUNCTION("""COMPUTED_VALUE"""),25.0)</f>
        <v>25</v>
      </c>
      <c r="Y218" s="310">
        <f>IFERROR(__xludf.DUMMYFUNCTION("""COMPUTED_VALUE"""),15.0)</f>
        <v>15</v>
      </c>
      <c r="Z218" s="310">
        <f>IFERROR(__xludf.DUMMYFUNCTION("""COMPUTED_VALUE"""),-50.0)</f>
        <v>-50</v>
      </c>
      <c r="AA218" s="310">
        <f>IFERROR(__xludf.DUMMYFUNCTION("""COMPUTED_VALUE"""),0.0)</f>
        <v>0</v>
      </c>
      <c r="AB218" s="310">
        <f>IFERROR(__xludf.DUMMYFUNCTION("""COMPUTED_VALUE"""),0.0)</f>
        <v>0</v>
      </c>
      <c r="AC218" s="310">
        <f>IFERROR(__xludf.DUMMYFUNCTION("""COMPUTED_VALUE"""),0.0)</f>
        <v>0</v>
      </c>
      <c r="AD218" s="310">
        <f>IFERROR(__xludf.DUMMYFUNCTION("""COMPUTED_VALUE"""),-15.0)</f>
        <v>-15</v>
      </c>
      <c r="AE218" s="310">
        <f>IFERROR(__xludf.DUMMYFUNCTION("""COMPUTED_VALUE"""),-25.0)</f>
        <v>-25</v>
      </c>
      <c r="AF218" s="310" t="str">
        <f>IFERROR(__xludf.DUMMYFUNCTION("""COMPUTED_VALUE"""),"")</f>
        <v/>
      </c>
      <c r="AG218" s="310">
        <f>IFERROR(__xludf.DUMMYFUNCTION("""COMPUTED_VALUE"""),0.0)</f>
        <v>0</v>
      </c>
      <c r="AH218" s="310">
        <f>IFERROR(__xludf.DUMMYFUNCTION("""COMPUTED_VALUE"""),0.0)</f>
        <v>0</v>
      </c>
      <c r="AI218" s="310">
        <f>IFERROR(__xludf.DUMMYFUNCTION("""COMPUTED_VALUE"""),0.0)</f>
        <v>0</v>
      </c>
      <c r="AJ218" s="310"/>
    </row>
    <row r="219" ht="22.5" customHeight="1">
      <c r="A219" s="311" t="str">
        <f>IFERROR(__xludf.DUMMYFUNCTION("""COMPUTED_VALUE"""),"")</f>
        <v/>
      </c>
      <c r="B219" s="311" t="str">
        <f>IFERROR(__xludf.DUMMYFUNCTION("""COMPUTED_VALUE"""),"")</f>
        <v/>
      </c>
      <c r="C219" s="311">
        <f>IFERROR(__xludf.DUMMYFUNCTION("""COMPUTED_VALUE"""),413.0)</f>
        <v>413</v>
      </c>
      <c r="D219" s="311" t="str">
        <f>IFERROR(__xludf.DUMMYFUNCTION("""COMPUTED_VALUE"""),"Hospital Sanatório Penal")</f>
        <v>Hospital Sanatório Penal</v>
      </c>
      <c r="E219" s="315" t="str">
        <f>IFERROR(__xludf.DUMMYFUNCTION("""COMPUTED_VALUE"""),"ZONA OESTE")</f>
        <v>ZONA OESTE</v>
      </c>
      <c r="F219" s="311" t="str">
        <f>IFERROR(__xludf.DUMMYFUNCTION("""COMPUTED_VALUE"""),"Rio de Janeiro")</f>
        <v>Rio de Janeiro</v>
      </c>
      <c r="G219" s="311" t="str">
        <f>IFERROR(__xludf.DUMMYFUNCTION("""COMPUTED_VALUE"""),"Complexo de Gericinó")</f>
        <v>Complexo de Gericinó</v>
      </c>
      <c r="H219" s="311" t="str">
        <f>IFERROR(__xludf.DUMMYFUNCTION("""COMPUTED_VALUE"""),"Hospital de Apoio - MÉDIA COMPLEXIDADE
")</f>
        <v>Hospital de Apoio - MÉDIA COMPLEXIDADE
</v>
      </c>
      <c r="I219" s="311" t="str">
        <f>IFERROR(__xludf.DUMMYFUNCTION("""COMPUTED_VALUE"""),"Público")</f>
        <v>Público</v>
      </c>
      <c r="J219" s="311" t="str">
        <f>IFERROR(__xludf.DUMMYFUNCTION("""COMPUTED_VALUE"""),"")</f>
        <v/>
      </c>
      <c r="K219" s="311" t="str">
        <f>IFERROR(__xludf.DUMMYFUNCTION("""COMPUTED_VALUE"""),"")</f>
        <v/>
      </c>
      <c r="L219" s="311" t="str">
        <f>IFERROR(__xludf.DUMMYFUNCTION("""COMPUTED_VALUE"""),"")</f>
        <v/>
      </c>
      <c r="M219" s="311" t="str">
        <f>IFERROR(__xludf.DUMMYFUNCTION("""COMPUTED_VALUE"""),"")</f>
        <v/>
      </c>
      <c r="N219" s="311">
        <f>IFERROR(__xludf.DUMMYFUNCTION("""COMPUTED_VALUE"""),0.0)</f>
        <v>0</v>
      </c>
      <c r="O219" s="311">
        <f>IFERROR(__xludf.DUMMYFUNCTION("""COMPUTED_VALUE"""),0.0)</f>
        <v>0</v>
      </c>
      <c r="P219" s="311">
        <f>IFERROR(__xludf.DUMMYFUNCTION("""COMPUTED_VALUE"""),0.0)</f>
        <v>0</v>
      </c>
      <c r="Q219" s="311">
        <f>IFERROR(__xludf.DUMMYFUNCTION("""COMPUTED_VALUE"""),0.0)</f>
        <v>0</v>
      </c>
      <c r="R219" s="311">
        <f>IFERROR(__xludf.DUMMYFUNCTION("""COMPUTED_VALUE"""),0.0)</f>
        <v>0</v>
      </c>
      <c r="S219" s="311">
        <f>IFERROR(__xludf.DUMMYFUNCTION("""COMPUTED_VALUE"""),0.0)</f>
        <v>0</v>
      </c>
      <c r="T219" s="311">
        <f>IFERROR(__xludf.DUMMYFUNCTION("""COMPUTED_VALUE"""),50.0)</f>
        <v>50</v>
      </c>
      <c r="U219" s="311">
        <f>IFERROR(__xludf.DUMMYFUNCTION("""COMPUTED_VALUE"""),0.0)</f>
        <v>0</v>
      </c>
      <c r="V219" s="311">
        <f>IFERROR(__xludf.DUMMYFUNCTION("""COMPUTED_VALUE"""),0.0)</f>
        <v>0</v>
      </c>
      <c r="W219" s="311">
        <f>IFERROR(__xludf.DUMMYFUNCTION("""COMPUTED_VALUE"""),0.0)</f>
        <v>0</v>
      </c>
      <c r="X219" s="311">
        <f>IFERROR(__xludf.DUMMYFUNCTION("""COMPUTED_VALUE"""),0.0)</f>
        <v>0</v>
      </c>
      <c r="Y219" s="311">
        <f>IFERROR(__xludf.DUMMYFUNCTION("""COMPUTED_VALUE"""),10.0)</f>
        <v>10</v>
      </c>
      <c r="Z219" s="311">
        <f>IFERROR(__xludf.DUMMYFUNCTION("""COMPUTED_VALUE"""),-50.0)</f>
        <v>-50</v>
      </c>
      <c r="AA219" s="311">
        <f>IFERROR(__xludf.DUMMYFUNCTION("""COMPUTED_VALUE"""),0.0)</f>
        <v>0</v>
      </c>
      <c r="AB219" s="311">
        <f>IFERROR(__xludf.DUMMYFUNCTION("""COMPUTED_VALUE"""),0.0)</f>
        <v>0</v>
      </c>
      <c r="AC219" s="311">
        <f>IFERROR(__xludf.DUMMYFUNCTION("""COMPUTED_VALUE"""),0.0)</f>
        <v>0</v>
      </c>
      <c r="AD219" s="311">
        <f>IFERROR(__xludf.DUMMYFUNCTION("""COMPUTED_VALUE"""),-10.0)</f>
        <v>-10</v>
      </c>
      <c r="AE219" s="311">
        <f>IFERROR(__xludf.DUMMYFUNCTION("""COMPUTED_VALUE"""),0.0)</f>
        <v>0</v>
      </c>
      <c r="AF219" s="311" t="str">
        <f>IFERROR(__xludf.DUMMYFUNCTION("""COMPUTED_VALUE"""),"")</f>
        <v/>
      </c>
      <c r="AG219" s="311">
        <f>IFERROR(__xludf.DUMMYFUNCTION("""COMPUTED_VALUE"""),0.0)</f>
        <v>0</v>
      </c>
      <c r="AH219" s="311">
        <f>IFERROR(__xludf.DUMMYFUNCTION("""COMPUTED_VALUE"""),0.0)</f>
        <v>0</v>
      </c>
      <c r="AI219" s="311">
        <f>IFERROR(__xludf.DUMMYFUNCTION("""COMPUTED_VALUE"""),0.0)</f>
        <v>0</v>
      </c>
      <c r="AJ219" s="311"/>
    </row>
    <row r="220" ht="22.5" customHeight="1">
      <c r="A220" s="310" t="str">
        <f>IFERROR(__xludf.DUMMYFUNCTION("""COMPUTED_VALUE"""),"")</f>
        <v/>
      </c>
      <c r="B220" s="310" t="str">
        <f>IFERROR(__xludf.DUMMYFUNCTION("""COMPUTED_VALUE"""),"")</f>
        <v/>
      </c>
      <c r="C220" s="310">
        <f>IFERROR(__xludf.DUMMYFUNCTION("""COMPUTED_VALUE"""),414.0)</f>
        <v>414</v>
      </c>
      <c r="D220" s="310" t="str">
        <f>IFERROR(__xludf.DUMMYFUNCTION("""COMPUTED_VALUE"""),"Hospital de Campanha do Rio Centro")</f>
        <v>Hospital de Campanha do Rio Centro</v>
      </c>
      <c r="E220" s="313" t="str">
        <f>IFERROR(__xludf.DUMMYFUNCTION("""COMPUTED_VALUE"""),"ZONA OESTE")</f>
        <v>ZONA OESTE</v>
      </c>
      <c r="F220" s="310" t="str">
        <f>IFERROR(__xludf.DUMMYFUNCTION("""COMPUTED_VALUE"""),"Rio de Janeiro")</f>
        <v>Rio de Janeiro</v>
      </c>
      <c r="G220" s="310" t="str">
        <f>IFERROR(__xludf.DUMMYFUNCTION("""COMPUTED_VALUE"""),"Rio Centro")</f>
        <v>Rio Centro</v>
      </c>
      <c r="H220" s="310" t="str">
        <f>IFERROR(__xludf.DUMMYFUNCTION("""COMPUTED_VALUE"""),"Hospital de Referência - ALTA COMPLEXIDADE")</f>
        <v>Hospital de Referência - ALTA COMPLEXIDADE</v>
      </c>
      <c r="I220" s="310" t="str">
        <f>IFERROR(__xludf.DUMMYFUNCTION("""COMPUTED_VALUE"""),"Público")</f>
        <v>Público</v>
      </c>
      <c r="J220" s="310" t="str">
        <f>IFERROR(__xludf.DUMMYFUNCTION("""COMPUTED_VALUE"""),"")</f>
        <v/>
      </c>
      <c r="K220" s="310" t="str">
        <f>IFERROR(__xludf.DUMMYFUNCTION("""COMPUTED_VALUE"""),"")</f>
        <v/>
      </c>
      <c r="L220" s="310" t="str">
        <f>IFERROR(__xludf.DUMMYFUNCTION("""COMPUTED_VALUE"""),"")</f>
        <v/>
      </c>
      <c r="M220" s="310" t="str">
        <f>IFERROR(__xludf.DUMMYFUNCTION("""COMPUTED_VALUE"""),"")</f>
        <v/>
      </c>
      <c r="N220" s="310">
        <f>IFERROR(__xludf.DUMMYFUNCTION("""COMPUTED_VALUE"""),0.0)</f>
        <v>0</v>
      </c>
      <c r="O220" s="310">
        <f>IFERROR(__xludf.DUMMYFUNCTION("""COMPUTED_VALUE"""),0.0)</f>
        <v>0</v>
      </c>
      <c r="P220" s="310">
        <f>IFERROR(__xludf.DUMMYFUNCTION("""COMPUTED_VALUE"""),0.0)</f>
        <v>0</v>
      </c>
      <c r="Q220" s="310">
        <f>IFERROR(__xludf.DUMMYFUNCTION("""COMPUTED_VALUE"""),0.0)</f>
        <v>0</v>
      </c>
      <c r="R220" s="310">
        <f>IFERROR(__xludf.DUMMYFUNCTION("""COMPUTED_VALUE"""),0.0)</f>
        <v>0</v>
      </c>
      <c r="S220" s="310">
        <f>IFERROR(__xludf.DUMMYFUNCTION("""COMPUTED_VALUE"""),0.0)</f>
        <v>0</v>
      </c>
      <c r="T220" s="310">
        <f>IFERROR(__xludf.DUMMYFUNCTION("""COMPUTED_VALUE"""),2500.0)</f>
        <v>2500</v>
      </c>
      <c r="U220" s="310">
        <f>IFERROR(__xludf.DUMMYFUNCTION("""COMPUTED_VALUE"""),0.0)</f>
        <v>0</v>
      </c>
      <c r="V220" s="310">
        <f>IFERROR(__xludf.DUMMYFUNCTION("""COMPUTED_VALUE"""),0.0)</f>
        <v>0</v>
      </c>
      <c r="W220" s="310">
        <f>IFERROR(__xludf.DUMMYFUNCTION("""COMPUTED_VALUE"""),0.0)</f>
        <v>0</v>
      </c>
      <c r="X220" s="310">
        <f>IFERROR(__xludf.DUMMYFUNCTION("""COMPUTED_VALUE"""),0.0)</f>
        <v>0</v>
      </c>
      <c r="Y220" s="310">
        <f>IFERROR(__xludf.DUMMYFUNCTION("""COMPUTED_VALUE"""),0.0)</f>
        <v>0</v>
      </c>
      <c r="Z220" s="310">
        <f>IFERROR(__xludf.DUMMYFUNCTION("""COMPUTED_VALUE"""),-2500.0)</f>
        <v>-2500</v>
      </c>
      <c r="AA220" s="310">
        <f>IFERROR(__xludf.DUMMYFUNCTION("""COMPUTED_VALUE"""),0.0)</f>
        <v>0</v>
      </c>
      <c r="AB220" s="310">
        <f>IFERROR(__xludf.DUMMYFUNCTION("""COMPUTED_VALUE"""),0.0)</f>
        <v>0</v>
      </c>
      <c r="AC220" s="310">
        <f>IFERROR(__xludf.DUMMYFUNCTION("""COMPUTED_VALUE"""),0.0)</f>
        <v>0</v>
      </c>
      <c r="AD220" s="310">
        <f>IFERROR(__xludf.DUMMYFUNCTION("""COMPUTED_VALUE"""),0.0)</f>
        <v>0</v>
      </c>
      <c r="AE220" s="310">
        <f>IFERROR(__xludf.DUMMYFUNCTION("""COMPUTED_VALUE"""),0.0)</f>
        <v>0</v>
      </c>
      <c r="AF220" s="310" t="str">
        <f>IFERROR(__xludf.DUMMYFUNCTION("""COMPUTED_VALUE"""),"")</f>
        <v/>
      </c>
      <c r="AG220" s="310">
        <f>IFERROR(__xludf.DUMMYFUNCTION("""COMPUTED_VALUE"""),0.0)</f>
        <v>0</v>
      </c>
      <c r="AH220" s="310">
        <f>IFERROR(__xludf.DUMMYFUNCTION("""COMPUTED_VALUE"""),0.0)</f>
        <v>0</v>
      </c>
      <c r="AI220" s="310">
        <f>IFERROR(__xludf.DUMMYFUNCTION("""COMPUTED_VALUE"""),0.0)</f>
        <v>0</v>
      </c>
      <c r="AJ220" s="310"/>
    </row>
    <row r="221" ht="22.5" customHeight="1">
      <c r="A221" s="311" t="str">
        <f>IFERROR(__xludf.DUMMYFUNCTION("""COMPUTED_VALUE"""),"")</f>
        <v/>
      </c>
      <c r="B221" s="311" t="str">
        <f>IFERROR(__xludf.DUMMYFUNCTION("""COMPUTED_VALUE"""),"")</f>
        <v/>
      </c>
      <c r="C221" s="311">
        <f>IFERROR(__xludf.DUMMYFUNCTION("""COMPUTED_VALUE"""),415.0)</f>
        <v>415</v>
      </c>
      <c r="D221" s="311" t="str">
        <f>IFERROR(__xludf.DUMMYFUNCTION("""COMPUTED_VALUE"""),"UPA Penha")</f>
        <v>UPA Penha</v>
      </c>
      <c r="E221" s="315" t="str">
        <f>IFERROR(__xludf.DUMMYFUNCTION("""COMPUTED_VALUE"""),"ZONA NORTE")</f>
        <v>ZONA NORTE</v>
      </c>
      <c r="F221" s="311" t="str">
        <f>IFERROR(__xludf.DUMMYFUNCTION("""COMPUTED_VALUE"""),"Rio de Janeiro")</f>
        <v>Rio de Janeiro</v>
      </c>
      <c r="G221" s="311" t="str">
        <f>IFERROR(__xludf.DUMMYFUNCTION("""COMPUTED_VALUE"""),"Penha")</f>
        <v>Penha</v>
      </c>
      <c r="H221" s="311" t="str">
        <f>IFERROR(__xludf.DUMMYFUNCTION("""COMPUTED_VALUE"""),"Grande emergência - MÉDIA COMPLEXIDADE
")</f>
        <v>Grande emergência - MÉDIA COMPLEXIDADE
</v>
      </c>
      <c r="I221" s="311" t="str">
        <f>IFERROR(__xludf.DUMMYFUNCTION("""COMPUTED_VALUE"""),"Público")</f>
        <v>Público</v>
      </c>
      <c r="J221" s="311" t="str">
        <f>IFERROR(__xludf.DUMMYFUNCTION("""COMPUTED_VALUE"""),"")</f>
        <v/>
      </c>
      <c r="K221" s="311" t="str">
        <f>IFERROR(__xludf.DUMMYFUNCTION("""COMPUTED_VALUE"""),"")</f>
        <v/>
      </c>
      <c r="L221" s="311" t="str">
        <f>IFERROR(__xludf.DUMMYFUNCTION("""COMPUTED_VALUE"""),"")</f>
        <v/>
      </c>
      <c r="M221" s="311" t="str">
        <f>IFERROR(__xludf.DUMMYFUNCTION("""COMPUTED_VALUE"""),"")</f>
        <v/>
      </c>
      <c r="N221" s="311">
        <f>IFERROR(__xludf.DUMMYFUNCTION("""COMPUTED_VALUE"""),0.0)</f>
        <v>0</v>
      </c>
      <c r="O221" s="311">
        <f>IFERROR(__xludf.DUMMYFUNCTION("""COMPUTED_VALUE"""),0.0)</f>
        <v>0</v>
      </c>
      <c r="P221" s="311">
        <f>IFERROR(__xludf.DUMMYFUNCTION("""COMPUTED_VALUE"""),0.0)</f>
        <v>0</v>
      </c>
      <c r="Q221" s="311">
        <f>IFERROR(__xludf.DUMMYFUNCTION("""COMPUTED_VALUE"""),0.0)</f>
        <v>0</v>
      </c>
      <c r="R221" s="311">
        <f>IFERROR(__xludf.DUMMYFUNCTION("""COMPUTED_VALUE"""),0.0)</f>
        <v>0</v>
      </c>
      <c r="S221" s="311">
        <f>IFERROR(__xludf.DUMMYFUNCTION("""COMPUTED_VALUE"""),0.0)</f>
        <v>0</v>
      </c>
      <c r="T221" s="311">
        <f>IFERROR(__xludf.DUMMYFUNCTION("""COMPUTED_VALUE"""),50.0)</f>
        <v>50</v>
      </c>
      <c r="U221" s="311">
        <f>IFERROR(__xludf.DUMMYFUNCTION("""COMPUTED_VALUE"""),0.0)</f>
        <v>0</v>
      </c>
      <c r="V221" s="311">
        <f>IFERROR(__xludf.DUMMYFUNCTION("""COMPUTED_VALUE"""),0.0)</f>
        <v>0</v>
      </c>
      <c r="W221" s="311">
        <f>IFERROR(__xludf.DUMMYFUNCTION("""COMPUTED_VALUE"""),0.0)</f>
        <v>0</v>
      </c>
      <c r="X221" s="311">
        <f>IFERROR(__xludf.DUMMYFUNCTION("""COMPUTED_VALUE"""),0.0)</f>
        <v>0</v>
      </c>
      <c r="Y221" s="311">
        <f>IFERROR(__xludf.DUMMYFUNCTION("""COMPUTED_VALUE"""),0.0)</f>
        <v>0</v>
      </c>
      <c r="Z221" s="311">
        <f>IFERROR(__xludf.DUMMYFUNCTION("""COMPUTED_VALUE"""),-50.0)</f>
        <v>-50</v>
      </c>
      <c r="AA221" s="311">
        <f>IFERROR(__xludf.DUMMYFUNCTION("""COMPUTED_VALUE"""),0.0)</f>
        <v>0</v>
      </c>
      <c r="AB221" s="311">
        <f>IFERROR(__xludf.DUMMYFUNCTION("""COMPUTED_VALUE"""),0.0)</f>
        <v>0</v>
      </c>
      <c r="AC221" s="311">
        <f>IFERROR(__xludf.DUMMYFUNCTION("""COMPUTED_VALUE"""),0.0)</f>
        <v>0</v>
      </c>
      <c r="AD221" s="311">
        <f>IFERROR(__xludf.DUMMYFUNCTION("""COMPUTED_VALUE"""),0.0)</f>
        <v>0</v>
      </c>
      <c r="AE221" s="311">
        <f>IFERROR(__xludf.DUMMYFUNCTION("""COMPUTED_VALUE"""),0.0)</f>
        <v>0</v>
      </c>
      <c r="AF221" s="311" t="str">
        <f>IFERROR(__xludf.DUMMYFUNCTION("""COMPUTED_VALUE"""),"")</f>
        <v/>
      </c>
      <c r="AG221" s="311">
        <f>IFERROR(__xludf.DUMMYFUNCTION("""COMPUTED_VALUE"""),0.0)</f>
        <v>0</v>
      </c>
      <c r="AH221" s="311">
        <f>IFERROR(__xludf.DUMMYFUNCTION("""COMPUTED_VALUE"""),0.0)</f>
        <v>0</v>
      </c>
      <c r="AI221" s="311">
        <f>IFERROR(__xludf.DUMMYFUNCTION("""COMPUTED_VALUE"""),0.0)</f>
        <v>0</v>
      </c>
      <c r="AJ221" s="311"/>
    </row>
    <row r="222" ht="22.5" customHeight="1">
      <c r="A222" s="310" t="str">
        <f>IFERROR(__xludf.DUMMYFUNCTION("""COMPUTED_VALUE"""),"")</f>
        <v/>
      </c>
      <c r="B222" s="310" t="str">
        <f>IFERROR(__xludf.DUMMYFUNCTION("""COMPUTED_VALUE"""),"")</f>
        <v/>
      </c>
      <c r="C222" s="310">
        <f>IFERROR(__xludf.DUMMYFUNCTION("""COMPUTED_VALUE"""),416.0)</f>
        <v>416</v>
      </c>
      <c r="D222" s="310" t="str">
        <f>IFERROR(__xludf.DUMMYFUNCTION("""COMPUTED_VALUE"""),"UPA Campo Grande I ")</f>
        <v>UPA Campo Grande I </v>
      </c>
      <c r="E222" s="313" t="str">
        <f>IFERROR(__xludf.DUMMYFUNCTION("""COMPUTED_VALUE"""),"ZONA OESTE")</f>
        <v>ZONA OESTE</v>
      </c>
      <c r="F222" s="310" t="str">
        <f>IFERROR(__xludf.DUMMYFUNCTION("""COMPUTED_VALUE"""),"Rio de Janeiro")</f>
        <v>Rio de Janeiro</v>
      </c>
      <c r="G222" s="310" t="str">
        <f>IFERROR(__xludf.DUMMYFUNCTION("""COMPUTED_VALUE"""),"Campo Grande")</f>
        <v>Campo Grande</v>
      </c>
      <c r="H222" s="310" t="str">
        <f>IFERROR(__xludf.DUMMYFUNCTION("""COMPUTED_VALUE"""),"Grande emergência - MÉDIA COMPLEXIDADE
")</f>
        <v>Grande emergência - MÉDIA COMPLEXIDADE
</v>
      </c>
      <c r="I222" s="310" t="str">
        <f>IFERROR(__xludf.DUMMYFUNCTION("""COMPUTED_VALUE"""),"Público")</f>
        <v>Público</v>
      </c>
      <c r="J222" s="310" t="str">
        <f>IFERROR(__xludf.DUMMYFUNCTION("""COMPUTED_VALUE"""),"")</f>
        <v/>
      </c>
      <c r="K222" s="310" t="str">
        <f>IFERROR(__xludf.DUMMYFUNCTION("""COMPUTED_VALUE"""),"")</f>
        <v/>
      </c>
      <c r="L222" s="310" t="str">
        <f>IFERROR(__xludf.DUMMYFUNCTION("""COMPUTED_VALUE"""),"")</f>
        <v/>
      </c>
      <c r="M222" s="310" t="str">
        <f>IFERROR(__xludf.DUMMYFUNCTION("""COMPUTED_VALUE"""),"")</f>
        <v/>
      </c>
      <c r="N222" s="310">
        <f>IFERROR(__xludf.DUMMYFUNCTION("""COMPUTED_VALUE"""),0.0)</f>
        <v>0</v>
      </c>
      <c r="O222" s="310">
        <f>IFERROR(__xludf.DUMMYFUNCTION("""COMPUTED_VALUE"""),0.0)</f>
        <v>0</v>
      </c>
      <c r="P222" s="310">
        <f>IFERROR(__xludf.DUMMYFUNCTION("""COMPUTED_VALUE"""),0.0)</f>
        <v>0</v>
      </c>
      <c r="Q222" s="310">
        <f>IFERROR(__xludf.DUMMYFUNCTION("""COMPUTED_VALUE"""),0.0)</f>
        <v>0</v>
      </c>
      <c r="R222" s="310">
        <f>IFERROR(__xludf.DUMMYFUNCTION("""COMPUTED_VALUE"""),0.0)</f>
        <v>0</v>
      </c>
      <c r="S222" s="310">
        <f>IFERROR(__xludf.DUMMYFUNCTION("""COMPUTED_VALUE"""),0.0)</f>
        <v>0</v>
      </c>
      <c r="T222" s="310">
        <f>IFERROR(__xludf.DUMMYFUNCTION("""COMPUTED_VALUE"""),0.0)</f>
        <v>0</v>
      </c>
      <c r="U222" s="310">
        <f>IFERROR(__xludf.DUMMYFUNCTION("""COMPUTED_VALUE"""),0.0)</f>
        <v>0</v>
      </c>
      <c r="V222" s="310">
        <f>IFERROR(__xludf.DUMMYFUNCTION("""COMPUTED_VALUE"""),0.0)</f>
        <v>0</v>
      </c>
      <c r="W222" s="310">
        <f>IFERROR(__xludf.DUMMYFUNCTION("""COMPUTED_VALUE"""),0.0)</f>
        <v>0</v>
      </c>
      <c r="X222" s="310">
        <f>IFERROR(__xludf.DUMMYFUNCTION("""COMPUTED_VALUE"""),25.0)</f>
        <v>25</v>
      </c>
      <c r="Y222" s="310">
        <f>IFERROR(__xludf.DUMMYFUNCTION("""COMPUTED_VALUE"""),5.0)</f>
        <v>5</v>
      </c>
      <c r="Z222" s="310">
        <f>IFERROR(__xludf.DUMMYFUNCTION("""COMPUTED_VALUE"""),0.0)</f>
        <v>0</v>
      </c>
      <c r="AA222" s="310">
        <f>IFERROR(__xludf.DUMMYFUNCTION("""COMPUTED_VALUE"""),0.0)</f>
        <v>0</v>
      </c>
      <c r="AB222" s="310">
        <f>IFERROR(__xludf.DUMMYFUNCTION("""COMPUTED_VALUE"""),0.0)</f>
        <v>0</v>
      </c>
      <c r="AC222" s="310">
        <f>IFERROR(__xludf.DUMMYFUNCTION("""COMPUTED_VALUE"""),0.0)</f>
        <v>0</v>
      </c>
      <c r="AD222" s="310">
        <f>IFERROR(__xludf.DUMMYFUNCTION("""COMPUTED_VALUE"""),-5.0)</f>
        <v>-5</v>
      </c>
      <c r="AE222" s="310">
        <f>IFERROR(__xludf.DUMMYFUNCTION("""COMPUTED_VALUE"""),-25.0)</f>
        <v>-25</v>
      </c>
      <c r="AF222" s="310" t="str">
        <f>IFERROR(__xludf.DUMMYFUNCTION("""COMPUTED_VALUE"""),"")</f>
        <v/>
      </c>
      <c r="AG222" s="310">
        <f>IFERROR(__xludf.DUMMYFUNCTION("""COMPUTED_VALUE"""),0.0)</f>
        <v>0</v>
      </c>
      <c r="AH222" s="310">
        <f>IFERROR(__xludf.DUMMYFUNCTION("""COMPUTED_VALUE"""),0.0)</f>
        <v>0</v>
      </c>
      <c r="AI222" s="310">
        <f>IFERROR(__xludf.DUMMYFUNCTION("""COMPUTED_VALUE"""),0.0)</f>
        <v>0</v>
      </c>
      <c r="AJ222" s="310"/>
    </row>
    <row r="223" ht="22.5" customHeight="1">
      <c r="A223" s="311" t="str">
        <f>IFERROR(__xludf.DUMMYFUNCTION("""COMPUTED_VALUE"""),"")</f>
        <v/>
      </c>
      <c r="B223" s="311" t="str">
        <f>IFERROR(__xludf.DUMMYFUNCTION("""COMPUTED_VALUE"""),"")</f>
        <v/>
      </c>
      <c r="C223" s="311">
        <f>IFERROR(__xludf.DUMMYFUNCTION("""COMPUTED_VALUE"""),417.0)</f>
        <v>417</v>
      </c>
      <c r="D223" s="311" t="str">
        <f>IFERROR(__xludf.DUMMYFUNCTION("""COMPUTED_VALUE"""),"UPA São Gonçalo II")</f>
        <v>UPA São Gonçalo II</v>
      </c>
      <c r="E223" s="315" t="str">
        <f>IFERROR(__xludf.DUMMYFUNCTION("""COMPUTED_VALUE"""),"REGIAO METROPOLITANA")</f>
        <v>REGIAO METROPOLITANA</v>
      </c>
      <c r="F223" s="311" t="str">
        <f>IFERROR(__xludf.DUMMYFUNCTION("""COMPUTED_VALUE"""),"São Gonçalo")</f>
        <v>São Gonçalo</v>
      </c>
      <c r="G223" s="311" t="str">
        <f>IFERROR(__xludf.DUMMYFUNCTION("""COMPUTED_VALUE"""),"Jardim Catarina")</f>
        <v>Jardim Catarina</v>
      </c>
      <c r="H223" s="311" t="str">
        <f>IFERROR(__xludf.DUMMYFUNCTION("""COMPUTED_VALUE"""),"Grande emergência - MÉDIA COMPLEXIDADE
")</f>
        <v>Grande emergência - MÉDIA COMPLEXIDADE
</v>
      </c>
      <c r="I223" s="311" t="str">
        <f>IFERROR(__xludf.DUMMYFUNCTION("""COMPUTED_VALUE"""),"Público")</f>
        <v>Público</v>
      </c>
      <c r="J223" s="311" t="str">
        <f>IFERROR(__xludf.DUMMYFUNCTION("""COMPUTED_VALUE"""),"")</f>
        <v/>
      </c>
      <c r="K223" s="311" t="str">
        <f>IFERROR(__xludf.DUMMYFUNCTION("""COMPUTED_VALUE"""),"")</f>
        <v/>
      </c>
      <c r="L223" s="311" t="str">
        <f>IFERROR(__xludf.DUMMYFUNCTION("""COMPUTED_VALUE"""),"")</f>
        <v/>
      </c>
      <c r="M223" s="311" t="str">
        <f>IFERROR(__xludf.DUMMYFUNCTION("""COMPUTED_VALUE"""),"")</f>
        <v/>
      </c>
      <c r="N223" s="311">
        <f>IFERROR(__xludf.DUMMYFUNCTION("""COMPUTED_VALUE"""),0.0)</f>
        <v>0</v>
      </c>
      <c r="O223" s="311">
        <f>IFERROR(__xludf.DUMMYFUNCTION("""COMPUTED_VALUE"""),0.0)</f>
        <v>0</v>
      </c>
      <c r="P223" s="311">
        <f>IFERROR(__xludf.DUMMYFUNCTION("""COMPUTED_VALUE"""),0.0)</f>
        <v>0</v>
      </c>
      <c r="Q223" s="311">
        <f>IFERROR(__xludf.DUMMYFUNCTION("""COMPUTED_VALUE"""),0.0)</f>
        <v>0</v>
      </c>
      <c r="R223" s="311">
        <f>IFERROR(__xludf.DUMMYFUNCTION("""COMPUTED_VALUE"""),0.0)</f>
        <v>0</v>
      </c>
      <c r="S223" s="311">
        <f>IFERROR(__xludf.DUMMYFUNCTION("""COMPUTED_VALUE"""),0.0)</f>
        <v>0</v>
      </c>
      <c r="T223" s="311">
        <f>IFERROR(__xludf.DUMMYFUNCTION("""COMPUTED_VALUE"""),0.0)</f>
        <v>0</v>
      </c>
      <c r="U223" s="311">
        <f>IFERROR(__xludf.DUMMYFUNCTION("""COMPUTED_VALUE"""),0.0)</f>
        <v>0</v>
      </c>
      <c r="V223" s="311">
        <f>IFERROR(__xludf.DUMMYFUNCTION("""COMPUTED_VALUE"""),0.0)</f>
        <v>0</v>
      </c>
      <c r="W223" s="311">
        <f>IFERROR(__xludf.DUMMYFUNCTION("""COMPUTED_VALUE"""),0.0)</f>
        <v>0</v>
      </c>
      <c r="X223" s="311">
        <f>IFERROR(__xludf.DUMMYFUNCTION("""COMPUTED_VALUE"""),0.0)</f>
        <v>0</v>
      </c>
      <c r="Y223" s="311">
        <f>IFERROR(__xludf.DUMMYFUNCTION("""COMPUTED_VALUE"""),25.0)</f>
        <v>25</v>
      </c>
      <c r="Z223" s="311">
        <f>IFERROR(__xludf.DUMMYFUNCTION("""COMPUTED_VALUE"""),0.0)</f>
        <v>0</v>
      </c>
      <c r="AA223" s="311">
        <f>IFERROR(__xludf.DUMMYFUNCTION("""COMPUTED_VALUE"""),0.0)</f>
        <v>0</v>
      </c>
      <c r="AB223" s="311">
        <f>IFERROR(__xludf.DUMMYFUNCTION("""COMPUTED_VALUE"""),0.0)</f>
        <v>0</v>
      </c>
      <c r="AC223" s="311">
        <f>IFERROR(__xludf.DUMMYFUNCTION("""COMPUTED_VALUE"""),0.0)</f>
        <v>0</v>
      </c>
      <c r="AD223" s="311">
        <f>IFERROR(__xludf.DUMMYFUNCTION("""COMPUTED_VALUE"""),-25.0)</f>
        <v>-25</v>
      </c>
      <c r="AE223" s="311">
        <f>IFERROR(__xludf.DUMMYFUNCTION("""COMPUTED_VALUE"""),0.0)</f>
        <v>0</v>
      </c>
      <c r="AF223" s="311" t="str">
        <f>IFERROR(__xludf.DUMMYFUNCTION("""COMPUTED_VALUE"""),"")</f>
        <v/>
      </c>
      <c r="AG223" s="311">
        <f>IFERROR(__xludf.DUMMYFUNCTION("""COMPUTED_VALUE"""),0.0)</f>
        <v>0</v>
      </c>
      <c r="AH223" s="311">
        <f>IFERROR(__xludf.DUMMYFUNCTION("""COMPUTED_VALUE"""),0.0)</f>
        <v>0</v>
      </c>
      <c r="AI223" s="311">
        <f>IFERROR(__xludf.DUMMYFUNCTION("""COMPUTED_VALUE"""),0.0)</f>
        <v>0</v>
      </c>
      <c r="AJ223" s="311"/>
    </row>
    <row r="224" ht="22.5" customHeight="1">
      <c r="A224" s="310" t="str">
        <f>IFERROR(__xludf.DUMMYFUNCTION("""COMPUTED_VALUE"""),"")</f>
        <v/>
      </c>
      <c r="B224" s="310" t="str">
        <f>IFERROR(__xludf.DUMMYFUNCTION("""COMPUTED_VALUE"""),"")</f>
        <v/>
      </c>
      <c r="C224" s="310">
        <f>IFERROR(__xludf.DUMMYFUNCTION("""COMPUTED_VALUE"""),418.0)</f>
        <v>418</v>
      </c>
      <c r="D224" s="310" t="str">
        <f>IFERROR(__xludf.DUMMYFUNCTION("""COMPUTED_VALUE"""),"UPA Itaboraí")</f>
        <v>UPA Itaboraí</v>
      </c>
      <c r="E224" s="313" t="str">
        <f>IFERROR(__xludf.DUMMYFUNCTION("""COMPUTED_VALUE"""),"REGIAO METROPOLITANA")</f>
        <v>REGIAO METROPOLITANA</v>
      </c>
      <c r="F224" s="310" t="str">
        <f>IFERROR(__xludf.DUMMYFUNCTION("""COMPUTED_VALUE"""),"Itaboraí")</f>
        <v>Itaboraí</v>
      </c>
      <c r="G224" s="310" t="str">
        <f>IFERROR(__xludf.DUMMYFUNCTION("""COMPUTED_VALUE"""),"Manilha")</f>
        <v>Manilha</v>
      </c>
      <c r="H224" s="310" t="str">
        <f>IFERROR(__xludf.DUMMYFUNCTION("""COMPUTED_VALUE"""),"Grande emergência - MÉDIA COMPLEXIDADE
")</f>
        <v>Grande emergência - MÉDIA COMPLEXIDADE
</v>
      </c>
      <c r="I224" s="310" t="str">
        <f>IFERROR(__xludf.DUMMYFUNCTION("""COMPUTED_VALUE"""),"Público")</f>
        <v>Público</v>
      </c>
      <c r="J224" s="310" t="str">
        <f>IFERROR(__xludf.DUMMYFUNCTION("""COMPUTED_VALUE"""),"")</f>
        <v/>
      </c>
      <c r="K224" s="310" t="str">
        <f>IFERROR(__xludf.DUMMYFUNCTION("""COMPUTED_VALUE"""),"")</f>
        <v/>
      </c>
      <c r="L224" s="310" t="str">
        <f>IFERROR(__xludf.DUMMYFUNCTION("""COMPUTED_VALUE"""),"")</f>
        <v/>
      </c>
      <c r="M224" s="310" t="str">
        <f>IFERROR(__xludf.DUMMYFUNCTION("""COMPUTED_VALUE"""),"")</f>
        <v/>
      </c>
      <c r="N224" s="310">
        <f>IFERROR(__xludf.DUMMYFUNCTION("""COMPUTED_VALUE"""),0.0)</f>
        <v>0</v>
      </c>
      <c r="O224" s="310">
        <f>IFERROR(__xludf.DUMMYFUNCTION("""COMPUTED_VALUE"""),0.0)</f>
        <v>0</v>
      </c>
      <c r="P224" s="310">
        <f>IFERROR(__xludf.DUMMYFUNCTION("""COMPUTED_VALUE"""),0.0)</f>
        <v>0</v>
      </c>
      <c r="Q224" s="310">
        <f>IFERROR(__xludf.DUMMYFUNCTION("""COMPUTED_VALUE"""),0.0)</f>
        <v>0</v>
      </c>
      <c r="R224" s="310">
        <f>IFERROR(__xludf.DUMMYFUNCTION("""COMPUTED_VALUE"""),0.0)</f>
        <v>0</v>
      </c>
      <c r="S224" s="310">
        <f>IFERROR(__xludf.DUMMYFUNCTION("""COMPUTED_VALUE"""),0.0)</f>
        <v>0</v>
      </c>
      <c r="T224" s="310">
        <f>IFERROR(__xludf.DUMMYFUNCTION("""COMPUTED_VALUE"""),0.0)</f>
        <v>0</v>
      </c>
      <c r="U224" s="310">
        <f>IFERROR(__xludf.DUMMYFUNCTION("""COMPUTED_VALUE"""),0.0)</f>
        <v>0</v>
      </c>
      <c r="V224" s="310">
        <f>IFERROR(__xludf.DUMMYFUNCTION("""COMPUTED_VALUE"""),0.0)</f>
        <v>0</v>
      </c>
      <c r="W224" s="310">
        <f>IFERROR(__xludf.DUMMYFUNCTION("""COMPUTED_VALUE"""),0.0)</f>
        <v>0</v>
      </c>
      <c r="X224" s="310">
        <f>IFERROR(__xludf.DUMMYFUNCTION("""COMPUTED_VALUE"""),0.0)</f>
        <v>0</v>
      </c>
      <c r="Y224" s="310">
        <f>IFERROR(__xludf.DUMMYFUNCTION("""COMPUTED_VALUE"""),25.0)</f>
        <v>25</v>
      </c>
      <c r="Z224" s="310">
        <f>IFERROR(__xludf.DUMMYFUNCTION("""COMPUTED_VALUE"""),0.0)</f>
        <v>0</v>
      </c>
      <c r="AA224" s="310">
        <f>IFERROR(__xludf.DUMMYFUNCTION("""COMPUTED_VALUE"""),0.0)</f>
        <v>0</v>
      </c>
      <c r="AB224" s="310">
        <f>IFERROR(__xludf.DUMMYFUNCTION("""COMPUTED_VALUE"""),0.0)</f>
        <v>0</v>
      </c>
      <c r="AC224" s="310">
        <f>IFERROR(__xludf.DUMMYFUNCTION("""COMPUTED_VALUE"""),0.0)</f>
        <v>0</v>
      </c>
      <c r="AD224" s="310">
        <f>IFERROR(__xludf.DUMMYFUNCTION("""COMPUTED_VALUE"""),-25.0)</f>
        <v>-25</v>
      </c>
      <c r="AE224" s="310">
        <f>IFERROR(__xludf.DUMMYFUNCTION("""COMPUTED_VALUE"""),0.0)</f>
        <v>0</v>
      </c>
      <c r="AF224" s="310" t="str">
        <f>IFERROR(__xludf.DUMMYFUNCTION("""COMPUTED_VALUE"""),"")</f>
        <v/>
      </c>
      <c r="AG224" s="310">
        <f>IFERROR(__xludf.DUMMYFUNCTION("""COMPUTED_VALUE"""),0.0)</f>
        <v>0</v>
      </c>
      <c r="AH224" s="310">
        <f>IFERROR(__xludf.DUMMYFUNCTION("""COMPUTED_VALUE"""),0.0)</f>
        <v>0</v>
      </c>
      <c r="AI224" s="310">
        <f>IFERROR(__xludf.DUMMYFUNCTION("""COMPUTED_VALUE"""),0.0)</f>
        <v>0</v>
      </c>
      <c r="AJ224" s="310"/>
    </row>
    <row r="225" ht="22.5" customHeight="1">
      <c r="A225" s="311" t="str">
        <f>IFERROR(__xludf.DUMMYFUNCTION("""COMPUTED_VALUE"""),"")</f>
        <v/>
      </c>
      <c r="B225" s="311" t="str">
        <f>IFERROR(__xludf.DUMMYFUNCTION("""COMPUTED_VALUE"""),"")</f>
        <v/>
      </c>
      <c r="C225" s="311">
        <f>IFERROR(__xludf.DUMMYFUNCTION("""COMPUTED_VALUE"""),419.0)</f>
        <v>419</v>
      </c>
      <c r="D225" s="311" t="str">
        <f>IFERROR(__xludf.DUMMYFUNCTION("""COMPUTED_VALUE"""),"Clínica da Família Estácio de Sá")</f>
        <v>Clínica da Família Estácio de Sá</v>
      </c>
      <c r="E225" s="315" t="str">
        <f>IFERROR(__xludf.DUMMYFUNCTION("""COMPUTED_VALUE"""),"CENTRO")</f>
        <v>CENTRO</v>
      </c>
      <c r="F225" s="311" t="str">
        <f>IFERROR(__xludf.DUMMYFUNCTION("""COMPUTED_VALUE"""),"Rio de Janeiro")</f>
        <v>Rio de Janeiro</v>
      </c>
      <c r="G225" s="311" t="str">
        <f>IFERROR(__xludf.DUMMYFUNCTION("""COMPUTED_VALUE"""),"Estácio")</f>
        <v>Estácio</v>
      </c>
      <c r="H225" s="311" t="str">
        <f>IFERROR(__xludf.DUMMYFUNCTION("""COMPUTED_VALUE"""),"Unidade básica de saúde - BAIXA COMPLEXIDADE")</f>
        <v>Unidade básica de saúde - BAIXA COMPLEXIDADE</v>
      </c>
      <c r="I225" s="311" t="str">
        <f>IFERROR(__xludf.DUMMYFUNCTION("""COMPUTED_VALUE"""),"Público")</f>
        <v>Público</v>
      </c>
      <c r="J225" s="311" t="str">
        <f>IFERROR(__xludf.DUMMYFUNCTION("""COMPUTED_VALUE"""),"")</f>
        <v/>
      </c>
      <c r="K225" s="311" t="str">
        <f>IFERROR(__xludf.DUMMYFUNCTION("""COMPUTED_VALUE"""),"")</f>
        <v/>
      </c>
      <c r="L225" s="311" t="str">
        <f>IFERROR(__xludf.DUMMYFUNCTION("""COMPUTED_VALUE"""),"")</f>
        <v/>
      </c>
      <c r="M225" s="311" t="str">
        <f>IFERROR(__xludf.DUMMYFUNCTION("""COMPUTED_VALUE"""),"")</f>
        <v/>
      </c>
      <c r="N225" s="311">
        <f>IFERROR(__xludf.DUMMYFUNCTION("""COMPUTED_VALUE"""),0.0)</f>
        <v>0</v>
      </c>
      <c r="O225" s="311">
        <f>IFERROR(__xludf.DUMMYFUNCTION("""COMPUTED_VALUE"""),0.0)</f>
        <v>0</v>
      </c>
      <c r="P225" s="311">
        <f>IFERROR(__xludf.DUMMYFUNCTION("""COMPUTED_VALUE"""),0.0)</f>
        <v>0</v>
      </c>
      <c r="Q225" s="311">
        <f>IFERROR(__xludf.DUMMYFUNCTION("""COMPUTED_VALUE"""),0.0)</f>
        <v>0</v>
      </c>
      <c r="R225" s="311">
        <f>IFERROR(__xludf.DUMMYFUNCTION("""COMPUTED_VALUE"""),0.0)</f>
        <v>0</v>
      </c>
      <c r="S225" s="311">
        <f>IFERROR(__xludf.DUMMYFUNCTION("""COMPUTED_VALUE"""),0.0)</f>
        <v>0</v>
      </c>
      <c r="T225" s="311">
        <f>IFERROR(__xludf.DUMMYFUNCTION("""COMPUTED_VALUE"""),0.0)</f>
        <v>0</v>
      </c>
      <c r="U225" s="311">
        <f>IFERROR(__xludf.DUMMYFUNCTION("""COMPUTED_VALUE"""),0.0)</f>
        <v>0</v>
      </c>
      <c r="V225" s="311">
        <f>IFERROR(__xludf.DUMMYFUNCTION("""COMPUTED_VALUE"""),0.0)</f>
        <v>0</v>
      </c>
      <c r="W225" s="311">
        <f>IFERROR(__xludf.DUMMYFUNCTION("""COMPUTED_VALUE"""),0.0)</f>
        <v>0</v>
      </c>
      <c r="X225" s="311">
        <f>IFERROR(__xludf.DUMMYFUNCTION("""COMPUTED_VALUE"""),10.0)</f>
        <v>10</v>
      </c>
      <c r="Y225" s="311">
        <f>IFERROR(__xludf.DUMMYFUNCTION("""COMPUTED_VALUE"""),20.0)</f>
        <v>20</v>
      </c>
      <c r="Z225" s="311">
        <f>IFERROR(__xludf.DUMMYFUNCTION("""COMPUTED_VALUE"""),0.0)</f>
        <v>0</v>
      </c>
      <c r="AA225" s="311">
        <f>IFERROR(__xludf.DUMMYFUNCTION("""COMPUTED_VALUE"""),0.0)</f>
        <v>0</v>
      </c>
      <c r="AB225" s="311">
        <f>IFERROR(__xludf.DUMMYFUNCTION("""COMPUTED_VALUE"""),0.0)</f>
        <v>0</v>
      </c>
      <c r="AC225" s="311">
        <f>IFERROR(__xludf.DUMMYFUNCTION("""COMPUTED_VALUE"""),0.0)</f>
        <v>0</v>
      </c>
      <c r="AD225" s="311">
        <f>IFERROR(__xludf.DUMMYFUNCTION("""COMPUTED_VALUE"""),-20.0)</f>
        <v>-20</v>
      </c>
      <c r="AE225" s="311">
        <f>IFERROR(__xludf.DUMMYFUNCTION("""COMPUTED_VALUE"""),-10.0)</f>
        <v>-10</v>
      </c>
      <c r="AF225" s="311" t="str">
        <f>IFERROR(__xludf.DUMMYFUNCTION("""COMPUTED_VALUE"""),"")</f>
        <v/>
      </c>
      <c r="AG225" s="311">
        <f>IFERROR(__xludf.DUMMYFUNCTION("""COMPUTED_VALUE"""),0.0)</f>
        <v>0</v>
      </c>
      <c r="AH225" s="311">
        <f>IFERROR(__xludf.DUMMYFUNCTION("""COMPUTED_VALUE"""),0.0)</f>
        <v>0</v>
      </c>
      <c r="AI225" s="311">
        <f>IFERROR(__xludf.DUMMYFUNCTION("""COMPUTED_VALUE"""),0.0)</f>
        <v>0</v>
      </c>
      <c r="AJ225" s="311"/>
    </row>
    <row r="226" ht="22.5" customHeight="1">
      <c r="A226" s="310" t="str">
        <f>IFERROR(__xludf.DUMMYFUNCTION("""COMPUTED_VALUE"""),"")</f>
        <v/>
      </c>
      <c r="B226" s="310" t="str">
        <f>IFERROR(__xludf.DUMMYFUNCTION("""COMPUTED_VALUE"""),"")</f>
        <v/>
      </c>
      <c r="C226" s="310">
        <f>IFERROR(__xludf.DUMMYFUNCTION("""COMPUTED_VALUE"""),420.0)</f>
        <v>420</v>
      </c>
      <c r="D226" s="310" t="str">
        <f>IFERROR(__xludf.DUMMYFUNCTION("""COMPUTED_VALUE"""),"UPA Engenho Novo")</f>
        <v>UPA Engenho Novo</v>
      </c>
      <c r="E226" s="313" t="str">
        <f>IFERROR(__xludf.DUMMYFUNCTION("""COMPUTED_VALUE"""),"ZONA NORTE")</f>
        <v>ZONA NORTE</v>
      </c>
      <c r="F226" s="310" t="str">
        <f>IFERROR(__xludf.DUMMYFUNCTION("""COMPUTED_VALUE"""),"Rio de Janeiro")</f>
        <v>Rio de Janeiro</v>
      </c>
      <c r="G226" s="310" t="str">
        <f>IFERROR(__xludf.DUMMYFUNCTION("""COMPUTED_VALUE"""),"Engenho Novo")</f>
        <v>Engenho Novo</v>
      </c>
      <c r="H226" s="310" t="str">
        <f>IFERROR(__xludf.DUMMYFUNCTION("""COMPUTED_VALUE"""),"Grande emergência - MÉDIA COMPLEXIDADE
")</f>
        <v>Grande emergência - MÉDIA COMPLEXIDADE
</v>
      </c>
      <c r="I226" s="310" t="str">
        <f>IFERROR(__xludf.DUMMYFUNCTION("""COMPUTED_VALUE"""),"Público")</f>
        <v>Público</v>
      </c>
      <c r="J226" s="310" t="str">
        <f>IFERROR(__xludf.DUMMYFUNCTION("""COMPUTED_VALUE"""),"")</f>
        <v/>
      </c>
      <c r="K226" s="310" t="str">
        <f>IFERROR(__xludf.DUMMYFUNCTION("""COMPUTED_VALUE"""),"")</f>
        <v/>
      </c>
      <c r="L226" s="310" t="str">
        <f>IFERROR(__xludf.DUMMYFUNCTION("""COMPUTED_VALUE"""),"")</f>
        <v/>
      </c>
      <c r="M226" s="310" t="str">
        <f>IFERROR(__xludf.DUMMYFUNCTION("""COMPUTED_VALUE"""),"")</f>
        <v/>
      </c>
      <c r="N226" s="310">
        <f>IFERROR(__xludf.DUMMYFUNCTION("""COMPUTED_VALUE"""),0.0)</f>
        <v>0</v>
      </c>
      <c r="O226" s="310">
        <f>IFERROR(__xludf.DUMMYFUNCTION("""COMPUTED_VALUE"""),0.0)</f>
        <v>0</v>
      </c>
      <c r="P226" s="310">
        <f>IFERROR(__xludf.DUMMYFUNCTION("""COMPUTED_VALUE"""),0.0)</f>
        <v>0</v>
      </c>
      <c r="Q226" s="310">
        <f>IFERROR(__xludf.DUMMYFUNCTION("""COMPUTED_VALUE"""),0.0)</f>
        <v>0</v>
      </c>
      <c r="R226" s="310">
        <f>IFERROR(__xludf.DUMMYFUNCTION("""COMPUTED_VALUE"""),0.0)</f>
        <v>0</v>
      </c>
      <c r="S226" s="310">
        <f>IFERROR(__xludf.DUMMYFUNCTION("""COMPUTED_VALUE"""),0.0)</f>
        <v>0</v>
      </c>
      <c r="T226" s="310">
        <f>IFERROR(__xludf.DUMMYFUNCTION("""COMPUTED_VALUE"""),0.0)</f>
        <v>0</v>
      </c>
      <c r="U226" s="310">
        <f>IFERROR(__xludf.DUMMYFUNCTION("""COMPUTED_VALUE"""),0.0)</f>
        <v>0</v>
      </c>
      <c r="V226" s="310">
        <f>IFERROR(__xludf.DUMMYFUNCTION("""COMPUTED_VALUE"""),0.0)</f>
        <v>0</v>
      </c>
      <c r="W226" s="310">
        <f>IFERROR(__xludf.DUMMYFUNCTION("""COMPUTED_VALUE"""),0.0)</f>
        <v>0</v>
      </c>
      <c r="X226" s="310">
        <f>IFERROR(__xludf.DUMMYFUNCTION("""COMPUTED_VALUE"""),20.0)</f>
        <v>20</v>
      </c>
      <c r="Y226" s="310">
        <f>IFERROR(__xludf.DUMMYFUNCTION("""COMPUTED_VALUE"""),12.5)</f>
        <v>12.5</v>
      </c>
      <c r="Z226" s="310">
        <f>IFERROR(__xludf.DUMMYFUNCTION("""COMPUTED_VALUE"""),0.0)</f>
        <v>0</v>
      </c>
      <c r="AA226" s="310">
        <f>IFERROR(__xludf.DUMMYFUNCTION("""COMPUTED_VALUE"""),0.0)</f>
        <v>0</v>
      </c>
      <c r="AB226" s="310">
        <f>IFERROR(__xludf.DUMMYFUNCTION("""COMPUTED_VALUE"""),0.0)</f>
        <v>0</v>
      </c>
      <c r="AC226" s="310">
        <f>IFERROR(__xludf.DUMMYFUNCTION("""COMPUTED_VALUE"""),0.0)</f>
        <v>0</v>
      </c>
      <c r="AD226" s="310">
        <f>IFERROR(__xludf.DUMMYFUNCTION("""COMPUTED_VALUE"""),-12.5)</f>
        <v>-12.5</v>
      </c>
      <c r="AE226" s="310">
        <f>IFERROR(__xludf.DUMMYFUNCTION("""COMPUTED_VALUE"""),-20.0)</f>
        <v>-20</v>
      </c>
      <c r="AF226" s="310" t="str">
        <f>IFERROR(__xludf.DUMMYFUNCTION("""COMPUTED_VALUE"""),"")</f>
        <v/>
      </c>
      <c r="AG226" s="310">
        <f>IFERROR(__xludf.DUMMYFUNCTION("""COMPUTED_VALUE"""),0.0)</f>
        <v>0</v>
      </c>
      <c r="AH226" s="310">
        <f>IFERROR(__xludf.DUMMYFUNCTION("""COMPUTED_VALUE"""),0.0)</f>
        <v>0</v>
      </c>
      <c r="AI226" s="310">
        <f>IFERROR(__xludf.DUMMYFUNCTION("""COMPUTED_VALUE"""),0.0)</f>
        <v>0</v>
      </c>
      <c r="AJ226" s="310"/>
    </row>
    <row r="227" ht="22.5" customHeight="1">
      <c r="A227" s="311" t="str">
        <f>IFERROR(__xludf.DUMMYFUNCTION("""COMPUTED_VALUE"""),"")</f>
        <v/>
      </c>
      <c r="B227" s="311" t="str">
        <f>IFERROR(__xludf.DUMMYFUNCTION("""COMPUTED_VALUE"""),"")</f>
        <v/>
      </c>
      <c r="C227" s="311">
        <f>IFERROR(__xludf.DUMMYFUNCTION("""COMPUTED_VALUE"""),421.0)</f>
        <v>421</v>
      </c>
      <c r="D227" s="311" t="str">
        <f>IFERROR(__xludf.DUMMYFUNCTION("""COMPUTED_VALUE"""),"Distribuidores da Alegria CDD")</f>
        <v>Distribuidores da Alegria CDD</v>
      </c>
      <c r="E227" s="315" t="str">
        <f>IFERROR(__xludf.DUMMYFUNCTION("""COMPUTED_VALUE"""),"ZONA OESTE")</f>
        <v>ZONA OESTE</v>
      </c>
      <c r="F227" s="311" t="str">
        <f>IFERROR(__xludf.DUMMYFUNCTION("""COMPUTED_VALUE"""),"Rio de Janeiro")</f>
        <v>Rio de Janeiro</v>
      </c>
      <c r="G227" s="311" t="str">
        <f>IFERROR(__xludf.DUMMYFUNCTION("""COMPUTED_VALUE"""),"Cidade de Deus")</f>
        <v>Cidade de Deus</v>
      </c>
      <c r="H227" s="311" t="str">
        <f>IFERROR(__xludf.DUMMYFUNCTION("""COMPUTED_VALUE"""),"Outra Instituição")</f>
        <v>Outra Instituição</v>
      </c>
      <c r="I227" s="311" t="str">
        <f>IFERROR(__xludf.DUMMYFUNCTION("""COMPUTED_VALUE"""),"Público")</f>
        <v>Público</v>
      </c>
      <c r="J227" s="311" t="str">
        <f>IFERROR(__xludf.DUMMYFUNCTION("""COMPUTED_VALUE"""),"")</f>
        <v/>
      </c>
      <c r="K227" s="311" t="str">
        <f>IFERROR(__xludf.DUMMYFUNCTION("""COMPUTED_VALUE"""),"")</f>
        <v/>
      </c>
      <c r="L227" s="311" t="str">
        <f>IFERROR(__xludf.DUMMYFUNCTION("""COMPUTED_VALUE"""),"")</f>
        <v/>
      </c>
      <c r="M227" s="311" t="str">
        <f>IFERROR(__xludf.DUMMYFUNCTION("""COMPUTED_VALUE"""),"")</f>
        <v/>
      </c>
      <c r="N227" s="311">
        <f>IFERROR(__xludf.DUMMYFUNCTION("""COMPUTED_VALUE"""),0.0)</f>
        <v>0</v>
      </c>
      <c r="O227" s="311">
        <f>IFERROR(__xludf.DUMMYFUNCTION("""COMPUTED_VALUE"""),0.0)</f>
        <v>0</v>
      </c>
      <c r="P227" s="311">
        <f>IFERROR(__xludf.DUMMYFUNCTION("""COMPUTED_VALUE"""),0.0)</f>
        <v>0</v>
      </c>
      <c r="Q227" s="311">
        <f>IFERROR(__xludf.DUMMYFUNCTION("""COMPUTED_VALUE"""),0.0)</f>
        <v>0</v>
      </c>
      <c r="R227" s="311">
        <f>IFERROR(__xludf.DUMMYFUNCTION("""COMPUTED_VALUE"""),0.0)</f>
        <v>0</v>
      </c>
      <c r="S227" s="311">
        <f>IFERROR(__xludf.DUMMYFUNCTION("""COMPUTED_VALUE"""),0.0)</f>
        <v>0</v>
      </c>
      <c r="T227" s="311">
        <f>IFERROR(__xludf.DUMMYFUNCTION("""COMPUTED_VALUE"""),13.0)</f>
        <v>13</v>
      </c>
      <c r="U227" s="311">
        <f>IFERROR(__xludf.DUMMYFUNCTION("""COMPUTED_VALUE"""),0.0)</f>
        <v>0</v>
      </c>
      <c r="V227" s="311">
        <f>IFERROR(__xludf.DUMMYFUNCTION("""COMPUTED_VALUE"""),0.0)</f>
        <v>0</v>
      </c>
      <c r="W227" s="311">
        <f>IFERROR(__xludf.DUMMYFUNCTION("""COMPUTED_VALUE"""),0.0)</f>
        <v>0</v>
      </c>
      <c r="X227" s="311">
        <f>IFERROR(__xludf.DUMMYFUNCTION("""COMPUTED_VALUE"""),0.0)</f>
        <v>0</v>
      </c>
      <c r="Y227" s="311">
        <f>IFERROR(__xludf.DUMMYFUNCTION("""COMPUTED_VALUE"""),0.0)</f>
        <v>0</v>
      </c>
      <c r="Z227" s="311">
        <f>IFERROR(__xludf.DUMMYFUNCTION("""COMPUTED_VALUE"""),-13.0)</f>
        <v>-13</v>
      </c>
      <c r="AA227" s="311">
        <f>IFERROR(__xludf.DUMMYFUNCTION("""COMPUTED_VALUE"""),0.0)</f>
        <v>0</v>
      </c>
      <c r="AB227" s="311">
        <f>IFERROR(__xludf.DUMMYFUNCTION("""COMPUTED_VALUE"""),0.0)</f>
        <v>0</v>
      </c>
      <c r="AC227" s="311">
        <f>IFERROR(__xludf.DUMMYFUNCTION("""COMPUTED_VALUE"""),0.0)</f>
        <v>0</v>
      </c>
      <c r="AD227" s="311">
        <f>IFERROR(__xludf.DUMMYFUNCTION("""COMPUTED_VALUE"""),0.0)</f>
        <v>0</v>
      </c>
      <c r="AE227" s="311">
        <f>IFERROR(__xludf.DUMMYFUNCTION("""COMPUTED_VALUE"""),0.0)</f>
        <v>0</v>
      </c>
      <c r="AF227" s="311" t="str">
        <f>IFERROR(__xludf.DUMMYFUNCTION("""COMPUTED_VALUE"""),"")</f>
        <v/>
      </c>
      <c r="AG227" s="311">
        <f>IFERROR(__xludf.DUMMYFUNCTION("""COMPUTED_VALUE"""),0.0)</f>
        <v>0</v>
      </c>
      <c r="AH227" s="311">
        <f>IFERROR(__xludf.DUMMYFUNCTION("""COMPUTED_VALUE"""),0.0)</f>
        <v>0</v>
      </c>
      <c r="AI227" s="311">
        <f>IFERROR(__xludf.DUMMYFUNCTION("""COMPUTED_VALUE"""),0.0)</f>
        <v>0</v>
      </c>
      <c r="AJ227" s="311"/>
    </row>
    <row r="228" ht="22.5" customHeight="1">
      <c r="A228" s="310" t="str">
        <f>IFERROR(__xludf.DUMMYFUNCTION("""COMPUTED_VALUE"""),"")</f>
        <v/>
      </c>
      <c r="B228" s="310" t="str">
        <f>IFERROR(__xludf.DUMMYFUNCTION("""COMPUTED_VALUE"""),"")</f>
        <v/>
      </c>
      <c r="C228" s="310">
        <f>IFERROR(__xludf.DUMMYFUNCTION("""COMPUTED_VALUE"""),422.0)</f>
        <v>422</v>
      </c>
      <c r="D228" s="310" t="str">
        <f>IFERROR(__xludf.DUMMYFUNCTION("""COMPUTED_VALUE"""),"Abrigo Dr Sérgio Fernandes")</f>
        <v>Abrigo Dr Sérgio Fernandes</v>
      </c>
      <c r="E228" s="313" t="str">
        <f>IFERROR(__xludf.DUMMYFUNCTION("""COMPUTED_VALUE"""),"REGIAO SERRANA")</f>
        <v>REGIAO SERRANA</v>
      </c>
      <c r="F228" s="310" t="str">
        <f>IFERROR(__xludf.DUMMYFUNCTION("""COMPUTED_VALUE"""),"Teresópolis")</f>
        <v>Teresópolis</v>
      </c>
      <c r="G228" s="310" t="str">
        <f>IFERROR(__xludf.DUMMYFUNCTION("""COMPUTED_VALUE"""),"Teresópolis")</f>
        <v>Teresópolis</v>
      </c>
      <c r="H228" s="310" t="str">
        <f>IFERROR(__xludf.DUMMYFUNCTION("""COMPUTED_VALUE"""),"Outra Instituição")</f>
        <v>Outra Instituição</v>
      </c>
      <c r="I228" s="310" t="str">
        <f>IFERROR(__xludf.DUMMYFUNCTION("""COMPUTED_VALUE"""),"Público")</f>
        <v>Público</v>
      </c>
      <c r="J228" s="310" t="str">
        <f>IFERROR(__xludf.DUMMYFUNCTION("""COMPUTED_VALUE"""),"")</f>
        <v/>
      </c>
      <c r="K228" s="310" t="str">
        <f>IFERROR(__xludf.DUMMYFUNCTION("""COMPUTED_VALUE"""),"")</f>
        <v/>
      </c>
      <c r="L228" s="310" t="str">
        <f>IFERROR(__xludf.DUMMYFUNCTION("""COMPUTED_VALUE"""),"")</f>
        <v/>
      </c>
      <c r="M228" s="310" t="str">
        <f>IFERROR(__xludf.DUMMYFUNCTION("""COMPUTED_VALUE"""),"")</f>
        <v/>
      </c>
      <c r="N228" s="310">
        <f>IFERROR(__xludf.DUMMYFUNCTION("""COMPUTED_VALUE"""),0.0)</f>
        <v>0</v>
      </c>
      <c r="O228" s="310">
        <f>IFERROR(__xludf.DUMMYFUNCTION("""COMPUTED_VALUE"""),0.0)</f>
        <v>0</v>
      </c>
      <c r="P228" s="310">
        <f>IFERROR(__xludf.DUMMYFUNCTION("""COMPUTED_VALUE"""),0.0)</f>
        <v>0</v>
      </c>
      <c r="Q228" s="310">
        <f>IFERROR(__xludf.DUMMYFUNCTION("""COMPUTED_VALUE"""),0.0)</f>
        <v>0</v>
      </c>
      <c r="R228" s="310">
        <f>IFERROR(__xludf.DUMMYFUNCTION("""COMPUTED_VALUE"""),0.0)</f>
        <v>0</v>
      </c>
      <c r="S228" s="310">
        <f>IFERROR(__xludf.DUMMYFUNCTION("""COMPUTED_VALUE"""),0.0)</f>
        <v>0</v>
      </c>
      <c r="T228" s="310">
        <f>IFERROR(__xludf.DUMMYFUNCTION("""COMPUTED_VALUE"""),15.0)</f>
        <v>15</v>
      </c>
      <c r="U228" s="310">
        <f>IFERROR(__xludf.DUMMYFUNCTION("""COMPUTED_VALUE"""),0.0)</f>
        <v>0</v>
      </c>
      <c r="V228" s="310">
        <f>IFERROR(__xludf.DUMMYFUNCTION("""COMPUTED_VALUE"""),0.0)</f>
        <v>0</v>
      </c>
      <c r="W228" s="310">
        <f>IFERROR(__xludf.DUMMYFUNCTION("""COMPUTED_VALUE"""),0.0)</f>
        <v>0</v>
      </c>
      <c r="X228" s="310">
        <f>IFERROR(__xludf.DUMMYFUNCTION("""COMPUTED_VALUE"""),0.0)</f>
        <v>0</v>
      </c>
      <c r="Y228" s="310">
        <f>IFERROR(__xludf.DUMMYFUNCTION("""COMPUTED_VALUE"""),0.0)</f>
        <v>0</v>
      </c>
      <c r="Z228" s="310">
        <f>IFERROR(__xludf.DUMMYFUNCTION("""COMPUTED_VALUE"""),-15.0)</f>
        <v>-15</v>
      </c>
      <c r="AA228" s="310">
        <f>IFERROR(__xludf.DUMMYFUNCTION("""COMPUTED_VALUE"""),0.0)</f>
        <v>0</v>
      </c>
      <c r="AB228" s="310">
        <f>IFERROR(__xludf.DUMMYFUNCTION("""COMPUTED_VALUE"""),0.0)</f>
        <v>0</v>
      </c>
      <c r="AC228" s="310">
        <f>IFERROR(__xludf.DUMMYFUNCTION("""COMPUTED_VALUE"""),0.0)</f>
        <v>0</v>
      </c>
      <c r="AD228" s="310">
        <f>IFERROR(__xludf.DUMMYFUNCTION("""COMPUTED_VALUE"""),0.0)</f>
        <v>0</v>
      </c>
      <c r="AE228" s="310">
        <f>IFERROR(__xludf.DUMMYFUNCTION("""COMPUTED_VALUE"""),0.0)</f>
        <v>0</v>
      </c>
      <c r="AF228" s="310" t="str">
        <f>IFERROR(__xludf.DUMMYFUNCTION("""COMPUTED_VALUE"""),"")</f>
        <v/>
      </c>
      <c r="AG228" s="310">
        <f>IFERROR(__xludf.DUMMYFUNCTION("""COMPUTED_VALUE"""),0.0)</f>
        <v>0</v>
      </c>
      <c r="AH228" s="310">
        <f>IFERROR(__xludf.DUMMYFUNCTION("""COMPUTED_VALUE"""),0.0)</f>
        <v>0</v>
      </c>
      <c r="AI228" s="310">
        <f>IFERROR(__xludf.DUMMYFUNCTION("""COMPUTED_VALUE"""),0.0)</f>
        <v>0</v>
      </c>
      <c r="AJ228" s="310"/>
    </row>
    <row r="229" ht="22.5" customHeight="1">
      <c r="A229" s="311" t="str">
        <f>IFERROR(__xludf.DUMMYFUNCTION("""COMPUTED_VALUE"""),"")</f>
        <v/>
      </c>
      <c r="B229" s="311" t="str">
        <f>IFERROR(__xludf.DUMMYFUNCTION("""COMPUTED_VALUE"""),"")</f>
        <v/>
      </c>
      <c r="C229" s="311">
        <f>IFERROR(__xludf.DUMMYFUNCTION("""COMPUTED_VALUE"""),423.0)</f>
        <v>423</v>
      </c>
      <c r="D229" s="311" t="str">
        <f>IFERROR(__xludf.DUMMYFUNCTION("""COMPUTED_VALUE"""),"Movimento Favela Vertical")</f>
        <v>Movimento Favela Vertical</v>
      </c>
      <c r="E229" s="315" t="str">
        <f>IFERROR(__xludf.DUMMYFUNCTION("""COMPUTED_VALUE"""),"ZONA OESTE")</f>
        <v>ZONA OESTE</v>
      </c>
      <c r="F229" s="311" t="str">
        <f>IFERROR(__xludf.DUMMYFUNCTION("""COMPUTED_VALUE"""),"Rio de Janeiro")</f>
        <v>Rio de Janeiro</v>
      </c>
      <c r="G229" s="311" t="str">
        <f>IFERROR(__xludf.DUMMYFUNCTION("""COMPUTED_VALUE"""),"Gardênia Azul")</f>
        <v>Gardênia Azul</v>
      </c>
      <c r="H229" s="311" t="str">
        <f>IFERROR(__xludf.DUMMYFUNCTION("""COMPUTED_VALUE"""),"Outra Instituição")</f>
        <v>Outra Instituição</v>
      </c>
      <c r="I229" s="311" t="str">
        <f>IFERROR(__xludf.DUMMYFUNCTION("""COMPUTED_VALUE"""),"Público")</f>
        <v>Público</v>
      </c>
      <c r="J229" s="311" t="str">
        <f>IFERROR(__xludf.DUMMYFUNCTION("""COMPUTED_VALUE"""),"")</f>
        <v/>
      </c>
      <c r="K229" s="311" t="str">
        <f>IFERROR(__xludf.DUMMYFUNCTION("""COMPUTED_VALUE"""),"")</f>
        <v/>
      </c>
      <c r="L229" s="311" t="str">
        <f>IFERROR(__xludf.DUMMYFUNCTION("""COMPUTED_VALUE"""),"")</f>
        <v/>
      </c>
      <c r="M229" s="311" t="str">
        <f>IFERROR(__xludf.DUMMYFUNCTION("""COMPUTED_VALUE"""),"")</f>
        <v/>
      </c>
      <c r="N229" s="311">
        <f>IFERROR(__xludf.DUMMYFUNCTION("""COMPUTED_VALUE"""),0.0)</f>
        <v>0</v>
      </c>
      <c r="O229" s="311">
        <f>IFERROR(__xludf.DUMMYFUNCTION("""COMPUTED_VALUE"""),0.0)</f>
        <v>0</v>
      </c>
      <c r="P229" s="311">
        <f>IFERROR(__xludf.DUMMYFUNCTION("""COMPUTED_VALUE"""),0.0)</f>
        <v>0</v>
      </c>
      <c r="Q229" s="311">
        <f>IFERROR(__xludf.DUMMYFUNCTION("""COMPUTED_VALUE"""),0.0)</f>
        <v>0</v>
      </c>
      <c r="R229" s="311">
        <f>IFERROR(__xludf.DUMMYFUNCTION("""COMPUTED_VALUE"""),0.0)</f>
        <v>0</v>
      </c>
      <c r="S229" s="311">
        <f>IFERROR(__xludf.DUMMYFUNCTION("""COMPUTED_VALUE"""),0.0)</f>
        <v>0</v>
      </c>
      <c r="T229" s="311">
        <f>IFERROR(__xludf.DUMMYFUNCTION("""COMPUTED_VALUE"""),20.0)</f>
        <v>20</v>
      </c>
      <c r="U229" s="311">
        <f>IFERROR(__xludf.DUMMYFUNCTION("""COMPUTED_VALUE"""),0.0)</f>
        <v>0</v>
      </c>
      <c r="V229" s="311">
        <f>IFERROR(__xludf.DUMMYFUNCTION("""COMPUTED_VALUE"""),0.0)</f>
        <v>0</v>
      </c>
      <c r="W229" s="311">
        <f>IFERROR(__xludf.DUMMYFUNCTION("""COMPUTED_VALUE"""),0.0)</f>
        <v>0</v>
      </c>
      <c r="X229" s="311">
        <f>IFERROR(__xludf.DUMMYFUNCTION("""COMPUTED_VALUE"""),0.0)</f>
        <v>0</v>
      </c>
      <c r="Y229" s="311">
        <f>IFERROR(__xludf.DUMMYFUNCTION("""COMPUTED_VALUE"""),0.0)</f>
        <v>0</v>
      </c>
      <c r="Z229" s="311">
        <f>IFERROR(__xludf.DUMMYFUNCTION("""COMPUTED_VALUE"""),-20.0)</f>
        <v>-20</v>
      </c>
      <c r="AA229" s="311">
        <f>IFERROR(__xludf.DUMMYFUNCTION("""COMPUTED_VALUE"""),0.0)</f>
        <v>0</v>
      </c>
      <c r="AB229" s="311">
        <f>IFERROR(__xludf.DUMMYFUNCTION("""COMPUTED_VALUE"""),0.0)</f>
        <v>0</v>
      </c>
      <c r="AC229" s="311">
        <f>IFERROR(__xludf.DUMMYFUNCTION("""COMPUTED_VALUE"""),0.0)</f>
        <v>0</v>
      </c>
      <c r="AD229" s="311">
        <f>IFERROR(__xludf.DUMMYFUNCTION("""COMPUTED_VALUE"""),0.0)</f>
        <v>0</v>
      </c>
      <c r="AE229" s="311">
        <f>IFERROR(__xludf.DUMMYFUNCTION("""COMPUTED_VALUE"""),0.0)</f>
        <v>0</v>
      </c>
      <c r="AF229" s="311" t="str">
        <f>IFERROR(__xludf.DUMMYFUNCTION("""COMPUTED_VALUE"""),"")</f>
        <v/>
      </c>
      <c r="AG229" s="311">
        <f>IFERROR(__xludf.DUMMYFUNCTION("""COMPUTED_VALUE"""),0.0)</f>
        <v>0</v>
      </c>
      <c r="AH229" s="311">
        <f>IFERROR(__xludf.DUMMYFUNCTION("""COMPUTED_VALUE"""),0.0)</f>
        <v>0</v>
      </c>
      <c r="AI229" s="311">
        <f>IFERROR(__xludf.DUMMYFUNCTION("""COMPUTED_VALUE"""),0.0)</f>
        <v>0</v>
      </c>
      <c r="AJ229" s="311"/>
    </row>
    <row r="230" ht="22.5" customHeight="1">
      <c r="A230" s="310" t="str">
        <f>IFERROR(__xludf.DUMMYFUNCTION("""COMPUTED_VALUE"""),"")</f>
        <v/>
      </c>
      <c r="B230" s="310" t="str">
        <f>IFERROR(__xludf.DUMMYFUNCTION("""COMPUTED_VALUE"""),"")</f>
        <v/>
      </c>
      <c r="C230" s="310">
        <f>IFERROR(__xludf.DUMMYFUNCTION("""COMPUTED_VALUE"""),424.0)</f>
        <v>424</v>
      </c>
      <c r="D230" s="310" t="str">
        <f>IFERROR(__xludf.DUMMYFUNCTION("""COMPUTED_VALUE"""),"Comunidade Pentecostal Renascer (Movimento Voluntário)")</f>
        <v>Comunidade Pentecostal Renascer (Movimento Voluntário)</v>
      </c>
      <c r="E230" s="313" t="str">
        <f>IFERROR(__xludf.DUMMYFUNCTION("""COMPUTED_VALUE"""),"ZONA OESTE")</f>
        <v>ZONA OESTE</v>
      </c>
      <c r="F230" s="310" t="str">
        <f>IFERROR(__xludf.DUMMYFUNCTION("""COMPUTED_VALUE"""),"Rio de Janeiro")</f>
        <v>Rio de Janeiro</v>
      </c>
      <c r="G230" s="310" t="str">
        <f>IFERROR(__xludf.DUMMYFUNCTION("""COMPUTED_VALUE"""),"Complexo do Alemão")</f>
        <v>Complexo do Alemão</v>
      </c>
      <c r="H230" s="310" t="str">
        <f>IFERROR(__xludf.DUMMYFUNCTION("""COMPUTED_VALUE"""),"Outra Instituição")</f>
        <v>Outra Instituição</v>
      </c>
      <c r="I230" s="310" t="str">
        <f>IFERROR(__xludf.DUMMYFUNCTION("""COMPUTED_VALUE"""),"Público")</f>
        <v>Público</v>
      </c>
      <c r="J230" s="310" t="str">
        <f>IFERROR(__xludf.DUMMYFUNCTION("""COMPUTED_VALUE"""),"")</f>
        <v/>
      </c>
      <c r="K230" s="310" t="str">
        <f>IFERROR(__xludf.DUMMYFUNCTION("""COMPUTED_VALUE"""),"")</f>
        <v/>
      </c>
      <c r="L230" s="310" t="str">
        <f>IFERROR(__xludf.DUMMYFUNCTION("""COMPUTED_VALUE"""),"")</f>
        <v/>
      </c>
      <c r="M230" s="310" t="str">
        <f>IFERROR(__xludf.DUMMYFUNCTION("""COMPUTED_VALUE"""),"")</f>
        <v/>
      </c>
      <c r="N230" s="310">
        <f>IFERROR(__xludf.DUMMYFUNCTION("""COMPUTED_VALUE"""),0.0)</f>
        <v>0</v>
      </c>
      <c r="O230" s="310">
        <f>IFERROR(__xludf.DUMMYFUNCTION("""COMPUTED_VALUE"""),0.0)</f>
        <v>0</v>
      </c>
      <c r="P230" s="310">
        <f>IFERROR(__xludf.DUMMYFUNCTION("""COMPUTED_VALUE"""),0.0)</f>
        <v>0</v>
      </c>
      <c r="Q230" s="310">
        <f>IFERROR(__xludf.DUMMYFUNCTION("""COMPUTED_VALUE"""),0.0)</f>
        <v>0</v>
      </c>
      <c r="R230" s="310">
        <f>IFERROR(__xludf.DUMMYFUNCTION("""COMPUTED_VALUE"""),0.0)</f>
        <v>0</v>
      </c>
      <c r="S230" s="310">
        <f>IFERROR(__xludf.DUMMYFUNCTION("""COMPUTED_VALUE"""),0.0)</f>
        <v>0</v>
      </c>
      <c r="T230" s="310">
        <f>IFERROR(__xludf.DUMMYFUNCTION("""COMPUTED_VALUE"""),12.0)</f>
        <v>12</v>
      </c>
      <c r="U230" s="310">
        <f>IFERROR(__xludf.DUMMYFUNCTION("""COMPUTED_VALUE"""),0.0)</f>
        <v>0</v>
      </c>
      <c r="V230" s="310">
        <f>IFERROR(__xludf.DUMMYFUNCTION("""COMPUTED_VALUE"""),0.0)</f>
        <v>0</v>
      </c>
      <c r="W230" s="310">
        <f>IFERROR(__xludf.DUMMYFUNCTION("""COMPUTED_VALUE"""),0.0)</f>
        <v>0</v>
      </c>
      <c r="X230" s="310">
        <f>IFERROR(__xludf.DUMMYFUNCTION("""COMPUTED_VALUE"""),0.0)</f>
        <v>0</v>
      </c>
      <c r="Y230" s="310">
        <f>IFERROR(__xludf.DUMMYFUNCTION("""COMPUTED_VALUE"""),0.0)</f>
        <v>0</v>
      </c>
      <c r="Z230" s="310">
        <f>IFERROR(__xludf.DUMMYFUNCTION("""COMPUTED_VALUE"""),-12.0)</f>
        <v>-12</v>
      </c>
      <c r="AA230" s="310">
        <f>IFERROR(__xludf.DUMMYFUNCTION("""COMPUTED_VALUE"""),0.0)</f>
        <v>0</v>
      </c>
      <c r="AB230" s="310">
        <f>IFERROR(__xludf.DUMMYFUNCTION("""COMPUTED_VALUE"""),0.0)</f>
        <v>0</v>
      </c>
      <c r="AC230" s="310">
        <f>IFERROR(__xludf.DUMMYFUNCTION("""COMPUTED_VALUE"""),0.0)</f>
        <v>0</v>
      </c>
      <c r="AD230" s="310">
        <f>IFERROR(__xludf.DUMMYFUNCTION("""COMPUTED_VALUE"""),0.0)</f>
        <v>0</v>
      </c>
      <c r="AE230" s="310">
        <f>IFERROR(__xludf.DUMMYFUNCTION("""COMPUTED_VALUE"""),0.0)</f>
        <v>0</v>
      </c>
      <c r="AF230" s="310" t="str">
        <f>IFERROR(__xludf.DUMMYFUNCTION("""COMPUTED_VALUE"""),"")</f>
        <v/>
      </c>
      <c r="AG230" s="310">
        <f>IFERROR(__xludf.DUMMYFUNCTION("""COMPUTED_VALUE"""),0.0)</f>
        <v>0</v>
      </c>
      <c r="AH230" s="310">
        <f>IFERROR(__xludf.DUMMYFUNCTION("""COMPUTED_VALUE"""),0.0)</f>
        <v>0</v>
      </c>
      <c r="AI230" s="310">
        <f>IFERROR(__xludf.DUMMYFUNCTION("""COMPUTED_VALUE"""),0.0)</f>
        <v>0</v>
      </c>
      <c r="AJ230" s="310"/>
    </row>
    <row r="231" ht="22.5" customHeight="1">
      <c r="A231" s="311" t="str">
        <f>IFERROR(__xludf.DUMMYFUNCTION("""COMPUTED_VALUE"""),"")</f>
        <v/>
      </c>
      <c r="B231" s="311" t="str">
        <f>IFERROR(__xludf.DUMMYFUNCTION("""COMPUTED_VALUE"""),"")</f>
        <v/>
      </c>
      <c r="C231" s="311">
        <f>IFERROR(__xludf.DUMMYFUNCTION("""COMPUTED_VALUE"""),425.0)</f>
        <v>425</v>
      </c>
      <c r="D231" s="311" t="str">
        <f>IFERROR(__xludf.DUMMYFUNCTION("""COMPUTED_VALUE"""),"Associação Médicos da Floresta")</f>
        <v>Associação Médicos da Floresta</v>
      </c>
      <c r="E231" s="315" t="str">
        <f>IFERROR(__xludf.DUMMYFUNCTION("""COMPUTED_VALUE"""),"OUTRO ESTADO ")</f>
        <v>OUTRO ESTADO </v>
      </c>
      <c r="F231" s="311" t="str">
        <f>IFERROR(__xludf.DUMMYFUNCTION("""COMPUTED_VALUE"""),"Roraima")</f>
        <v>Roraima</v>
      </c>
      <c r="G231" s="311" t="str">
        <f>IFERROR(__xludf.DUMMYFUNCTION("""COMPUTED_VALUE"""),"Roraima")</f>
        <v>Roraima</v>
      </c>
      <c r="H231" s="311" t="str">
        <f>IFERROR(__xludf.DUMMYFUNCTION("""COMPUTED_VALUE"""),"Outra Instituição")</f>
        <v>Outra Instituição</v>
      </c>
      <c r="I231" s="311" t="str">
        <f>IFERROR(__xludf.DUMMYFUNCTION("""COMPUTED_VALUE"""),"Público")</f>
        <v>Público</v>
      </c>
      <c r="J231" s="311" t="str">
        <f>IFERROR(__xludf.DUMMYFUNCTION("""COMPUTED_VALUE"""),"")</f>
        <v/>
      </c>
      <c r="K231" s="311" t="str">
        <f>IFERROR(__xludf.DUMMYFUNCTION("""COMPUTED_VALUE"""),"")</f>
        <v/>
      </c>
      <c r="L231" s="311" t="str">
        <f>IFERROR(__xludf.DUMMYFUNCTION("""COMPUTED_VALUE"""),"")</f>
        <v/>
      </c>
      <c r="M231" s="311" t="str">
        <f>IFERROR(__xludf.DUMMYFUNCTION("""COMPUTED_VALUE"""),"")</f>
        <v/>
      </c>
      <c r="N231" s="311">
        <f>IFERROR(__xludf.DUMMYFUNCTION("""COMPUTED_VALUE"""),0.0)</f>
        <v>0</v>
      </c>
      <c r="O231" s="311">
        <f>IFERROR(__xludf.DUMMYFUNCTION("""COMPUTED_VALUE"""),0.0)</f>
        <v>0</v>
      </c>
      <c r="P231" s="311">
        <f>IFERROR(__xludf.DUMMYFUNCTION("""COMPUTED_VALUE"""),0.0)</f>
        <v>0</v>
      </c>
      <c r="Q231" s="311">
        <f>IFERROR(__xludf.DUMMYFUNCTION("""COMPUTED_VALUE"""),0.0)</f>
        <v>0</v>
      </c>
      <c r="R231" s="311">
        <f>IFERROR(__xludf.DUMMYFUNCTION("""COMPUTED_VALUE"""),0.0)</f>
        <v>0</v>
      </c>
      <c r="S231" s="311">
        <f>IFERROR(__xludf.DUMMYFUNCTION("""COMPUTED_VALUE"""),0.0)</f>
        <v>0</v>
      </c>
      <c r="T231" s="311">
        <f>IFERROR(__xludf.DUMMYFUNCTION("""COMPUTED_VALUE"""),100.0)</f>
        <v>100</v>
      </c>
      <c r="U231" s="311">
        <f>IFERROR(__xludf.DUMMYFUNCTION("""COMPUTED_VALUE"""),0.0)</f>
        <v>0</v>
      </c>
      <c r="V231" s="311">
        <f>IFERROR(__xludf.DUMMYFUNCTION("""COMPUTED_VALUE"""),0.0)</f>
        <v>0</v>
      </c>
      <c r="W231" s="311">
        <f>IFERROR(__xludf.DUMMYFUNCTION("""COMPUTED_VALUE"""),0.0)</f>
        <v>0</v>
      </c>
      <c r="X231" s="311">
        <f>IFERROR(__xludf.DUMMYFUNCTION("""COMPUTED_VALUE"""),0.0)</f>
        <v>0</v>
      </c>
      <c r="Y231" s="311">
        <f>IFERROR(__xludf.DUMMYFUNCTION("""COMPUTED_VALUE"""),0.0)</f>
        <v>0</v>
      </c>
      <c r="Z231" s="311">
        <f>IFERROR(__xludf.DUMMYFUNCTION("""COMPUTED_VALUE"""),-100.0)</f>
        <v>-100</v>
      </c>
      <c r="AA231" s="311">
        <f>IFERROR(__xludf.DUMMYFUNCTION("""COMPUTED_VALUE"""),0.0)</f>
        <v>0</v>
      </c>
      <c r="AB231" s="311">
        <f>IFERROR(__xludf.DUMMYFUNCTION("""COMPUTED_VALUE"""),0.0)</f>
        <v>0</v>
      </c>
      <c r="AC231" s="311">
        <f>IFERROR(__xludf.DUMMYFUNCTION("""COMPUTED_VALUE"""),0.0)</f>
        <v>0</v>
      </c>
      <c r="AD231" s="311">
        <f>IFERROR(__xludf.DUMMYFUNCTION("""COMPUTED_VALUE"""),0.0)</f>
        <v>0</v>
      </c>
      <c r="AE231" s="311">
        <f>IFERROR(__xludf.DUMMYFUNCTION("""COMPUTED_VALUE"""),0.0)</f>
        <v>0</v>
      </c>
      <c r="AF231" s="311" t="str">
        <f>IFERROR(__xludf.DUMMYFUNCTION("""COMPUTED_VALUE"""),"")</f>
        <v/>
      </c>
      <c r="AG231" s="311">
        <f>IFERROR(__xludf.DUMMYFUNCTION("""COMPUTED_VALUE"""),0.0)</f>
        <v>0</v>
      </c>
      <c r="AH231" s="311">
        <f>IFERROR(__xludf.DUMMYFUNCTION("""COMPUTED_VALUE"""),0.0)</f>
        <v>0</v>
      </c>
      <c r="AI231" s="311">
        <f>IFERROR(__xludf.DUMMYFUNCTION("""COMPUTED_VALUE"""),0.0)</f>
        <v>0</v>
      </c>
      <c r="AJ231" s="311"/>
    </row>
    <row r="232" ht="22.5" customHeight="1">
      <c r="A232" s="310" t="str">
        <f>IFERROR(__xludf.DUMMYFUNCTION("""COMPUTED_VALUE"""),"")</f>
        <v/>
      </c>
      <c r="B232" s="310" t="str">
        <f>IFERROR(__xludf.DUMMYFUNCTION("""COMPUTED_VALUE"""),"")</f>
        <v/>
      </c>
      <c r="C232" s="310">
        <f>IFERROR(__xludf.DUMMYFUNCTION("""COMPUTED_VALUE"""),426.0)</f>
        <v>426</v>
      </c>
      <c r="D232" s="310" t="str">
        <f>IFERROR(__xludf.DUMMYFUNCTION("""COMPUTED_VALUE"""),"Instituto de Macromoléculas Professora Eloisa Mano")</f>
        <v>Instituto de Macromoléculas Professora Eloisa Mano</v>
      </c>
      <c r="E232" s="313" t="str">
        <f>IFERROR(__xludf.DUMMYFUNCTION("""COMPUTED_VALUE"""),"ZONA NORTE")</f>
        <v>ZONA NORTE</v>
      </c>
      <c r="F232" s="310" t="str">
        <f>IFERROR(__xludf.DUMMYFUNCTION("""COMPUTED_VALUE"""),"Rio de Janeiro")</f>
        <v>Rio de Janeiro</v>
      </c>
      <c r="G232" s="310" t="str">
        <f>IFERROR(__xludf.DUMMYFUNCTION("""COMPUTED_VALUE"""),"Ilha do Fundão")</f>
        <v>Ilha do Fundão</v>
      </c>
      <c r="H232" s="310" t="str">
        <f>IFERROR(__xludf.DUMMYFUNCTION("""COMPUTED_VALUE"""),"Outra Instituição")</f>
        <v>Outra Instituição</v>
      </c>
      <c r="I232" s="310" t="str">
        <f>IFERROR(__xludf.DUMMYFUNCTION("""COMPUTED_VALUE"""),"Público")</f>
        <v>Público</v>
      </c>
      <c r="J232" s="310" t="str">
        <f>IFERROR(__xludf.DUMMYFUNCTION("""COMPUTED_VALUE"""),"")</f>
        <v/>
      </c>
      <c r="K232" s="310" t="str">
        <f>IFERROR(__xludf.DUMMYFUNCTION("""COMPUTED_VALUE"""),"")</f>
        <v/>
      </c>
      <c r="L232" s="310" t="str">
        <f>IFERROR(__xludf.DUMMYFUNCTION("""COMPUTED_VALUE"""),"")</f>
        <v/>
      </c>
      <c r="M232" s="310" t="str">
        <f>IFERROR(__xludf.DUMMYFUNCTION("""COMPUTED_VALUE"""),"")</f>
        <v/>
      </c>
      <c r="N232" s="310">
        <f>IFERROR(__xludf.DUMMYFUNCTION("""COMPUTED_VALUE"""),0.0)</f>
        <v>0</v>
      </c>
      <c r="O232" s="310">
        <f>IFERROR(__xludf.DUMMYFUNCTION("""COMPUTED_VALUE"""),0.0)</f>
        <v>0</v>
      </c>
      <c r="P232" s="310">
        <f>IFERROR(__xludf.DUMMYFUNCTION("""COMPUTED_VALUE"""),0.0)</f>
        <v>0</v>
      </c>
      <c r="Q232" s="310">
        <f>IFERROR(__xludf.DUMMYFUNCTION("""COMPUTED_VALUE"""),0.0)</f>
        <v>0</v>
      </c>
      <c r="R232" s="310">
        <f>IFERROR(__xludf.DUMMYFUNCTION("""COMPUTED_VALUE"""),0.0)</f>
        <v>0</v>
      </c>
      <c r="S232" s="310">
        <f>IFERROR(__xludf.DUMMYFUNCTION("""COMPUTED_VALUE"""),0.0)</f>
        <v>0</v>
      </c>
      <c r="T232" s="310">
        <f>IFERROR(__xludf.DUMMYFUNCTION("""COMPUTED_VALUE"""),60.0)</f>
        <v>60</v>
      </c>
      <c r="U232" s="310">
        <f>IFERROR(__xludf.DUMMYFUNCTION("""COMPUTED_VALUE"""),0.0)</f>
        <v>0</v>
      </c>
      <c r="V232" s="310">
        <f>IFERROR(__xludf.DUMMYFUNCTION("""COMPUTED_VALUE"""),0.0)</f>
        <v>0</v>
      </c>
      <c r="W232" s="310">
        <f>IFERROR(__xludf.DUMMYFUNCTION("""COMPUTED_VALUE"""),0.0)</f>
        <v>0</v>
      </c>
      <c r="X232" s="310">
        <f>IFERROR(__xludf.DUMMYFUNCTION("""COMPUTED_VALUE"""),0.0)</f>
        <v>0</v>
      </c>
      <c r="Y232" s="310">
        <f>IFERROR(__xludf.DUMMYFUNCTION("""COMPUTED_VALUE"""),0.0)</f>
        <v>0</v>
      </c>
      <c r="Z232" s="310">
        <f>IFERROR(__xludf.DUMMYFUNCTION("""COMPUTED_VALUE"""),-60.0)</f>
        <v>-60</v>
      </c>
      <c r="AA232" s="310">
        <f>IFERROR(__xludf.DUMMYFUNCTION("""COMPUTED_VALUE"""),0.0)</f>
        <v>0</v>
      </c>
      <c r="AB232" s="310">
        <f>IFERROR(__xludf.DUMMYFUNCTION("""COMPUTED_VALUE"""),0.0)</f>
        <v>0</v>
      </c>
      <c r="AC232" s="310">
        <f>IFERROR(__xludf.DUMMYFUNCTION("""COMPUTED_VALUE"""),0.0)</f>
        <v>0</v>
      </c>
      <c r="AD232" s="310">
        <f>IFERROR(__xludf.DUMMYFUNCTION("""COMPUTED_VALUE"""),0.0)</f>
        <v>0</v>
      </c>
      <c r="AE232" s="310">
        <f>IFERROR(__xludf.DUMMYFUNCTION("""COMPUTED_VALUE"""),0.0)</f>
        <v>0</v>
      </c>
      <c r="AF232" s="310" t="str">
        <f>IFERROR(__xludf.DUMMYFUNCTION("""COMPUTED_VALUE"""),"")</f>
        <v/>
      </c>
      <c r="AG232" s="310">
        <f>IFERROR(__xludf.DUMMYFUNCTION("""COMPUTED_VALUE"""),0.0)</f>
        <v>0</v>
      </c>
      <c r="AH232" s="310">
        <f>IFERROR(__xludf.DUMMYFUNCTION("""COMPUTED_VALUE"""),0.0)</f>
        <v>0</v>
      </c>
      <c r="AI232" s="310">
        <f>IFERROR(__xludf.DUMMYFUNCTION("""COMPUTED_VALUE"""),0.0)</f>
        <v>0</v>
      </c>
      <c r="AJ232" s="310"/>
    </row>
    <row r="233" ht="22.5" customHeight="1">
      <c r="A233" s="311" t="str">
        <f>IFERROR(__xludf.DUMMYFUNCTION("""COMPUTED_VALUE"""),"")</f>
        <v/>
      </c>
      <c r="B233" s="311" t="str">
        <f>IFERROR(__xludf.DUMMYFUNCTION("""COMPUTED_VALUE"""),"")</f>
        <v/>
      </c>
      <c r="C233" s="311">
        <f>IFERROR(__xludf.DUMMYFUNCTION("""COMPUTED_VALUE"""),427.0)</f>
        <v>427</v>
      </c>
      <c r="D233" s="311" t="str">
        <f>IFERROR(__xludf.DUMMYFUNCTION("""COMPUTED_VALUE"""),"Hospital Municipal Antenor Abreu")</f>
        <v>Hospital Municipal Antenor Abreu</v>
      </c>
      <c r="E233" s="315" t="str">
        <f>IFERROR(__xludf.DUMMYFUNCTION("""COMPUTED_VALUE"""),"OUTRO ESTADO ")</f>
        <v>OUTRO ESTADO </v>
      </c>
      <c r="F233" s="311" t="str">
        <f>IFERROR(__xludf.DUMMYFUNCTION("""COMPUTED_VALUE"""),"Maranhão")</f>
        <v>Maranhão</v>
      </c>
      <c r="G233" s="311" t="str">
        <f>IFERROR(__xludf.DUMMYFUNCTION("""COMPUTED_VALUE"""),"Pinheiro")</f>
        <v>Pinheiro</v>
      </c>
      <c r="H233" s="311" t="str">
        <f>IFERROR(__xludf.DUMMYFUNCTION("""COMPUTED_VALUE"""),"Grande emergência - MÉDIA COMPLEXIDADE
")</f>
        <v>Grande emergência - MÉDIA COMPLEXIDADE
</v>
      </c>
      <c r="I233" s="311" t="str">
        <f>IFERROR(__xludf.DUMMYFUNCTION("""COMPUTED_VALUE"""),"Público")</f>
        <v>Público</v>
      </c>
      <c r="J233" s="311" t="str">
        <f>IFERROR(__xludf.DUMMYFUNCTION("""COMPUTED_VALUE"""),"")</f>
        <v/>
      </c>
      <c r="K233" s="311" t="str">
        <f>IFERROR(__xludf.DUMMYFUNCTION("""COMPUTED_VALUE"""),"")</f>
        <v/>
      </c>
      <c r="L233" s="311" t="str">
        <f>IFERROR(__xludf.DUMMYFUNCTION("""COMPUTED_VALUE"""),"")</f>
        <v/>
      </c>
      <c r="M233" s="311" t="str">
        <f>IFERROR(__xludf.DUMMYFUNCTION("""COMPUTED_VALUE"""),"")</f>
        <v/>
      </c>
      <c r="N233" s="311">
        <f>IFERROR(__xludf.DUMMYFUNCTION("""COMPUTED_VALUE"""),0.0)</f>
        <v>0</v>
      </c>
      <c r="O233" s="311">
        <f>IFERROR(__xludf.DUMMYFUNCTION("""COMPUTED_VALUE"""),0.0)</f>
        <v>0</v>
      </c>
      <c r="P233" s="311">
        <f>IFERROR(__xludf.DUMMYFUNCTION("""COMPUTED_VALUE"""),0.0)</f>
        <v>0</v>
      </c>
      <c r="Q233" s="311">
        <f>IFERROR(__xludf.DUMMYFUNCTION("""COMPUTED_VALUE"""),0.0)</f>
        <v>0</v>
      </c>
      <c r="R233" s="311">
        <f>IFERROR(__xludf.DUMMYFUNCTION("""COMPUTED_VALUE"""),0.0)</f>
        <v>0</v>
      </c>
      <c r="S233" s="311">
        <f>IFERROR(__xludf.DUMMYFUNCTION("""COMPUTED_VALUE"""),0.0)</f>
        <v>0</v>
      </c>
      <c r="T233" s="311">
        <f>IFERROR(__xludf.DUMMYFUNCTION("""COMPUTED_VALUE"""),250.0)</f>
        <v>250</v>
      </c>
      <c r="U233" s="311">
        <f>IFERROR(__xludf.DUMMYFUNCTION("""COMPUTED_VALUE"""),0.0)</f>
        <v>0</v>
      </c>
      <c r="V233" s="311">
        <f>IFERROR(__xludf.DUMMYFUNCTION("""COMPUTED_VALUE"""),0.0)</f>
        <v>0</v>
      </c>
      <c r="W233" s="311">
        <f>IFERROR(__xludf.DUMMYFUNCTION("""COMPUTED_VALUE"""),0.0)</f>
        <v>0</v>
      </c>
      <c r="X233" s="311">
        <f>IFERROR(__xludf.DUMMYFUNCTION("""COMPUTED_VALUE"""),0.0)</f>
        <v>0</v>
      </c>
      <c r="Y233" s="311">
        <f>IFERROR(__xludf.DUMMYFUNCTION("""COMPUTED_VALUE"""),0.0)</f>
        <v>0</v>
      </c>
      <c r="Z233" s="311">
        <f>IFERROR(__xludf.DUMMYFUNCTION("""COMPUTED_VALUE"""),-250.0)</f>
        <v>-250</v>
      </c>
      <c r="AA233" s="311">
        <f>IFERROR(__xludf.DUMMYFUNCTION("""COMPUTED_VALUE"""),0.0)</f>
        <v>0</v>
      </c>
      <c r="AB233" s="311">
        <f>IFERROR(__xludf.DUMMYFUNCTION("""COMPUTED_VALUE"""),0.0)</f>
        <v>0</v>
      </c>
      <c r="AC233" s="311">
        <f>IFERROR(__xludf.DUMMYFUNCTION("""COMPUTED_VALUE"""),0.0)</f>
        <v>0</v>
      </c>
      <c r="AD233" s="311">
        <f>IFERROR(__xludf.DUMMYFUNCTION("""COMPUTED_VALUE"""),0.0)</f>
        <v>0</v>
      </c>
      <c r="AE233" s="311">
        <f>IFERROR(__xludf.DUMMYFUNCTION("""COMPUTED_VALUE"""),0.0)</f>
        <v>0</v>
      </c>
      <c r="AF233" s="311" t="str">
        <f>IFERROR(__xludf.DUMMYFUNCTION("""COMPUTED_VALUE"""),"")</f>
        <v/>
      </c>
      <c r="AG233" s="311">
        <f>IFERROR(__xludf.DUMMYFUNCTION("""COMPUTED_VALUE"""),0.0)</f>
        <v>0</v>
      </c>
      <c r="AH233" s="311">
        <f>IFERROR(__xludf.DUMMYFUNCTION("""COMPUTED_VALUE"""),0.0)</f>
        <v>0</v>
      </c>
      <c r="AI233" s="311">
        <f>IFERROR(__xludf.DUMMYFUNCTION("""COMPUTED_VALUE"""),0.0)</f>
        <v>0</v>
      </c>
      <c r="AJ233" s="311"/>
    </row>
    <row r="234" ht="22.5" customHeight="1">
      <c r="A234" s="310" t="str">
        <f>IFERROR(__xludf.DUMMYFUNCTION("""COMPUTED_VALUE"""),"")</f>
        <v/>
      </c>
      <c r="B234" s="310" t="str">
        <f>IFERROR(__xludf.DUMMYFUNCTION("""COMPUTED_VALUE"""),"")</f>
        <v/>
      </c>
      <c r="C234" s="310">
        <f>IFERROR(__xludf.DUMMYFUNCTION("""COMPUTED_VALUE"""),428.0)</f>
        <v>428</v>
      </c>
      <c r="D234" s="310" t="str">
        <f>IFERROR(__xludf.DUMMYFUNCTION("""COMPUTED_VALUE"""),"Hospital Materno Infantil")</f>
        <v>Hospital Materno Infantil</v>
      </c>
      <c r="E234" s="313" t="str">
        <f>IFERROR(__xludf.DUMMYFUNCTION("""COMPUTED_VALUE"""),"OUTRO ESTADO ")</f>
        <v>OUTRO ESTADO </v>
      </c>
      <c r="F234" s="310" t="str">
        <f>IFERROR(__xludf.DUMMYFUNCTION("""COMPUTED_VALUE"""),"Maranhão ")</f>
        <v>Maranhão </v>
      </c>
      <c r="G234" s="310" t="str">
        <f>IFERROR(__xludf.DUMMYFUNCTION("""COMPUTED_VALUE"""),"Pinheiro")</f>
        <v>Pinheiro</v>
      </c>
      <c r="H234" s="310" t="str">
        <f>IFERROR(__xludf.DUMMYFUNCTION("""COMPUTED_VALUE"""),"Grande emergência - MÉDIA COMPLEXIDADE
")</f>
        <v>Grande emergência - MÉDIA COMPLEXIDADE
</v>
      </c>
      <c r="I234" s="310" t="str">
        <f>IFERROR(__xludf.DUMMYFUNCTION("""COMPUTED_VALUE"""),"Público")</f>
        <v>Público</v>
      </c>
      <c r="J234" s="310" t="str">
        <f>IFERROR(__xludf.DUMMYFUNCTION("""COMPUTED_VALUE"""),"")</f>
        <v/>
      </c>
      <c r="K234" s="310" t="str">
        <f>IFERROR(__xludf.DUMMYFUNCTION("""COMPUTED_VALUE"""),"")</f>
        <v/>
      </c>
      <c r="L234" s="310" t="str">
        <f>IFERROR(__xludf.DUMMYFUNCTION("""COMPUTED_VALUE"""),"")</f>
        <v/>
      </c>
      <c r="M234" s="310" t="str">
        <f>IFERROR(__xludf.DUMMYFUNCTION("""COMPUTED_VALUE"""),"")</f>
        <v/>
      </c>
      <c r="N234" s="310">
        <f>IFERROR(__xludf.DUMMYFUNCTION("""COMPUTED_VALUE"""),0.0)</f>
        <v>0</v>
      </c>
      <c r="O234" s="310">
        <f>IFERROR(__xludf.DUMMYFUNCTION("""COMPUTED_VALUE"""),0.0)</f>
        <v>0</v>
      </c>
      <c r="P234" s="310">
        <f>IFERROR(__xludf.DUMMYFUNCTION("""COMPUTED_VALUE"""),0.0)</f>
        <v>0</v>
      </c>
      <c r="Q234" s="310">
        <f>IFERROR(__xludf.DUMMYFUNCTION("""COMPUTED_VALUE"""),0.0)</f>
        <v>0</v>
      </c>
      <c r="R234" s="310">
        <f>IFERROR(__xludf.DUMMYFUNCTION("""COMPUTED_VALUE"""),0.0)</f>
        <v>0</v>
      </c>
      <c r="S234" s="310">
        <f>IFERROR(__xludf.DUMMYFUNCTION("""COMPUTED_VALUE"""),0.0)</f>
        <v>0</v>
      </c>
      <c r="T234" s="310">
        <f>IFERROR(__xludf.DUMMYFUNCTION("""COMPUTED_VALUE"""),200.0)</f>
        <v>200</v>
      </c>
      <c r="U234" s="310">
        <f>IFERROR(__xludf.DUMMYFUNCTION("""COMPUTED_VALUE"""),0.0)</f>
        <v>0</v>
      </c>
      <c r="V234" s="310">
        <f>IFERROR(__xludf.DUMMYFUNCTION("""COMPUTED_VALUE"""),0.0)</f>
        <v>0</v>
      </c>
      <c r="W234" s="310">
        <f>IFERROR(__xludf.DUMMYFUNCTION("""COMPUTED_VALUE"""),0.0)</f>
        <v>0</v>
      </c>
      <c r="X234" s="310">
        <f>IFERROR(__xludf.DUMMYFUNCTION("""COMPUTED_VALUE"""),0.0)</f>
        <v>0</v>
      </c>
      <c r="Y234" s="310">
        <f>IFERROR(__xludf.DUMMYFUNCTION("""COMPUTED_VALUE"""),0.0)</f>
        <v>0</v>
      </c>
      <c r="Z234" s="310">
        <f>IFERROR(__xludf.DUMMYFUNCTION("""COMPUTED_VALUE"""),-200.0)</f>
        <v>-200</v>
      </c>
      <c r="AA234" s="310">
        <f>IFERROR(__xludf.DUMMYFUNCTION("""COMPUTED_VALUE"""),0.0)</f>
        <v>0</v>
      </c>
      <c r="AB234" s="310">
        <f>IFERROR(__xludf.DUMMYFUNCTION("""COMPUTED_VALUE"""),0.0)</f>
        <v>0</v>
      </c>
      <c r="AC234" s="310">
        <f>IFERROR(__xludf.DUMMYFUNCTION("""COMPUTED_VALUE"""),0.0)</f>
        <v>0</v>
      </c>
      <c r="AD234" s="310">
        <f>IFERROR(__xludf.DUMMYFUNCTION("""COMPUTED_VALUE"""),0.0)</f>
        <v>0</v>
      </c>
      <c r="AE234" s="310">
        <f>IFERROR(__xludf.DUMMYFUNCTION("""COMPUTED_VALUE"""),0.0)</f>
        <v>0</v>
      </c>
      <c r="AF234" s="310" t="str">
        <f>IFERROR(__xludf.DUMMYFUNCTION("""COMPUTED_VALUE"""),"")</f>
        <v/>
      </c>
      <c r="AG234" s="310">
        <f>IFERROR(__xludf.DUMMYFUNCTION("""COMPUTED_VALUE"""),0.0)</f>
        <v>0</v>
      </c>
      <c r="AH234" s="310">
        <f>IFERROR(__xludf.DUMMYFUNCTION("""COMPUTED_VALUE"""),0.0)</f>
        <v>0</v>
      </c>
      <c r="AI234" s="310">
        <f>IFERROR(__xludf.DUMMYFUNCTION("""COMPUTED_VALUE"""),0.0)</f>
        <v>0</v>
      </c>
      <c r="AJ234" s="310"/>
    </row>
    <row r="235" ht="22.5" customHeight="1">
      <c r="A235" s="311" t="str">
        <f>IFERROR(__xludf.DUMMYFUNCTION("""COMPUTED_VALUE"""),"")</f>
        <v/>
      </c>
      <c r="B235" s="311" t="str">
        <f>IFERROR(__xludf.DUMMYFUNCTION("""COMPUTED_VALUE"""),"")</f>
        <v/>
      </c>
      <c r="C235" s="311">
        <f>IFERROR(__xludf.DUMMYFUNCTION("""COMPUTED_VALUE"""),429.0)</f>
        <v>429</v>
      </c>
      <c r="D235" s="311" t="str">
        <f>IFERROR(__xludf.DUMMYFUNCTION("""COMPUTED_VALUE"""),"Hospital Estadual Dr. Jackson Lago")</f>
        <v>Hospital Estadual Dr. Jackson Lago</v>
      </c>
      <c r="E235" s="315" t="str">
        <f>IFERROR(__xludf.DUMMYFUNCTION("""COMPUTED_VALUE"""),"OUTRO ESTADO ")</f>
        <v>OUTRO ESTADO </v>
      </c>
      <c r="F235" s="311" t="str">
        <f>IFERROR(__xludf.DUMMYFUNCTION("""COMPUTED_VALUE"""),"Maranhão")</f>
        <v>Maranhão</v>
      </c>
      <c r="G235" s="311" t="str">
        <f>IFERROR(__xludf.DUMMYFUNCTION("""COMPUTED_VALUE"""),"Pinheiro")</f>
        <v>Pinheiro</v>
      </c>
      <c r="H235" s="311" t="str">
        <f>IFERROR(__xludf.DUMMYFUNCTION("""COMPUTED_VALUE"""),"Hospital de Referência - ALTA COMPLEXIDADE")</f>
        <v>Hospital de Referência - ALTA COMPLEXIDADE</v>
      </c>
      <c r="I235" s="311" t="str">
        <f>IFERROR(__xludf.DUMMYFUNCTION("""COMPUTED_VALUE"""),"Público")</f>
        <v>Público</v>
      </c>
      <c r="J235" s="311" t="str">
        <f>IFERROR(__xludf.DUMMYFUNCTION("""COMPUTED_VALUE"""),"")</f>
        <v/>
      </c>
      <c r="K235" s="311" t="str">
        <f>IFERROR(__xludf.DUMMYFUNCTION("""COMPUTED_VALUE"""),"")</f>
        <v/>
      </c>
      <c r="L235" s="311" t="str">
        <f>IFERROR(__xludf.DUMMYFUNCTION("""COMPUTED_VALUE"""),"")</f>
        <v/>
      </c>
      <c r="M235" s="311" t="str">
        <f>IFERROR(__xludf.DUMMYFUNCTION("""COMPUTED_VALUE"""),"")</f>
        <v/>
      </c>
      <c r="N235" s="311">
        <f>IFERROR(__xludf.DUMMYFUNCTION("""COMPUTED_VALUE"""),0.0)</f>
        <v>0</v>
      </c>
      <c r="O235" s="311">
        <f>IFERROR(__xludf.DUMMYFUNCTION("""COMPUTED_VALUE"""),0.0)</f>
        <v>0</v>
      </c>
      <c r="P235" s="311">
        <f>IFERROR(__xludf.DUMMYFUNCTION("""COMPUTED_VALUE"""),0.0)</f>
        <v>0</v>
      </c>
      <c r="Q235" s="311">
        <f>IFERROR(__xludf.DUMMYFUNCTION("""COMPUTED_VALUE"""),0.0)</f>
        <v>0</v>
      </c>
      <c r="R235" s="311">
        <f>IFERROR(__xludf.DUMMYFUNCTION("""COMPUTED_VALUE"""),0.0)</f>
        <v>0</v>
      </c>
      <c r="S235" s="311">
        <f>IFERROR(__xludf.DUMMYFUNCTION("""COMPUTED_VALUE"""),0.0)</f>
        <v>0</v>
      </c>
      <c r="T235" s="311">
        <f>IFERROR(__xludf.DUMMYFUNCTION("""COMPUTED_VALUE"""),500.0)</f>
        <v>500</v>
      </c>
      <c r="U235" s="311">
        <f>IFERROR(__xludf.DUMMYFUNCTION("""COMPUTED_VALUE"""),0.0)</f>
        <v>0</v>
      </c>
      <c r="V235" s="311">
        <f>IFERROR(__xludf.DUMMYFUNCTION("""COMPUTED_VALUE"""),0.0)</f>
        <v>0</v>
      </c>
      <c r="W235" s="311">
        <f>IFERROR(__xludf.DUMMYFUNCTION("""COMPUTED_VALUE"""),0.0)</f>
        <v>0</v>
      </c>
      <c r="X235" s="311">
        <f>IFERROR(__xludf.DUMMYFUNCTION("""COMPUTED_VALUE"""),0.0)</f>
        <v>0</v>
      </c>
      <c r="Y235" s="311">
        <f>IFERROR(__xludf.DUMMYFUNCTION("""COMPUTED_VALUE"""),0.0)</f>
        <v>0</v>
      </c>
      <c r="Z235" s="311">
        <f>IFERROR(__xludf.DUMMYFUNCTION("""COMPUTED_VALUE"""),-500.0)</f>
        <v>-500</v>
      </c>
      <c r="AA235" s="311">
        <f>IFERROR(__xludf.DUMMYFUNCTION("""COMPUTED_VALUE"""),0.0)</f>
        <v>0</v>
      </c>
      <c r="AB235" s="311">
        <f>IFERROR(__xludf.DUMMYFUNCTION("""COMPUTED_VALUE"""),0.0)</f>
        <v>0</v>
      </c>
      <c r="AC235" s="311">
        <f>IFERROR(__xludf.DUMMYFUNCTION("""COMPUTED_VALUE"""),0.0)</f>
        <v>0</v>
      </c>
      <c r="AD235" s="311">
        <f>IFERROR(__xludf.DUMMYFUNCTION("""COMPUTED_VALUE"""),0.0)</f>
        <v>0</v>
      </c>
      <c r="AE235" s="311">
        <f>IFERROR(__xludf.DUMMYFUNCTION("""COMPUTED_VALUE"""),0.0)</f>
        <v>0</v>
      </c>
      <c r="AF235" s="311" t="str">
        <f>IFERROR(__xludf.DUMMYFUNCTION("""COMPUTED_VALUE"""),"")</f>
        <v/>
      </c>
      <c r="AG235" s="311">
        <f>IFERROR(__xludf.DUMMYFUNCTION("""COMPUTED_VALUE"""),0.0)</f>
        <v>0</v>
      </c>
      <c r="AH235" s="311">
        <f>IFERROR(__xludf.DUMMYFUNCTION("""COMPUTED_VALUE"""),0.0)</f>
        <v>0</v>
      </c>
      <c r="AI235" s="311">
        <f>IFERROR(__xludf.DUMMYFUNCTION("""COMPUTED_VALUE"""),0.0)</f>
        <v>0</v>
      </c>
      <c r="AJ235" s="311"/>
    </row>
    <row r="236" ht="22.5" customHeight="1">
      <c r="A236" s="310" t="str">
        <f>IFERROR(__xludf.DUMMYFUNCTION("""COMPUTED_VALUE"""),"")</f>
        <v/>
      </c>
      <c r="B236" s="310" t="str">
        <f>IFERROR(__xludf.DUMMYFUNCTION("""COMPUTED_VALUE"""),"")</f>
        <v/>
      </c>
      <c r="C236" s="310">
        <f>IFERROR(__xludf.DUMMYFUNCTION("""COMPUTED_VALUE"""),430.0)</f>
        <v>430</v>
      </c>
      <c r="D236" s="310" t="str">
        <f>IFERROR(__xludf.DUMMYFUNCTION("""COMPUTED_VALUE"""),"Associação de Caridade São João Nepomuceno - Hospital São João")</f>
        <v>Associação de Caridade São João Nepomuceno - Hospital São João</v>
      </c>
      <c r="E236" s="313" t="str">
        <f>IFERROR(__xludf.DUMMYFUNCTION("""COMPUTED_VALUE"""),"OUTRO ESTADO")</f>
        <v>OUTRO ESTADO</v>
      </c>
      <c r="F236" s="310" t="str">
        <f>IFERROR(__xludf.DUMMYFUNCTION("""COMPUTED_VALUE"""),"Minas Gerais")</f>
        <v>Minas Gerais</v>
      </c>
      <c r="G236" s="310" t="str">
        <f>IFERROR(__xludf.DUMMYFUNCTION("""COMPUTED_VALUE"""),"São João Nepomuceno")</f>
        <v>São João Nepomuceno</v>
      </c>
      <c r="H236" s="310" t="str">
        <f>IFERROR(__xludf.DUMMYFUNCTION("""COMPUTED_VALUE"""),"Grande emergência - MÉDIA COMPLEXIDADE
")</f>
        <v>Grande emergência - MÉDIA COMPLEXIDADE
</v>
      </c>
      <c r="I236" s="310" t="str">
        <f>IFERROR(__xludf.DUMMYFUNCTION("""COMPUTED_VALUE"""),"Público")</f>
        <v>Público</v>
      </c>
      <c r="J236" s="310" t="str">
        <f>IFERROR(__xludf.DUMMYFUNCTION("""COMPUTED_VALUE"""),"")</f>
        <v/>
      </c>
      <c r="K236" s="310" t="str">
        <f>IFERROR(__xludf.DUMMYFUNCTION("""COMPUTED_VALUE"""),"")</f>
        <v/>
      </c>
      <c r="L236" s="310" t="str">
        <f>IFERROR(__xludf.DUMMYFUNCTION("""COMPUTED_VALUE"""),"")</f>
        <v/>
      </c>
      <c r="M236" s="310" t="str">
        <f>IFERROR(__xludf.DUMMYFUNCTION("""COMPUTED_VALUE"""),"")</f>
        <v/>
      </c>
      <c r="N236" s="310">
        <f>IFERROR(__xludf.DUMMYFUNCTION("""COMPUTED_VALUE"""),0.0)</f>
        <v>0</v>
      </c>
      <c r="O236" s="310">
        <f>IFERROR(__xludf.DUMMYFUNCTION("""COMPUTED_VALUE"""),0.0)</f>
        <v>0</v>
      </c>
      <c r="P236" s="310">
        <f>IFERROR(__xludf.DUMMYFUNCTION("""COMPUTED_VALUE"""),0.0)</f>
        <v>0</v>
      </c>
      <c r="Q236" s="310">
        <f>IFERROR(__xludf.DUMMYFUNCTION("""COMPUTED_VALUE"""),0.0)</f>
        <v>0</v>
      </c>
      <c r="R236" s="310">
        <f>IFERROR(__xludf.DUMMYFUNCTION("""COMPUTED_VALUE"""),0.0)</f>
        <v>0</v>
      </c>
      <c r="S236" s="310">
        <f>IFERROR(__xludf.DUMMYFUNCTION("""COMPUTED_VALUE"""),0.0)</f>
        <v>0</v>
      </c>
      <c r="T236" s="310">
        <f>IFERROR(__xludf.DUMMYFUNCTION("""COMPUTED_VALUE"""),300.0)</f>
        <v>300</v>
      </c>
      <c r="U236" s="310">
        <f>IFERROR(__xludf.DUMMYFUNCTION("""COMPUTED_VALUE"""),0.0)</f>
        <v>0</v>
      </c>
      <c r="V236" s="310">
        <f>IFERROR(__xludf.DUMMYFUNCTION("""COMPUTED_VALUE"""),0.0)</f>
        <v>0</v>
      </c>
      <c r="W236" s="310">
        <f>IFERROR(__xludf.DUMMYFUNCTION("""COMPUTED_VALUE"""),0.0)</f>
        <v>0</v>
      </c>
      <c r="X236" s="310">
        <f>IFERROR(__xludf.DUMMYFUNCTION("""COMPUTED_VALUE"""),0.0)</f>
        <v>0</v>
      </c>
      <c r="Y236" s="310">
        <f>IFERROR(__xludf.DUMMYFUNCTION("""COMPUTED_VALUE"""),0.0)</f>
        <v>0</v>
      </c>
      <c r="Z236" s="310">
        <f>IFERROR(__xludf.DUMMYFUNCTION("""COMPUTED_VALUE"""),-300.0)</f>
        <v>-300</v>
      </c>
      <c r="AA236" s="310">
        <f>IFERROR(__xludf.DUMMYFUNCTION("""COMPUTED_VALUE"""),0.0)</f>
        <v>0</v>
      </c>
      <c r="AB236" s="310">
        <f>IFERROR(__xludf.DUMMYFUNCTION("""COMPUTED_VALUE"""),0.0)</f>
        <v>0</v>
      </c>
      <c r="AC236" s="310">
        <f>IFERROR(__xludf.DUMMYFUNCTION("""COMPUTED_VALUE"""),0.0)</f>
        <v>0</v>
      </c>
      <c r="AD236" s="310">
        <f>IFERROR(__xludf.DUMMYFUNCTION("""COMPUTED_VALUE"""),0.0)</f>
        <v>0</v>
      </c>
      <c r="AE236" s="310">
        <f>IFERROR(__xludf.DUMMYFUNCTION("""COMPUTED_VALUE"""),0.0)</f>
        <v>0</v>
      </c>
      <c r="AF236" s="310" t="str">
        <f>IFERROR(__xludf.DUMMYFUNCTION("""COMPUTED_VALUE"""),"")</f>
        <v/>
      </c>
      <c r="AG236" s="310">
        <f>IFERROR(__xludf.DUMMYFUNCTION("""COMPUTED_VALUE"""),0.0)</f>
        <v>0</v>
      </c>
      <c r="AH236" s="310">
        <f>IFERROR(__xludf.DUMMYFUNCTION("""COMPUTED_VALUE"""),0.0)</f>
        <v>0</v>
      </c>
      <c r="AI236" s="310">
        <f>IFERROR(__xludf.DUMMYFUNCTION("""COMPUTED_VALUE"""),0.0)</f>
        <v>0</v>
      </c>
      <c r="AJ236" s="310"/>
    </row>
    <row r="237" ht="22.5" customHeight="1">
      <c r="A237" s="311" t="str">
        <f>IFERROR(__xludf.DUMMYFUNCTION("""COMPUTED_VALUE"""),"")</f>
        <v/>
      </c>
      <c r="B237" s="311" t="str">
        <f>IFERROR(__xludf.DUMMYFUNCTION("""COMPUTED_VALUE"""),"")</f>
        <v/>
      </c>
      <c r="C237" s="311">
        <f>IFERROR(__xludf.DUMMYFUNCTION("""COMPUTED_VALUE"""),431.0)</f>
        <v>431</v>
      </c>
      <c r="D237" s="311" t="str">
        <f>IFERROR(__xludf.DUMMYFUNCTION("""COMPUTED_VALUE"""),"Secretaria de Saúde do Ceará ")</f>
        <v>Secretaria de Saúde do Ceará </v>
      </c>
      <c r="E237" s="315" t="str">
        <f>IFERROR(__xludf.DUMMYFUNCTION("""COMPUTED_VALUE"""),"OUTRO ESTADO ")</f>
        <v>OUTRO ESTADO </v>
      </c>
      <c r="F237" s="311" t="str">
        <f>IFERROR(__xludf.DUMMYFUNCTION("""COMPUTED_VALUE"""),"Ceará")</f>
        <v>Ceará</v>
      </c>
      <c r="G237" s="311" t="str">
        <f>IFERROR(__xludf.DUMMYFUNCTION("""COMPUTED_VALUE"""),"Ceará")</f>
        <v>Ceará</v>
      </c>
      <c r="H237" s="311" t="str">
        <f>IFERROR(__xludf.DUMMYFUNCTION("""COMPUTED_VALUE"""),"Outra Instituição")</f>
        <v>Outra Instituição</v>
      </c>
      <c r="I237" s="311" t="str">
        <f>IFERROR(__xludf.DUMMYFUNCTION("""COMPUTED_VALUE"""),"Público")</f>
        <v>Público</v>
      </c>
      <c r="J237" s="311" t="str">
        <f>IFERROR(__xludf.DUMMYFUNCTION("""COMPUTED_VALUE"""),"")</f>
        <v/>
      </c>
      <c r="K237" s="311" t="str">
        <f>IFERROR(__xludf.DUMMYFUNCTION("""COMPUTED_VALUE"""),"")</f>
        <v/>
      </c>
      <c r="L237" s="311" t="str">
        <f>IFERROR(__xludf.DUMMYFUNCTION("""COMPUTED_VALUE"""),"")</f>
        <v/>
      </c>
      <c r="M237" s="311" t="str">
        <f>IFERROR(__xludf.DUMMYFUNCTION("""COMPUTED_VALUE"""),"")</f>
        <v/>
      </c>
      <c r="N237" s="311">
        <f>IFERROR(__xludf.DUMMYFUNCTION("""COMPUTED_VALUE"""),0.0)</f>
        <v>0</v>
      </c>
      <c r="O237" s="311">
        <f>IFERROR(__xludf.DUMMYFUNCTION("""COMPUTED_VALUE"""),0.0)</f>
        <v>0</v>
      </c>
      <c r="P237" s="311">
        <f>IFERROR(__xludf.DUMMYFUNCTION("""COMPUTED_VALUE"""),0.0)</f>
        <v>0</v>
      </c>
      <c r="Q237" s="311">
        <f>IFERROR(__xludf.DUMMYFUNCTION("""COMPUTED_VALUE"""),0.0)</f>
        <v>0</v>
      </c>
      <c r="R237" s="311">
        <f>IFERROR(__xludf.DUMMYFUNCTION("""COMPUTED_VALUE"""),0.0)</f>
        <v>0</v>
      </c>
      <c r="S237" s="311">
        <f>IFERROR(__xludf.DUMMYFUNCTION("""COMPUTED_VALUE"""),0.0)</f>
        <v>0</v>
      </c>
      <c r="T237" s="311">
        <f>IFERROR(__xludf.DUMMYFUNCTION("""COMPUTED_VALUE"""),1190.0)</f>
        <v>1190</v>
      </c>
      <c r="U237" s="311">
        <f>IFERROR(__xludf.DUMMYFUNCTION("""COMPUTED_VALUE"""),0.0)</f>
        <v>0</v>
      </c>
      <c r="V237" s="311">
        <f>IFERROR(__xludf.DUMMYFUNCTION("""COMPUTED_VALUE"""),0.0)</f>
        <v>0</v>
      </c>
      <c r="W237" s="311">
        <f>IFERROR(__xludf.DUMMYFUNCTION("""COMPUTED_VALUE"""),0.0)</f>
        <v>0</v>
      </c>
      <c r="X237" s="311">
        <f>IFERROR(__xludf.DUMMYFUNCTION("""COMPUTED_VALUE"""),0.0)</f>
        <v>0</v>
      </c>
      <c r="Y237" s="311">
        <f>IFERROR(__xludf.DUMMYFUNCTION("""COMPUTED_VALUE"""),0.0)</f>
        <v>0</v>
      </c>
      <c r="Z237" s="311">
        <f>IFERROR(__xludf.DUMMYFUNCTION("""COMPUTED_VALUE"""),-1190.0)</f>
        <v>-1190</v>
      </c>
      <c r="AA237" s="311">
        <f>IFERROR(__xludf.DUMMYFUNCTION("""COMPUTED_VALUE"""),0.0)</f>
        <v>0</v>
      </c>
      <c r="AB237" s="311">
        <f>IFERROR(__xludf.DUMMYFUNCTION("""COMPUTED_VALUE"""),0.0)</f>
        <v>0</v>
      </c>
      <c r="AC237" s="311">
        <f>IFERROR(__xludf.DUMMYFUNCTION("""COMPUTED_VALUE"""),0.0)</f>
        <v>0</v>
      </c>
      <c r="AD237" s="311">
        <f>IFERROR(__xludf.DUMMYFUNCTION("""COMPUTED_VALUE"""),0.0)</f>
        <v>0</v>
      </c>
      <c r="AE237" s="311">
        <f>IFERROR(__xludf.DUMMYFUNCTION("""COMPUTED_VALUE"""),0.0)</f>
        <v>0</v>
      </c>
      <c r="AF237" s="311" t="str">
        <f>IFERROR(__xludf.DUMMYFUNCTION("""COMPUTED_VALUE"""),"")</f>
        <v/>
      </c>
      <c r="AG237" s="311">
        <f>IFERROR(__xludf.DUMMYFUNCTION("""COMPUTED_VALUE"""),0.0)</f>
        <v>0</v>
      </c>
      <c r="AH237" s="311">
        <f>IFERROR(__xludf.DUMMYFUNCTION("""COMPUTED_VALUE"""),0.0)</f>
        <v>0</v>
      </c>
      <c r="AI237" s="311">
        <f>IFERROR(__xludf.DUMMYFUNCTION("""COMPUTED_VALUE"""),0.0)</f>
        <v>0</v>
      </c>
      <c r="AJ237" s="311"/>
    </row>
  </sheetData>
  <autoFilter ref="$A$1:$AJ$23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43"/>
    <col customWidth="1" min="5" max="5" width="18.29"/>
    <col customWidth="1" min="7" max="7" width="18.43"/>
    <col customWidth="1" min="8" max="8" width="24.0"/>
    <col customWidth="1" min="10" max="12" width="21.14"/>
    <col customWidth="1" min="13" max="13" width="25.57"/>
    <col customWidth="1" min="14" max="14" width="21.14"/>
    <col customWidth="1" min="15" max="15" width="20.71"/>
    <col customWidth="1" min="16" max="16" width="22.71"/>
    <col customWidth="1" min="17" max="17" width="10.0"/>
    <col customWidth="1" min="18" max="21" width="14.0"/>
    <col customWidth="1" min="22" max="25" width="10.43"/>
    <col customWidth="1" min="26" max="26" width="22.43"/>
  </cols>
  <sheetData>
    <row r="1" ht="18.75" customHeight="1">
      <c r="A1" s="316" t="s">
        <v>2</v>
      </c>
      <c r="B1" s="317" t="s">
        <v>3</v>
      </c>
      <c r="C1" s="317" t="s">
        <v>1230</v>
      </c>
      <c r="D1" s="317" t="s">
        <v>1231</v>
      </c>
      <c r="E1" s="317" t="s">
        <v>14</v>
      </c>
      <c r="F1" s="317" t="s">
        <v>1232</v>
      </c>
      <c r="G1" s="317" t="s">
        <v>1233</v>
      </c>
      <c r="H1" s="317" t="s">
        <v>1234</v>
      </c>
      <c r="I1" s="318" t="s">
        <v>982</v>
      </c>
      <c r="J1" s="317" t="s">
        <v>1235</v>
      </c>
      <c r="K1" s="317" t="s">
        <v>1236</v>
      </c>
      <c r="L1" s="317" t="s">
        <v>1237</v>
      </c>
      <c r="M1" s="317" t="s">
        <v>977</v>
      </c>
      <c r="N1" s="317" t="s">
        <v>1238</v>
      </c>
      <c r="O1" s="317" t="s">
        <v>8</v>
      </c>
      <c r="P1" s="317" t="s">
        <v>979</v>
      </c>
      <c r="Q1" s="319" t="s">
        <v>1239</v>
      </c>
      <c r="R1" s="317" t="s">
        <v>1240</v>
      </c>
      <c r="S1" s="317" t="s">
        <v>1241</v>
      </c>
      <c r="T1" s="317" t="s">
        <v>1242</v>
      </c>
      <c r="U1" s="317" t="s">
        <v>1243</v>
      </c>
      <c r="V1" s="317" t="s">
        <v>1244</v>
      </c>
      <c r="W1" s="317" t="s">
        <v>1245</v>
      </c>
      <c r="X1" s="317" t="s">
        <v>1246</v>
      </c>
      <c r="Y1" s="317" t="s">
        <v>1247</v>
      </c>
      <c r="Z1" s="317" t="s">
        <v>33</v>
      </c>
    </row>
    <row r="2" ht="18.75" customHeight="1">
      <c r="A2" s="320"/>
      <c r="B2" s="321"/>
      <c r="C2" s="322">
        <f t="array" ref="C2:C160">ROW(A2:A160)-1</f>
        <v>1</v>
      </c>
      <c r="D2" s="323"/>
      <c r="E2" s="324"/>
      <c r="F2" s="324"/>
      <c r="G2" s="325"/>
      <c r="H2" s="325"/>
      <c r="I2" s="326"/>
      <c r="J2" s="325" t="s">
        <v>1248</v>
      </c>
      <c r="K2" s="325"/>
      <c r="L2" s="325"/>
      <c r="M2" s="324"/>
      <c r="N2" s="324"/>
      <c r="O2" s="323"/>
      <c r="P2" s="324"/>
      <c r="Q2" s="327"/>
      <c r="R2" s="328">
        <f>IFERROR(__xludf.DUMMYFUNCTION("SUM(QUERY(Coletas_BD!D:M,""select J where D='""&amp;D2&amp;""'"",1))"),5407.0)</f>
        <v>5407</v>
      </c>
      <c r="S2" s="328">
        <f>IFERROR(__xludf.DUMMYFUNCTION("SUM(QUERY(Coletas_BD!D:M,""select K where D='""&amp;D2&amp;""'"",1))"),25.0)</f>
        <v>25</v>
      </c>
      <c r="T2" s="328">
        <f>IFERROR(__xludf.DUMMYFUNCTION("SUM(QUERY(Coletas_BD!D:M,""select L where D='""&amp;D2&amp;""'"",1))"),75.0)</f>
        <v>75</v>
      </c>
      <c r="U2" s="328">
        <f>IFERROR(__xludf.DUMMYFUNCTION("SUM(QUERY(Coletas_BD!D:M,""select M where D='""&amp;D2&amp;""'"",1))"),250.0)</f>
        <v>250</v>
      </c>
      <c r="V2" s="328">
        <f>IFERROR(__xludf.DUMMYFUNCTION("SUM(QUERY(Coletas_BD!D:S,""select P where D='""&amp;D2&amp;""'"",1))"),65.0)</f>
        <v>65</v>
      </c>
      <c r="W2" s="328">
        <f>IFERROR(__xludf.DUMMYFUNCTION("SUM(QUERY(Coletas_BD!D:S,""select Q where D='""&amp;D2&amp;""'"",1))"),21.0)</f>
        <v>21</v>
      </c>
      <c r="X2" s="328">
        <f>IFERROR(__xludf.DUMMYFUNCTION("SUM(QUERY(Coletas_BD!D:S,""select R where D='""&amp;D2&amp;""'"",1))"),2.0)</f>
        <v>2</v>
      </c>
      <c r="Y2" s="328">
        <f>IFERROR(__xludf.DUMMYFUNCTION("SUM(QUERY(Coletas_BD!D:S,""select S where D='""&amp;D2&amp;""'"",1))"),4.0)</f>
        <v>4</v>
      </c>
      <c r="Z2" s="329"/>
    </row>
    <row r="3" ht="18.75" customHeight="1">
      <c r="A3" s="320"/>
      <c r="B3" s="321"/>
      <c r="C3" s="322">
        <v>2.0</v>
      </c>
      <c r="D3" s="330"/>
      <c r="E3" s="331"/>
      <c r="F3" s="330"/>
      <c r="G3" s="330"/>
      <c r="H3" s="330"/>
      <c r="I3" s="332"/>
      <c r="J3" s="333" t="s">
        <v>1248</v>
      </c>
      <c r="K3" s="333"/>
      <c r="L3" s="333"/>
      <c r="M3" s="331"/>
      <c r="N3" s="331"/>
      <c r="O3" s="331"/>
      <c r="P3" s="331"/>
      <c r="Q3" s="334"/>
      <c r="R3" s="328">
        <f>IFERROR(__xludf.DUMMYFUNCTION("SUM(QUERY(Coletas_BD!D:M,""select J where D='""&amp;D3&amp;""'"",1))"),5407.0)</f>
        <v>5407</v>
      </c>
      <c r="S3" s="328">
        <f>IFERROR(__xludf.DUMMYFUNCTION("SUM(QUERY(Coletas_BD!D:M,""select K where D='""&amp;D3&amp;""'"",1))"),25.0)</f>
        <v>25</v>
      </c>
      <c r="T3" s="328">
        <f>IFERROR(__xludf.DUMMYFUNCTION("SUM(QUERY(Coletas_BD!D:M,""select L where D='""&amp;D3&amp;""'"",1))"),75.0)</f>
        <v>75</v>
      </c>
      <c r="U3" s="328">
        <f>IFERROR(__xludf.DUMMYFUNCTION("SUM(QUERY(Coletas_BD!D:M,""select M where D='""&amp;D3&amp;""'"",1))"),250.0)</f>
        <v>250</v>
      </c>
      <c r="V3" s="328">
        <f>IFERROR(__xludf.DUMMYFUNCTION("SUM(QUERY(Coletas_BD!D:S,""select P where D='""&amp;D3&amp;""'"",1))"),65.0)</f>
        <v>65</v>
      </c>
      <c r="W3" s="328">
        <f>IFERROR(__xludf.DUMMYFUNCTION("SUM(QUERY(Coletas_BD!D:S,""select Q where D='""&amp;D3&amp;""'"",1))"),21.0)</f>
        <v>21</v>
      </c>
      <c r="X3" s="328">
        <f>IFERROR(__xludf.DUMMYFUNCTION("SUM(QUERY(Coletas_BD!D:S,""select R where D='""&amp;D3&amp;""'"",1))"),2.0)</f>
        <v>2</v>
      </c>
      <c r="Y3" s="328">
        <f>IFERROR(__xludf.DUMMYFUNCTION("SUM(QUERY(Coletas_BD!D:S,""select S where D='""&amp;D3&amp;""'"",1))"),4.0)</f>
        <v>4</v>
      </c>
      <c r="Z3" s="335"/>
    </row>
    <row r="4" ht="18.75" customHeight="1">
      <c r="A4" s="320"/>
      <c r="B4" s="321"/>
      <c r="C4" s="322">
        <v>3.0</v>
      </c>
      <c r="D4" s="323"/>
      <c r="E4" s="323"/>
      <c r="F4" s="324"/>
      <c r="G4" s="325"/>
      <c r="H4" s="325"/>
      <c r="I4" s="326" t="s">
        <v>1249</v>
      </c>
      <c r="J4" s="325" t="s">
        <v>1248</v>
      </c>
      <c r="K4" s="325"/>
      <c r="L4" s="325"/>
      <c r="M4" s="324"/>
      <c r="N4" s="324"/>
      <c r="O4" s="324"/>
      <c r="P4" s="323"/>
      <c r="Q4" s="327"/>
      <c r="R4" s="328">
        <f>IFERROR(__xludf.DUMMYFUNCTION("SUM(QUERY(Coletas_BD!D:M,""select J where D='""&amp;D4&amp;""'"",1))"),5407.0)</f>
        <v>5407</v>
      </c>
      <c r="S4" s="328">
        <f>IFERROR(__xludf.DUMMYFUNCTION("SUM(QUERY(Coletas_BD!D:M,""select K where D='""&amp;D4&amp;""'"",1))"),25.0)</f>
        <v>25</v>
      </c>
      <c r="T4" s="328">
        <f>IFERROR(__xludf.DUMMYFUNCTION("SUM(QUERY(Coletas_BD!D:M,""select L where D='""&amp;D4&amp;""'"",1))"),75.0)</f>
        <v>75</v>
      </c>
      <c r="U4" s="328">
        <f>IFERROR(__xludf.DUMMYFUNCTION("SUM(QUERY(Coletas_BD!D:M,""select M where D='""&amp;D4&amp;""'"",1))"),250.0)</f>
        <v>250</v>
      </c>
      <c r="V4" s="328">
        <f>IFERROR(__xludf.DUMMYFUNCTION("SUM(QUERY(Coletas_BD!D:S,""select P where D='""&amp;D4&amp;""'"",1))"),65.0)</f>
        <v>65</v>
      </c>
      <c r="W4" s="328">
        <f>IFERROR(__xludf.DUMMYFUNCTION("SUM(QUERY(Coletas_BD!D:S,""select Q where D='""&amp;D4&amp;""'"",1))"),21.0)</f>
        <v>21</v>
      </c>
      <c r="X4" s="328">
        <f>IFERROR(__xludf.DUMMYFUNCTION("SUM(QUERY(Coletas_BD!D:S,""select R where D='""&amp;D4&amp;""'"",1))"),2.0)</f>
        <v>2</v>
      </c>
      <c r="Y4" s="328">
        <f>IFERROR(__xludf.DUMMYFUNCTION("SUM(QUERY(Coletas_BD!D:S,""select S where D='""&amp;D4&amp;""'"",1))"),4.0)</f>
        <v>4</v>
      </c>
      <c r="Z4" s="329"/>
    </row>
    <row r="5" ht="18.75" customHeight="1">
      <c r="A5" s="320"/>
      <c r="B5" s="321"/>
      <c r="C5" s="322">
        <v>4.0</v>
      </c>
      <c r="D5" s="330"/>
      <c r="E5" s="331"/>
      <c r="F5" s="331"/>
      <c r="G5" s="333"/>
      <c r="H5" s="333"/>
      <c r="I5" s="332" t="s">
        <v>1250</v>
      </c>
      <c r="J5" s="333" t="s">
        <v>1251</v>
      </c>
      <c r="K5" s="333"/>
      <c r="L5" s="333"/>
      <c r="M5" s="331"/>
      <c r="N5" s="331"/>
      <c r="O5" s="331"/>
      <c r="P5" s="331"/>
      <c r="Q5" s="336"/>
      <c r="R5" s="328">
        <f>IFERROR(__xludf.DUMMYFUNCTION("SUM(QUERY(Coletas_BD!D:M,""select J where D='""&amp;D5&amp;""'"",1))"),5407.0)</f>
        <v>5407</v>
      </c>
      <c r="S5" s="328">
        <f>IFERROR(__xludf.DUMMYFUNCTION("SUM(QUERY(Coletas_BD!D:M,""select K where D='""&amp;D5&amp;""'"",1))"),25.0)</f>
        <v>25</v>
      </c>
      <c r="T5" s="328">
        <f>IFERROR(__xludf.DUMMYFUNCTION("SUM(QUERY(Coletas_BD!D:M,""select L where D='""&amp;D5&amp;""'"",1))"),75.0)</f>
        <v>75</v>
      </c>
      <c r="U5" s="328">
        <f>IFERROR(__xludf.DUMMYFUNCTION("SUM(QUERY(Coletas_BD!D:M,""select M where D='""&amp;D5&amp;""'"",1))"),250.0)</f>
        <v>250</v>
      </c>
      <c r="V5" s="328">
        <f>IFERROR(__xludf.DUMMYFUNCTION("SUM(QUERY(Coletas_BD!D:S,""select P where D='""&amp;D5&amp;""'"",1))"),65.0)</f>
        <v>65</v>
      </c>
      <c r="W5" s="328">
        <f>IFERROR(__xludf.DUMMYFUNCTION("SUM(QUERY(Coletas_BD!D:S,""select Q where D='""&amp;D5&amp;""'"",1))"),21.0)</f>
        <v>21</v>
      </c>
      <c r="X5" s="328">
        <f>IFERROR(__xludf.DUMMYFUNCTION("SUM(QUERY(Coletas_BD!D:S,""select R where D='""&amp;D5&amp;""'"",1))"),2.0)</f>
        <v>2</v>
      </c>
      <c r="Y5" s="328">
        <f>IFERROR(__xludf.DUMMYFUNCTION("SUM(QUERY(Coletas_BD!D:S,""select S where D='""&amp;D5&amp;""'"",1))"),4.0)</f>
        <v>4</v>
      </c>
      <c r="Z5" s="337"/>
    </row>
    <row r="6" ht="18.75" customHeight="1">
      <c r="A6" s="320"/>
      <c r="B6" s="321"/>
      <c r="C6" s="322">
        <v>5.0</v>
      </c>
      <c r="D6" s="338"/>
      <c r="E6" s="323"/>
      <c r="F6" s="339"/>
      <c r="G6" s="340">
        <v>5.0</v>
      </c>
      <c r="H6" s="339"/>
      <c r="I6" s="326"/>
      <c r="J6" s="325" t="s">
        <v>1252</v>
      </c>
      <c r="K6" s="325"/>
      <c r="L6" s="325"/>
      <c r="M6" s="324"/>
      <c r="N6" s="324"/>
      <c r="O6" s="324"/>
      <c r="P6" s="324"/>
      <c r="Q6" s="327"/>
      <c r="R6" s="328">
        <f>IFERROR(__xludf.DUMMYFUNCTION("SUM(QUERY(Coletas_BD!D:M,""select J where D='""&amp;D6&amp;""'"",1))"),5407.0)</f>
        <v>5407</v>
      </c>
      <c r="S6" s="328">
        <f>IFERROR(__xludf.DUMMYFUNCTION("SUM(QUERY(Coletas_BD!D:M,""select K where D='""&amp;D6&amp;""'"",1))"),25.0)</f>
        <v>25</v>
      </c>
      <c r="T6" s="328">
        <f>IFERROR(__xludf.DUMMYFUNCTION("SUM(QUERY(Coletas_BD!D:M,""select L where D='""&amp;D6&amp;""'"",1))"),75.0)</f>
        <v>75</v>
      </c>
      <c r="U6" s="328">
        <f>IFERROR(__xludf.DUMMYFUNCTION("SUM(QUERY(Coletas_BD!D:M,""select M where D='""&amp;D6&amp;""'"",1))"),250.0)</f>
        <v>250</v>
      </c>
      <c r="V6" s="328">
        <f>IFERROR(__xludf.DUMMYFUNCTION("SUM(QUERY(Coletas_BD!D:S,""select P where D='""&amp;D6&amp;""'"",1))"),65.0)</f>
        <v>65</v>
      </c>
      <c r="W6" s="328">
        <f>IFERROR(__xludf.DUMMYFUNCTION("SUM(QUERY(Coletas_BD!D:S,""select Q where D='""&amp;D6&amp;""'"",1))"),21.0)</f>
        <v>21</v>
      </c>
      <c r="X6" s="328">
        <f>IFERROR(__xludf.DUMMYFUNCTION("SUM(QUERY(Coletas_BD!D:S,""select R where D='""&amp;D6&amp;""'"",1))"),2.0)</f>
        <v>2</v>
      </c>
      <c r="Y6" s="328">
        <f>IFERROR(__xludf.DUMMYFUNCTION("SUM(QUERY(Coletas_BD!D:S,""select S where D='""&amp;D6&amp;""'"",1))"),4.0)</f>
        <v>4</v>
      </c>
      <c r="Z6" s="341"/>
    </row>
    <row r="7" ht="18.75" customHeight="1">
      <c r="A7" s="320"/>
      <c r="B7" s="321"/>
      <c r="C7" s="322">
        <v>6.0</v>
      </c>
      <c r="D7" s="330"/>
      <c r="E7" s="331"/>
      <c r="F7" s="331"/>
      <c r="G7" s="333"/>
      <c r="H7" s="333"/>
      <c r="I7" s="332" t="s">
        <v>1253</v>
      </c>
      <c r="J7" s="333" t="s">
        <v>1248</v>
      </c>
      <c r="K7" s="333"/>
      <c r="L7" s="333"/>
      <c r="M7" s="331"/>
      <c r="N7" s="331"/>
      <c r="O7" s="331"/>
      <c r="P7" s="331"/>
      <c r="Q7" s="336"/>
      <c r="R7" s="328">
        <f>IFERROR(__xludf.DUMMYFUNCTION("SUM(QUERY(Coletas_BD!D:M,""select J where D='""&amp;D7&amp;""'"",1))"),5407.0)</f>
        <v>5407</v>
      </c>
      <c r="S7" s="328">
        <f>IFERROR(__xludf.DUMMYFUNCTION("SUM(QUERY(Coletas_BD!D:M,""select K where D='""&amp;D7&amp;""'"",1))"),25.0)</f>
        <v>25</v>
      </c>
      <c r="T7" s="328">
        <f>IFERROR(__xludf.DUMMYFUNCTION("SUM(QUERY(Coletas_BD!D:M,""select L where D='""&amp;D7&amp;""'"",1))"),75.0)</f>
        <v>75</v>
      </c>
      <c r="U7" s="328">
        <f>IFERROR(__xludf.DUMMYFUNCTION("SUM(QUERY(Coletas_BD!D:M,""select M where D='""&amp;D7&amp;""'"",1))"),250.0)</f>
        <v>250</v>
      </c>
      <c r="V7" s="328">
        <f>IFERROR(__xludf.DUMMYFUNCTION("SUM(QUERY(Coletas_BD!D:S,""select P where D='""&amp;D7&amp;""'"",1))"),65.0)</f>
        <v>65</v>
      </c>
      <c r="W7" s="328">
        <f>IFERROR(__xludf.DUMMYFUNCTION("SUM(QUERY(Coletas_BD!D:S,""select Q where D='""&amp;D7&amp;""'"",1))"),21.0)</f>
        <v>21</v>
      </c>
      <c r="X7" s="328">
        <f>IFERROR(__xludf.DUMMYFUNCTION("SUM(QUERY(Coletas_BD!D:S,""select R where D='""&amp;D7&amp;""'"",1))"),2.0)</f>
        <v>2</v>
      </c>
      <c r="Y7" s="328">
        <f>IFERROR(__xludf.DUMMYFUNCTION("SUM(QUERY(Coletas_BD!D:S,""select S where D='""&amp;D7&amp;""'"",1))"),4.0)</f>
        <v>4</v>
      </c>
      <c r="Z7" s="337"/>
    </row>
    <row r="8" ht="18.75" customHeight="1">
      <c r="A8" s="320"/>
      <c r="B8" s="321"/>
      <c r="C8" s="322">
        <v>7.0</v>
      </c>
      <c r="D8" s="323"/>
      <c r="E8" s="324"/>
      <c r="F8" s="342"/>
      <c r="G8" s="343"/>
      <c r="H8" s="343"/>
      <c r="I8" s="326"/>
      <c r="J8" s="325" t="s">
        <v>1248</v>
      </c>
      <c r="K8" s="325"/>
      <c r="L8" s="325"/>
      <c r="M8" s="324"/>
      <c r="N8" s="324"/>
      <c r="O8" s="324"/>
      <c r="P8" s="325"/>
      <c r="Q8" s="344"/>
      <c r="R8" s="328">
        <f>IFERROR(__xludf.DUMMYFUNCTION("SUM(QUERY(Coletas_BD!D:M,""select J where D='""&amp;D8&amp;""'"",1))"),5407.0)</f>
        <v>5407</v>
      </c>
      <c r="S8" s="328">
        <f>IFERROR(__xludf.DUMMYFUNCTION("SUM(QUERY(Coletas_BD!D:M,""select K where D='""&amp;D8&amp;""'"",1))"),25.0)</f>
        <v>25</v>
      </c>
      <c r="T8" s="328">
        <f>IFERROR(__xludf.DUMMYFUNCTION("SUM(QUERY(Coletas_BD!D:M,""select L where D='""&amp;D8&amp;""'"",1))"),75.0)</f>
        <v>75</v>
      </c>
      <c r="U8" s="328">
        <f>IFERROR(__xludf.DUMMYFUNCTION("SUM(QUERY(Coletas_BD!D:M,""select M where D='""&amp;D8&amp;""'"",1))"),250.0)</f>
        <v>250</v>
      </c>
      <c r="V8" s="328">
        <f>IFERROR(__xludf.DUMMYFUNCTION("SUM(QUERY(Coletas_BD!D:S,""select P where D='""&amp;D8&amp;""'"",1))"),65.0)</f>
        <v>65</v>
      </c>
      <c r="W8" s="328">
        <f>IFERROR(__xludf.DUMMYFUNCTION("SUM(QUERY(Coletas_BD!D:S,""select Q where D='""&amp;D8&amp;""'"",1))"),21.0)</f>
        <v>21</v>
      </c>
      <c r="X8" s="328">
        <f>IFERROR(__xludf.DUMMYFUNCTION("SUM(QUERY(Coletas_BD!D:S,""select R where D='""&amp;D8&amp;""'"",1))"),2.0)</f>
        <v>2</v>
      </c>
      <c r="Y8" s="328">
        <f>IFERROR(__xludf.DUMMYFUNCTION("SUM(QUERY(Coletas_BD!D:S,""select S where D='""&amp;D8&amp;""'"",1))"),4.0)</f>
        <v>4</v>
      </c>
      <c r="Z8" s="345"/>
    </row>
    <row r="9" ht="18.75" customHeight="1">
      <c r="A9" s="320"/>
      <c r="B9" s="321"/>
      <c r="C9" s="322">
        <v>8.0</v>
      </c>
      <c r="D9" s="330"/>
      <c r="E9" s="331"/>
      <c r="F9" s="346"/>
      <c r="G9" s="347"/>
      <c r="H9" s="347"/>
      <c r="I9" s="332"/>
      <c r="J9" s="333" t="s">
        <v>1254</v>
      </c>
      <c r="K9" s="333"/>
      <c r="L9" s="333"/>
      <c r="M9" s="331"/>
      <c r="N9" s="331"/>
      <c r="O9" s="331"/>
      <c r="P9" s="331"/>
      <c r="Q9" s="336"/>
      <c r="R9" s="328">
        <f>IFERROR(__xludf.DUMMYFUNCTION("SUM(QUERY(Coletas_BD!D:M,""select J where D='""&amp;D9&amp;""'"",1))"),5407.0)</f>
        <v>5407</v>
      </c>
      <c r="S9" s="328">
        <f>IFERROR(__xludf.DUMMYFUNCTION("SUM(QUERY(Coletas_BD!D:M,""select K where D='""&amp;D9&amp;""'"",1))"),25.0)</f>
        <v>25</v>
      </c>
      <c r="T9" s="328">
        <f>IFERROR(__xludf.DUMMYFUNCTION("SUM(QUERY(Coletas_BD!D:M,""select L where D='""&amp;D9&amp;""'"",1))"),75.0)</f>
        <v>75</v>
      </c>
      <c r="U9" s="328">
        <f>IFERROR(__xludf.DUMMYFUNCTION("SUM(QUERY(Coletas_BD!D:M,""select M where D='""&amp;D9&amp;""'"",1))"),250.0)</f>
        <v>250</v>
      </c>
      <c r="V9" s="328">
        <f>IFERROR(__xludf.DUMMYFUNCTION("SUM(QUERY(Coletas_BD!D:S,""select P where D='""&amp;D9&amp;""'"",1))"),65.0)</f>
        <v>65</v>
      </c>
      <c r="W9" s="328">
        <f>IFERROR(__xludf.DUMMYFUNCTION("SUM(QUERY(Coletas_BD!D:S,""select Q where D='""&amp;D9&amp;""'"",1))"),21.0)</f>
        <v>21</v>
      </c>
      <c r="X9" s="328">
        <f>IFERROR(__xludf.DUMMYFUNCTION("SUM(QUERY(Coletas_BD!D:S,""select R where D='""&amp;D9&amp;""'"",1))"),2.0)</f>
        <v>2</v>
      </c>
      <c r="Y9" s="328">
        <f>IFERROR(__xludf.DUMMYFUNCTION("SUM(QUERY(Coletas_BD!D:S,""select S where D='""&amp;D9&amp;""'"",1))"),4.0)</f>
        <v>4</v>
      </c>
      <c r="Z9" s="337"/>
    </row>
    <row r="10" ht="18.75" customHeight="1">
      <c r="A10" s="320"/>
      <c r="B10" s="321"/>
      <c r="C10" s="322">
        <v>9.0</v>
      </c>
      <c r="D10" s="323"/>
      <c r="E10" s="324"/>
      <c r="F10" s="342"/>
      <c r="G10" s="343"/>
      <c r="H10" s="343"/>
      <c r="I10" s="326" t="s">
        <v>1255</v>
      </c>
      <c r="J10" s="325" t="s">
        <v>1248</v>
      </c>
      <c r="K10" s="325"/>
      <c r="L10" s="325"/>
      <c r="M10" s="324"/>
      <c r="N10" s="324"/>
      <c r="O10" s="324"/>
      <c r="P10" s="324"/>
      <c r="Q10" s="327"/>
      <c r="R10" s="328">
        <f>IFERROR(__xludf.DUMMYFUNCTION("SUM(QUERY(Coletas_BD!D:M,""select J where D='""&amp;D10&amp;""'"",1))"),5407.0)</f>
        <v>5407</v>
      </c>
      <c r="S10" s="328">
        <f>IFERROR(__xludf.DUMMYFUNCTION("SUM(QUERY(Coletas_BD!D:M,""select K where D='""&amp;D10&amp;""'"",1))"),25.0)</f>
        <v>25</v>
      </c>
      <c r="T10" s="328">
        <f>IFERROR(__xludf.DUMMYFUNCTION("SUM(QUERY(Coletas_BD!D:M,""select L where D='""&amp;D10&amp;""'"",1))"),75.0)</f>
        <v>75</v>
      </c>
      <c r="U10" s="328">
        <f>IFERROR(__xludf.DUMMYFUNCTION("SUM(QUERY(Coletas_BD!D:M,""select M where D='""&amp;D10&amp;""'"",1))"),250.0)</f>
        <v>250</v>
      </c>
      <c r="V10" s="328">
        <f>IFERROR(__xludf.DUMMYFUNCTION("SUM(QUERY(Coletas_BD!D:S,""select P where D='""&amp;D10&amp;""'"",1))"),65.0)</f>
        <v>65</v>
      </c>
      <c r="W10" s="328">
        <f>IFERROR(__xludf.DUMMYFUNCTION("SUM(QUERY(Coletas_BD!D:S,""select Q where D='""&amp;D10&amp;""'"",1))"),21.0)</f>
        <v>21</v>
      </c>
      <c r="X10" s="328">
        <f>IFERROR(__xludf.DUMMYFUNCTION("SUM(QUERY(Coletas_BD!D:S,""select R where D='""&amp;D10&amp;""'"",1))"),2.0)</f>
        <v>2</v>
      </c>
      <c r="Y10" s="328">
        <f>IFERROR(__xludf.DUMMYFUNCTION("SUM(QUERY(Coletas_BD!D:S,""select S where D='""&amp;D10&amp;""'"",1))"),4.0)</f>
        <v>4</v>
      </c>
      <c r="Z10" s="341"/>
    </row>
    <row r="11" ht="18.75" customHeight="1">
      <c r="A11" s="320"/>
      <c r="B11" s="321"/>
      <c r="C11" s="322">
        <v>10.0</v>
      </c>
      <c r="D11" s="330"/>
      <c r="E11" s="331"/>
      <c r="F11" s="346"/>
      <c r="G11" s="347"/>
      <c r="H11" s="347"/>
      <c r="I11" s="332"/>
      <c r="J11" s="333" t="s">
        <v>1251</v>
      </c>
      <c r="K11" s="333"/>
      <c r="L11" s="333"/>
      <c r="M11" s="331"/>
      <c r="N11" s="331"/>
      <c r="O11" s="331"/>
      <c r="P11" s="331"/>
      <c r="Q11" s="336"/>
      <c r="R11" s="328">
        <f>IFERROR(__xludf.DUMMYFUNCTION("SUM(QUERY(Coletas_BD!D:M,""select J where D='""&amp;D11&amp;""'"",1))"),5407.0)</f>
        <v>5407</v>
      </c>
      <c r="S11" s="328">
        <f>IFERROR(__xludf.DUMMYFUNCTION("SUM(QUERY(Coletas_BD!D:M,""select K where D='""&amp;D11&amp;""'"",1))"),25.0)</f>
        <v>25</v>
      </c>
      <c r="T11" s="328">
        <f>IFERROR(__xludf.DUMMYFUNCTION("SUM(QUERY(Coletas_BD!D:M,""select L where D='""&amp;D11&amp;""'"",1))"),75.0)</f>
        <v>75</v>
      </c>
      <c r="U11" s="328">
        <f>IFERROR(__xludf.DUMMYFUNCTION("SUM(QUERY(Coletas_BD!D:M,""select M where D='""&amp;D11&amp;""'"",1))"),250.0)</f>
        <v>250</v>
      </c>
      <c r="V11" s="328">
        <f>IFERROR(__xludf.DUMMYFUNCTION("SUM(QUERY(Coletas_BD!D:S,""select P where D='""&amp;D11&amp;""'"",1))"),65.0)</f>
        <v>65</v>
      </c>
      <c r="W11" s="328">
        <f>IFERROR(__xludf.DUMMYFUNCTION("SUM(QUERY(Coletas_BD!D:S,""select Q where D='""&amp;D11&amp;""'"",1))"),21.0)</f>
        <v>21</v>
      </c>
      <c r="X11" s="328">
        <f>IFERROR(__xludf.DUMMYFUNCTION("SUM(QUERY(Coletas_BD!D:S,""select R where D='""&amp;D11&amp;""'"",1))"),2.0)</f>
        <v>2</v>
      </c>
      <c r="Y11" s="328">
        <f>IFERROR(__xludf.DUMMYFUNCTION("SUM(QUERY(Coletas_BD!D:S,""select S where D='""&amp;D11&amp;""'"",1))"),4.0)</f>
        <v>4</v>
      </c>
      <c r="Z11" s="337"/>
    </row>
    <row r="12" ht="18.75" customHeight="1">
      <c r="A12" s="320"/>
      <c r="B12" s="321"/>
      <c r="C12" s="322">
        <v>11.0</v>
      </c>
      <c r="D12" s="323"/>
      <c r="E12" s="324"/>
      <c r="F12" s="324"/>
      <c r="G12" s="325"/>
      <c r="H12" s="325"/>
      <c r="I12" s="326" t="s">
        <v>1256</v>
      </c>
      <c r="J12" s="325" t="s">
        <v>1248</v>
      </c>
      <c r="K12" s="325"/>
      <c r="L12" s="325"/>
      <c r="M12" s="324"/>
      <c r="N12" s="324"/>
      <c r="O12" s="324"/>
      <c r="P12" s="324"/>
      <c r="Q12" s="327"/>
      <c r="R12" s="328">
        <f>IFERROR(__xludf.DUMMYFUNCTION("SUM(QUERY(Coletas_BD!D:M,""select J where D='""&amp;D12&amp;""'"",1))"),5407.0)</f>
        <v>5407</v>
      </c>
      <c r="S12" s="328">
        <f>IFERROR(__xludf.DUMMYFUNCTION("SUM(QUERY(Coletas_BD!D:M,""select K where D='""&amp;D12&amp;""'"",1))"),25.0)</f>
        <v>25</v>
      </c>
      <c r="T12" s="328">
        <f>IFERROR(__xludf.DUMMYFUNCTION("SUM(QUERY(Coletas_BD!D:M,""select L where D='""&amp;D12&amp;""'"",1))"),75.0)</f>
        <v>75</v>
      </c>
      <c r="U12" s="328">
        <f>IFERROR(__xludf.DUMMYFUNCTION("SUM(QUERY(Coletas_BD!D:M,""select M where D='""&amp;D12&amp;""'"",1))"),250.0)</f>
        <v>250</v>
      </c>
      <c r="V12" s="328">
        <f>IFERROR(__xludf.DUMMYFUNCTION("SUM(QUERY(Coletas_BD!D:S,""select P where D='""&amp;D12&amp;""'"",1))"),65.0)</f>
        <v>65</v>
      </c>
      <c r="W12" s="328">
        <f>IFERROR(__xludf.DUMMYFUNCTION("SUM(QUERY(Coletas_BD!D:S,""select Q where D='""&amp;D12&amp;""'"",1))"),21.0)</f>
        <v>21</v>
      </c>
      <c r="X12" s="328">
        <f>IFERROR(__xludf.DUMMYFUNCTION("SUM(QUERY(Coletas_BD!D:S,""select R where D='""&amp;D12&amp;""'"",1))"),2.0)</f>
        <v>2</v>
      </c>
      <c r="Y12" s="328">
        <f>IFERROR(__xludf.DUMMYFUNCTION("SUM(QUERY(Coletas_BD!D:S,""select S where D='""&amp;D12&amp;""'"",1))"),4.0)</f>
        <v>4</v>
      </c>
      <c r="Z12" s="341"/>
    </row>
    <row r="13" ht="18.75" customHeight="1">
      <c r="A13" s="320"/>
      <c r="B13" s="321"/>
      <c r="C13" s="322">
        <v>12.0</v>
      </c>
      <c r="D13" s="330"/>
      <c r="E13" s="331"/>
      <c r="F13" s="346"/>
      <c r="G13" s="347"/>
      <c r="H13" s="347"/>
      <c r="I13" s="332"/>
      <c r="J13" s="333" t="s">
        <v>1248</v>
      </c>
      <c r="K13" s="333"/>
      <c r="L13" s="333"/>
      <c r="M13" s="331"/>
      <c r="N13" s="331"/>
      <c r="O13" s="331"/>
      <c r="P13" s="331"/>
      <c r="Q13" s="336"/>
      <c r="R13" s="328">
        <f>IFERROR(__xludf.DUMMYFUNCTION("SUM(QUERY(Coletas_BD!D:M,""select J where D='""&amp;D13&amp;""'"",1))"),5407.0)</f>
        <v>5407</v>
      </c>
      <c r="S13" s="328">
        <f>IFERROR(__xludf.DUMMYFUNCTION("SUM(QUERY(Coletas_BD!D:M,""select K where D='""&amp;D13&amp;""'"",1))"),25.0)</f>
        <v>25</v>
      </c>
      <c r="T13" s="328">
        <f>IFERROR(__xludf.DUMMYFUNCTION("SUM(QUERY(Coletas_BD!D:M,""select L where D='""&amp;D13&amp;""'"",1))"),75.0)</f>
        <v>75</v>
      </c>
      <c r="U13" s="328">
        <f>IFERROR(__xludf.DUMMYFUNCTION("SUM(QUERY(Coletas_BD!D:M,""select M where D='""&amp;D13&amp;""'"",1))"),250.0)</f>
        <v>250</v>
      </c>
      <c r="V13" s="328">
        <f>IFERROR(__xludf.DUMMYFUNCTION("SUM(QUERY(Coletas_BD!D:S,""select P where D='""&amp;D13&amp;""'"",1))"),65.0)</f>
        <v>65</v>
      </c>
      <c r="W13" s="328">
        <f>IFERROR(__xludf.DUMMYFUNCTION("SUM(QUERY(Coletas_BD!D:S,""select Q where D='""&amp;D13&amp;""'"",1))"),21.0)</f>
        <v>21</v>
      </c>
      <c r="X13" s="328">
        <f>IFERROR(__xludf.DUMMYFUNCTION("SUM(QUERY(Coletas_BD!D:S,""select R where D='""&amp;D13&amp;""'"",1))"),2.0)</f>
        <v>2</v>
      </c>
      <c r="Y13" s="328">
        <f>IFERROR(__xludf.DUMMYFUNCTION("SUM(QUERY(Coletas_BD!D:S,""select S where D='""&amp;D13&amp;""'"",1))"),4.0)</f>
        <v>4</v>
      </c>
      <c r="Z13" s="337"/>
    </row>
    <row r="14" ht="18.75" customHeight="1">
      <c r="A14" s="348"/>
      <c r="B14" s="349"/>
      <c r="C14" s="322">
        <v>13.0</v>
      </c>
      <c r="D14" s="323"/>
      <c r="E14" s="350"/>
      <c r="F14" s="324"/>
      <c r="G14" s="325"/>
      <c r="H14" s="325"/>
      <c r="I14" s="326"/>
      <c r="J14" s="325" t="s">
        <v>1248</v>
      </c>
      <c r="K14" s="325"/>
      <c r="L14" s="325"/>
      <c r="M14" s="324"/>
      <c r="N14" s="324"/>
      <c r="O14" s="324"/>
      <c r="P14" s="324"/>
      <c r="Q14" s="327"/>
      <c r="R14" s="328">
        <f>IFERROR(__xludf.DUMMYFUNCTION("SUM(QUERY(Coletas_BD!D:M,""select J where D='""&amp;D14&amp;""'"",1))"),5407.0)</f>
        <v>5407</v>
      </c>
      <c r="S14" s="328">
        <f>IFERROR(__xludf.DUMMYFUNCTION("SUM(QUERY(Coletas_BD!D:M,""select K where D='""&amp;D14&amp;""'"",1))"),25.0)</f>
        <v>25</v>
      </c>
      <c r="T14" s="328">
        <f>IFERROR(__xludf.DUMMYFUNCTION("SUM(QUERY(Coletas_BD!D:M,""select L where D='""&amp;D14&amp;""'"",1))"),75.0)</f>
        <v>75</v>
      </c>
      <c r="U14" s="328">
        <f>IFERROR(__xludf.DUMMYFUNCTION("SUM(QUERY(Coletas_BD!D:M,""select M where D='""&amp;D14&amp;""'"",1))"),250.0)</f>
        <v>250</v>
      </c>
      <c r="V14" s="328">
        <f>IFERROR(__xludf.DUMMYFUNCTION("SUM(QUERY(Coletas_BD!D:S,""select P where D='""&amp;D14&amp;""'"",1))"),65.0)</f>
        <v>65</v>
      </c>
      <c r="W14" s="328">
        <f>IFERROR(__xludf.DUMMYFUNCTION("SUM(QUERY(Coletas_BD!D:S,""select Q where D='""&amp;D14&amp;""'"",1))"),21.0)</f>
        <v>21</v>
      </c>
      <c r="X14" s="328">
        <f>IFERROR(__xludf.DUMMYFUNCTION("SUM(QUERY(Coletas_BD!D:S,""select R where D='""&amp;D14&amp;""'"",1))"),2.0)</f>
        <v>2</v>
      </c>
      <c r="Y14" s="328">
        <f>IFERROR(__xludf.DUMMYFUNCTION("SUM(QUERY(Coletas_BD!D:S,""select S where D='""&amp;D14&amp;""'"",1))"),4.0)</f>
        <v>4</v>
      </c>
      <c r="Z14" s="341"/>
    </row>
    <row r="15" ht="18.75" customHeight="1">
      <c r="A15" s="348"/>
      <c r="B15" s="349"/>
      <c r="C15" s="322">
        <v>14.0</v>
      </c>
      <c r="D15" s="330"/>
      <c r="E15" s="331"/>
      <c r="F15" s="331"/>
      <c r="G15" s="333"/>
      <c r="H15" s="333"/>
      <c r="I15" s="332"/>
      <c r="J15" s="333" t="s">
        <v>1248</v>
      </c>
      <c r="K15" s="333"/>
      <c r="L15" s="333"/>
      <c r="M15" s="331"/>
      <c r="N15" s="331"/>
      <c r="O15" s="331"/>
      <c r="P15" s="331"/>
      <c r="Q15" s="334"/>
      <c r="R15" s="328">
        <f>IFERROR(__xludf.DUMMYFUNCTION("SUM(QUERY(Coletas_BD!D:M,""select J where D='""&amp;D15&amp;""'"",1))"),5407.0)</f>
        <v>5407</v>
      </c>
      <c r="S15" s="328">
        <f>IFERROR(__xludf.DUMMYFUNCTION("SUM(QUERY(Coletas_BD!D:M,""select K where D='""&amp;D15&amp;""'"",1))"),25.0)</f>
        <v>25</v>
      </c>
      <c r="T15" s="328">
        <f>IFERROR(__xludf.DUMMYFUNCTION("SUM(QUERY(Coletas_BD!D:M,""select L where D='""&amp;D15&amp;""'"",1))"),75.0)</f>
        <v>75</v>
      </c>
      <c r="U15" s="328">
        <f>IFERROR(__xludf.DUMMYFUNCTION("SUM(QUERY(Coletas_BD!D:M,""select M where D='""&amp;D15&amp;""'"",1))"),250.0)</f>
        <v>250</v>
      </c>
      <c r="V15" s="328">
        <f>IFERROR(__xludf.DUMMYFUNCTION("SUM(QUERY(Coletas_BD!D:S,""select P where D='""&amp;D15&amp;""'"",1))"),65.0)</f>
        <v>65</v>
      </c>
      <c r="W15" s="328">
        <f>IFERROR(__xludf.DUMMYFUNCTION("SUM(QUERY(Coletas_BD!D:S,""select Q where D='""&amp;D15&amp;""'"",1))"),21.0)</f>
        <v>21</v>
      </c>
      <c r="X15" s="328">
        <f>IFERROR(__xludf.DUMMYFUNCTION("SUM(QUERY(Coletas_BD!D:S,""select R where D='""&amp;D15&amp;""'"",1))"),2.0)</f>
        <v>2</v>
      </c>
      <c r="Y15" s="328">
        <f>IFERROR(__xludf.DUMMYFUNCTION("SUM(QUERY(Coletas_BD!D:S,""select S where D='""&amp;D15&amp;""'"",1))"),4.0)</f>
        <v>4</v>
      </c>
      <c r="Z15" s="337"/>
    </row>
    <row r="16" ht="18.75" customHeight="1">
      <c r="A16" s="348"/>
      <c r="B16" s="349"/>
      <c r="C16" s="322">
        <v>15.0</v>
      </c>
      <c r="D16" s="323"/>
      <c r="E16" s="351"/>
      <c r="F16" s="324"/>
      <c r="G16" s="325"/>
      <c r="H16" s="325"/>
      <c r="I16" s="326"/>
      <c r="J16" s="325"/>
      <c r="K16" s="325"/>
      <c r="L16" s="325"/>
      <c r="M16" s="325"/>
      <c r="N16" s="324"/>
      <c r="O16" s="325"/>
      <c r="P16" s="324"/>
      <c r="Q16" s="344"/>
      <c r="R16" s="328">
        <f>IFERROR(__xludf.DUMMYFUNCTION("SUM(QUERY(Coletas_BD!D:M,""select J where D='""&amp;D16&amp;""'"",1))"),5407.0)</f>
        <v>5407</v>
      </c>
      <c r="S16" s="328">
        <f>IFERROR(__xludf.DUMMYFUNCTION("SUM(QUERY(Coletas_BD!D:M,""select K where D='""&amp;D16&amp;""'"",1))"),25.0)</f>
        <v>25</v>
      </c>
      <c r="T16" s="328">
        <f>IFERROR(__xludf.DUMMYFUNCTION("SUM(QUERY(Coletas_BD!D:M,""select L where D='""&amp;D16&amp;""'"",1))"),75.0)</f>
        <v>75</v>
      </c>
      <c r="U16" s="328">
        <f>IFERROR(__xludf.DUMMYFUNCTION("SUM(QUERY(Coletas_BD!D:M,""select M where D='""&amp;D16&amp;""'"",1))"),250.0)</f>
        <v>250</v>
      </c>
      <c r="V16" s="328">
        <f>IFERROR(__xludf.DUMMYFUNCTION("SUM(QUERY(Coletas_BD!D:S,""select P where D='""&amp;D16&amp;""'"",1))"),65.0)</f>
        <v>65</v>
      </c>
      <c r="W16" s="328">
        <f>IFERROR(__xludf.DUMMYFUNCTION("SUM(QUERY(Coletas_BD!D:S,""select Q where D='""&amp;D16&amp;""'"",1))"),21.0)</f>
        <v>21</v>
      </c>
      <c r="X16" s="328">
        <f>IFERROR(__xludf.DUMMYFUNCTION("SUM(QUERY(Coletas_BD!D:S,""select R where D='""&amp;D16&amp;""'"",1))"),2.0)</f>
        <v>2</v>
      </c>
      <c r="Y16" s="328">
        <f>IFERROR(__xludf.DUMMYFUNCTION("SUM(QUERY(Coletas_BD!D:S,""select S where D='""&amp;D16&amp;""'"",1))"),4.0)</f>
        <v>4</v>
      </c>
      <c r="Z16" s="341"/>
    </row>
    <row r="17" ht="18.75" customHeight="1">
      <c r="A17" s="348"/>
      <c r="B17" s="349"/>
      <c r="C17" s="322">
        <v>16.0</v>
      </c>
      <c r="D17" s="330"/>
      <c r="E17" s="340"/>
      <c r="F17" s="331"/>
      <c r="G17" s="333"/>
      <c r="H17" s="333"/>
      <c r="I17" s="332"/>
      <c r="J17" s="333"/>
      <c r="K17" s="333"/>
      <c r="L17" s="333"/>
      <c r="M17" s="331"/>
      <c r="N17" s="331"/>
      <c r="O17" s="331"/>
      <c r="P17" s="331"/>
      <c r="Q17" s="334"/>
      <c r="R17" s="328">
        <f>IFERROR(__xludf.DUMMYFUNCTION("SUM(QUERY(Coletas_BD!D:M,""select J where D='""&amp;D17&amp;""'"",1))"),5407.0)</f>
        <v>5407</v>
      </c>
      <c r="S17" s="328">
        <f>IFERROR(__xludf.DUMMYFUNCTION("SUM(QUERY(Coletas_BD!D:M,""select K where D='""&amp;D17&amp;""'"",1))"),25.0)</f>
        <v>25</v>
      </c>
      <c r="T17" s="328">
        <f>IFERROR(__xludf.DUMMYFUNCTION("SUM(QUERY(Coletas_BD!D:M,""select L where D='""&amp;D17&amp;""'"",1))"),75.0)</f>
        <v>75</v>
      </c>
      <c r="U17" s="328">
        <f>IFERROR(__xludf.DUMMYFUNCTION("SUM(QUERY(Coletas_BD!D:M,""select M where D='""&amp;D17&amp;""'"",1))"),250.0)</f>
        <v>250</v>
      </c>
      <c r="V17" s="328">
        <f>IFERROR(__xludf.DUMMYFUNCTION("SUM(QUERY(Coletas_BD!D:S,""select P where D='""&amp;D17&amp;""'"",1))"),65.0)</f>
        <v>65</v>
      </c>
      <c r="W17" s="328">
        <f>IFERROR(__xludf.DUMMYFUNCTION("SUM(QUERY(Coletas_BD!D:S,""select Q where D='""&amp;D17&amp;""'"",1))"),21.0)</f>
        <v>21</v>
      </c>
      <c r="X17" s="328">
        <f>IFERROR(__xludf.DUMMYFUNCTION("SUM(QUERY(Coletas_BD!D:S,""select R where D='""&amp;D17&amp;""'"",1))"),2.0)</f>
        <v>2</v>
      </c>
      <c r="Y17" s="328">
        <f>IFERROR(__xludf.DUMMYFUNCTION("SUM(QUERY(Coletas_BD!D:S,""select S where D='""&amp;D17&amp;""'"",1))"),4.0)</f>
        <v>4</v>
      </c>
      <c r="Z17" s="337"/>
    </row>
    <row r="18" ht="18.75" customHeight="1">
      <c r="A18" s="348"/>
      <c r="B18" s="349"/>
      <c r="C18" s="322">
        <v>17.0</v>
      </c>
      <c r="D18" s="323"/>
      <c r="E18" s="325"/>
      <c r="F18" s="324"/>
      <c r="G18" s="325"/>
      <c r="H18" s="325"/>
      <c r="I18" s="326"/>
      <c r="J18" s="325" t="s">
        <v>1257</v>
      </c>
      <c r="K18" s="325"/>
      <c r="L18" s="325"/>
      <c r="M18" s="325"/>
      <c r="N18" s="324"/>
      <c r="O18" s="324"/>
      <c r="P18" s="324"/>
      <c r="Q18" s="344"/>
      <c r="R18" s="328">
        <f>IFERROR(__xludf.DUMMYFUNCTION("SUM(QUERY(Coletas_BD!D:M,""select J where D='""&amp;D18&amp;""'"",1))"),5407.0)</f>
        <v>5407</v>
      </c>
      <c r="S18" s="328">
        <f>IFERROR(__xludf.DUMMYFUNCTION("SUM(QUERY(Coletas_BD!D:M,""select K where D='""&amp;D18&amp;""'"",1))"),25.0)</f>
        <v>25</v>
      </c>
      <c r="T18" s="328">
        <f>IFERROR(__xludf.DUMMYFUNCTION("SUM(QUERY(Coletas_BD!D:M,""select L where D='""&amp;D18&amp;""'"",1))"),75.0)</f>
        <v>75</v>
      </c>
      <c r="U18" s="328">
        <f>IFERROR(__xludf.DUMMYFUNCTION("SUM(QUERY(Coletas_BD!D:M,""select M where D='""&amp;D18&amp;""'"",1))"),250.0)</f>
        <v>250</v>
      </c>
      <c r="V18" s="328">
        <f>IFERROR(__xludf.DUMMYFUNCTION("SUM(QUERY(Coletas_BD!D:S,""select P where D='""&amp;D18&amp;""'"",1))"),65.0)</f>
        <v>65</v>
      </c>
      <c r="W18" s="328">
        <f>IFERROR(__xludf.DUMMYFUNCTION("SUM(QUERY(Coletas_BD!D:S,""select Q where D='""&amp;D18&amp;""'"",1))"),21.0)</f>
        <v>21</v>
      </c>
      <c r="X18" s="328">
        <f>IFERROR(__xludf.DUMMYFUNCTION("SUM(QUERY(Coletas_BD!D:S,""select R where D='""&amp;D18&amp;""'"",1))"),2.0)</f>
        <v>2</v>
      </c>
      <c r="Y18" s="328">
        <f>IFERROR(__xludf.DUMMYFUNCTION("SUM(QUERY(Coletas_BD!D:S,""select S where D='""&amp;D18&amp;""'"",1))"),4.0)</f>
        <v>4</v>
      </c>
      <c r="Z18" s="341"/>
    </row>
    <row r="19" ht="18.75" customHeight="1">
      <c r="A19" s="348"/>
      <c r="B19" s="349"/>
      <c r="C19" s="322">
        <v>18.0</v>
      </c>
      <c r="D19" s="350"/>
      <c r="E19" s="352"/>
      <c r="F19" s="353"/>
      <c r="G19" s="353"/>
      <c r="H19" s="353"/>
      <c r="I19" s="354"/>
      <c r="J19" s="354"/>
      <c r="K19" s="354"/>
      <c r="L19" s="354"/>
      <c r="M19" s="355"/>
      <c r="N19" s="354"/>
      <c r="O19" s="355"/>
      <c r="P19" s="355"/>
      <c r="Q19" s="344"/>
      <c r="R19" s="328">
        <f>IFERROR(__xludf.DUMMYFUNCTION("SUM(QUERY(Coletas_BD!D:M,""select J where D='""&amp;D19&amp;""'"",1))"),5407.0)</f>
        <v>5407</v>
      </c>
      <c r="S19" s="328">
        <f>IFERROR(__xludf.DUMMYFUNCTION("SUM(QUERY(Coletas_BD!D:M,""select K where D='""&amp;D19&amp;""'"",1))"),25.0)</f>
        <v>25</v>
      </c>
      <c r="T19" s="328">
        <f>IFERROR(__xludf.DUMMYFUNCTION("SUM(QUERY(Coletas_BD!D:M,""select L where D='""&amp;D19&amp;""'"",1))"),75.0)</f>
        <v>75</v>
      </c>
      <c r="U19" s="328">
        <f>IFERROR(__xludf.DUMMYFUNCTION("SUM(QUERY(Coletas_BD!D:M,""select M where D='""&amp;D19&amp;""'"",1))"),250.0)</f>
        <v>250</v>
      </c>
      <c r="V19" s="328">
        <f>IFERROR(__xludf.DUMMYFUNCTION("SUM(QUERY(Coletas_BD!D:S,""select P where D='""&amp;D19&amp;""'"",1))"),65.0)</f>
        <v>65</v>
      </c>
      <c r="W19" s="328">
        <f>IFERROR(__xludf.DUMMYFUNCTION("SUM(QUERY(Coletas_BD!D:S,""select Q where D='""&amp;D19&amp;""'"",1))"),21.0)</f>
        <v>21</v>
      </c>
      <c r="X19" s="328">
        <f>IFERROR(__xludf.DUMMYFUNCTION("SUM(QUERY(Coletas_BD!D:S,""select R where D='""&amp;D19&amp;""'"",1))"),2.0)</f>
        <v>2</v>
      </c>
      <c r="Y19" s="328">
        <f>IFERROR(__xludf.DUMMYFUNCTION("SUM(QUERY(Coletas_BD!D:S,""select S where D='""&amp;D19&amp;""'"",1))"),4.0)</f>
        <v>4</v>
      </c>
      <c r="Z19" s="341"/>
    </row>
    <row r="20" ht="18.75" customHeight="1">
      <c r="A20" s="348"/>
      <c r="B20" s="349"/>
      <c r="C20" s="322">
        <v>19.0</v>
      </c>
      <c r="D20" s="356"/>
      <c r="E20" s="357"/>
      <c r="F20" s="356"/>
      <c r="G20" s="356"/>
      <c r="H20" s="356"/>
      <c r="I20" s="358"/>
      <c r="J20" s="358"/>
      <c r="K20" s="356"/>
      <c r="L20" s="356"/>
      <c r="M20" s="358"/>
      <c r="N20" s="356"/>
      <c r="O20" s="358"/>
      <c r="P20" s="359"/>
      <c r="Q20" s="334"/>
      <c r="R20" s="328">
        <f>IFERROR(__xludf.DUMMYFUNCTION("SUM(QUERY(Coletas_BD!D:M,""select J where D='""&amp;D20&amp;""'"",1))"),5407.0)</f>
        <v>5407</v>
      </c>
      <c r="S20" s="328">
        <f>IFERROR(__xludf.DUMMYFUNCTION("SUM(QUERY(Coletas_BD!D:M,""select K where D='""&amp;D20&amp;""'"",1))"),25.0)</f>
        <v>25</v>
      </c>
      <c r="T20" s="328">
        <f>IFERROR(__xludf.DUMMYFUNCTION("SUM(QUERY(Coletas_BD!D:M,""select L where D='""&amp;D20&amp;""'"",1))"),75.0)</f>
        <v>75</v>
      </c>
      <c r="U20" s="328">
        <f>IFERROR(__xludf.DUMMYFUNCTION("SUM(QUERY(Coletas_BD!D:M,""select M where D='""&amp;D20&amp;""'"",1))"),250.0)</f>
        <v>250</v>
      </c>
      <c r="V20" s="328">
        <f>IFERROR(__xludf.DUMMYFUNCTION("SUM(QUERY(Coletas_BD!D:S,""select P where D='""&amp;D20&amp;""'"",1))"),65.0)</f>
        <v>65</v>
      </c>
      <c r="W20" s="328">
        <f>IFERROR(__xludf.DUMMYFUNCTION("SUM(QUERY(Coletas_BD!D:S,""select Q where D='""&amp;D20&amp;""'"",1))"),21.0)</f>
        <v>21</v>
      </c>
      <c r="X20" s="328">
        <f>IFERROR(__xludf.DUMMYFUNCTION("SUM(QUERY(Coletas_BD!D:S,""select R where D='""&amp;D20&amp;""'"",1))"),2.0)</f>
        <v>2</v>
      </c>
      <c r="Y20" s="328">
        <f>IFERROR(__xludf.DUMMYFUNCTION("SUM(QUERY(Coletas_BD!D:S,""select S where D='""&amp;D20&amp;""'"",1))"),4.0)</f>
        <v>4</v>
      </c>
      <c r="Z20" s="337"/>
    </row>
    <row r="21" ht="18.75" customHeight="1">
      <c r="A21" s="348"/>
      <c r="B21" s="349"/>
      <c r="C21" s="322">
        <v>20.0</v>
      </c>
      <c r="D21" s="350"/>
      <c r="E21" s="352"/>
      <c r="F21" s="350"/>
      <c r="G21" s="350"/>
      <c r="H21" s="350"/>
      <c r="I21" s="354"/>
      <c r="J21" s="354"/>
      <c r="K21" s="354"/>
      <c r="L21" s="354"/>
      <c r="M21" s="354"/>
      <c r="N21" s="354"/>
      <c r="O21" s="354"/>
      <c r="P21" s="354"/>
      <c r="Q21" s="344"/>
      <c r="R21" s="328">
        <f>IFERROR(__xludf.DUMMYFUNCTION("SUM(QUERY(Coletas_BD!D:M,""select J where D='""&amp;D21&amp;""'"",1))"),5407.0)</f>
        <v>5407</v>
      </c>
      <c r="S21" s="328">
        <f>IFERROR(__xludf.DUMMYFUNCTION("SUM(QUERY(Coletas_BD!D:M,""select K where D='""&amp;D21&amp;""'"",1))"),25.0)</f>
        <v>25</v>
      </c>
      <c r="T21" s="328">
        <f>IFERROR(__xludf.DUMMYFUNCTION("SUM(QUERY(Coletas_BD!D:M,""select L where D='""&amp;D21&amp;""'"",1))"),75.0)</f>
        <v>75</v>
      </c>
      <c r="U21" s="328">
        <f>IFERROR(__xludf.DUMMYFUNCTION("SUM(QUERY(Coletas_BD!D:M,""select M where D='""&amp;D21&amp;""'"",1))"),250.0)</f>
        <v>250</v>
      </c>
      <c r="V21" s="328">
        <f>IFERROR(__xludf.DUMMYFUNCTION("SUM(QUERY(Coletas_BD!D:S,""select P where D='""&amp;D21&amp;""'"",1))"),65.0)</f>
        <v>65</v>
      </c>
      <c r="W21" s="328">
        <f>IFERROR(__xludf.DUMMYFUNCTION("SUM(QUERY(Coletas_BD!D:S,""select Q where D='""&amp;D21&amp;""'"",1))"),21.0)</f>
        <v>21</v>
      </c>
      <c r="X21" s="328">
        <f>IFERROR(__xludf.DUMMYFUNCTION("SUM(QUERY(Coletas_BD!D:S,""select R where D='""&amp;D21&amp;""'"",1))"),2.0)</f>
        <v>2</v>
      </c>
      <c r="Y21" s="328">
        <f>IFERROR(__xludf.DUMMYFUNCTION("SUM(QUERY(Coletas_BD!D:S,""select S where D='""&amp;D21&amp;""'"",1))"),4.0)</f>
        <v>4</v>
      </c>
      <c r="Z21" s="360"/>
    </row>
    <row r="22" ht="18.75" customHeight="1">
      <c r="A22" s="320"/>
      <c r="B22" s="321"/>
      <c r="C22" s="322">
        <v>21.0</v>
      </c>
      <c r="D22" s="356"/>
      <c r="E22" s="361"/>
      <c r="F22" s="362"/>
      <c r="G22" s="363"/>
      <c r="H22" s="363"/>
      <c r="I22" s="358"/>
      <c r="J22" s="358" t="s">
        <v>1248</v>
      </c>
      <c r="K22" s="358"/>
      <c r="L22" s="358"/>
      <c r="M22" s="359"/>
      <c r="N22" s="359"/>
      <c r="O22" s="359"/>
      <c r="P22" s="359"/>
      <c r="Q22" s="336"/>
      <c r="R22" s="328">
        <f>IFERROR(__xludf.DUMMYFUNCTION("SUM(QUERY(Coletas_BD!D:M,""select J where D='""&amp;D22&amp;""'"",1))"),5407.0)</f>
        <v>5407</v>
      </c>
      <c r="S22" s="328">
        <f>IFERROR(__xludf.DUMMYFUNCTION("SUM(QUERY(Coletas_BD!D:M,""select K where D='""&amp;D22&amp;""'"",1))"),25.0)</f>
        <v>25</v>
      </c>
      <c r="T22" s="328">
        <f>IFERROR(__xludf.DUMMYFUNCTION("SUM(QUERY(Coletas_BD!D:M,""select L where D='""&amp;D22&amp;""'"",1))"),75.0)</f>
        <v>75</v>
      </c>
      <c r="U22" s="328">
        <f>IFERROR(__xludf.DUMMYFUNCTION("SUM(QUERY(Coletas_BD!D:M,""select M where D='""&amp;D22&amp;""'"",1))"),250.0)</f>
        <v>250</v>
      </c>
      <c r="V22" s="328">
        <f>IFERROR(__xludf.DUMMYFUNCTION("SUM(QUERY(Coletas_BD!D:S,""select P where D='""&amp;D22&amp;""'"",1))"),65.0)</f>
        <v>65</v>
      </c>
      <c r="W22" s="328">
        <f>IFERROR(__xludf.DUMMYFUNCTION("SUM(QUERY(Coletas_BD!D:S,""select Q where D='""&amp;D22&amp;""'"",1))"),21.0)</f>
        <v>21</v>
      </c>
      <c r="X22" s="328">
        <f>IFERROR(__xludf.DUMMYFUNCTION("SUM(QUERY(Coletas_BD!D:S,""select R where D='""&amp;D22&amp;""'"",1))"),2.0)</f>
        <v>2</v>
      </c>
      <c r="Y22" s="328">
        <f>IFERROR(__xludf.DUMMYFUNCTION("SUM(QUERY(Coletas_BD!D:S,""select S where D='""&amp;D22&amp;""'"",1))"),4.0)</f>
        <v>4</v>
      </c>
      <c r="Z22" s="364"/>
    </row>
    <row r="23" ht="18.75" customHeight="1">
      <c r="A23" s="320"/>
      <c r="B23" s="321"/>
      <c r="C23" s="322">
        <v>22.0</v>
      </c>
      <c r="D23" s="350"/>
      <c r="E23" s="365"/>
      <c r="F23" s="366"/>
      <c r="G23" s="367"/>
      <c r="H23" s="367"/>
      <c r="I23" s="354" t="s">
        <v>1258</v>
      </c>
      <c r="J23" s="354" t="s">
        <v>1252</v>
      </c>
      <c r="K23" s="354"/>
      <c r="L23" s="354"/>
      <c r="M23" s="355"/>
      <c r="N23" s="355"/>
      <c r="O23" s="355"/>
      <c r="P23" s="355"/>
      <c r="Q23" s="327"/>
      <c r="R23" s="328">
        <f>IFERROR(__xludf.DUMMYFUNCTION("SUM(QUERY(Coletas_BD!D:M,""select J where D='""&amp;D23&amp;""'"",1))"),5407.0)</f>
        <v>5407</v>
      </c>
      <c r="S23" s="328">
        <f>IFERROR(__xludf.DUMMYFUNCTION("SUM(QUERY(Coletas_BD!D:M,""select K where D='""&amp;D23&amp;""'"",1))"),25.0)</f>
        <v>25</v>
      </c>
      <c r="T23" s="328">
        <f>IFERROR(__xludf.DUMMYFUNCTION("SUM(QUERY(Coletas_BD!D:M,""select L where D='""&amp;D23&amp;""'"",1))"),75.0)</f>
        <v>75</v>
      </c>
      <c r="U23" s="328">
        <f>IFERROR(__xludf.DUMMYFUNCTION("SUM(QUERY(Coletas_BD!D:M,""select M where D='""&amp;D23&amp;""'"",1))"),250.0)</f>
        <v>250</v>
      </c>
      <c r="V23" s="328">
        <f>IFERROR(__xludf.DUMMYFUNCTION("SUM(QUERY(Coletas_BD!D:S,""select P where D='""&amp;D23&amp;""'"",1))"),65.0)</f>
        <v>65</v>
      </c>
      <c r="W23" s="328">
        <f>IFERROR(__xludf.DUMMYFUNCTION("SUM(QUERY(Coletas_BD!D:S,""select Q where D='""&amp;D23&amp;""'"",1))"),21.0)</f>
        <v>21</v>
      </c>
      <c r="X23" s="328">
        <f>IFERROR(__xludf.DUMMYFUNCTION("SUM(QUERY(Coletas_BD!D:S,""select R where D='""&amp;D23&amp;""'"",1))"),2.0)</f>
        <v>2</v>
      </c>
      <c r="Y23" s="328">
        <f>IFERROR(__xludf.DUMMYFUNCTION("SUM(QUERY(Coletas_BD!D:S,""select S where D='""&amp;D23&amp;""'"",1))"),4.0)</f>
        <v>4</v>
      </c>
      <c r="Z23" s="368"/>
    </row>
    <row r="24" ht="18.75" customHeight="1">
      <c r="A24" s="320"/>
      <c r="B24" s="321"/>
      <c r="C24" s="322">
        <v>23.0</v>
      </c>
      <c r="D24" s="356"/>
      <c r="E24" s="361"/>
      <c r="F24" s="362"/>
      <c r="G24" s="363"/>
      <c r="H24" s="363"/>
      <c r="I24" s="358" t="s">
        <v>1259</v>
      </c>
      <c r="J24" s="358" t="s">
        <v>1248</v>
      </c>
      <c r="K24" s="358"/>
      <c r="L24" s="358"/>
      <c r="M24" s="359"/>
      <c r="N24" s="359"/>
      <c r="O24" s="359"/>
      <c r="P24" s="359"/>
      <c r="Q24" s="336"/>
      <c r="R24" s="328">
        <f>IFERROR(__xludf.DUMMYFUNCTION("SUM(QUERY(Coletas_BD!D:M,""select J where D='""&amp;D24&amp;""'"",1))"),5407.0)</f>
        <v>5407</v>
      </c>
      <c r="S24" s="328">
        <f>IFERROR(__xludf.DUMMYFUNCTION("SUM(QUERY(Coletas_BD!D:M,""select K where D='""&amp;D24&amp;""'"",1))"),25.0)</f>
        <v>25</v>
      </c>
      <c r="T24" s="328">
        <f>IFERROR(__xludf.DUMMYFUNCTION("SUM(QUERY(Coletas_BD!D:M,""select L where D='""&amp;D24&amp;""'"",1))"),75.0)</f>
        <v>75</v>
      </c>
      <c r="U24" s="328">
        <f>IFERROR(__xludf.DUMMYFUNCTION("SUM(QUERY(Coletas_BD!D:M,""select M where D='""&amp;D24&amp;""'"",1))"),250.0)</f>
        <v>250</v>
      </c>
      <c r="V24" s="328">
        <f>IFERROR(__xludf.DUMMYFUNCTION("SUM(QUERY(Coletas_BD!D:S,""select P where D='""&amp;D24&amp;""'"",1))"),65.0)</f>
        <v>65</v>
      </c>
      <c r="W24" s="328">
        <f>IFERROR(__xludf.DUMMYFUNCTION("SUM(QUERY(Coletas_BD!D:S,""select Q where D='""&amp;D24&amp;""'"",1))"),21.0)</f>
        <v>21</v>
      </c>
      <c r="X24" s="328">
        <f>IFERROR(__xludf.DUMMYFUNCTION("SUM(QUERY(Coletas_BD!D:S,""select R where D='""&amp;D24&amp;""'"",1))"),2.0)</f>
        <v>2</v>
      </c>
      <c r="Y24" s="328">
        <f>IFERROR(__xludf.DUMMYFUNCTION("SUM(QUERY(Coletas_BD!D:S,""select S where D='""&amp;D24&amp;""'"",1))"),4.0)</f>
        <v>4</v>
      </c>
      <c r="Z24" s="364"/>
    </row>
    <row r="25" ht="18.75" customHeight="1">
      <c r="A25" s="320"/>
      <c r="B25" s="321"/>
      <c r="C25" s="322">
        <v>24.0</v>
      </c>
      <c r="D25" s="350"/>
      <c r="E25" s="365"/>
      <c r="F25" s="365"/>
      <c r="G25" s="352"/>
      <c r="H25" s="352"/>
      <c r="I25" s="354" t="s">
        <v>1260</v>
      </c>
      <c r="J25" s="354" t="s">
        <v>1248</v>
      </c>
      <c r="K25" s="354"/>
      <c r="L25" s="354"/>
      <c r="M25" s="355"/>
      <c r="N25" s="355"/>
      <c r="O25" s="355"/>
      <c r="P25" s="355"/>
      <c r="Q25" s="327"/>
      <c r="R25" s="328">
        <f>IFERROR(__xludf.DUMMYFUNCTION("SUM(QUERY(Coletas_BD!D:M,""select J where D='""&amp;D25&amp;""'"",1))"),5407.0)</f>
        <v>5407</v>
      </c>
      <c r="S25" s="328">
        <f>IFERROR(__xludf.DUMMYFUNCTION("SUM(QUERY(Coletas_BD!D:M,""select K where D='""&amp;D25&amp;""'"",1))"),25.0)</f>
        <v>25</v>
      </c>
      <c r="T25" s="328">
        <f>IFERROR(__xludf.DUMMYFUNCTION("SUM(QUERY(Coletas_BD!D:M,""select L where D='""&amp;D25&amp;""'"",1))"),75.0)</f>
        <v>75</v>
      </c>
      <c r="U25" s="328">
        <f>IFERROR(__xludf.DUMMYFUNCTION("SUM(QUERY(Coletas_BD!D:M,""select M where D='""&amp;D25&amp;""'"",1))"),250.0)</f>
        <v>250</v>
      </c>
      <c r="V25" s="328">
        <f>IFERROR(__xludf.DUMMYFUNCTION("SUM(QUERY(Coletas_BD!D:S,""select P where D='""&amp;D25&amp;""'"",1))"),65.0)</f>
        <v>65</v>
      </c>
      <c r="W25" s="328">
        <f>IFERROR(__xludf.DUMMYFUNCTION("SUM(QUERY(Coletas_BD!D:S,""select Q where D='""&amp;D25&amp;""'"",1))"),21.0)</f>
        <v>21</v>
      </c>
      <c r="X25" s="328">
        <f>IFERROR(__xludf.DUMMYFUNCTION("SUM(QUERY(Coletas_BD!D:S,""select R where D='""&amp;D25&amp;""'"",1))"),2.0)</f>
        <v>2</v>
      </c>
      <c r="Y25" s="328">
        <f>IFERROR(__xludf.DUMMYFUNCTION("SUM(QUERY(Coletas_BD!D:S,""select S where D='""&amp;D25&amp;""'"",1))"),4.0)</f>
        <v>4</v>
      </c>
      <c r="Z25" s="341"/>
    </row>
    <row r="26" ht="18.75" customHeight="1">
      <c r="A26" s="320"/>
      <c r="B26" s="321"/>
      <c r="C26" s="322">
        <v>25.0</v>
      </c>
      <c r="D26" s="356"/>
      <c r="E26" s="361"/>
      <c r="F26" s="362"/>
      <c r="G26" s="363"/>
      <c r="H26" s="363"/>
      <c r="I26" s="358"/>
      <c r="J26" s="358" t="s">
        <v>1248</v>
      </c>
      <c r="K26" s="358"/>
      <c r="L26" s="358"/>
      <c r="M26" s="359"/>
      <c r="N26" s="359"/>
      <c r="O26" s="359"/>
      <c r="P26" s="359"/>
      <c r="Q26" s="336"/>
      <c r="R26" s="328">
        <f>IFERROR(__xludf.DUMMYFUNCTION("SUM(QUERY(Coletas_BD!D:M,""select J where D='""&amp;D26&amp;""'"",1))"),5407.0)</f>
        <v>5407</v>
      </c>
      <c r="S26" s="328">
        <f>IFERROR(__xludf.DUMMYFUNCTION("SUM(QUERY(Coletas_BD!D:M,""select K where D='""&amp;D26&amp;""'"",1))"),25.0)</f>
        <v>25</v>
      </c>
      <c r="T26" s="328">
        <f>IFERROR(__xludf.DUMMYFUNCTION("SUM(QUERY(Coletas_BD!D:M,""select L where D='""&amp;D26&amp;""'"",1))"),75.0)</f>
        <v>75</v>
      </c>
      <c r="U26" s="328">
        <f>IFERROR(__xludf.DUMMYFUNCTION("SUM(QUERY(Coletas_BD!D:M,""select M where D='""&amp;D26&amp;""'"",1))"),250.0)</f>
        <v>250</v>
      </c>
      <c r="V26" s="328">
        <f>IFERROR(__xludf.DUMMYFUNCTION("SUM(QUERY(Coletas_BD!D:S,""select P where D='""&amp;D26&amp;""'"",1))"),65.0)</f>
        <v>65</v>
      </c>
      <c r="W26" s="328">
        <f>IFERROR(__xludf.DUMMYFUNCTION("SUM(QUERY(Coletas_BD!D:S,""select Q where D='""&amp;D26&amp;""'"",1))"),21.0)</f>
        <v>21</v>
      </c>
      <c r="X26" s="328">
        <f>IFERROR(__xludf.DUMMYFUNCTION("SUM(QUERY(Coletas_BD!D:S,""select R where D='""&amp;D26&amp;""'"",1))"),2.0)</f>
        <v>2</v>
      </c>
      <c r="Y26" s="328">
        <f>IFERROR(__xludf.DUMMYFUNCTION("SUM(QUERY(Coletas_BD!D:S,""select S where D='""&amp;D26&amp;""'"",1))"),4.0)</f>
        <v>4</v>
      </c>
      <c r="Z26" s="364"/>
    </row>
    <row r="27" ht="18.75" customHeight="1">
      <c r="A27" s="320"/>
      <c r="B27" s="321"/>
      <c r="C27" s="322">
        <v>26.0</v>
      </c>
      <c r="D27" s="350"/>
      <c r="E27" s="365"/>
      <c r="F27" s="365"/>
      <c r="G27" s="352"/>
      <c r="H27" s="352"/>
      <c r="I27" s="354"/>
      <c r="J27" s="354" t="s">
        <v>1251</v>
      </c>
      <c r="K27" s="354"/>
      <c r="L27" s="354"/>
      <c r="M27" s="355"/>
      <c r="N27" s="355"/>
      <c r="O27" s="355"/>
      <c r="P27" s="355"/>
      <c r="Q27" s="327"/>
      <c r="R27" s="328">
        <f>IFERROR(__xludf.DUMMYFUNCTION("SUM(QUERY(Coletas_BD!D:M,""select J where D='""&amp;D27&amp;""'"",1))"),5407.0)</f>
        <v>5407</v>
      </c>
      <c r="S27" s="328">
        <f>IFERROR(__xludf.DUMMYFUNCTION("SUM(QUERY(Coletas_BD!D:M,""select K where D='""&amp;D27&amp;""'"",1))"),25.0)</f>
        <v>25</v>
      </c>
      <c r="T27" s="328">
        <f>IFERROR(__xludf.DUMMYFUNCTION("SUM(QUERY(Coletas_BD!D:M,""select L where D='""&amp;D27&amp;""'"",1))"),75.0)</f>
        <v>75</v>
      </c>
      <c r="U27" s="328">
        <f>IFERROR(__xludf.DUMMYFUNCTION("SUM(QUERY(Coletas_BD!D:M,""select M where D='""&amp;D27&amp;""'"",1))"),250.0)</f>
        <v>250</v>
      </c>
      <c r="V27" s="328">
        <f>IFERROR(__xludf.DUMMYFUNCTION("SUM(QUERY(Coletas_BD!D:S,""select P where D='""&amp;D27&amp;""'"",1))"),65.0)</f>
        <v>65</v>
      </c>
      <c r="W27" s="328">
        <f>IFERROR(__xludf.DUMMYFUNCTION("SUM(QUERY(Coletas_BD!D:S,""select Q where D='""&amp;D27&amp;""'"",1))"),21.0)</f>
        <v>21</v>
      </c>
      <c r="X27" s="328">
        <f>IFERROR(__xludf.DUMMYFUNCTION("SUM(QUERY(Coletas_BD!D:S,""select R where D='""&amp;D27&amp;""'"",1))"),2.0)</f>
        <v>2</v>
      </c>
      <c r="Y27" s="328">
        <f>IFERROR(__xludf.DUMMYFUNCTION("SUM(QUERY(Coletas_BD!D:S,""select S where D='""&amp;D27&amp;""'"",1))"),4.0)</f>
        <v>4</v>
      </c>
      <c r="Z27" s="368"/>
    </row>
    <row r="28" ht="18.75" customHeight="1">
      <c r="A28" s="320"/>
      <c r="B28" s="321"/>
      <c r="C28" s="322">
        <v>27.0</v>
      </c>
      <c r="D28" s="356"/>
      <c r="E28" s="361"/>
      <c r="F28" s="362"/>
      <c r="G28" s="363"/>
      <c r="H28" s="363"/>
      <c r="I28" s="358"/>
      <c r="J28" s="358" t="s">
        <v>1248</v>
      </c>
      <c r="K28" s="358"/>
      <c r="L28" s="358"/>
      <c r="M28" s="359"/>
      <c r="N28" s="359"/>
      <c r="O28" s="359"/>
      <c r="P28" s="358"/>
      <c r="Q28" s="334"/>
      <c r="R28" s="328">
        <f>IFERROR(__xludf.DUMMYFUNCTION("SUM(QUERY(Coletas_BD!D:M,""select J where D='""&amp;D28&amp;""'"",1))"),5407.0)</f>
        <v>5407</v>
      </c>
      <c r="S28" s="328">
        <f>IFERROR(__xludf.DUMMYFUNCTION("SUM(QUERY(Coletas_BD!D:M,""select K where D='""&amp;D28&amp;""'"",1))"),25.0)</f>
        <v>25</v>
      </c>
      <c r="T28" s="328">
        <f>IFERROR(__xludf.DUMMYFUNCTION("SUM(QUERY(Coletas_BD!D:M,""select L where D='""&amp;D28&amp;""'"",1))"),75.0)</f>
        <v>75</v>
      </c>
      <c r="U28" s="328">
        <f>IFERROR(__xludf.DUMMYFUNCTION("SUM(QUERY(Coletas_BD!D:M,""select M where D='""&amp;D28&amp;""'"",1))"),250.0)</f>
        <v>250</v>
      </c>
      <c r="V28" s="328">
        <f>IFERROR(__xludf.DUMMYFUNCTION("SUM(QUERY(Coletas_BD!D:S,""select P where D='""&amp;D28&amp;""'"",1))"),65.0)</f>
        <v>65</v>
      </c>
      <c r="W28" s="328">
        <f>IFERROR(__xludf.DUMMYFUNCTION("SUM(QUERY(Coletas_BD!D:S,""select Q where D='""&amp;D28&amp;""'"",1))"),21.0)</f>
        <v>21</v>
      </c>
      <c r="X28" s="328">
        <f>IFERROR(__xludf.DUMMYFUNCTION("SUM(QUERY(Coletas_BD!D:S,""select R where D='""&amp;D28&amp;""'"",1))"),2.0)</f>
        <v>2</v>
      </c>
      <c r="Y28" s="328">
        <f>IFERROR(__xludf.DUMMYFUNCTION("SUM(QUERY(Coletas_BD!D:S,""select S where D='""&amp;D28&amp;""'"",1))"),4.0)</f>
        <v>4</v>
      </c>
      <c r="Z28" s="364"/>
    </row>
    <row r="29" ht="18.75" customHeight="1">
      <c r="A29" s="320"/>
      <c r="B29" s="321"/>
      <c r="C29" s="322">
        <v>28.0</v>
      </c>
      <c r="D29" s="351"/>
      <c r="E29" s="355"/>
      <c r="F29" s="369"/>
      <c r="G29" s="370"/>
      <c r="H29" s="370"/>
      <c r="I29" s="354"/>
      <c r="J29" s="371" t="s">
        <v>1251</v>
      </c>
      <c r="K29" s="354"/>
      <c r="L29" s="354"/>
      <c r="M29" s="354"/>
      <c r="N29" s="354"/>
      <c r="O29" s="355"/>
      <c r="P29" s="350"/>
      <c r="Q29" s="370"/>
      <c r="R29" s="328">
        <f>IFERROR(__xludf.DUMMYFUNCTION("SUM(QUERY(Coletas_BD!D:M,""select J where D='""&amp;D29&amp;""'"",1))"),5407.0)</f>
        <v>5407</v>
      </c>
      <c r="S29" s="328">
        <f>IFERROR(__xludf.DUMMYFUNCTION("SUM(QUERY(Coletas_BD!D:M,""select K where D='""&amp;D29&amp;""'"",1))"),25.0)</f>
        <v>25</v>
      </c>
      <c r="T29" s="328">
        <f>IFERROR(__xludf.DUMMYFUNCTION("SUM(QUERY(Coletas_BD!D:M,""select L where D='""&amp;D29&amp;""'"",1))"),75.0)</f>
        <v>75</v>
      </c>
      <c r="U29" s="328">
        <f>IFERROR(__xludf.DUMMYFUNCTION("SUM(QUERY(Coletas_BD!D:M,""select M where D='""&amp;D29&amp;""'"",1))"),250.0)</f>
        <v>250</v>
      </c>
      <c r="V29" s="328">
        <f>IFERROR(__xludf.DUMMYFUNCTION("SUM(QUERY(Coletas_BD!D:S,""select P where D='""&amp;D29&amp;""'"",1))"),65.0)</f>
        <v>65</v>
      </c>
      <c r="W29" s="328">
        <f>IFERROR(__xludf.DUMMYFUNCTION("SUM(QUERY(Coletas_BD!D:S,""select Q where D='""&amp;D29&amp;""'"",1))"),21.0)</f>
        <v>21</v>
      </c>
      <c r="X29" s="328">
        <f>IFERROR(__xludf.DUMMYFUNCTION("SUM(QUERY(Coletas_BD!D:S,""select R where D='""&amp;D29&amp;""'"",1))"),2.0)</f>
        <v>2</v>
      </c>
      <c r="Y29" s="328">
        <f>IFERROR(__xludf.DUMMYFUNCTION("SUM(QUERY(Coletas_BD!D:S,""select S where D='""&amp;D29&amp;""'"",1))"),4.0)</f>
        <v>4</v>
      </c>
      <c r="Z29" s="368"/>
    </row>
    <row r="30" ht="18.75" customHeight="1">
      <c r="A30" s="320"/>
      <c r="B30" s="321"/>
      <c r="C30" s="322">
        <v>29.0</v>
      </c>
      <c r="D30" s="351"/>
      <c r="E30" s="355"/>
      <c r="F30" s="369"/>
      <c r="G30" s="370"/>
      <c r="H30" s="370"/>
      <c r="I30" s="358"/>
      <c r="J30" s="358"/>
      <c r="K30" s="358"/>
      <c r="L30" s="358"/>
      <c r="M30" s="358"/>
      <c r="N30" s="358"/>
      <c r="O30" s="372"/>
      <c r="P30" s="358"/>
      <c r="Q30" s="370"/>
      <c r="R30" s="328">
        <f>IFERROR(__xludf.DUMMYFUNCTION("SUM(QUERY(Coletas_BD!D:M,""select J where D='""&amp;D30&amp;""'"",1))"),5407.0)</f>
        <v>5407</v>
      </c>
      <c r="S30" s="328">
        <f>IFERROR(__xludf.DUMMYFUNCTION("SUM(QUERY(Coletas_BD!D:M,""select K where D='""&amp;D30&amp;""'"",1))"),25.0)</f>
        <v>25</v>
      </c>
      <c r="T30" s="328">
        <f>IFERROR(__xludf.DUMMYFUNCTION("SUM(QUERY(Coletas_BD!D:M,""select L where D='""&amp;D30&amp;""'"",1))"),75.0)</f>
        <v>75</v>
      </c>
      <c r="U30" s="328">
        <f>IFERROR(__xludf.DUMMYFUNCTION("SUM(QUERY(Coletas_BD!D:M,""select M where D='""&amp;D30&amp;""'"",1))"),250.0)</f>
        <v>250</v>
      </c>
      <c r="V30" s="328">
        <f>IFERROR(__xludf.DUMMYFUNCTION("SUM(QUERY(Coletas_BD!D:S,""select P where D='""&amp;D30&amp;""'"",1))"),65.0)</f>
        <v>65</v>
      </c>
      <c r="W30" s="328">
        <f>IFERROR(__xludf.DUMMYFUNCTION("SUM(QUERY(Coletas_BD!D:S,""select Q where D='""&amp;D30&amp;""'"",1))"),21.0)</f>
        <v>21</v>
      </c>
      <c r="X30" s="328">
        <f>IFERROR(__xludf.DUMMYFUNCTION("SUM(QUERY(Coletas_BD!D:S,""select R where D='""&amp;D30&amp;""'"",1))"),2.0)</f>
        <v>2</v>
      </c>
      <c r="Y30" s="328">
        <f>IFERROR(__xludf.DUMMYFUNCTION("SUM(QUERY(Coletas_BD!D:S,""select S where D='""&amp;D30&amp;""'"",1))"),4.0)</f>
        <v>4</v>
      </c>
      <c r="Z30" s="364"/>
    </row>
    <row r="31" ht="18.75" customHeight="1">
      <c r="A31" s="320"/>
      <c r="B31" s="321"/>
      <c r="C31" s="322">
        <v>30.0</v>
      </c>
      <c r="D31" s="351"/>
      <c r="E31" s="355"/>
      <c r="F31" s="369"/>
      <c r="G31" s="370"/>
      <c r="H31" s="370"/>
      <c r="I31" s="354"/>
      <c r="J31" s="354"/>
      <c r="K31" s="354"/>
      <c r="L31" s="354"/>
      <c r="M31" s="354"/>
      <c r="N31" s="354"/>
      <c r="O31" s="373"/>
      <c r="P31" s="354"/>
      <c r="Q31" s="370"/>
      <c r="R31" s="328">
        <f>IFERROR(__xludf.DUMMYFUNCTION("SUM(QUERY(Coletas_BD!D:M,""select J where D='""&amp;D31&amp;""'"",1))"),5407.0)</f>
        <v>5407</v>
      </c>
      <c r="S31" s="328">
        <f>IFERROR(__xludf.DUMMYFUNCTION("SUM(QUERY(Coletas_BD!D:M,""select K where D='""&amp;D31&amp;""'"",1))"),25.0)</f>
        <v>25</v>
      </c>
      <c r="T31" s="328">
        <f>IFERROR(__xludf.DUMMYFUNCTION("SUM(QUERY(Coletas_BD!D:M,""select L where D='""&amp;D31&amp;""'"",1))"),75.0)</f>
        <v>75</v>
      </c>
      <c r="U31" s="328">
        <f>IFERROR(__xludf.DUMMYFUNCTION("SUM(QUERY(Coletas_BD!D:M,""select M where D='""&amp;D31&amp;""'"",1))"),250.0)</f>
        <v>250</v>
      </c>
      <c r="V31" s="328">
        <f>IFERROR(__xludf.DUMMYFUNCTION("SUM(QUERY(Coletas_BD!D:S,""select P where D='""&amp;D31&amp;""'"",1))"),65.0)</f>
        <v>65</v>
      </c>
      <c r="W31" s="328">
        <f>IFERROR(__xludf.DUMMYFUNCTION("SUM(QUERY(Coletas_BD!D:S,""select Q where D='""&amp;D31&amp;""'"",1))"),21.0)</f>
        <v>21</v>
      </c>
      <c r="X31" s="328">
        <f>IFERROR(__xludf.DUMMYFUNCTION("SUM(QUERY(Coletas_BD!D:S,""select R where D='""&amp;D31&amp;""'"",1))"),2.0)</f>
        <v>2</v>
      </c>
      <c r="Y31" s="328">
        <f>IFERROR(__xludf.DUMMYFUNCTION("SUM(QUERY(Coletas_BD!D:S,""select S where D='""&amp;D31&amp;""'"",1))"),4.0)</f>
        <v>4</v>
      </c>
      <c r="Z31" s="341"/>
    </row>
    <row r="32" ht="18.75" customHeight="1">
      <c r="A32" s="320"/>
      <c r="B32" s="321"/>
      <c r="C32" s="322">
        <v>31.0</v>
      </c>
      <c r="D32" s="374"/>
      <c r="E32" s="355"/>
      <c r="F32" s="369"/>
      <c r="G32" s="370"/>
      <c r="H32" s="370"/>
      <c r="I32" s="358"/>
      <c r="J32" s="375" t="s">
        <v>1248</v>
      </c>
      <c r="K32" s="358"/>
      <c r="L32" s="358"/>
      <c r="M32" s="358"/>
      <c r="N32" s="358"/>
      <c r="O32" s="373"/>
      <c r="P32" s="358"/>
      <c r="Q32" s="370"/>
      <c r="R32" s="328">
        <f>IFERROR(__xludf.DUMMYFUNCTION("SUM(QUERY(Coletas_BD!D:M,""select J where D='""&amp;D32&amp;""'"",1))"),5407.0)</f>
        <v>5407</v>
      </c>
      <c r="S32" s="328">
        <f>IFERROR(__xludf.DUMMYFUNCTION("SUM(QUERY(Coletas_BD!D:M,""select K where D='""&amp;D32&amp;""'"",1))"),25.0)</f>
        <v>25</v>
      </c>
      <c r="T32" s="328">
        <f>IFERROR(__xludf.DUMMYFUNCTION("SUM(QUERY(Coletas_BD!D:M,""select L where D='""&amp;D32&amp;""'"",1))"),75.0)</f>
        <v>75</v>
      </c>
      <c r="U32" s="328">
        <f>IFERROR(__xludf.DUMMYFUNCTION("SUM(QUERY(Coletas_BD!D:M,""select M where D='""&amp;D32&amp;""'"",1))"),250.0)</f>
        <v>250</v>
      </c>
      <c r="V32" s="328">
        <f>IFERROR(__xludf.DUMMYFUNCTION("SUM(QUERY(Coletas_BD!D:S,""select P where D='""&amp;D32&amp;""'"",1))"),65.0)</f>
        <v>65</v>
      </c>
      <c r="W32" s="328">
        <f>IFERROR(__xludf.DUMMYFUNCTION("SUM(QUERY(Coletas_BD!D:S,""select Q where D='""&amp;D32&amp;""'"",1))"),21.0)</f>
        <v>21</v>
      </c>
      <c r="X32" s="328">
        <f>IFERROR(__xludf.DUMMYFUNCTION("SUM(QUERY(Coletas_BD!D:S,""select R where D='""&amp;D32&amp;""'"",1))"),2.0)</f>
        <v>2</v>
      </c>
      <c r="Y32" s="328">
        <f>IFERROR(__xludf.DUMMYFUNCTION("SUM(QUERY(Coletas_BD!D:S,""select S where D='""&amp;D32&amp;""'"",1))"),4.0)</f>
        <v>4</v>
      </c>
      <c r="Z32" s="364"/>
    </row>
    <row r="33" ht="18.75" customHeight="1">
      <c r="A33" s="320"/>
      <c r="B33" s="321"/>
      <c r="C33" s="322">
        <v>32.0</v>
      </c>
      <c r="D33" s="351"/>
      <c r="E33" s="355"/>
      <c r="F33" s="369"/>
      <c r="G33" s="370"/>
      <c r="H33" s="370"/>
      <c r="I33" s="354"/>
      <c r="J33" s="354"/>
      <c r="K33" s="354"/>
      <c r="L33" s="354"/>
      <c r="M33" s="354"/>
      <c r="N33" s="354"/>
      <c r="O33" s="373"/>
      <c r="P33" s="354"/>
      <c r="Q33" s="370"/>
      <c r="R33" s="328">
        <f>IFERROR(__xludf.DUMMYFUNCTION("SUM(QUERY(Coletas_BD!D:M,""select J where D='""&amp;D33&amp;""'"",1))"),5407.0)</f>
        <v>5407</v>
      </c>
      <c r="S33" s="328">
        <f>IFERROR(__xludf.DUMMYFUNCTION("SUM(QUERY(Coletas_BD!D:M,""select K where D='""&amp;D33&amp;""'"",1))"),25.0)</f>
        <v>25</v>
      </c>
      <c r="T33" s="328">
        <f>IFERROR(__xludf.DUMMYFUNCTION("SUM(QUERY(Coletas_BD!D:M,""select L where D='""&amp;D33&amp;""'"",1))"),75.0)</f>
        <v>75</v>
      </c>
      <c r="U33" s="328">
        <f>IFERROR(__xludf.DUMMYFUNCTION("SUM(QUERY(Coletas_BD!D:M,""select M where D='""&amp;D33&amp;""'"",1))"),250.0)</f>
        <v>250</v>
      </c>
      <c r="V33" s="328">
        <f>IFERROR(__xludf.DUMMYFUNCTION("SUM(QUERY(Coletas_BD!D:S,""select P where D='""&amp;D33&amp;""'"",1))"),65.0)</f>
        <v>65</v>
      </c>
      <c r="W33" s="328">
        <f>IFERROR(__xludf.DUMMYFUNCTION("SUM(QUERY(Coletas_BD!D:S,""select Q where D='""&amp;D33&amp;""'"",1))"),21.0)</f>
        <v>21</v>
      </c>
      <c r="X33" s="328">
        <f>IFERROR(__xludf.DUMMYFUNCTION("SUM(QUERY(Coletas_BD!D:S,""select R where D='""&amp;D33&amp;""'"",1))"),2.0)</f>
        <v>2</v>
      </c>
      <c r="Y33" s="328">
        <f>IFERROR(__xludf.DUMMYFUNCTION("SUM(QUERY(Coletas_BD!D:S,""select S where D='""&amp;D33&amp;""'"",1))"),4.0)</f>
        <v>4</v>
      </c>
      <c r="Z33" s="368"/>
    </row>
    <row r="34" ht="18.75" customHeight="1">
      <c r="A34" s="320"/>
      <c r="B34" s="321"/>
      <c r="C34" s="322">
        <v>33.0</v>
      </c>
      <c r="D34" s="351"/>
      <c r="E34" s="355"/>
      <c r="F34" s="369"/>
      <c r="G34" s="370"/>
      <c r="H34" s="370"/>
      <c r="I34" s="358"/>
      <c r="J34" s="358"/>
      <c r="K34" s="358"/>
      <c r="L34" s="358"/>
      <c r="M34" s="358"/>
      <c r="N34" s="358"/>
      <c r="O34" s="355"/>
      <c r="P34" s="358"/>
      <c r="Q34" s="370"/>
      <c r="R34" s="328">
        <f>IFERROR(__xludf.DUMMYFUNCTION("SUM(QUERY(Coletas_BD!D:M,""select J where D='""&amp;D34&amp;""'"",1))"),5407.0)</f>
        <v>5407</v>
      </c>
      <c r="S34" s="328">
        <f>IFERROR(__xludf.DUMMYFUNCTION("SUM(QUERY(Coletas_BD!D:M,""select K where D='""&amp;D34&amp;""'"",1))"),25.0)</f>
        <v>25</v>
      </c>
      <c r="T34" s="328">
        <f>IFERROR(__xludf.DUMMYFUNCTION("SUM(QUERY(Coletas_BD!D:M,""select L where D='""&amp;D34&amp;""'"",1))"),75.0)</f>
        <v>75</v>
      </c>
      <c r="U34" s="328">
        <f>IFERROR(__xludf.DUMMYFUNCTION("SUM(QUERY(Coletas_BD!D:M,""select M where D='""&amp;D34&amp;""'"",1))"),250.0)</f>
        <v>250</v>
      </c>
      <c r="V34" s="328">
        <f>IFERROR(__xludf.DUMMYFUNCTION("SUM(QUERY(Coletas_BD!D:S,""select P where D='""&amp;D34&amp;""'"",1))"),65.0)</f>
        <v>65</v>
      </c>
      <c r="W34" s="328">
        <f>IFERROR(__xludf.DUMMYFUNCTION("SUM(QUERY(Coletas_BD!D:S,""select Q where D='""&amp;D34&amp;""'"",1))"),21.0)</f>
        <v>21</v>
      </c>
      <c r="X34" s="328">
        <f>IFERROR(__xludf.DUMMYFUNCTION("SUM(QUERY(Coletas_BD!D:S,""select R where D='""&amp;D34&amp;""'"",1))"),2.0)</f>
        <v>2</v>
      </c>
      <c r="Y34" s="328">
        <f>IFERROR(__xludf.DUMMYFUNCTION("SUM(QUERY(Coletas_BD!D:S,""select S where D='""&amp;D34&amp;""'"",1))"),4.0)</f>
        <v>4</v>
      </c>
      <c r="Z34" s="364"/>
    </row>
    <row r="35" ht="18.75" customHeight="1">
      <c r="A35" s="320"/>
      <c r="B35" s="321"/>
      <c r="C35" s="322">
        <v>34.0</v>
      </c>
      <c r="D35" s="351"/>
      <c r="E35" s="355"/>
      <c r="F35" s="373"/>
      <c r="G35" s="376"/>
      <c r="H35" s="376"/>
      <c r="I35" s="354"/>
      <c r="J35" s="354"/>
      <c r="K35" s="354"/>
      <c r="L35" s="354"/>
      <c r="M35" s="354"/>
      <c r="N35" s="354"/>
      <c r="O35" s="373"/>
      <c r="P35" s="354"/>
      <c r="Q35" s="370"/>
      <c r="R35" s="328">
        <f>IFERROR(__xludf.DUMMYFUNCTION("SUM(QUERY(Coletas_BD!D:M,""select J where D='""&amp;D35&amp;""'"",1))"),5407.0)</f>
        <v>5407</v>
      </c>
      <c r="S35" s="328">
        <f>IFERROR(__xludf.DUMMYFUNCTION("SUM(QUERY(Coletas_BD!D:M,""select K where D='""&amp;D35&amp;""'"",1))"),25.0)</f>
        <v>25</v>
      </c>
      <c r="T35" s="328">
        <f>IFERROR(__xludf.DUMMYFUNCTION("SUM(QUERY(Coletas_BD!D:M,""select L where D='""&amp;D35&amp;""'"",1))"),75.0)</f>
        <v>75</v>
      </c>
      <c r="U35" s="328">
        <f>IFERROR(__xludf.DUMMYFUNCTION("SUM(QUERY(Coletas_BD!D:M,""select M where D='""&amp;D35&amp;""'"",1))"),250.0)</f>
        <v>250</v>
      </c>
      <c r="V35" s="328">
        <f>IFERROR(__xludf.DUMMYFUNCTION("SUM(QUERY(Coletas_BD!D:S,""select P where D='""&amp;D35&amp;""'"",1))"),65.0)</f>
        <v>65</v>
      </c>
      <c r="W35" s="328">
        <f>IFERROR(__xludf.DUMMYFUNCTION("SUM(QUERY(Coletas_BD!D:S,""select Q where D='""&amp;D35&amp;""'"",1))"),21.0)</f>
        <v>21</v>
      </c>
      <c r="X35" s="328">
        <f>IFERROR(__xludf.DUMMYFUNCTION("SUM(QUERY(Coletas_BD!D:S,""select R where D='""&amp;D35&amp;""'"",1))"),2.0)</f>
        <v>2</v>
      </c>
      <c r="Y35" s="328">
        <f>IFERROR(__xludf.DUMMYFUNCTION("SUM(QUERY(Coletas_BD!D:S,""select S where D='""&amp;D35&amp;""'"",1))"),4.0)</f>
        <v>4</v>
      </c>
      <c r="Z35" s="368"/>
    </row>
    <row r="36" ht="18.75" customHeight="1">
      <c r="A36" s="320"/>
      <c r="B36" s="321"/>
      <c r="C36" s="322">
        <v>35.0</v>
      </c>
      <c r="D36" s="351"/>
      <c r="E36" s="355"/>
      <c r="F36" s="369"/>
      <c r="G36" s="370"/>
      <c r="H36" s="370"/>
      <c r="I36" s="358"/>
      <c r="J36" s="358"/>
      <c r="K36" s="358"/>
      <c r="L36" s="358"/>
      <c r="M36" s="358"/>
      <c r="N36" s="358"/>
      <c r="O36" s="373"/>
      <c r="P36" s="358"/>
      <c r="Q36" s="370"/>
      <c r="R36" s="328">
        <f>IFERROR(__xludf.DUMMYFUNCTION("SUM(QUERY(Coletas_BD!D:M,""select J where D='""&amp;D36&amp;""'"",1))"),5407.0)</f>
        <v>5407</v>
      </c>
      <c r="S36" s="328">
        <f>IFERROR(__xludf.DUMMYFUNCTION("SUM(QUERY(Coletas_BD!D:M,""select K where D='""&amp;D36&amp;""'"",1))"),25.0)</f>
        <v>25</v>
      </c>
      <c r="T36" s="328">
        <f>IFERROR(__xludf.DUMMYFUNCTION("SUM(QUERY(Coletas_BD!D:M,""select L where D='""&amp;D36&amp;""'"",1))"),75.0)</f>
        <v>75</v>
      </c>
      <c r="U36" s="328">
        <f>IFERROR(__xludf.DUMMYFUNCTION("SUM(QUERY(Coletas_BD!D:M,""select M where D='""&amp;D36&amp;""'"",1))"),250.0)</f>
        <v>250</v>
      </c>
      <c r="V36" s="328">
        <f>IFERROR(__xludf.DUMMYFUNCTION("SUM(QUERY(Coletas_BD!D:S,""select P where D='""&amp;D36&amp;""'"",1))"),65.0)</f>
        <v>65</v>
      </c>
      <c r="W36" s="328">
        <f>IFERROR(__xludf.DUMMYFUNCTION("SUM(QUERY(Coletas_BD!D:S,""select Q where D='""&amp;D36&amp;""'"",1))"),21.0)</f>
        <v>21</v>
      </c>
      <c r="X36" s="328">
        <f>IFERROR(__xludf.DUMMYFUNCTION("SUM(QUERY(Coletas_BD!D:S,""select R where D='""&amp;D36&amp;""'"",1))"),2.0)</f>
        <v>2</v>
      </c>
      <c r="Y36" s="328">
        <f>IFERROR(__xludf.DUMMYFUNCTION("SUM(QUERY(Coletas_BD!D:S,""select S where D='""&amp;D36&amp;""'"",1))"),4.0)</f>
        <v>4</v>
      </c>
      <c r="Z36" s="364"/>
    </row>
    <row r="37" ht="18.75" customHeight="1">
      <c r="A37" s="320"/>
      <c r="B37" s="321"/>
      <c r="C37" s="322">
        <v>36.0</v>
      </c>
      <c r="D37" s="351"/>
      <c r="E37" s="355"/>
      <c r="F37" s="355"/>
      <c r="G37" s="354"/>
      <c r="H37" s="354"/>
      <c r="I37" s="354"/>
      <c r="J37" s="354"/>
      <c r="K37" s="354"/>
      <c r="L37" s="354"/>
      <c r="M37" s="354"/>
      <c r="N37" s="354"/>
      <c r="O37" s="355"/>
      <c r="P37" s="354"/>
      <c r="Q37" s="370"/>
      <c r="R37" s="328">
        <f>IFERROR(__xludf.DUMMYFUNCTION("SUM(QUERY(Coletas_BD!D:M,""select J where D='""&amp;D37&amp;""'"",1))"),5407.0)</f>
        <v>5407</v>
      </c>
      <c r="S37" s="328">
        <f>IFERROR(__xludf.DUMMYFUNCTION("SUM(QUERY(Coletas_BD!D:M,""select K where D='""&amp;D37&amp;""'"",1))"),25.0)</f>
        <v>25</v>
      </c>
      <c r="T37" s="328">
        <f>IFERROR(__xludf.DUMMYFUNCTION("SUM(QUERY(Coletas_BD!D:M,""select L where D='""&amp;D37&amp;""'"",1))"),75.0)</f>
        <v>75</v>
      </c>
      <c r="U37" s="328">
        <f>IFERROR(__xludf.DUMMYFUNCTION("SUM(QUERY(Coletas_BD!D:M,""select M where D='""&amp;D37&amp;""'"",1))"),250.0)</f>
        <v>250</v>
      </c>
      <c r="V37" s="328">
        <f>IFERROR(__xludf.DUMMYFUNCTION("SUM(QUERY(Coletas_BD!D:S,""select P where D='""&amp;D37&amp;""'"",1))"),65.0)</f>
        <v>65</v>
      </c>
      <c r="W37" s="328">
        <f>IFERROR(__xludf.DUMMYFUNCTION("SUM(QUERY(Coletas_BD!D:S,""select Q where D='""&amp;D37&amp;""'"",1))"),21.0)</f>
        <v>21</v>
      </c>
      <c r="X37" s="328">
        <f>IFERROR(__xludf.DUMMYFUNCTION("SUM(QUERY(Coletas_BD!D:S,""select R where D='""&amp;D37&amp;""'"",1))"),2.0)</f>
        <v>2</v>
      </c>
      <c r="Y37" s="328">
        <f>IFERROR(__xludf.DUMMYFUNCTION("SUM(QUERY(Coletas_BD!D:S,""select S where D='""&amp;D37&amp;""'"",1))"),4.0)</f>
        <v>4</v>
      </c>
      <c r="Z37" s="341"/>
    </row>
    <row r="38" ht="18.75" customHeight="1">
      <c r="A38" s="320"/>
      <c r="B38" s="321"/>
      <c r="C38" s="322">
        <v>37.0</v>
      </c>
      <c r="D38" s="351"/>
      <c r="E38" s="355"/>
      <c r="F38" s="369"/>
      <c r="G38" s="370"/>
      <c r="H38" s="370"/>
      <c r="I38" s="358"/>
      <c r="J38" s="358"/>
      <c r="K38" s="358"/>
      <c r="L38" s="358"/>
      <c r="M38" s="358"/>
      <c r="N38" s="358"/>
      <c r="O38" s="373"/>
      <c r="P38" s="358"/>
      <c r="Q38" s="370"/>
      <c r="R38" s="328">
        <f>IFERROR(__xludf.DUMMYFUNCTION("SUM(QUERY(Coletas_BD!D:M,""select J where D='""&amp;D38&amp;""'"",1))"),5407.0)</f>
        <v>5407</v>
      </c>
      <c r="S38" s="328">
        <f>IFERROR(__xludf.DUMMYFUNCTION("SUM(QUERY(Coletas_BD!D:M,""select K where D='""&amp;D38&amp;""'"",1))"),25.0)</f>
        <v>25</v>
      </c>
      <c r="T38" s="328">
        <f>IFERROR(__xludf.DUMMYFUNCTION("SUM(QUERY(Coletas_BD!D:M,""select L where D='""&amp;D38&amp;""'"",1))"),75.0)</f>
        <v>75</v>
      </c>
      <c r="U38" s="328">
        <f>IFERROR(__xludf.DUMMYFUNCTION("SUM(QUERY(Coletas_BD!D:M,""select M where D='""&amp;D38&amp;""'"",1))"),250.0)</f>
        <v>250</v>
      </c>
      <c r="V38" s="328">
        <f>IFERROR(__xludf.DUMMYFUNCTION("SUM(QUERY(Coletas_BD!D:S,""select P where D='""&amp;D38&amp;""'"",1))"),65.0)</f>
        <v>65</v>
      </c>
      <c r="W38" s="328">
        <f>IFERROR(__xludf.DUMMYFUNCTION("SUM(QUERY(Coletas_BD!D:S,""select Q where D='""&amp;D38&amp;""'"",1))"),21.0)</f>
        <v>21</v>
      </c>
      <c r="X38" s="328">
        <f>IFERROR(__xludf.DUMMYFUNCTION("SUM(QUERY(Coletas_BD!D:S,""select R where D='""&amp;D38&amp;""'"",1))"),2.0)</f>
        <v>2</v>
      </c>
      <c r="Y38" s="328">
        <f>IFERROR(__xludf.DUMMYFUNCTION("SUM(QUERY(Coletas_BD!D:S,""select S where D='""&amp;D38&amp;""'"",1))"),4.0)</f>
        <v>4</v>
      </c>
      <c r="Z38" s="364"/>
    </row>
    <row r="39" ht="18.75" customHeight="1">
      <c r="A39" s="320"/>
      <c r="B39" s="321"/>
      <c r="C39" s="322">
        <v>38.0</v>
      </c>
      <c r="D39" s="351"/>
      <c r="E39" s="355"/>
      <c r="F39" s="355"/>
      <c r="G39" s="354"/>
      <c r="H39" s="354"/>
      <c r="I39" s="354"/>
      <c r="J39" s="354"/>
      <c r="K39" s="354"/>
      <c r="L39" s="354"/>
      <c r="M39" s="354"/>
      <c r="N39" s="354"/>
      <c r="O39" s="373"/>
      <c r="P39" s="354"/>
      <c r="Q39" s="370"/>
      <c r="R39" s="328">
        <f>IFERROR(__xludf.DUMMYFUNCTION("SUM(QUERY(Coletas_BD!D:M,""select J where D='""&amp;D39&amp;""'"",1))"),5407.0)</f>
        <v>5407</v>
      </c>
      <c r="S39" s="328">
        <f>IFERROR(__xludf.DUMMYFUNCTION("SUM(QUERY(Coletas_BD!D:M,""select K where D='""&amp;D39&amp;""'"",1))"),25.0)</f>
        <v>25</v>
      </c>
      <c r="T39" s="328">
        <f>IFERROR(__xludf.DUMMYFUNCTION("SUM(QUERY(Coletas_BD!D:M,""select L where D='""&amp;D39&amp;""'"",1))"),75.0)</f>
        <v>75</v>
      </c>
      <c r="U39" s="328">
        <f>IFERROR(__xludf.DUMMYFUNCTION("SUM(QUERY(Coletas_BD!D:M,""select M where D='""&amp;D39&amp;""'"",1))"),250.0)</f>
        <v>250</v>
      </c>
      <c r="V39" s="328">
        <f>IFERROR(__xludf.DUMMYFUNCTION("SUM(QUERY(Coletas_BD!D:S,""select P where D='""&amp;D39&amp;""'"",1))"),65.0)</f>
        <v>65</v>
      </c>
      <c r="W39" s="328">
        <f>IFERROR(__xludf.DUMMYFUNCTION("SUM(QUERY(Coletas_BD!D:S,""select Q where D='""&amp;D39&amp;""'"",1))"),21.0)</f>
        <v>21</v>
      </c>
      <c r="X39" s="328">
        <f>IFERROR(__xludf.DUMMYFUNCTION("SUM(QUERY(Coletas_BD!D:S,""select R where D='""&amp;D39&amp;""'"",1))"),2.0)</f>
        <v>2</v>
      </c>
      <c r="Y39" s="328">
        <f>IFERROR(__xludf.DUMMYFUNCTION("SUM(QUERY(Coletas_BD!D:S,""select S where D='""&amp;D39&amp;""'"",1))"),4.0)</f>
        <v>4</v>
      </c>
      <c r="Z39" s="368"/>
    </row>
    <row r="40" ht="18.75" customHeight="1">
      <c r="A40" s="320"/>
      <c r="B40" s="321"/>
      <c r="C40" s="322">
        <v>39.0</v>
      </c>
      <c r="D40" s="351"/>
      <c r="E40" s="355"/>
      <c r="F40" s="355"/>
      <c r="G40" s="354"/>
      <c r="H40" s="354"/>
      <c r="I40" s="358"/>
      <c r="J40" s="358"/>
      <c r="K40" s="358"/>
      <c r="L40" s="358"/>
      <c r="M40" s="358"/>
      <c r="N40" s="358"/>
      <c r="O40" s="373"/>
      <c r="P40" s="358"/>
      <c r="Q40" s="370"/>
      <c r="R40" s="328">
        <f>IFERROR(__xludf.DUMMYFUNCTION("SUM(QUERY(Coletas_BD!D:M,""select J where D='""&amp;D40&amp;""'"",1))"),5407.0)</f>
        <v>5407</v>
      </c>
      <c r="S40" s="328">
        <f>IFERROR(__xludf.DUMMYFUNCTION("SUM(QUERY(Coletas_BD!D:M,""select K where D='""&amp;D40&amp;""'"",1))"),25.0)</f>
        <v>25</v>
      </c>
      <c r="T40" s="328">
        <f>IFERROR(__xludf.DUMMYFUNCTION("SUM(QUERY(Coletas_BD!D:M,""select L where D='""&amp;D40&amp;""'"",1))"),75.0)</f>
        <v>75</v>
      </c>
      <c r="U40" s="328">
        <f>IFERROR(__xludf.DUMMYFUNCTION("SUM(QUERY(Coletas_BD!D:M,""select M where D='""&amp;D40&amp;""'"",1))"),250.0)</f>
        <v>250</v>
      </c>
      <c r="V40" s="328">
        <f>IFERROR(__xludf.DUMMYFUNCTION("SUM(QUERY(Coletas_BD!D:S,""select P where D='""&amp;D40&amp;""'"",1))"),65.0)</f>
        <v>65</v>
      </c>
      <c r="W40" s="328">
        <f>IFERROR(__xludf.DUMMYFUNCTION("SUM(QUERY(Coletas_BD!D:S,""select Q where D='""&amp;D40&amp;""'"",1))"),21.0)</f>
        <v>21</v>
      </c>
      <c r="X40" s="328">
        <f>IFERROR(__xludf.DUMMYFUNCTION("SUM(QUERY(Coletas_BD!D:S,""select R where D='""&amp;D40&amp;""'"",1))"),2.0)</f>
        <v>2</v>
      </c>
      <c r="Y40" s="328">
        <f>IFERROR(__xludf.DUMMYFUNCTION("SUM(QUERY(Coletas_BD!D:S,""select S where D='""&amp;D40&amp;""'"",1))"),4.0)</f>
        <v>4</v>
      </c>
      <c r="Z40" s="364"/>
    </row>
    <row r="41" ht="18.75" customHeight="1">
      <c r="A41" s="320"/>
      <c r="B41" s="321"/>
      <c r="C41" s="322">
        <v>40.0</v>
      </c>
      <c r="D41" s="351"/>
      <c r="E41" s="355"/>
      <c r="F41" s="369"/>
      <c r="G41" s="370"/>
      <c r="H41" s="370"/>
      <c r="I41" s="354"/>
      <c r="J41" s="354"/>
      <c r="K41" s="354"/>
      <c r="L41" s="354"/>
      <c r="M41" s="354"/>
      <c r="N41" s="354"/>
      <c r="O41" s="373"/>
      <c r="P41" s="354"/>
      <c r="Q41" s="370"/>
      <c r="R41" s="328">
        <f>IFERROR(__xludf.DUMMYFUNCTION("SUM(QUERY(Coletas_BD!D:M,""select J where D='""&amp;D41&amp;""'"",1))"),5407.0)</f>
        <v>5407</v>
      </c>
      <c r="S41" s="328">
        <f>IFERROR(__xludf.DUMMYFUNCTION("SUM(QUERY(Coletas_BD!D:M,""select K where D='""&amp;D41&amp;""'"",1))"),25.0)</f>
        <v>25</v>
      </c>
      <c r="T41" s="328">
        <f>IFERROR(__xludf.DUMMYFUNCTION("SUM(QUERY(Coletas_BD!D:M,""select L where D='""&amp;D41&amp;""'"",1))"),75.0)</f>
        <v>75</v>
      </c>
      <c r="U41" s="328">
        <f>IFERROR(__xludf.DUMMYFUNCTION("SUM(QUERY(Coletas_BD!D:M,""select M where D='""&amp;D41&amp;""'"",1))"),250.0)</f>
        <v>250</v>
      </c>
      <c r="V41" s="328">
        <f>IFERROR(__xludf.DUMMYFUNCTION("SUM(QUERY(Coletas_BD!D:S,""select P where D='""&amp;D41&amp;""'"",1))"),65.0)</f>
        <v>65</v>
      </c>
      <c r="W41" s="328">
        <f>IFERROR(__xludf.DUMMYFUNCTION("SUM(QUERY(Coletas_BD!D:S,""select Q where D='""&amp;D41&amp;""'"",1))"),21.0)</f>
        <v>21</v>
      </c>
      <c r="X41" s="328">
        <f>IFERROR(__xludf.DUMMYFUNCTION("SUM(QUERY(Coletas_BD!D:S,""select R where D='""&amp;D41&amp;""'"",1))"),2.0)</f>
        <v>2</v>
      </c>
      <c r="Y41" s="328">
        <f>IFERROR(__xludf.DUMMYFUNCTION("SUM(QUERY(Coletas_BD!D:S,""select S where D='""&amp;D41&amp;""'"",1))"),4.0)</f>
        <v>4</v>
      </c>
      <c r="Z41" s="368"/>
    </row>
    <row r="42" ht="18.75" customHeight="1">
      <c r="A42" s="320"/>
      <c r="B42" s="321"/>
      <c r="C42" s="322">
        <v>41.0</v>
      </c>
      <c r="D42" s="351"/>
      <c r="E42" s="355"/>
      <c r="F42" s="369"/>
      <c r="G42" s="370"/>
      <c r="H42" s="370"/>
      <c r="I42" s="354"/>
      <c r="J42" s="354"/>
      <c r="K42" s="354"/>
      <c r="L42" s="354"/>
      <c r="M42" s="354"/>
      <c r="N42" s="354"/>
      <c r="O42" s="373"/>
      <c r="P42" s="354"/>
      <c r="Q42" s="370"/>
      <c r="R42" s="328">
        <f>IFERROR(__xludf.DUMMYFUNCTION("SUM(QUERY(Coletas_BD!D:M,""select J where D='""&amp;D42&amp;""'"",1))"),5407.0)</f>
        <v>5407</v>
      </c>
      <c r="S42" s="328">
        <f>IFERROR(__xludf.DUMMYFUNCTION("SUM(QUERY(Coletas_BD!D:M,""select K where D='""&amp;D42&amp;""'"",1))"),25.0)</f>
        <v>25</v>
      </c>
      <c r="T42" s="328">
        <f>IFERROR(__xludf.DUMMYFUNCTION("SUM(QUERY(Coletas_BD!D:M,""select L where D='""&amp;D42&amp;""'"",1))"),75.0)</f>
        <v>75</v>
      </c>
      <c r="U42" s="328">
        <f>IFERROR(__xludf.DUMMYFUNCTION("SUM(QUERY(Coletas_BD!D:M,""select M where D='""&amp;D42&amp;""'"",1))"),250.0)</f>
        <v>250</v>
      </c>
      <c r="V42" s="328">
        <f>IFERROR(__xludf.DUMMYFUNCTION("SUM(QUERY(Coletas_BD!D:S,""select P where D='""&amp;D42&amp;""'"",1))"),65.0)</f>
        <v>65</v>
      </c>
      <c r="W42" s="328">
        <f>IFERROR(__xludf.DUMMYFUNCTION("SUM(QUERY(Coletas_BD!D:S,""select Q where D='""&amp;D42&amp;""'"",1))"),21.0)</f>
        <v>21</v>
      </c>
      <c r="X42" s="328">
        <f>IFERROR(__xludf.DUMMYFUNCTION("SUM(QUERY(Coletas_BD!D:S,""select R where D='""&amp;D42&amp;""'"",1))"),2.0)</f>
        <v>2</v>
      </c>
      <c r="Y42" s="328">
        <f>IFERROR(__xludf.DUMMYFUNCTION("SUM(QUERY(Coletas_BD!D:S,""select S where D='""&amp;D42&amp;""'"",1))"),4.0)</f>
        <v>4</v>
      </c>
      <c r="Z42" s="364"/>
    </row>
    <row r="43" ht="18.75" customHeight="1">
      <c r="A43" s="320"/>
      <c r="B43" s="321"/>
      <c r="C43" s="322">
        <v>42.0</v>
      </c>
      <c r="D43" s="351"/>
      <c r="E43" s="355"/>
      <c r="F43" s="369"/>
      <c r="G43" s="370"/>
      <c r="H43" s="370"/>
      <c r="I43" s="354"/>
      <c r="J43" s="354"/>
      <c r="K43" s="354"/>
      <c r="L43" s="354"/>
      <c r="M43" s="354"/>
      <c r="N43" s="354"/>
      <c r="O43" s="355"/>
      <c r="P43" s="354"/>
      <c r="Q43" s="370"/>
      <c r="R43" s="328">
        <f>IFERROR(__xludf.DUMMYFUNCTION("SUM(QUERY(Coletas_BD!D:M,""select J where D='""&amp;D43&amp;""'"",1))"),5407.0)</f>
        <v>5407</v>
      </c>
      <c r="S43" s="328">
        <f>IFERROR(__xludf.DUMMYFUNCTION("SUM(QUERY(Coletas_BD!D:M,""select K where D='""&amp;D43&amp;""'"",1))"),25.0)</f>
        <v>25</v>
      </c>
      <c r="T43" s="328">
        <f>IFERROR(__xludf.DUMMYFUNCTION("SUM(QUERY(Coletas_BD!D:M,""select L where D='""&amp;D43&amp;""'"",1))"),75.0)</f>
        <v>75</v>
      </c>
      <c r="U43" s="328">
        <f>IFERROR(__xludf.DUMMYFUNCTION("SUM(QUERY(Coletas_BD!D:M,""select M where D='""&amp;D43&amp;""'"",1))"),250.0)</f>
        <v>250</v>
      </c>
      <c r="V43" s="328">
        <f>IFERROR(__xludf.DUMMYFUNCTION("SUM(QUERY(Coletas_BD!D:S,""select P where D='""&amp;D43&amp;""'"",1))"),65.0)</f>
        <v>65</v>
      </c>
      <c r="W43" s="328">
        <f>IFERROR(__xludf.DUMMYFUNCTION("SUM(QUERY(Coletas_BD!D:S,""select Q where D='""&amp;D43&amp;""'"",1))"),21.0)</f>
        <v>21</v>
      </c>
      <c r="X43" s="328">
        <f>IFERROR(__xludf.DUMMYFUNCTION("SUM(QUERY(Coletas_BD!D:S,""select R where D='""&amp;D43&amp;""'"",1))"),2.0)</f>
        <v>2</v>
      </c>
      <c r="Y43" s="328">
        <f>IFERROR(__xludf.DUMMYFUNCTION("SUM(QUERY(Coletas_BD!D:S,""select S where D='""&amp;D43&amp;""'"",1))"),4.0)</f>
        <v>4</v>
      </c>
      <c r="Z43" s="341"/>
    </row>
    <row r="44" ht="18.75" customHeight="1">
      <c r="A44" s="320"/>
      <c r="B44" s="321"/>
      <c r="C44" s="322">
        <v>43.0</v>
      </c>
      <c r="D44" s="351"/>
      <c r="E44" s="355"/>
      <c r="F44" s="369"/>
      <c r="G44" s="370"/>
      <c r="H44" s="370"/>
      <c r="I44" s="354"/>
      <c r="J44" s="354"/>
      <c r="K44" s="354"/>
      <c r="L44" s="354"/>
      <c r="M44" s="354"/>
      <c r="N44" s="354"/>
      <c r="O44" s="373"/>
      <c r="P44" s="354"/>
      <c r="Q44" s="370"/>
      <c r="R44" s="328">
        <f>IFERROR(__xludf.DUMMYFUNCTION("SUM(QUERY(Coletas_BD!D:M,""select J where D='""&amp;D44&amp;""'"",1))"),5407.0)</f>
        <v>5407</v>
      </c>
      <c r="S44" s="328">
        <f>IFERROR(__xludf.DUMMYFUNCTION("SUM(QUERY(Coletas_BD!D:M,""select K where D='""&amp;D44&amp;""'"",1))"),25.0)</f>
        <v>25</v>
      </c>
      <c r="T44" s="328">
        <f>IFERROR(__xludf.DUMMYFUNCTION("SUM(QUERY(Coletas_BD!D:M,""select L where D='""&amp;D44&amp;""'"",1))"),75.0)</f>
        <v>75</v>
      </c>
      <c r="U44" s="328">
        <f>IFERROR(__xludf.DUMMYFUNCTION("SUM(QUERY(Coletas_BD!D:M,""select M where D='""&amp;D44&amp;""'"",1))"),250.0)</f>
        <v>250</v>
      </c>
      <c r="V44" s="328">
        <f>IFERROR(__xludf.DUMMYFUNCTION("SUM(QUERY(Coletas_BD!D:S,""select P where D='""&amp;D44&amp;""'"",1))"),65.0)</f>
        <v>65</v>
      </c>
      <c r="W44" s="328">
        <f>IFERROR(__xludf.DUMMYFUNCTION("SUM(QUERY(Coletas_BD!D:S,""select Q where D='""&amp;D44&amp;""'"",1))"),21.0)</f>
        <v>21</v>
      </c>
      <c r="X44" s="328">
        <f>IFERROR(__xludf.DUMMYFUNCTION("SUM(QUERY(Coletas_BD!D:S,""select R where D='""&amp;D44&amp;""'"",1))"),2.0)</f>
        <v>2</v>
      </c>
      <c r="Y44" s="328">
        <f>IFERROR(__xludf.DUMMYFUNCTION("SUM(QUERY(Coletas_BD!D:S,""select S where D='""&amp;D44&amp;""'"",1))"),4.0)</f>
        <v>4</v>
      </c>
      <c r="Z44" s="364"/>
    </row>
    <row r="45" ht="18.75" customHeight="1">
      <c r="A45" s="320"/>
      <c r="B45" s="321"/>
      <c r="C45" s="322">
        <v>44.0</v>
      </c>
      <c r="D45" s="351"/>
      <c r="E45" s="355"/>
      <c r="F45" s="369"/>
      <c r="G45" s="370"/>
      <c r="H45" s="370"/>
      <c r="I45" s="354"/>
      <c r="J45" s="354"/>
      <c r="K45" s="354"/>
      <c r="L45" s="354"/>
      <c r="M45" s="354"/>
      <c r="N45" s="354"/>
      <c r="O45" s="373"/>
      <c r="P45" s="354"/>
      <c r="Q45" s="370"/>
      <c r="R45" s="328">
        <f>IFERROR(__xludf.DUMMYFUNCTION("SUM(QUERY(Coletas_BD!D:M,""select J where D='""&amp;D45&amp;""'"",1))"),5407.0)</f>
        <v>5407</v>
      </c>
      <c r="S45" s="328">
        <f>IFERROR(__xludf.DUMMYFUNCTION("SUM(QUERY(Coletas_BD!D:M,""select K where D='""&amp;D45&amp;""'"",1))"),25.0)</f>
        <v>25</v>
      </c>
      <c r="T45" s="328">
        <f>IFERROR(__xludf.DUMMYFUNCTION("SUM(QUERY(Coletas_BD!D:M,""select L where D='""&amp;D45&amp;""'"",1))"),75.0)</f>
        <v>75</v>
      </c>
      <c r="U45" s="328">
        <f>IFERROR(__xludf.DUMMYFUNCTION("SUM(QUERY(Coletas_BD!D:M,""select M where D='""&amp;D45&amp;""'"",1))"),250.0)</f>
        <v>250</v>
      </c>
      <c r="V45" s="328">
        <f>IFERROR(__xludf.DUMMYFUNCTION("SUM(QUERY(Coletas_BD!D:S,""select P where D='""&amp;D45&amp;""'"",1))"),65.0)</f>
        <v>65</v>
      </c>
      <c r="W45" s="328">
        <f>IFERROR(__xludf.DUMMYFUNCTION("SUM(QUERY(Coletas_BD!D:S,""select Q where D='""&amp;D45&amp;""'"",1))"),21.0)</f>
        <v>21</v>
      </c>
      <c r="X45" s="328">
        <f>IFERROR(__xludf.DUMMYFUNCTION("SUM(QUERY(Coletas_BD!D:S,""select R where D='""&amp;D45&amp;""'"",1))"),2.0)</f>
        <v>2</v>
      </c>
      <c r="Y45" s="328">
        <f>IFERROR(__xludf.DUMMYFUNCTION("SUM(QUERY(Coletas_BD!D:S,""select S where D='""&amp;D45&amp;""'"",1))"),4.0)</f>
        <v>4</v>
      </c>
      <c r="Z45" s="368"/>
    </row>
    <row r="46" ht="18.75" customHeight="1">
      <c r="A46" s="320"/>
      <c r="B46" s="321"/>
      <c r="C46" s="322">
        <v>45.0</v>
      </c>
      <c r="D46" s="351"/>
      <c r="E46" s="355"/>
      <c r="F46" s="369"/>
      <c r="G46" s="370"/>
      <c r="H46" s="370"/>
      <c r="I46" s="354"/>
      <c r="J46" s="354"/>
      <c r="K46" s="354"/>
      <c r="L46" s="354"/>
      <c r="M46" s="354"/>
      <c r="N46" s="354"/>
      <c r="O46" s="373"/>
      <c r="P46" s="354"/>
      <c r="Q46" s="370"/>
      <c r="R46" s="328">
        <f>IFERROR(__xludf.DUMMYFUNCTION("SUM(QUERY(Coletas_BD!D:M,""select J where D='""&amp;D46&amp;""'"",1))"),5407.0)</f>
        <v>5407</v>
      </c>
      <c r="S46" s="328">
        <f>IFERROR(__xludf.DUMMYFUNCTION("SUM(QUERY(Coletas_BD!D:M,""select K where D='""&amp;D46&amp;""'"",1))"),25.0)</f>
        <v>25</v>
      </c>
      <c r="T46" s="328">
        <f>IFERROR(__xludf.DUMMYFUNCTION("SUM(QUERY(Coletas_BD!D:M,""select L where D='""&amp;D46&amp;""'"",1))"),75.0)</f>
        <v>75</v>
      </c>
      <c r="U46" s="328">
        <f>IFERROR(__xludf.DUMMYFUNCTION("SUM(QUERY(Coletas_BD!D:M,""select M where D='""&amp;D46&amp;""'"",1))"),250.0)</f>
        <v>250</v>
      </c>
      <c r="V46" s="328">
        <f>IFERROR(__xludf.DUMMYFUNCTION("SUM(QUERY(Coletas_BD!D:S,""select P where D='""&amp;D46&amp;""'"",1))"),65.0)</f>
        <v>65</v>
      </c>
      <c r="W46" s="328">
        <f>IFERROR(__xludf.DUMMYFUNCTION("SUM(QUERY(Coletas_BD!D:S,""select Q where D='""&amp;D46&amp;""'"",1))"),21.0)</f>
        <v>21</v>
      </c>
      <c r="X46" s="328">
        <f>IFERROR(__xludf.DUMMYFUNCTION("SUM(QUERY(Coletas_BD!D:S,""select R where D='""&amp;D46&amp;""'"",1))"),2.0)</f>
        <v>2</v>
      </c>
      <c r="Y46" s="328">
        <f>IFERROR(__xludf.DUMMYFUNCTION("SUM(QUERY(Coletas_BD!D:S,""select S where D='""&amp;D46&amp;""'"",1))"),4.0)</f>
        <v>4</v>
      </c>
      <c r="Z46" s="364"/>
    </row>
    <row r="47" ht="18.75" customHeight="1">
      <c r="A47" s="320"/>
      <c r="B47" s="321"/>
      <c r="C47" s="322">
        <v>46.0</v>
      </c>
      <c r="D47" s="351"/>
      <c r="E47" s="355"/>
      <c r="F47" s="369"/>
      <c r="G47" s="370"/>
      <c r="H47" s="370"/>
      <c r="I47" s="354"/>
      <c r="J47" s="354"/>
      <c r="K47" s="354"/>
      <c r="L47" s="354"/>
      <c r="M47" s="354"/>
      <c r="N47" s="354"/>
      <c r="O47" s="373"/>
      <c r="P47" s="354"/>
      <c r="Q47" s="370"/>
      <c r="R47" s="328">
        <f>IFERROR(__xludf.DUMMYFUNCTION("SUM(QUERY(Coletas_BD!D:M,""select J where D='""&amp;D47&amp;""'"",1))"),5407.0)</f>
        <v>5407</v>
      </c>
      <c r="S47" s="328">
        <f>IFERROR(__xludf.DUMMYFUNCTION("SUM(QUERY(Coletas_BD!D:M,""select K where D='""&amp;D47&amp;""'"",1))"),25.0)</f>
        <v>25</v>
      </c>
      <c r="T47" s="328">
        <f>IFERROR(__xludf.DUMMYFUNCTION("SUM(QUERY(Coletas_BD!D:M,""select L where D='""&amp;D47&amp;""'"",1))"),75.0)</f>
        <v>75</v>
      </c>
      <c r="U47" s="328">
        <f>IFERROR(__xludf.DUMMYFUNCTION("SUM(QUERY(Coletas_BD!D:M,""select M where D='""&amp;D47&amp;""'"",1))"),250.0)</f>
        <v>250</v>
      </c>
      <c r="V47" s="328">
        <f>IFERROR(__xludf.DUMMYFUNCTION("SUM(QUERY(Coletas_BD!D:S,""select P where D='""&amp;D47&amp;""'"",1))"),65.0)</f>
        <v>65</v>
      </c>
      <c r="W47" s="328">
        <f>IFERROR(__xludf.DUMMYFUNCTION("SUM(QUERY(Coletas_BD!D:S,""select Q where D='""&amp;D47&amp;""'"",1))"),21.0)</f>
        <v>21</v>
      </c>
      <c r="X47" s="328">
        <f>IFERROR(__xludf.DUMMYFUNCTION("SUM(QUERY(Coletas_BD!D:S,""select R where D='""&amp;D47&amp;""'"",1))"),2.0)</f>
        <v>2</v>
      </c>
      <c r="Y47" s="328">
        <f>IFERROR(__xludf.DUMMYFUNCTION("SUM(QUERY(Coletas_BD!D:S,""select S where D='""&amp;D47&amp;""'"",1))"),4.0)</f>
        <v>4</v>
      </c>
      <c r="Z47" s="368"/>
    </row>
    <row r="48" ht="18.75" customHeight="1">
      <c r="A48" s="320"/>
      <c r="B48" s="321"/>
      <c r="C48" s="322">
        <v>47.0</v>
      </c>
      <c r="D48" s="351"/>
      <c r="E48" s="355"/>
      <c r="F48" s="369"/>
      <c r="G48" s="370"/>
      <c r="H48" s="370"/>
      <c r="I48" s="354"/>
      <c r="J48" s="354"/>
      <c r="K48" s="354"/>
      <c r="L48" s="354"/>
      <c r="M48" s="354"/>
      <c r="N48" s="354"/>
      <c r="O48" s="373"/>
      <c r="P48" s="354"/>
      <c r="Q48" s="370"/>
      <c r="R48" s="328">
        <f>IFERROR(__xludf.DUMMYFUNCTION("SUM(QUERY(Coletas_BD!D:M,""select J where D='""&amp;D48&amp;""'"",1))"),5407.0)</f>
        <v>5407</v>
      </c>
      <c r="S48" s="328">
        <f>IFERROR(__xludf.DUMMYFUNCTION("SUM(QUERY(Coletas_BD!D:M,""select K where D='""&amp;D48&amp;""'"",1))"),25.0)</f>
        <v>25</v>
      </c>
      <c r="T48" s="328">
        <f>IFERROR(__xludf.DUMMYFUNCTION("SUM(QUERY(Coletas_BD!D:M,""select L where D='""&amp;D48&amp;""'"",1))"),75.0)</f>
        <v>75</v>
      </c>
      <c r="U48" s="328">
        <f>IFERROR(__xludf.DUMMYFUNCTION("SUM(QUERY(Coletas_BD!D:M,""select M where D='""&amp;D48&amp;""'"",1))"),250.0)</f>
        <v>250</v>
      </c>
      <c r="V48" s="328">
        <f>IFERROR(__xludf.DUMMYFUNCTION("SUM(QUERY(Coletas_BD!D:S,""select P where D='""&amp;D48&amp;""'"",1))"),65.0)</f>
        <v>65</v>
      </c>
      <c r="W48" s="328">
        <f>IFERROR(__xludf.DUMMYFUNCTION("SUM(QUERY(Coletas_BD!D:S,""select Q where D='""&amp;D48&amp;""'"",1))"),21.0)</f>
        <v>21</v>
      </c>
      <c r="X48" s="328">
        <f>IFERROR(__xludf.DUMMYFUNCTION("SUM(QUERY(Coletas_BD!D:S,""select R where D='""&amp;D48&amp;""'"",1))"),2.0)</f>
        <v>2</v>
      </c>
      <c r="Y48" s="328">
        <f>IFERROR(__xludf.DUMMYFUNCTION("SUM(QUERY(Coletas_BD!D:S,""select S where D='""&amp;D48&amp;""'"",1))"),4.0)</f>
        <v>4</v>
      </c>
      <c r="Z48" s="364"/>
    </row>
    <row r="49" ht="18.75" customHeight="1">
      <c r="A49" s="320"/>
      <c r="B49" s="321"/>
      <c r="C49" s="322">
        <v>48.0</v>
      </c>
      <c r="D49" s="351"/>
      <c r="E49" s="355"/>
      <c r="F49" s="369"/>
      <c r="G49" s="370"/>
      <c r="H49" s="370"/>
      <c r="I49" s="354"/>
      <c r="J49" s="354"/>
      <c r="K49" s="354"/>
      <c r="L49" s="354"/>
      <c r="M49" s="354"/>
      <c r="N49" s="354"/>
      <c r="O49" s="373"/>
      <c r="P49" s="354"/>
      <c r="Q49" s="370"/>
      <c r="R49" s="328">
        <f>IFERROR(__xludf.DUMMYFUNCTION("SUM(QUERY(Coletas_BD!D:M,""select J where D='""&amp;D49&amp;""'"",1))"),5407.0)</f>
        <v>5407</v>
      </c>
      <c r="S49" s="328">
        <f>IFERROR(__xludf.DUMMYFUNCTION("SUM(QUERY(Coletas_BD!D:M,""select K where D='""&amp;D49&amp;""'"",1))"),25.0)</f>
        <v>25</v>
      </c>
      <c r="T49" s="328">
        <f>IFERROR(__xludf.DUMMYFUNCTION("SUM(QUERY(Coletas_BD!D:M,""select L where D='""&amp;D49&amp;""'"",1))"),75.0)</f>
        <v>75</v>
      </c>
      <c r="U49" s="328">
        <f>IFERROR(__xludf.DUMMYFUNCTION("SUM(QUERY(Coletas_BD!D:M,""select M where D='""&amp;D49&amp;""'"",1))"),250.0)</f>
        <v>250</v>
      </c>
      <c r="V49" s="328">
        <f>IFERROR(__xludf.DUMMYFUNCTION("SUM(QUERY(Coletas_BD!D:S,""select P where D='""&amp;D49&amp;""'"",1))"),65.0)</f>
        <v>65</v>
      </c>
      <c r="W49" s="328">
        <f>IFERROR(__xludf.DUMMYFUNCTION("SUM(QUERY(Coletas_BD!D:S,""select Q where D='""&amp;D49&amp;""'"",1))"),21.0)</f>
        <v>21</v>
      </c>
      <c r="X49" s="328">
        <f>IFERROR(__xludf.DUMMYFUNCTION("SUM(QUERY(Coletas_BD!D:S,""select R where D='""&amp;D49&amp;""'"",1))"),2.0)</f>
        <v>2</v>
      </c>
      <c r="Y49" s="328">
        <f>IFERROR(__xludf.DUMMYFUNCTION("SUM(QUERY(Coletas_BD!D:S,""select S where D='""&amp;D49&amp;""'"",1))"),4.0)</f>
        <v>4</v>
      </c>
      <c r="Z49" s="341"/>
    </row>
    <row r="50" ht="18.75" customHeight="1">
      <c r="A50" s="320"/>
      <c r="B50" s="321"/>
      <c r="C50" s="322">
        <v>49.0</v>
      </c>
      <c r="D50" s="351"/>
      <c r="E50" s="355"/>
      <c r="F50" s="369"/>
      <c r="G50" s="370"/>
      <c r="H50" s="370"/>
      <c r="I50" s="354"/>
      <c r="J50" s="354"/>
      <c r="K50" s="354"/>
      <c r="L50" s="354"/>
      <c r="M50" s="354"/>
      <c r="N50" s="354"/>
      <c r="O50" s="373"/>
      <c r="P50" s="354"/>
      <c r="Q50" s="370"/>
      <c r="R50" s="328">
        <f>IFERROR(__xludf.DUMMYFUNCTION("SUM(QUERY(Coletas_BD!D:M,""select J where D='""&amp;D50&amp;""'"",1))"),5407.0)</f>
        <v>5407</v>
      </c>
      <c r="S50" s="328">
        <f>IFERROR(__xludf.DUMMYFUNCTION("SUM(QUERY(Coletas_BD!D:M,""select K where D='""&amp;D50&amp;""'"",1))"),25.0)</f>
        <v>25</v>
      </c>
      <c r="T50" s="328">
        <f>IFERROR(__xludf.DUMMYFUNCTION("SUM(QUERY(Coletas_BD!D:M,""select L where D='""&amp;D50&amp;""'"",1))"),75.0)</f>
        <v>75</v>
      </c>
      <c r="U50" s="328">
        <f>IFERROR(__xludf.DUMMYFUNCTION("SUM(QUERY(Coletas_BD!D:M,""select M where D='""&amp;D50&amp;""'"",1))"),250.0)</f>
        <v>250</v>
      </c>
      <c r="V50" s="328">
        <f>IFERROR(__xludf.DUMMYFUNCTION("SUM(QUERY(Coletas_BD!D:S,""select P where D='""&amp;D50&amp;""'"",1))"),65.0)</f>
        <v>65</v>
      </c>
      <c r="W50" s="328">
        <f>IFERROR(__xludf.DUMMYFUNCTION("SUM(QUERY(Coletas_BD!D:S,""select Q where D='""&amp;D50&amp;""'"",1))"),21.0)</f>
        <v>21</v>
      </c>
      <c r="X50" s="328">
        <f>IFERROR(__xludf.DUMMYFUNCTION("SUM(QUERY(Coletas_BD!D:S,""select R where D='""&amp;D50&amp;""'"",1))"),2.0)</f>
        <v>2</v>
      </c>
      <c r="Y50" s="328">
        <f>IFERROR(__xludf.DUMMYFUNCTION("SUM(QUERY(Coletas_BD!D:S,""select S where D='""&amp;D50&amp;""'"",1))"),4.0)</f>
        <v>4</v>
      </c>
      <c r="Z50" s="364"/>
    </row>
    <row r="51" ht="18.75" customHeight="1">
      <c r="A51" s="320"/>
      <c r="B51" s="321"/>
      <c r="C51" s="322">
        <v>50.0</v>
      </c>
      <c r="D51" s="351"/>
      <c r="E51" s="355"/>
      <c r="F51" s="355"/>
      <c r="G51" s="354"/>
      <c r="H51" s="354"/>
      <c r="I51" s="354"/>
      <c r="J51" s="354"/>
      <c r="K51" s="354"/>
      <c r="L51" s="354"/>
      <c r="M51" s="354"/>
      <c r="N51" s="354"/>
      <c r="O51" s="373"/>
      <c r="P51" s="354"/>
      <c r="Q51" s="370"/>
      <c r="R51" s="328">
        <f>IFERROR(__xludf.DUMMYFUNCTION("SUM(QUERY(Coletas_BD!D:M,""select J where D='""&amp;D51&amp;""'"",1))"),5407.0)</f>
        <v>5407</v>
      </c>
      <c r="S51" s="328">
        <f>IFERROR(__xludf.DUMMYFUNCTION("SUM(QUERY(Coletas_BD!D:M,""select K where D='""&amp;D51&amp;""'"",1))"),25.0)</f>
        <v>25</v>
      </c>
      <c r="T51" s="328">
        <f>IFERROR(__xludf.DUMMYFUNCTION("SUM(QUERY(Coletas_BD!D:M,""select L where D='""&amp;D51&amp;""'"",1))"),75.0)</f>
        <v>75</v>
      </c>
      <c r="U51" s="328">
        <f>IFERROR(__xludf.DUMMYFUNCTION("SUM(QUERY(Coletas_BD!D:M,""select M where D='""&amp;D51&amp;""'"",1))"),250.0)</f>
        <v>250</v>
      </c>
      <c r="V51" s="328">
        <f>IFERROR(__xludf.DUMMYFUNCTION("SUM(QUERY(Coletas_BD!D:S,""select P where D='""&amp;D51&amp;""'"",1))"),65.0)</f>
        <v>65</v>
      </c>
      <c r="W51" s="328">
        <f>IFERROR(__xludf.DUMMYFUNCTION("SUM(QUERY(Coletas_BD!D:S,""select Q where D='""&amp;D51&amp;""'"",1))"),21.0)</f>
        <v>21</v>
      </c>
      <c r="X51" s="328">
        <f>IFERROR(__xludf.DUMMYFUNCTION("SUM(QUERY(Coletas_BD!D:S,""select R where D='""&amp;D51&amp;""'"",1))"),2.0)</f>
        <v>2</v>
      </c>
      <c r="Y51" s="328">
        <f>IFERROR(__xludf.DUMMYFUNCTION("SUM(QUERY(Coletas_BD!D:S,""select S where D='""&amp;D51&amp;""'"",1))"),4.0)</f>
        <v>4</v>
      </c>
      <c r="Z51" s="368"/>
    </row>
    <row r="52" ht="18.75" customHeight="1">
      <c r="A52" s="320"/>
      <c r="B52" s="321"/>
      <c r="C52" s="322">
        <v>51.0</v>
      </c>
      <c r="D52" s="351"/>
      <c r="E52" s="355"/>
      <c r="F52" s="369"/>
      <c r="G52" s="370"/>
      <c r="H52" s="370"/>
      <c r="I52" s="354"/>
      <c r="J52" s="354"/>
      <c r="K52" s="354"/>
      <c r="L52" s="354"/>
      <c r="M52" s="354"/>
      <c r="N52" s="354"/>
      <c r="O52" s="373"/>
      <c r="P52" s="354"/>
      <c r="Q52" s="370"/>
      <c r="R52" s="328">
        <f>IFERROR(__xludf.DUMMYFUNCTION("SUM(QUERY(Coletas_BD!D:M,""select J where D='""&amp;D52&amp;""'"",1))"),5407.0)</f>
        <v>5407</v>
      </c>
      <c r="S52" s="328">
        <f>IFERROR(__xludf.DUMMYFUNCTION("SUM(QUERY(Coletas_BD!D:M,""select K where D='""&amp;D52&amp;""'"",1))"),25.0)</f>
        <v>25</v>
      </c>
      <c r="T52" s="328">
        <f>IFERROR(__xludf.DUMMYFUNCTION("SUM(QUERY(Coletas_BD!D:M,""select L where D='""&amp;D52&amp;""'"",1))"),75.0)</f>
        <v>75</v>
      </c>
      <c r="U52" s="328">
        <f>IFERROR(__xludf.DUMMYFUNCTION("SUM(QUERY(Coletas_BD!D:M,""select M where D='""&amp;D52&amp;""'"",1))"),250.0)</f>
        <v>250</v>
      </c>
      <c r="V52" s="328">
        <f>IFERROR(__xludf.DUMMYFUNCTION("SUM(QUERY(Coletas_BD!D:S,""select P where D='""&amp;D52&amp;""'"",1))"),65.0)</f>
        <v>65</v>
      </c>
      <c r="W52" s="328">
        <f>IFERROR(__xludf.DUMMYFUNCTION("SUM(QUERY(Coletas_BD!D:S,""select Q where D='""&amp;D52&amp;""'"",1))"),21.0)</f>
        <v>21</v>
      </c>
      <c r="X52" s="328">
        <f>IFERROR(__xludf.DUMMYFUNCTION("SUM(QUERY(Coletas_BD!D:S,""select R where D='""&amp;D52&amp;""'"",1))"),2.0)</f>
        <v>2</v>
      </c>
      <c r="Y52" s="328">
        <f>IFERROR(__xludf.DUMMYFUNCTION("SUM(QUERY(Coletas_BD!D:S,""select S where D='""&amp;D52&amp;""'"",1))"),4.0)</f>
        <v>4</v>
      </c>
      <c r="Z52" s="364"/>
    </row>
    <row r="53" ht="18.75" customHeight="1">
      <c r="A53" s="320"/>
      <c r="B53" s="321"/>
      <c r="C53" s="322">
        <v>52.0</v>
      </c>
      <c r="D53" s="351"/>
      <c r="E53" s="355"/>
      <c r="F53" s="369"/>
      <c r="G53" s="370"/>
      <c r="H53" s="370"/>
      <c r="I53" s="354"/>
      <c r="J53" s="354"/>
      <c r="K53" s="354"/>
      <c r="L53" s="354"/>
      <c r="M53" s="354"/>
      <c r="N53" s="354"/>
      <c r="O53" s="373"/>
      <c r="P53" s="354"/>
      <c r="Q53" s="370"/>
      <c r="R53" s="328">
        <f>IFERROR(__xludf.DUMMYFUNCTION("SUM(QUERY(Coletas_BD!D:M,""select J where D='""&amp;D53&amp;""'"",1))"),5407.0)</f>
        <v>5407</v>
      </c>
      <c r="S53" s="328">
        <f>IFERROR(__xludf.DUMMYFUNCTION("SUM(QUERY(Coletas_BD!D:M,""select K where D='""&amp;D53&amp;""'"",1))"),25.0)</f>
        <v>25</v>
      </c>
      <c r="T53" s="328">
        <f>IFERROR(__xludf.DUMMYFUNCTION("SUM(QUERY(Coletas_BD!D:M,""select L where D='""&amp;D53&amp;""'"",1))"),75.0)</f>
        <v>75</v>
      </c>
      <c r="U53" s="328">
        <f>IFERROR(__xludf.DUMMYFUNCTION("SUM(QUERY(Coletas_BD!D:M,""select M where D='""&amp;D53&amp;""'"",1))"),250.0)</f>
        <v>250</v>
      </c>
      <c r="V53" s="328">
        <f>IFERROR(__xludf.DUMMYFUNCTION("SUM(QUERY(Coletas_BD!D:S,""select P where D='""&amp;D53&amp;""'"",1))"),65.0)</f>
        <v>65</v>
      </c>
      <c r="W53" s="328">
        <f>IFERROR(__xludf.DUMMYFUNCTION("SUM(QUERY(Coletas_BD!D:S,""select Q where D='""&amp;D53&amp;""'"",1))"),21.0)</f>
        <v>21</v>
      </c>
      <c r="X53" s="328">
        <f>IFERROR(__xludf.DUMMYFUNCTION("SUM(QUERY(Coletas_BD!D:S,""select R where D='""&amp;D53&amp;""'"",1))"),2.0)</f>
        <v>2</v>
      </c>
      <c r="Y53" s="328">
        <f>IFERROR(__xludf.DUMMYFUNCTION("SUM(QUERY(Coletas_BD!D:S,""select S where D='""&amp;D53&amp;""'"",1))"),4.0)</f>
        <v>4</v>
      </c>
      <c r="Z53" s="368"/>
    </row>
    <row r="54" ht="18.75" customHeight="1">
      <c r="A54" s="320"/>
      <c r="B54" s="321"/>
      <c r="C54" s="322">
        <v>53.0</v>
      </c>
      <c r="D54" s="351"/>
      <c r="E54" s="355"/>
      <c r="F54" s="369"/>
      <c r="G54" s="370"/>
      <c r="H54" s="370"/>
      <c r="I54" s="354"/>
      <c r="J54" s="354"/>
      <c r="K54" s="354"/>
      <c r="L54" s="354"/>
      <c r="M54" s="354"/>
      <c r="N54" s="354"/>
      <c r="O54" s="373"/>
      <c r="P54" s="354"/>
      <c r="Q54" s="370"/>
      <c r="R54" s="328">
        <f>IFERROR(__xludf.DUMMYFUNCTION("SUM(QUERY(Coletas_BD!D:M,""select J where D='""&amp;D54&amp;""'"",1))"),5407.0)</f>
        <v>5407</v>
      </c>
      <c r="S54" s="328">
        <f>IFERROR(__xludf.DUMMYFUNCTION("SUM(QUERY(Coletas_BD!D:M,""select K where D='""&amp;D54&amp;""'"",1))"),25.0)</f>
        <v>25</v>
      </c>
      <c r="T54" s="328">
        <f>IFERROR(__xludf.DUMMYFUNCTION("SUM(QUERY(Coletas_BD!D:M,""select L where D='""&amp;D54&amp;""'"",1))"),75.0)</f>
        <v>75</v>
      </c>
      <c r="U54" s="328">
        <f>IFERROR(__xludf.DUMMYFUNCTION("SUM(QUERY(Coletas_BD!D:M,""select M where D='""&amp;D54&amp;""'"",1))"),250.0)</f>
        <v>250</v>
      </c>
      <c r="V54" s="328">
        <f>IFERROR(__xludf.DUMMYFUNCTION("SUM(QUERY(Coletas_BD!D:S,""select P where D='""&amp;D54&amp;""'"",1))"),65.0)</f>
        <v>65</v>
      </c>
      <c r="W54" s="328">
        <f>IFERROR(__xludf.DUMMYFUNCTION("SUM(QUERY(Coletas_BD!D:S,""select Q where D='""&amp;D54&amp;""'"",1))"),21.0)</f>
        <v>21</v>
      </c>
      <c r="X54" s="328">
        <f>IFERROR(__xludf.DUMMYFUNCTION("SUM(QUERY(Coletas_BD!D:S,""select R where D='""&amp;D54&amp;""'"",1))"),2.0)</f>
        <v>2</v>
      </c>
      <c r="Y54" s="328">
        <f>IFERROR(__xludf.DUMMYFUNCTION("SUM(QUERY(Coletas_BD!D:S,""select S where D='""&amp;D54&amp;""'"",1))"),4.0)</f>
        <v>4</v>
      </c>
      <c r="Z54" s="364"/>
    </row>
    <row r="55" ht="18.75" customHeight="1">
      <c r="A55" s="320"/>
      <c r="B55" s="321"/>
      <c r="C55" s="322">
        <v>54.0</v>
      </c>
      <c r="D55" s="351"/>
      <c r="E55" s="355"/>
      <c r="F55" s="369"/>
      <c r="G55" s="370"/>
      <c r="H55" s="370"/>
      <c r="I55" s="354"/>
      <c r="J55" s="354"/>
      <c r="K55" s="354"/>
      <c r="L55" s="354"/>
      <c r="M55" s="354"/>
      <c r="N55" s="354"/>
      <c r="O55" s="373"/>
      <c r="P55" s="354"/>
      <c r="Q55" s="370"/>
      <c r="R55" s="328">
        <f>IFERROR(__xludf.DUMMYFUNCTION("SUM(QUERY(Coletas_BD!D:M,""select J where D='""&amp;D55&amp;""'"",1))"),5407.0)</f>
        <v>5407</v>
      </c>
      <c r="S55" s="328">
        <f>IFERROR(__xludf.DUMMYFUNCTION("SUM(QUERY(Coletas_BD!D:M,""select K where D='""&amp;D55&amp;""'"",1))"),25.0)</f>
        <v>25</v>
      </c>
      <c r="T55" s="328">
        <f>IFERROR(__xludf.DUMMYFUNCTION("SUM(QUERY(Coletas_BD!D:M,""select L where D='""&amp;D55&amp;""'"",1))"),75.0)</f>
        <v>75</v>
      </c>
      <c r="U55" s="328">
        <f>IFERROR(__xludf.DUMMYFUNCTION("SUM(QUERY(Coletas_BD!D:M,""select M where D='""&amp;D55&amp;""'"",1))"),250.0)</f>
        <v>250</v>
      </c>
      <c r="V55" s="328">
        <f>IFERROR(__xludf.DUMMYFUNCTION("SUM(QUERY(Coletas_BD!D:S,""select P where D='""&amp;D55&amp;""'"",1))"),65.0)</f>
        <v>65</v>
      </c>
      <c r="W55" s="328">
        <f>IFERROR(__xludf.DUMMYFUNCTION("SUM(QUERY(Coletas_BD!D:S,""select Q where D='""&amp;D55&amp;""'"",1))"),21.0)</f>
        <v>21</v>
      </c>
      <c r="X55" s="328">
        <f>IFERROR(__xludf.DUMMYFUNCTION("SUM(QUERY(Coletas_BD!D:S,""select R where D='""&amp;D55&amp;""'"",1))"),2.0)</f>
        <v>2</v>
      </c>
      <c r="Y55" s="328">
        <f>IFERROR(__xludf.DUMMYFUNCTION("SUM(QUERY(Coletas_BD!D:S,""select S where D='""&amp;D55&amp;""'"",1))"),4.0)</f>
        <v>4</v>
      </c>
      <c r="Z55" s="341"/>
    </row>
    <row r="56" ht="18.75" customHeight="1">
      <c r="A56" s="320"/>
      <c r="B56" s="321"/>
      <c r="C56" s="322">
        <v>55.0</v>
      </c>
      <c r="D56" s="351"/>
      <c r="E56" s="355"/>
      <c r="F56" s="369"/>
      <c r="G56" s="370"/>
      <c r="H56" s="370"/>
      <c r="I56" s="354"/>
      <c r="J56" s="354"/>
      <c r="K56" s="354"/>
      <c r="L56" s="354"/>
      <c r="M56" s="354"/>
      <c r="N56" s="354"/>
      <c r="O56" s="373"/>
      <c r="P56" s="354"/>
      <c r="Q56" s="370"/>
      <c r="R56" s="328">
        <f>IFERROR(__xludf.DUMMYFUNCTION("SUM(QUERY(Coletas_BD!D:M,""select J where D='""&amp;D56&amp;""'"",1))"),5407.0)</f>
        <v>5407</v>
      </c>
      <c r="S56" s="328">
        <f>IFERROR(__xludf.DUMMYFUNCTION("SUM(QUERY(Coletas_BD!D:M,""select K where D='""&amp;D56&amp;""'"",1))"),25.0)</f>
        <v>25</v>
      </c>
      <c r="T56" s="328">
        <f>IFERROR(__xludf.DUMMYFUNCTION("SUM(QUERY(Coletas_BD!D:M,""select L where D='""&amp;D56&amp;""'"",1))"),75.0)</f>
        <v>75</v>
      </c>
      <c r="U56" s="328">
        <f>IFERROR(__xludf.DUMMYFUNCTION("SUM(QUERY(Coletas_BD!D:M,""select M where D='""&amp;D56&amp;""'"",1))"),250.0)</f>
        <v>250</v>
      </c>
      <c r="V56" s="328">
        <f>IFERROR(__xludf.DUMMYFUNCTION("SUM(QUERY(Coletas_BD!D:S,""select P where D='""&amp;D56&amp;""'"",1))"),65.0)</f>
        <v>65</v>
      </c>
      <c r="W56" s="328">
        <f>IFERROR(__xludf.DUMMYFUNCTION("SUM(QUERY(Coletas_BD!D:S,""select Q where D='""&amp;D56&amp;""'"",1))"),21.0)</f>
        <v>21</v>
      </c>
      <c r="X56" s="328">
        <f>IFERROR(__xludf.DUMMYFUNCTION("SUM(QUERY(Coletas_BD!D:S,""select R where D='""&amp;D56&amp;""'"",1))"),2.0)</f>
        <v>2</v>
      </c>
      <c r="Y56" s="328">
        <f>IFERROR(__xludf.DUMMYFUNCTION("SUM(QUERY(Coletas_BD!D:S,""select S where D='""&amp;D56&amp;""'"",1))"),4.0)</f>
        <v>4</v>
      </c>
      <c r="Z56" s="364"/>
    </row>
    <row r="57" ht="18.75" customHeight="1">
      <c r="A57" s="320"/>
      <c r="B57" s="321"/>
      <c r="C57" s="322">
        <v>56.0</v>
      </c>
      <c r="D57" s="351"/>
      <c r="E57" s="355"/>
      <c r="F57" s="355"/>
      <c r="G57" s="354"/>
      <c r="H57" s="354"/>
      <c r="I57" s="354"/>
      <c r="J57" s="354"/>
      <c r="K57" s="354"/>
      <c r="L57" s="354"/>
      <c r="M57" s="354"/>
      <c r="N57" s="354"/>
      <c r="O57" s="373"/>
      <c r="P57" s="354"/>
      <c r="Q57" s="370"/>
      <c r="R57" s="328">
        <f>IFERROR(__xludf.DUMMYFUNCTION("SUM(QUERY(Coletas_BD!D:M,""select J where D='""&amp;D57&amp;""'"",1))"),5407.0)</f>
        <v>5407</v>
      </c>
      <c r="S57" s="328">
        <f>IFERROR(__xludf.DUMMYFUNCTION("SUM(QUERY(Coletas_BD!D:M,""select K where D='""&amp;D57&amp;""'"",1))"),25.0)</f>
        <v>25</v>
      </c>
      <c r="T57" s="328">
        <f>IFERROR(__xludf.DUMMYFUNCTION("SUM(QUERY(Coletas_BD!D:M,""select L where D='""&amp;D57&amp;""'"",1))"),75.0)</f>
        <v>75</v>
      </c>
      <c r="U57" s="328">
        <f>IFERROR(__xludf.DUMMYFUNCTION("SUM(QUERY(Coletas_BD!D:M,""select M where D='""&amp;D57&amp;""'"",1))"),250.0)</f>
        <v>250</v>
      </c>
      <c r="V57" s="328">
        <f>IFERROR(__xludf.DUMMYFUNCTION("SUM(QUERY(Coletas_BD!D:S,""select P where D='""&amp;D57&amp;""'"",1))"),65.0)</f>
        <v>65</v>
      </c>
      <c r="W57" s="328">
        <f>IFERROR(__xludf.DUMMYFUNCTION("SUM(QUERY(Coletas_BD!D:S,""select Q where D='""&amp;D57&amp;""'"",1))"),21.0)</f>
        <v>21</v>
      </c>
      <c r="X57" s="328">
        <f>IFERROR(__xludf.DUMMYFUNCTION("SUM(QUERY(Coletas_BD!D:S,""select R where D='""&amp;D57&amp;""'"",1))"),2.0)</f>
        <v>2</v>
      </c>
      <c r="Y57" s="328">
        <f>IFERROR(__xludf.DUMMYFUNCTION("SUM(QUERY(Coletas_BD!D:S,""select S where D='""&amp;D57&amp;""'"",1))"),4.0)</f>
        <v>4</v>
      </c>
      <c r="Z57" s="368"/>
    </row>
    <row r="58" ht="18.75" customHeight="1">
      <c r="A58" s="320"/>
      <c r="B58" s="321"/>
      <c r="C58" s="322">
        <v>57.0</v>
      </c>
      <c r="D58" s="351"/>
      <c r="E58" s="355"/>
      <c r="F58" s="369"/>
      <c r="G58" s="370"/>
      <c r="H58" s="370"/>
      <c r="I58" s="354"/>
      <c r="J58" s="354"/>
      <c r="K58" s="354"/>
      <c r="L58" s="354"/>
      <c r="M58" s="354"/>
      <c r="N58" s="354"/>
      <c r="O58" s="373"/>
      <c r="P58" s="354"/>
      <c r="Q58" s="370"/>
      <c r="R58" s="328">
        <f>IFERROR(__xludf.DUMMYFUNCTION("SUM(QUERY(Coletas_BD!D:M,""select J where D='""&amp;D58&amp;""'"",1))"),5407.0)</f>
        <v>5407</v>
      </c>
      <c r="S58" s="328">
        <f>IFERROR(__xludf.DUMMYFUNCTION("SUM(QUERY(Coletas_BD!D:M,""select K where D='""&amp;D58&amp;""'"",1))"),25.0)</f>
        <v>25</v>
      </c>
      <c r="T58" s="328">
        <f>IFERROR(__xludf.DUMMYFUNCTION("SUM(QUERY(Coletas_BD!D:M,""select L where D='""&amp;D58&amp;""'"",1))"),75.0)</f>
        <v>75</v>
      </c>
      <c r="U58" s="328">
        <f>IFERROR(__xludf.DUMMYFUNCTION("SUM(QUERY(Coletas_BD!D:M,""select M where D='""&amp;D58&amp;""'"",1))"),250.0)</f>
        <v>250</v>
      </c>
      <c r="V58" s="328">
        <f>IFERROR(__xludf.DUMMYFUNCTION("SUM(QUERY(Coletas_BD!D:S,""select P where D='""&amp;D58&amp;""'"",1))"),65.0)</f>
        <v>65</v>
      </c>
      <c r="W58" s="328">
        <f>IFERROR(__xludf.DUMMYFUNCTION("SUM(QUERY(Coletas_BD!D:S,""select Q where D='""&amp;D58&amp;""'"",1))"),21.0)</f>
        <v>21</v>
      </c>
      <c r="X58" s="328">
        <f>IFERROR(__xludf.DUMMYFUNCTION("SUM(QUERY(Coletas_BD!D:S,""select R where D='""&amp;D58&amp;""'"",1))"),2.0)</f>
        <v>2</v>
      </c>
      <c r="Y58" s="328">
        <f>IFERROR(__xludf.DUMMYFUNCTION("SUM(QUERY(Coletas_BD!D:S,""select S where D='""&amp;D58&amp;""'"",1))"),4.0)</f>
        <v>4</v>
      </c>
      <c r="Z58" s="364"/>
    </row>
    <row r="59" ht="18.75" customHeight="1">
      <c r="A59" s="320"/>
      <c r="B59" s="321"/>
      <c r="C59" s="322">
        <v>58.0</v>
      </c>
      <c r="D59" s="351"/>
      <c r="E59" s="355"/>
      <c r="F59" s="369"/>
      <c r="G59" s="370"/>
      <c r="H59" s="370"/>
      <c r="I59" s="354"/>
      <c r="J59" s="354"/>
      <c r="K59" s="354"/>
      <c r="L59" s="354"/>
      <c r="M59" s="354"/>
      <c r="N59" s="354"/>
      <c r="O59" s="373"/>
      <c r="P59" s="354"/>
      <c r="Q59" s="370"/>
      <c r="R59" s="328">
        <f>IFERROR(__xludf.DUMMYFUNCTION("SUM(QUERY(Coletas_BD!D:M,""select J where D='""&amp;D59&amp;""'"",1))"),5407.0)</f>
        <v>5407</v>
      </c>
      <c r="S59" s="328">
        <f>IFERROR(__xludf.DUMMYFUNCTION("SUM(QUERY(Coletas_BD!D:M,""select K where D='""&amp;D59&amp;""'"",1))"),25.0)</f>
        <v>25</v>
      </c>
      <c r="T59" s="328">
        <f>IFERROR(__xludf.DUMMYFUNCTION("SUM(QUERY(Coletas_BD!D:M,""select L where D='""&amp;D59&amp;""'"",1))"),75.0)</f>
        <v>75</v>
      </c>
      <c r="U59" s="328">
        <f>IFERROR(__xludf.DUMMYFUNCTION("SUM(QUERY(Coletas_BD!D:M,""select M where D='""&amp;D59&amp;""'"",1))"),250.0)</f>
        <v>250</v>
      </c>
      <c r="V59" s="328">
        <f>IFERROR(__xludf.DUMMYFUNCTION("SUM(QUERY(Coletas_BD!D:S,""select P where D='""&amp;D59&amp;""'"",1))"),65.0)</f>
        <v>65</v>
      </c>
      <c r="W59" s="328">
        <f>IFERROR(__xludf.DUMMYFUNCTION("SUM(QUERY(Coletas_BD!D:S,""select Q where D='""&amp;D59&amp;""'"",1))"),21.0)</f>
        <v>21</v>
      </c>
      <c r="X59" s="328">
        <f>IFERROR(__xludf.DUMMYFUNCTION("SUM(QUERY(Coletas_BD!D:S,""select R where D='""&amp;D59&amp;""'"",1))"),2.0)</f>
        <v>2</v>
      </c>
      <c r="Y59" s="328">
        <f>IFERROR(__xludf.DUMMYFUNCTION("SUM(QUERY(Coletas_BD!D:S,""select S where D='""&amp;D59&amp;""'"",1))"),4.0)</f>
        <v>4</v>
      </c>
      <c r="Z59" s="368"/>
    </row>
    <row r="60" ht="18.75" customHeight="1">
      <c r="A60" s="320"/>
      <c r="B60" s="321"/>
      <c r="C60" s="322">
        <v>59.0</v>
      </c>
      <c r="D60" s="351"/>
      <c r="E60" s="355"/>
      <c r="F60" s="355"/>
      <c r="G60" s="354"/>
      <c r="H60" s="354"/>
      <c r="I60" s="354"/>
      <c r="J60" s="354"/>
      <c r="K60" s="354"/>
      <c r="L60" s="354"/>
      <c r="M60" s="354"/>
      <c r="N60" s="354"/>
      <c r="O60" s="373"/>
      <c r="P60" s="354"/>
      <c r="Q60" s="370"/>
      <c r="R60" s="328">
        <f>IFERROR(__xludf.DUMMYFUNCTION("SUM(QUERY(Coletas_BD!D:M,""select J where D='""&amp;D60&amp;""'"",1))"),5407.0)</f>
        <v>5407</v>
      </c>
      <c r="S60" s="328">
        <f>IFERROR(__xludf.DUMMYFUNCTION("SUM(QUERY(Coletas_BD!D:M,""select K where D='""&amp;D60&amp;""'"",1))"),25.0)</f>
        <v>25</v>
      </c>
      <c r="T60" s="328">
        <f>IFERROR(__xludf.DUMMYFUNCTION("SUM(QUERY(Coletas_BD!D:M,""select L where D='""&amp;D60&amp;""'"",1))"),75.0)</f>
        <v>75</v>
      </c>
      <c r="U60" s="328">
        <f>IFERROR(__xludf.DUMMYFUNCTION("SUM(QUERY(Coletas_BD!D:M,""select M where D='""&amp;D60&amp;""'"",1))"),250.0)</f>
        <v>250</v>
      </c>
      <c r="V60" s="328">
        <f>IFERROR(__xludf.DUMMYFUNCTION("SUM(QUERY(Coletas_BD!D:S,""select P where D='""&amp;D60&amp;""'"",1))"),65.0)</f>
        <v>65</v>
      </c>
      <c r="W60" s="328">
        <f>IFERROR(__xludf.DUMMYFUNCTION("SUM(QUERY(Coletas_BD!D:S,""select Q where D='""&amp;D60&amp;""'"",1))"),21.0)</f>
        <v>21</v>
      </c>
      <c r="X60" s="328">
        <f>IFERROR(__xludf.DUMMYFUNCTION("SUM(QUERY(Coletas_BD!D:S,""select R where D='""&amp;D60&amp;""'"",1))"),2.0)</f>
        <v>2</v>
      </c>
      <c r="Y60" s="328">
        <f>IFERROR(__xludf.DUMMYFUNCTION("SUM(QUERY(Coletas_BD!D:S,""select S where D='""&amp;D60&amp;""'"",1))"),4.0)</f>
        <v>4</v>
      </c>
      <c r="Z60" s="364"/>
    </row>
    <row r="61" ht="18.75" customHeight="1">
      <c r="A61" s="320"/>
      <c r="B61" s="321"/>
      <c r="C61" s="322">
        <v>60.0</v>
      </c>
      <c r="D61" s="351"/>
      <c r="E61" s="355"/>
      <c r="F61" s="355"/>
      <c r="G61" s="354"/>
      <c r="H61" s="354"/>
      <c r="I61" s="354"/>
      <c r="J61" s="354"/>
      <c r="K61" s="354"/>
      <c r="L61" s="354"/>
      <c r="M61" s="354"/>
      <c r="N61" s="354"/>
      <c r="O61" s="373"/>
      <c r="P61" s="354"/>
      <c r="Q61" s="370"/>
      <c r="R61" s="328">
        <f>IFERROR(__xludf.DUMMYFUNCTION("SUM(QUERY(Coletas_BD!D:M,""select J where D='""&amp;D61&amp;""'"",1))"),5407.0)</f>
        <v>5407</v>
      </c>
      <c r="S61" s="328">
        <f>IFERROR(__xludf.DUMMYFUNCTION("SUM(QUERY(Coletas_BD!D:M,""select K where D='""&amp;D61&amp;""'"",1))"),25.0)</f>
        <v>25</v>
      </c>
      <c r="T61" s="328">
        <f>IFERROR(__xludf.DUMMYFUNCTION("SUM(QUERY(Coletas_BD!D:M,""select L where D='""&amp;D61&amp;""'"",1))"),75.0)</f>
        <v>75</v>
      </c>
      <c r="U61" s="328">
        <f>IFERROR(__xludf.DUMMYFUNCTION("SUM(QUERY(Coletas_BD!D:M,""select M where D='""&amp;D61&amp;""'"",1))"),250.0)</f>
        <v>250</v>
      </c>
      <c r="V61" s="328">
        <f>IFERROR(__xludf.DUMMYFUNCTION("SUM(QUERY(Coletas_BD!D:S,""select P where D='""&amp;D61&amp;""'"",1))"),65.0)</f>
        <v>65</v>
      </c>
      <c r="W61" s="328">
        <f>IFERROR(__xludf.DUMMYFUNCTION("SUM(QUERY(Coletas_BD!D:S,""select Q where D='""&amp;D61&amp;""'"",1))"),21.0)</f>
        <v>21</v>
      </c>
      <c r="X61" s="328">
        <f>IFERROR(__xludf.DUMMYFUNCTION("SUM(QUERY(Coletas_BD!D:S,""select R where D='""&amp;D61&amp;""'"",1))"),2.0)</f>
        <v>2</v>
      </c>
      <c r="Y61" s="328">
        <f>IFERROR(__xludf.DUMMYFUNCTION("SUM(QUERY(Coletas_BD!D:S,""select S where D='""&amp;D61&amp;""'"",1))"),4.0)</f>
        <v>4</v>
      </c>
      <c r="Z61" s="341"/>
    </row>
    <row r="62" ht="18.75" customHeight="1">
      <c r="A62" s="320"/>
      <c r="B62" s="321"/>
      <c r="C62" s="322">
        <v>61.0</v>
      </c>
      <c r="D62" s="351"/>
      <c r="E62" s="355"/>
      <c r="F62" s="369"/>
      <c r="G62" s="370"/>
      <c r="H62" s="370"/>
      <c r="I62" s="354"/>
      <c r="J62" s="354"/>
      <c r="K62" s="354"/>
      <c r="L62" s="354"/>
      <c r="M62" s="354"/>
      <c r="N62" s="354"/>
      <c r="O62" s="373"/>
      <c r="P62" s="354"/>
      <c r="Q62" s="370"/>
      <c r="R62" s="328">
        <f>IFERROR(__xludf.DUMMYFUNCTION("SUM(QUERY(Coletas_BD!D:M,""select J where D='""&amp;D62&amp;""'"",1))"),5407.0)</f>
        <v>5407</v>
      </c>
      <c r="S62" s="328">
        <f>IFERROR(__xludf.DUMMYFUNCTION("SUM(QUERY(Coletas_BD!D:M,""select K where D='""&amp;D62&amp;""'"",1))"),25.0)</f>
        <v>25</v>
      </c>
      <c r="T62" s="328">
        <f>IFERROR(__xludf.DUMMYFUNCTION("SUM(QUERY(Coletas_BD!D:M,""select L where D='""&amp;D62&amp;""'"",1))"),75.0)</f>
        <v>75</v>
      </c>
      <c r="U62" s="328">
        <f>IFERROR(__xludf.DUMMYFUNCTION("SUM(QUERY(Coletas_BD!D:M,""select M where D='""&amp;D62&amp;""'"",1))"),250.0)</f>
        <v>250</v>
      </c>
      <c r="V62" s="328">
        <f>IFERROR(__xludf.DUMMYFUNCTION("SUM(QUERY(Coletas_BD!D:S,""select P where D='""&amp;D62&amp;""'"",1))"),65.0)</f>
        <v>65</v>
      </c>
      <c r="W62" s="328">
        <f>IFERROR(__xludf.DUMMYFUNCTION("SUM(QUERY(Coletas_BD!D:S,""select Q where D='""&amp;D62&amp;""'"",1))"),21.0)</f>
        <v>21</v>
      </c>
      <c r="X62" s="328">
        <f>IFERROR(__xludf.DUMMYFUNCTION("SUM(QUERY(Coletas_BD!D:S,""select R where D='""&amp;D62&amp;""'"",1))"),2.0)</f>
        <v>2</v>
      </c>
      <c r="Y62" s="328">
        <f>IFERROR(__xludf.DUMMYFUNCTION("SUM(QUERY(Coletas_BD!D:S,""select S where D='""&amp;D62&amp;""'"",1))"),4.0)</f>
        <v>4</v>
      </c>
      <c r="Z62" s="364"/>
    </row>
    <row r="63" ht="18.75" customHeight="1">
      <c r="A63" s="320"/>
      <c r="B63" s="321"/>
      <c r="C63" s="322">
        <v>62.0</v>
      </c>
      <c r="D63" s="351"/>
      <c r="E63" s="355"/>
      <c r="F63" s="355"/>
      <c r="G63" s="354"/>
      <c r="H63" s="354"/>
      <c r="I63" s="354"/>
      <c r="J63" s="354"/>
      <c r="K63" s="354"/>
      <c r="L63" s="354"/>
      <c r="M63" s="354"/>
      <c r="N63" s="354"/>
      <c r="O63" s="373"/>
      <c r="P63" s="354"/>
      <c r="Q63" s="370"/>
      <c r="R63" s="328">
        <f>IFERROR(__xludf.DUMMYFUNCTION("SUM(QUERY(Coletas_BD!D:M,""select J where D='""&amp;D63&amp;""'"",1))"),5407.0)</f>
        <v>5407</v>
      </c>
      <c r="S63" s="328">
        <f>IFERROR(__xludf.DUMMYFUNCTION("SUM(QUERY(Coletas_BD!D:M,""select K where D='""&amp;D63&amp;""'"",1))"),25.0)</f>
        <v>25</v>
      </c>
      <c r="T63" s="328">
        <f>IFERROR(__xludf.DUMMYFUNCTION("SUM(QUERY(Coletas_BD!D:M,""select L where D='""&amp;D63&amp;""'"",1))"),75.0)</f>
        <v>75</v>
      </c>
      <c r="U63" s="328">
        <f>IFERROR(__xludf.DUMMYFUNCTION("SUM(QUERY(Coletas_BD!D:M,""select M where D='""&amp;D63&amp;""'"",1))"),250.0)</f>
        <v>250</v>
      </c>
      <c r="V63" s="328">
        <f>IFERROR(__xludf.DUMMYFUNCTION("SUM(QUERY(Coletas_BD!D:S,""select P where D='""&amp;D63&amp;""'"",1))"),65.0)</f>
        <v>65</v>
      </c>
      <c r="W63" s="328">
        <f>IFERROR(__xludf.DUMMYFUNCTION("SUM(QUERY(Coletas_BD!D:S,""select Q where D='""&amp;D63&amp;""'"",1))"),21.0)</f>
        <v>21</v>
      </c>
      <c r="X63" s="328">
        <f>IFERROR(__xludf.DUMMYFUNCTION("SUM(QUERY(Coletas_BD!D:S,""select R where D='""&amp;D63&amp;""'"",1))"),2.0)</f>
        <v>2</v>
      </c>
      <c r="Y63" s="328">
        <f>IFERROR(__xludf.DUMMYFUNCTION("SUM(QUERY(Coletas_BD!D:S,""select S where D='""&amp;D63&amp;""'"",1))"),4.0)</f>
        <v>4</v>
      </c>
      <c r="Z63" s="368"/>
    </row>
    <row r="64" ht="18.75" customHeight="1">
      <c r="A64" s="320"/>
      <c r="B64" s="321"/>
      <c r="C64" s="322">
        <v>63.0</v>
      </c>
      <c r="D64" s="351"/>
      <c r="E64" s="355"/>
      <c r="F64" s="355"/>
      <c r="G64" s="354"/>
      <c r="H64" s="354"/>
      <c r="I64" s="354"/>
      <c r="J64" s="354"/>
      <c r="K64" s="354"/>
      <c r="L64" s="354"/>
      <c r="M64" s="354"/>
      <c r="N64" s="354"/>
      <c r="O64" s="373"/>
      <c r="P64" s="354"/>
      <c r="Q64" s="370"/>
      <c r="R64" s="328">
        <f>IFERROR(__xludf.DUMMYFUNCTION("SUM(QUERY(Coletas_BD!D:M,""select J where D='""&amp;D64&amp;""'"",1))"),5407.0)</f>
        <v>5407</v>
      </c>
      <c r="S64" s="328">
        <f>IFERROR(__xludf.DUMMYFUNCTION("SUM(QUERY(Coletas_BD!D:M,""select K where D='""&amp;D64&amp;""'"",1))"),25.0)</f>
        <v>25</v>
      </c>
      <c r="T64" s="328">
        <f>IFERROR(__xludf.DUMMYFUNCTION("SUM(QUERY(Coletas_BD!D:M,""select L where D='""&amp;D64&amp;""'"",1))"),75.0)</f>
        <v>75</v>
      </c>
      <c r="U64" s="328">
        <f>IFERROR(__xludf.DUMMYFUNCTION("SUM(QUERY(Coletas_BD!D:M,""select M where D='""&amp;D64&amp;""'"",1))"),250.0)</f>
        <v>250</v>
      </c>
      <c r="V64" s="328">
        <f>IFERROR(__xludf.DUMMYFUNCTION("SUM(QUERY(Coletas_BD!D:S,""select P where D='""&amp;D64&amp;""'"",1))"),65.0)</f>
        <v>65</v>
      </c>
      <c r="W64" s="328">
        <f>IFERROR(__xludf.DUMMYFUNCTION("SUM(QUERY(Coletas_BD!D:S,""select Q where D='""&amp;D64&amp;""'"",1))"),21.0)</f>
        <v>21</v>
      </c>
      <c r="X64" s="328">
        <f>IFERROR(__xludf.DUMMYFUNCTION("SUM(QUERY(Coletas_BD!D:S,""select R where D='""&amp;D64&amp;""'"",1))"),2.0)</f>
        <v>2</v>
      </c>
      <c r="Y64" s="328">
        <f>IFERROR(__xludf.DUMMYFUNCTION("SUM(QUERY(Coletas_BD!D:S,""select S where D='""&amp;D64&amp;""'"",1))"),4.0)</f>
        <v>4</v>
      </c>
      <c r="Z64" s="364"/>
    </row>
    <row r="65" ht="18.75" customHeight="1">
      <c r="A65" s="320"/>
      <c r="B65" s="321"/>
      <c r="C65" s="322">
        <v>64.0</v>
      </c>
      <c r="D65" s="351"/>
      <c r="E65" s="355"/>
      <c r="F65" s="355"/>
      <c r="G65" s="354"/>
      <c r="H65" s="354"/>
      <c r="I65" s="354"/>
      <c r="J65" s="354"/>
      <c r="K65" s="354"/>
      <c r="L65" s="354"/>
      <c r="M65" s="354"/>
      <c r="N65" s="354"/>
      <c r="O65" s="373"/>
      <c r="P65" s="354"/>
      <c r="Q65" s="370"/>
      <c r="R65" s="328">
        <f>IFERROR(__xludf.DUMMYFUNCTION("SUM(QUERY(Coletas_BD!D:M,""select J where D='""&amp;D65&amp;""'"",1))"),5407.0)</f>
        <v>5407</v>
      </c>
      <c r="S65" s="328">
        <f>IFERROR(__xludf.DUMMYFUNCTION("SUM(QUERY(Coletas_BD!D:M,""select K where D='""&amp;D65&amp;""'"",1))"),25.0)</f>
        <v>25</v>
      </c>
      <c r="T65" s="328">
        <f>IFERROR(__xludf.DUMMYFUNCTION("SUM(QUERY(Coletas_BD!D:M,""select L where D='""&amp;D65&amp;""'"",1))"),75.0)</f>
        <v>75</v>
      </c>
      <c r="U65" s="328">
        <f>IFERROR(__xludf.DUMMYFUNCTION("SUM(QUERY(Coletas_BD!D:M,""select M where D='""&amp;D65&amp;""'"",1))"),250.0)</f>
        <v>250</v>
      </c>
      <c r="V65" s="328">
        <f>IFERROR(__xludf.DUMMYFUNCTION("SUM(QUERY(Coletas_BD!D:S,""select P where D='""&amp;D65&amp;""'"",1))"),65.0)</f>
        <v>65</v>
      </c>
      <c r="W65" s="328">
        <f>IFERROR(__xludf.DUMMYFUNCTION("SUM(QUERY(Coletas_BD!D:S,""select Q where D='""&amp;D65&amp;""'"",1))"),21.0)</f>
        <v>21</v>
      </c>
      <c r="X65" s="328">
        <f>IFERROR(__xludf.DUMMYFUNCTION("SUM(QUERY(Coletas_BD!D:S,""select R where D='""&amp;D65&amp;""'"",1))"),2.0)</f>
        <v>2</v>
      </c>
      <c r="Y65" s="328">
        <f>IFERROR(__xludf.DUMMYFUNCTION("SUM(QUERY(Coletas_BD!D:S,""select S where D='""&amp;D65&amp;""'"",1))"),4.0)</f>
        <v>4</v>
      </c>
      <c r="Z65" s="368"/>
    </row>
    <row r="66" ht="18.75" customHeight="1">
      <c r="A66" s="320"/>
      <c r="B66" s="321"/>
      <c r="C66" s="322">
        <v>65.0</v>
      </c>
      <c r="D66" s="351"/>
      <c r="E66" s="355"/>
      <c r="F66" s="369"/>
      <c r="G66" s="370"/>
      <c r="H66" s="370"/>
      <c r="I66" s="354"/>
      <c r="J66" s="354"/>
      <c r="K66" s="354"/>
      <c r="L66" s="354"/>
      <c r="M66" s="354"/>
      <c r="N66" s="354"/>
      <c r="O66" s="373"/>
      <c r="P66" s="354"/>
      <c r="Q66" s="370"/>
      <c r="R66" s="328">
        <f>IFERROR(__xludf.DUMMYFUNCTION("SUM(QUERY(Coletas_BD!D:M,""select J where D='""&amp;D66&amp;""'"",1))"),5407.0)</f>
        <v>5407</v>
      </c>
      <c r="S66" s="328">
        <f>IFERROR(__xludf.DUMMYFUNCTION("SUM(QUERY(Coletas_BD!D:M,""select K where D='""&amp;D66&amp;""'"",1))"),25.0)</f>
        <v>25</v>
      </c>
      <c r="T66" s="328">
        <f>IFERROR(__xludf.DUMMYFUNCTION("SUM(QUERY(Coletas_BD!D:M,""select L where D='""&amp;D66&amp;""'"",1))"),75.0)</f>
        <v>75</v>
      </c>
      <c r="U66" s="328">
        <f>IFERROR(__xludf.DUMMYFUNCTION("SUM(QUERY(Coletas_BD!D:M,""select M where D='""&amp;D66&amp;""'"",1))"),250.0)</f>
        <v>250</v>
      </c>
      <c r="V66" s="328">
        <f>IFERROR(__xludf.DUMMYFUNCTION("SUM(QUERY(Coletas_BD!D:S,""select P where D='""&amp;D66&amp;""'"",1))"),65.0)</f>
        <v>65</v>
      </c>
      <c r="W66" s="328">
        <f>IFERROR(__xludf.DUMMYFUNCTION("SUM(QUERY(Coletas_BD!D:S,""select Q where D='""&amp;D66&amp;""'"",1))"),21.0)</f>
        <v>21</v>
      </c>
      <c r="X66" s="328">
        <f>IFERROR(__xludf.DUMMYFUNCTION("SUM(QUERY(Coletas_BD!D:S,""select R where D='""&amp;D66&amp;""'"",1))"),2.0)</f>
        <v>2</v>
      </c>
      <c r="Y66" s="328">
        <f>IFERROR(__xludf.DUMMYFUNCTION("SUM(QUERY(Coletas_BD!D:S,""select S where D='""&amp;D66&amp;""'"",1))"),4.0)</f>
        <v>4</v>
      </c>
      <c r="Z66" s="364"/>
    </row>
    <row r="67" ht="18.75" customHeight="1">
      <c r="A67" s="348"/>
      <c r="B67" s="349"/>
      <c r="C67" s="322">
        <v>66.0</v>
      </c>
      <c r="D67" s="351"/>
      <c r="E67" s="351"/>
      <c r="F67" s="369"/>
      <c r="G67" s="370"/>
      <c r="H67" s="370"/>
      <c r="I67" s="354"/>
      <c r="J67" s="354"/>
      <c r="K67" s="354"/>
      <c r="L67" s="354"/>
      <c r="M67" s="354"/>
      <c r="N67" s="354"/>
      <c r="O67" s="355"/>
      <c r="P67" s="350"/>
      <c r="Q67" s="370"/>
      <c r="R67" s="328">
        <f>IFERROR(__xludf.DUMMYFUNCTION("SUM(QUERY(Coletas_BD!D:M,""select J where D='""&amp;D67&amp;""'"",1))"),5407.0)</f>
        <v>5407</v>
      </c>
      <c r="S67" s="328">
        <f>IFERROR(__xludf.DUMMYFUNCTION("SUM(QUERY(Coletas_BD!D:M,""select K where D='""&amp;D67&amp;""'"",1))"),25.0)</f>
        <v>25</v>
      </c>
      <c r="T67" s="328">
        <f>IFERROR(__xludf.DUMMYFUNCTION("SUM(QUERY(Coletas_BD!D:M,""select L where D='""&amp;D67&amp;""'"",1))"),75.0)</f>
        <v>75</v>
      </c>
      <c r="U67" s="328">
        <f>IFERROR(__xludf.DUMMYFUNCTION("SUM(QUERY(Coletas_BD!D:M,""select M where D='""&amp;D67&amp;""'"",1))"),250.0)</f>
        <v>250</v>
      </c>
      <c r="V67" s="328">
        <f>IFERROR(__xludf.DUMMYFUNCTION("SUM(QUERY(Coletas_BD!D:S,""select P where D='""&amp;D67&amp;""'"",1))"),65.0)</f>
        <v>65</v>
      </c>
      <c r="W67" s="328">
        <f>IFERROR(__xludf.DUMMYFUNCTION("SUM(QUERY(Coletas_BD!D:S,""select Q where D='""&amp;D67&amp;""'"",1))"),21.0)</f>
        <v>21</v>
      </c>
      <c r="X67" s="328">
        <f>IFERROR(__xludf.DUMMYFUNCTION("SUM(QUERY(Coletas_BD!D:S,""select R where D='""&amp;D67&amp;""'"",1))"),2.0)</f>
        <v>2</v>
      </c>
      <c r="Y67" s="328">
        <f>IFERROR(__xludf.DUMMYFUNCTION("SUM(QUERY(Coletas_BD!D:S,""select S where D='""&amp;D67&amp;""'"",1))"),4.0)</f>
        <v>4</v>
      </c>
      <c r="Z67" s="341"/>
    </row>
    <row r="68" ht="18.75" customHeight="1">
      <c r="A68" s="348"/>
      <c r="B68" s="349"/>
      <c r="C68" s="322">
        <v>67.0</v>
      </c>
      <c r="D68" s="351"/>
      <c r="E68" s="352"/>
      <c r="F68" s="369"/>
      <c r="G68" s="370"/>
      <c r="H68" s="370"/>
      <c r="I68" s="354"/>
      <c r="J68" s="354"/>
      <c r="K68" s="354"/>
      <c r="L68" s="354"/>
      <c r="M68" s="354"/>
      <c r="N68" s="354"/>
      <c r="O68" s="355"/>
      <c r="P68" s="354"/>
      <c r="Q68" s="370"/>
      <c r="R68" s="328">
        <f>IFERROR(__xludf.DUMMYFUNCTION("SUM(QUERY(Coletas_BD!D:M,""select J where D='""&amp;D68&amp;""'"",1))"),5407.0)</f>
        <v>5407</v>
      </c>
      <c r="S68" s="328">
        <f>IFERROR(__xludf.DUMMYFUNCTION("SUM(QUERY(Coletas_BD!D:M,""select K where D='""&amp;D68&amp;""'"",1))"),25.0)</f>
        <v>25</v>
      </c>
      <c r="T68" s="328">
        <f>IFERROR(__xludf.DUMMYFUNCTION("SUM(QUERY(Coletas_BD!D:M,""select L where D='""&amp;D68&amp;""'"",1))"),75.0)</f>
        <v>75</v>
      </c>
      <c r="U68" s="328">
        <f>IFERROR(__xludf.DUMMYFUNCTION("SUM(QUERY(Coletas_BD!D:M,""select M where D='""&amp;D68&amp;""'"",1))"),250.0)</f>
        <v>250</v>
      </c>
      <c r="V68" s="328">
        <f>IFERROR(__xludf.DUMMYFUNCTION("SUM(QUERY(Coletas_BD!D:S,""select P where D='""&amp;D68&amp;""'"",1))"),65.0)</f>
        <v>65</v>
      </c>
      <c r="W68" s="328">
        <f>IFERROR(__xludf.DUMMYFUNCTION("SUM(QUERY(Coletas_BD!D:S,""select Q where D='""&amp;D68&amp;""'"",1))"),21.0)</f>
        <v>21</v>
      </c>
      <c r="X68" s="328">
        <f>IFERROR(__xludf.DUMMYFUNCTION("SUM(QUERY(Coletas_BD!D:S,""select R where D='""&amp;D68&amp;""'"",1))"),2.0)</f>
        <v>2</v>
      </c>
      <c r="Y68" s="328">
        <f>IFERROR(__xludf.DUMMYFUNCTION("SUM(QUERY(Coletas_BD!D:S,""select S where D='""&amp;D68&amp;""'"",1))"),4.0)</f>
        <v>4</v>
      </c>
      <c r="Z68" s="364"/>
    </row>
    <row r="69" ht="18.75" customHeight="1">
      <c r="A69" s="348"/>
      <c r="B69" s="349"/>
      <c r="C69" s="322">
        <v>68.0</v>
      </c>
      <c r="D69" s="351"/>
      <c r="E69" s="352"/>
      <c r="F69" s="355"/>
      <c r="G69" s="354"/>
      <c r="H69" s="354"/>
      <c r="I69" s="354"/>
      <c r="J69" s="354"/>
      <c r="K69" s="354"/>
      <c r="L69" s="354"/>
      <c r="M69" s="354"/>
      <c r="N69" s="354"/>
      <c r="O69" s="373"/>
      <c r="P69" s="354"/>
      <c r="Q69" s="370"/>
      <c r="R69" s="328">
        <f>IFERROR(__xludf.DUMMYFUNCTION("SUM(QUERY(Coletas_BD!D:M,""select J where D='""&amp;D69&amp;""'"",1))"),5407.0)</f>
        <v>5407</v>
      </c>
      <c r="S69" s="328">
        <f>IFERROR(__xludf.DUMMYFUNCTION("SUM(QUERY(Coletas_BD!D:M,""select K where D='""&amp;D69&amp;""'"",1))"),25.0)</f>
        <v>25</v>
      </c>
      <c r="T69" s="328">
        <f>IFERROR(__xludf.DUMMYFUNCTION("SUM(QUERY(Coletas_BD!D:M,""select L where D='""&amp;D69&amp;""'"",1))"),75.0)</f>
        <v>75</v>
      </c>
      <c r="U69" s="328">
        <f>IFERROR(__xludf.DUMMYFUNCTION("SUM(QUERY(Coletas_BD!D:M,""select M where D='""&amp;D69&amp;""'"",1))"),250.0)</f>
        <v>250</v>
      </c>
      <c r="V69" s="328">
        <f>IFERROR(__xludf.DUMMYFUNCTION("SUM(QUERY(Coletas_BD!D:S,""select P where D='""&amp;D69&amp;""'"",1))"),65.0)</f>
        <v>65</v>
      </c>
      <c r="W69" s="328">
        <f>IFERROR(__xludf.DUMMYFUNCTION("SUM(QUERY(Coletas_BD!D:S,""select Q where D='""&amp;D69&amp;""'"",1))"),21.0)</f>
        <v>21</v>
      </c>
      <c r="X69" s="328">
        <f>IFERROR(__xludf.DUMMYFUNCTION("SUM(QUERY(Coletas_BD!D:S,""select R where D='""&amp;D69&amp;""'"",1))"),2.0)</f>
        <v>2</v>
      </c>
      <c r="Y69" s="328">
        <f>IFERROR(__xludf.DUMMYFUNCTION("SUM(QUERY(Coletas_BD!D:S,""select S where D='""&amp;D69&amp;""'"",1))"),4.0)</f>
        <v>4</v>
      </c>
      <c r="Z69" s="368"/>
    </row>
    <row r="70" ht="18.75" customHeight="1">
      <c r="A70" s="348"/>
      <c r="B70" s="349"/>
      <c r="C70" s="322">
        <v>69.0</v>
      </c>
      <c r="D70" s="351"/>
      <c r="E70" s="352"/>
      <c r="F70" s="355"/>
      <c r="G70" s="354"/>
      <c r="H70" s="354"/>
      <c r="I70" s="354"/>
      <c r="J70" s="354"/>
      <c r="K70" s="354"/>
      <c r="L70" s="354"/>
      <c r="M70" s="354"/>
      <c r="N70" s="354"/>
      <c r="O70" s="373"/>
      <c r="P70" s="354"/>
      <c r="Q70" s="370"/>
      <c r="R70" s="328">
        <f>IFERROR(__xludf.DUMMYFUNCTION("SUM(QUERY(Coletas_BD!D:M,""select J where D='""&amp;D70&amp;""'"",1))"),5407.0)</f>
        <v>5407</v>
      </c>
      <c r="S70" s="328">
        <f>IFERROR(__xludf.DUMMYFUNCTION("SUM(QUERY(Coletas_BD!D:M,""select K where D='""&amp;D70&amp;""'"",1))"),25.0)</f>
        <v>25</v>
      </c>
      <c r="T70" s="328">
        <f>IFERROR(__xludf.DUMMYFUNCTION("SUM(QUERY(Coletas_BD!D:M,""select L where D='""&amp;D70&amp;""'"",1))"),75.0)</f>
        <v>75</v>
      </c>
      <c r="U70" s="328">
        <f>IFERROR(__xludf.DUMMYFUNCTION("SUM(QUERY(Coletas_BD!D:M,""select M where D='""&amp;D70&amp;""'"",1))"),250.0)</f>
        <v>250</v>
      </c>
      <c r="V70" s="328">
        <f>IFERROR(__xludf.DUMMYFUNCTION("SUM(QUERY(Coletas_BD!D:S,""select P where D='""&amp;D70&amp;""'"",1))"),65.0)</f>
        <v>65</v>
      </c>
      <c r="W70" s="328">
        <f>IFERROR(__xludf.DUMMYFUNCTION("SUM(QUERY(Coletas_BD!D:S,""select Q where D='""&amp;D70&amp;""'"",1))"),21.0)</f>
        <v>21</v>
      </c>
      <c r="X70" s="328">
        <f>IFERROR(__xludf.DUMMYFUNCTION("SUM(QUERY(Coletas_BD!D:S,""select R where D='""&amp;D70&amp;""'"",1))"),2.0)</f>
        <v>2</v>
      </c>
      <c r="Y70" s="328">
        <f>IFERROR(__xludf.DUMMYFUNCTION("SUM(QUERY(Coletas_BD!D:S,""select S where D='""&amp;D70&amp;""'"",1))"),4.0)</f>
        <v>4</v>
      </c>
      <c r="Z70" s="364"/>
    </row>
    <row r="71" ht="18.75" customHeight="1">
      <c r="A71" s="348"/>
      <c r="B71" s="349"/>
      <c r="C71" s="322">
        <v>70.0</v>
      </c>
      <c r="D71" s="351"/>
      <c r="E71" s="377"/>
      <c r="F71" s="369"/>
      <c r="G71" s="370"/>
      <c r="H71" s="370"/>
      <c r="I71" s="354"/>
      <c r="J71" s="354"/>
      <c r="K71" s="354"/>
      <c r="L71" s="354"/>
      <c r="M71" s="354"/>
      <c r="N71" s="354"/>
      <c r="O71" s="373"/>
      <c r="P71" s="354"/>
      <c r="Q71" s="370"/>
      <c r="R71" s="328">
        <f>IFERROR(__xludf.DUMMYFUNCTION("SUM(QUERY(Coletas_BD!D:M,""select J where D='""&amp;D71&amp;""'"",1))"),5407.0)</f>
        <v>5407</v>
      </c>
      <c r="S71" s="328">
        <f>IFERROR(__xludf.DUMMYFUNCTION("SUM(QUERY(Coletas_BD!D:M,""select K where D='""&amp;D71&amp;""'"",1))"),25.0)</f>
        <v>25</v>
      </c>
      <c r="T71" s="328">
        <f>IFERROR(__xludf.DUMMYFUNCTION("SUM(QUERY(Coletas_BD!D:M,""select L where D='""&amp;D71&amp;""'"",1))"),75.0)</f>
        <v>75</v>
      </c>
      <c r="U71" s="328">
        <f>IFERROR(__xludf.DUMMYFUNCTION("SUM(QUERY(Coletas_BD!D:M,""select M where D='""&amp;D71&amp;""'"",1))"),250.0)</f>
        <v>250</v>
      </c>
      <c r="V71" s="328">
        <f>IFERROR(__xludf.DUMMYFUNCTION("SUM(QUERY(Coletas_BD!D:S,""select P where D='""&amp;D71&amp;""'"",1))"),65.0)</f>
        <v>65</v>
      </c>
      <c r="W71" s="328">
        <f>IFERROR(__xludf.DUMMYFUNCTION("SUM(QUERY(Coletas_BD!D:S,""select Q where D='""&amp;D71&amp;""'"",1))"),21.0)</f>
        <v>21</v>
      </c>
      <c r="X71" s="328">
        <f>IFERROR(__xludf.DUMMYFUNCTION("SUM(QUERY(Coletas_BD!D:S,""select R where D='""&amp;D71&amp;""'"",1))"),2.0)</f>
        <v>2</v>
      </c>
      <c r="Y71" s="328">
        <f>IFERROR(__xludf.DUMMYFUNCTION("SUM(QUERY(Coletas_BD!D:S,""select S where D='""&amp;D71&amp;""'"",1))"),4.0)</f>
        <v>4</v>
      </c>
      <c r="Z71" s="368"/>
    </row>
    <row r="72" ht="18.75" customHeight="1">
      <c r="A72" s="348"/>
      <c r="B72" s="349"/>
      <c r="C72" s="322">
        <v>71.0</v>
      </c>
      <c r="D72" s="351"/>
      <c r="E72" s="352"/>
      <c r="F72" s="355"/>
      <c r="G72" s="354"/>
      <c r="H72" s="354"/>
      <c r="I72" s="354"/>
      <c r="J72" s="354"/>
      <c r="K72" s="354"/>
      <c r="L72" s="354"/>
      <c r="M72" s="354"/>
      <c r="N72" s="354"/>
      <c r="O72" s="373"/>
      <c r="P72" s="354"/>
      <c r="Q72" s="370"/>
      <c r="R72" s="328">
        <f>IFERROR(__xludf.DUMMYFUNCTION("SUM(QUERY(Coletas_BD!D:M,""select J where D='""&amp;D72&amp;""'"",1))"),5407.0)</f>
        <v>5407</v>
      </c>
      <c r="S72" s="328">
        <f>IFERROR(__xludf.DUMMYFUNCTION("SUM(QUERY(Coletas_BD!D:M,""select K where D='""&amp;D72&amp;""'"",1))"),25.0)</f>
        <v>25</v>
      </c>
      <c r="T72" s="328">
        <f>IFERROR(__xludf.DUMMYFUNCTION("SUM(QUERY(Coletas_BD!D:M,""select L where D='""&amp;D72&amp;""'"",1))"),75.0)</f>
        <v>75</v>
      </c>
      <c r="U72" s="328">
        <f>IFERROR(__xludf.DUMMYFUNCTION("SUM(QUERY(Coletas_BD!D:M,""select M where D='""&amp;D72&amp;""'"",1))"),250.0)</f>
        <v>250</v>
      </c>
      <c r="V72" s="328">
        <f>IFERROR(__xludf.DUMMYFUNCTION("SUM(QUERY(Coletas_BD!D:S,""select P where D='""&amp;D72&amp;""'"",1))"),65.0)</f>
        <v>65</v>
      </c>
      <c r="W72" s="328">
        <f>IFERROR(__xludf.DUMMYFUNCTION("SUM(QUERY(Coletas_BD!D:S,""select Q where D='""&amp;D72&amp;""'"",1))"),21.0)</f>
        <v>21</v>
      </c>
      <c r="X72" s="328">
        <f>IFERROR(__xludf.DUMMYFUNCTION("SUM(QUERY(Coletas_BD!D:S,""select R where D='""&amp;D72&amp;""'"",1))"),2.0)</f>
        <v>2</v>
      </c>
      <c r="Y72" s="328">
        <f>IFERROR(__xludf.DUMMYFUNCTION("SUM(QUERY(Coletas_BD!D:S,""select S where D='""&amp;D72&amp;""'"",1))"),4.0)</f>
        <v>4</v>
      </c>
      <c r="Z72" s="364"/>
    </row>
    <row r="73" ht="18.75" customHeight="1">
      <c r="A73" s="348"/>
      <c r="B73" s="349"/>
      <c r="C73" s="322">
        <v>72.0</v>
      </c>
      <c r="D73" s="372"/>
      <c r="E73" s="352"/>
      <c r="F73" s="369"/>
      <c r="G73" s="370"/>
      <c r="H73" s="370"/>
      <c r="I73" s="354"/>
      <c r="J73" s="354"/>
      <c r="K73" s="354"/>
      <c r="L73" s="354"/>
      <c r="M73" s="354"/>
      <c r="N73" s="354"/>
      <c r="O73" s="373"/>
      <c r="P73" s="354"/>
      <c r="Q73" s="370"/>
      <c r="R73" s="328">
        <f>IFERROR(__xludf.DUMMYFUNCTION("SUM(QUERY(Coletas_BD!D:M,""select J where D='""&amp;D73&amp;""'"",1))"),5407.0)</f>
        <v>5407</v>
      </c>
      <c r="S73" s="328">
        <f>IFERROR(__xludf.DUMMYFUNCTION("SUM(QUERY(Coletas_BD!D:M,""select K where D='""&amp;D73&amp;""'"",1))"),25.0)</f>
        <v>25</v>
      </c>
      <c r="T73" s="328">
        <f>IFERROR(__xludf.DUMMYFUNCTION("SUM(QUERY(Coletas_BD!D:M,""select L where D='""&amp;D73&amp;""'"",1))"),75.0)</f>
        <v>75</v>
      </c>
      <c r="U73" s="328">
        <f>IFERROR(__xludf.DUMMYFUNCTION("SUM(QUERY(Coletas_BD!D:M,""select M where D='""&amp;D73&amp;""'"",1))"),250.0)</f>
        <v>250</v>
      </c>
      <c r="V73" s="328">
        <f>IFERROR(__xludf.DUMMYFUNCTION("SUM(QUERY(Coletas_BD!D:S,""select P where D='""&amp;D73&amp;""'"",1))"),65.0)</f>
        <v>65</v>
      </c>
      <c r="W73" s="328">
        <f>IFERROR(__xludf.DUMMYFUNCTION("SUM(QUERY(Coletas_BD!D:S,""select Q where D='""&amp;D73&amp;""'"",1))"),21.0)</f>
        <v>21</v>
      </c>
      <c r="X73" s="328">
        <f>IFERROR(__xludf.DUMMYFUNCTION("SUM(QUERY(Coletas_BD!D:S,""select R where D='""&amp;D73&amp;""'"",1))"),2.0)</f>
        <v>2</v>
      </c>
      <c r="Y73" s="328">
        <f>IFERROR(__xludf.DUMMYFUNCTION("SUM(QUERY(Coletas_BD!D:S,""select S where D='""&amp;D73&amp;""'"",1))"),4.0)</f>
        <v>4</v>
      </c>
      <c r="Z73" s="341"/>
    </row>
    <row r="74" ht="18.75" customHeight="1">
      <c r="A74" s="348"/>
      <c r="B74" s="349"/>
      <c r="C74" s="322">
        <v>73.0</v>
      </c>
      <c r="D74" s="351"/>
      <c r="E74" s="352"/>
      <c r="F74" s="355"/>
      <c r="G74" s="354"/>
      <c r="H74" s="354"/>
      <c r="I74" s="354"/>
      <c r="J74" s="354"/>
      <c r="K74" s="354"/>
      <c r="L74" s="354"/>
      <c r="M74" s="354"/>
      <c r="N74" s="354"/>
      <c r="O74" s="373"/>
      <c r="P74" s="354"/>
      <c r="Q74" s="370"/>
      <c r="R74" s="328">
        <f>IFERROR(__xludf.DUMMYFUNCTION("SUM(QUERY(Coletas_BD!D:M,""select J where D='""&amp;D74&amp;""'"",1))"),5407.0)</f>
        <v>5407</v>
      </c>
      <c r="S74" s="328">
        <f>IFERROR(__xludf.DUMMYFUNCTION("SUM(QUERY(Coletas_BD!D:M,""select K where D='""&amp;D74&amp;""'"",1))"),25.0)</f>
        <v>25</v>
      </c>
      <c r="T74" s="328">
        <f>IFERROR(__xludf.DUMMYFUNCTION("SUM(QUERY(Coletas_BD!D:M,""select L where D='""&amp;D74&amp;""'"",1))"),75.0)</f>
        <v>75</v>
      </c>
      <c r="U74" s="328">
        <f>IFERROR(__xludf.DUMMYFUNCTION("SUM(QUERY(Coletas_BD!D:M,""select M where D='""&amp;D74&amp;""'"",1))"),250.0)</f>
        <v>250</v>
      </c>
      <c r="V74" s="328">
        <f>IFERROR(__xludf.DUMMYFUNCTION("SUM(QUERY(Coletas_BD!D:S,""select P where D='""&amp;D74&amp;""'"",1))"),65.0)</f>
        <v>65</v>
      </c>
      <c r="W74" s="328">
        <f>IFERROR(__xludf.DUMMYFUNCTION("SUM(QUERY(Coletas_BD!D:S,""select Q where D='""&amp;D74&amp;""'"",1))"),21.0)</f>
        <v>21</v>
      </c>
      <c r="X74" s="328">
        <f>IFERROR(__xludf.DUMMYFUNCTION("SUM(QUERY(Coletas_BD!D:S,""select R where D='""&amp;D74&amp;""'"",1))"),2.0)</f>
        <v>2</v>
      </c>
      <c r="Y74" s="328">
        <f>IFERROR(__xludf.DUMMYFUNCTION("SUM(QUERY(Coletas_BD!D:S,""select S where D='""&amp;D74&amp;""'"",1))"),4.0)</f>
        <v>4</v>
      </c>
      <c r="Z74" s="364"/>
    </row>
    <row r="75" ht="18.75" customHeight="1">
      <c r="A75" s="348"/>
      <c r="B75" s="349"/>
      <c r="C75" s="322">
        <v>74.0</v>
      </c>
      <c r="D75" s="351"/>
      <c r="E75" s="352"/>
      <c r="F75" s="373"/>
      <c r="G75" s="376"/>
      <c r="H75" s="376"/>
      <c r="I75" s="354"/>
      <c r="J75" s="354"/>
      <c r="K75" s="354"/>
      <c r="L75" s="354"/>
      <c r="M75" s="354"/>
      <c r="N75" s="354"/>
      <c r="O75" s="373"/>
      <c r="P75" s="354"/>
      <c r="Q75" s="370"/>
      <c r="R75" s="328">
        <f>IFERROR(__xludf.DUMMYFUNCTION("SUM(QUERY(Coletas_BD!D:M,""select J where D='""&amp;D75&amp;""'"",1))"),5407.0)</f>
        <v>5407</v>
      </c>
      <c r="S75" s="328">
        <f>IFERROR(__xludf.DUMMYFUNCTION("SUM(QUERY(Coletas_BD!D:M,""select K where D='""&amp;D75&amp;""'"",1))"),25.0)</f>
        <v>25</v>
      </c>
      <c r="T75" s="328">
        <f>IFERROR(__xludf.DUMMYFUNCTION("SUM(QUERY(Coletas_BD!D:M,""select L where D='""&amp;D75&amp;""'"",1))"),75.0)</f>
        <v>75</v>
      </c>
      <c r="U75" s="328">
        <f>IFERROR(__xludf.DUMMYFUNCTION("SUM(QUERY(Coletas_BD!D:M,""select M where D='""&amp;D75&amp;""'"",1))"),250.0)</f>
        <v>250</v>
      </c>
      <c r="V75" s="328">
        <f>IFERROR(__xludf.DUMMYFUNCTION("SUM(QUERY(Coletas_BD!D:S,""select P where D='""&amp;D75&amp;""'"",1))"),65.0)</f>
        <v>65</v>
      </c>
      <c r="W75" s="328">
        <f>IFERROR(__xludf.DUMMYFUNCTION("SUM(QUERY(Coletas_BD!D:S,""select Q where D='""&amp;D75&amp;""'"",1))"),21.0)</f>
        <v>21</v>
      </c>
      <c r="X75" s="328">
        <f>IFERROR(__xludf.DUMMYFUNCTION("SUM(QUERY(Coletas_BD!D:S,""select R where D='""&amp;D75&amp;""'"",1))"),2.0)</f>
        <v>2</v>
      </c>
      <c r="Y75" s="328">
        <f>IFERROR(__xludf.DUMMYFUNCTION("SUM(QUERY(Coletas_BD!D:S,""select S where D='""&amp;D75&amp;""'"",1))"),4.0)</f>
        <v>4</v>
      </c>
      <c r="Z75" s="368"/>
    </row>
    <row r="76" ht="18.75" customHeight="1">
      <c r="A76" s="348"/>
      <c r="B76" s="349"/>
      <c r="C76" s="322">
        <v>75.0</v>
      </c>
      <c r="D76" s="351"/>
      <c r="E76" s="352"/>
      <c r="F76" s="369"/>
      <c r="G76" s="370"/>
      <c r="H76" s="370"/>
      <c r="I76" s="354"/>
      <c r="J76" s="354"/>
      <c r="K76" s="354"/>
      <c r="L76" s="354"/>
      <c r="M76" s="354"/>
      <c r="N76" s="354"/>
      <c r="O76" s="373"/>
      <c r="P76" s="354"/>
      <c r="Q76" s="370"/>
      <c r="R76" s="328">
        <f>IFERROR(__xludf.DUMMYFUNCTION("SUM(QUERY(Coletas_BD!D:M,""select J where D='""&amp;D76&amp;""'"",1))"),5407.0)</f>
        <v>5407</v>
      </c>
      <c r="S76" s="328">
        <f>IFERROR(__xludf.DUMMYFUNCTION("SUM(QUERY(Coletas_BD!D:M,""select K where D='""&amp;D76&amp;""'"",1))"),25.0)</f>
        <v>25</v>
      </c>
      <c r="T76" s="328">
        <f>IFERROR(__xludf.DUMMYFUNCTION("SUM(QUERY(Coletas_BD!D:M,""select L where D='""&amp;D76&amp;""'"",1))"),75.0)</f>
        <v>75</v>
      </c>
      <c r="U76" s="328">
        <f>IFERROR(__xludf.DUMMYFUNCTION("SUM(QUERY(Coletas_BD!D:M,""select M where D='""&amp;D76&amp;""'"",1))"),250.0)</f>
        <v>250</v>
      </c>
      <c r="V76" s="328">
        <f>IFERROR(__xludf.DUMMYFUNCTION("SUM(QUERY(Coletas_BD!D:S,""select P where D='""&amp;D76&amp;""'"",1))"),65.0)</f>
        <v>65</v>
      </c>
      <c r="W76" s="328">
        <f>IFERROR(__xludf.DUMMYFUNCTION("SUM(QUERY(Coletas_BD!D:S,""select Q where D='""&amp;D76&amp;""'"",1))"),21.0)</f>
        <v>21</v>
      </c>
      <c r="X76" s="328">
        <f>IFERROR(__xludf.DUMMYFUNCTION("SUM(QUERY(Coletas_BD!D:S,""select R where D='""&amp;D76&amp;""'"",1))"),2.0)</f>
        <v>2</v>
      </c>
      <c r="Y76" s="328">
        <f>IFERROR(__xludf.DUMMYFUNCTION("SUM(QUERY(Coletas_BD!D:S,""select S where D='""&amp;D76&amp;""'"",1))"),4.0)</f>
        <v>4</v>
      </c>
      <c r="Z76" s="364"/>
    </row>
    <row r="77" ht="18.75" customHeight="1">
      <c r="A77" s="348"/>
      <c r="B77" s="349"/>
      <c r="C77" s="322">
        <v>76.0</v>
      </c>
      <c r="D77" s="372"/>
      <c r="E77" s="352"/>
      <c r="F77" s="369"/>
      <c r="G77" s="370"/>
      <c r="H77" s="370"/>
      <c r="I77" s="354"/>
      <c r="J77" s="354"/>
      <c r="K77" s="354"/>
      <c r="L77" s="354"/>
      <c r="M77" s="354"/>
      <c r="N77" s="354"/>
      <c r="O77" s="373"/>
      <c r="P77" s="354"/>
      <c r="Q77" s="370"/>
      <c r="R77" s="328">
        <f>IFERROR(__xludf.DUMMYFUNCTION("SUM(QUERY(Coletas_BD!D:M,""select J where D='""&amp;D77&amp;""'"",1))"),5407.0)</f>
        <v>5407</v>
      </c>
      <c r="S77" s="328">
        <f>IFERROR(__xludf.DUMMYFUNCTION("SUM(QUERY(Coletas_BD!D:M,""select K where D='""&amp;D77&amp;""'"",1))"),25.0)</f>
        <v>25</v>
      </c>
      <c r="T77" s="328">
        <f>IFERROR(__xludf.DUMMYFUNCTION("SUM(QUERY(Coletas_BD!D:M,""select L where D='""&amp;D77&amp;""'"",1))"),75.0)</f>
        <v>75</v>
      </c>
      <c r="U77" s="328">
        <f>IFERROR(__xludf.DUMMYFUNCTION("SUM(QUERY(Coletas_BD!D:M,""select M where D='""&amp;D77&amp;""'"",1))"),250.0)</f>
        <v>250</v>
      </c>
      <c r="V77" s="328">
        <f>IFERROR(__xludf.DUMMYFUNCTION("SUM(QUERY(Coletas_BD!D:S,""select P where D='""&amp;D77&amp;""'"",1))"),65.0)</f>
        <v>65</v>
      </c>
      <c r="W77" s="328">
        <f>IFERROR(__xludf.DUMMYFUNCTION("SUM(QUERY(Coletas_BD!D:S,""select Q where D='""&amp;D77&amp;""'"",1))"),21.0)</f>
        <v>21</v>
      </c>
      <c r="X77" s="328">
        <f>IFERROR(__xludf.DUMMYFUNCTION("SUM(QUERY(Coletas_BD!D:S,""select R where D='""&amp;D77&amp;""'"",1))"),2.0)</f>
        <v>2</v>
      </c>
      <c r="Y77" s="328">
        <f>IFERROR(__xludf.DUMMYFUNCTION("SUM(QUERY(Coletas_BD!D:S,""select S where D='""&amp;D77&amp;""'"",1))"),4.0)</f>
        <v>4</v>
      </c>
      <c r="Z77" s="368"/>
    </row>
    <row r="78" ht="18.75" customHeight="1">
      <c r="A78" s="348"/>
      <c r="B78" s="349"/>
      <c r="C78" s="322">
        <v>77.0</v>
      </c>
      <c r="D78" s="351"/>
      <c r="E78" s="352"/>
      <c r="F78" s="373"/>
      <c r="G78" s="376"/>
      <c r="H78" s="376"/>
      <c r="I78" s="354"/>
      <c r="J78" s="354"/>
      <c r="K78" s="354"/>
      <c r="L78" s="354"/>
      <c r="M78" s="354"/>
      <c r="N78" s="354"/>
      <c r="O78" s="373"/>
      <c r="P78" s="354"/>
      <c r="Q78" s="370"/>
      <c r="R78" s="328">
        <f>IFERROR(__xludf.DUMMYFUNCTION("SUM(QUERY(Coletas_BD!D:M,""select J where D='""&amp;D78&amp;""'"",1))"),5407.0)</f>
        <v>5407</v>
      </c>
      <c r="S78" s="328">
        <f>IFERROR(__xludf.DUMMYFUNCTION("SUM(QUERY(Coletas_BD!D:M,""select K where D='""&amp;D78&amp;""'"",1))"),25.0)</f>
        <v>25</v>
      </c>
      <c r="T78" s="328">
        <f>IFERROR(__xludf.DUMMYFUNCTION("SUM(QUERY(Coletas_BD!D:M,""select L where D='""&amp;D78&amp;""'"",1))"),75.0)</f>
        <v>75</v>
      </c>
      <c r="U78" s="328">
        <f>IFERROR(__xludf.DUMMYFUNCTION("SUM(QUERY(Coletas_BD!D:M,""select M where D='""&amp;D78&amp;""'"",1))"),250.0)</f>
        <v>250</v>
      </c>
      <c r="V78" s="328">
        <f>IFERROR(__xludf.DUMMYFUNCTION("SUM(QUERY(Coletas_BD!D:S,""select P where D='""&amp;D78&amp;""'"",1))"),65.0)</f>
        <v>65</v>
      </c>
      <c r="W78" s="328">
        <f>IFERROR(__xludf.DUMMYFUNCTION("SUM(QUERY(Coletas_BD!D:S,""select Q where D='""&amp;D78&amp;""'"",1))"),21.0)</f>
        <v>21</v>
      </c>
      <c r="X78" s="328">
        <f>IFERROR(__xludf.DUMMYFUNCTION("SUM(QUERY(Coletas_BD!D:S,""select R where D='""&amp;D78&amp;""'"",1))"),2.0)</f>
        <v>2</v>
      </c>
      <c r="Y78" s="328">
        <f>IFERROR(__xludf.DUMMYFUNCTION("SUM(QUERY(Coletas_BD!D:S,""select S where D='""&amp;D78&amp;""'"",1))"),4.0)</f>
        <v>4</v>
      </c>
      <c r="Z78" s="364"/>
    </row>
    <row r="79" ht="18.75" customHeight="1">
      <c r="A79" s="348"/>
      <c r="B79" s="349"/>
      <c r="C79" s="322">
        <v>78.0</v>
      </c>
      <c r="D79" s="351"/>
      <c r="E79" s="352"/>
      <c r="F79" s="355"/>
      <c r="G79" s="354"/>
      <c r="H79" s="354"/>
      <c r="I79" s="354"/>
      <c r="J79" s="354"/>
      <c r="K79" s="354"/>
      <c r="L79" s="354"/>
      <c r="M79" s="354"/>
      <c r="N79" s="354"/>
      <c r="O79" s="373"/>
      <c r="P79" s="354"/>
      <c r="Q79" s="370"/>
      <c r="R79" s="328">
        <f>IFERROR(__xludf.DUMMYFUNCTION("SUM(QUERY(Coletas_BD!D:M,""select J where D='""&amp;D79&amp;""'"",1))"),5407.0)</f>
        <v>5407</v>
      </c>
      <c r="S79" s="328">
        <f>IFERROR(__xludf.DUMMYFUNCTION("SUM(QUERY(Coletas_BD!D:M,""select K where D='""&amp;D79&amp;""'"",1))"),25.0)</f>
        <v>25</v>
      </c>
      <c r="T79" s="328">
        <f>IFERROR(__xludf.DUMMYFUNCTION("SUM(QUERY(Coletas_BD!D:M,""select L where D='""&amp;D79&amp;""'"",1))"),75.0)</f>
        <v>75</v>
      </c>
      <c r="U79" s="328">
        <f>IFERROR(__xludf.DUMMYFUNCTION("SUM(QUERY(Coletas_BD!D:M,""select M where D='""&amp;D79&amp;""'"",1))"),250.0)</f>
        <v>250</v>
      </c>
      <c r="V79" s="328">
        <f>IFERROR(__xludf.DUMMYFUNCTION("SUM(QUERY(Coletas_BD!D:S,""select P where D='""&amp;D79&amp;""'"",1))"),65.0)</f>
        <v>65</v>
      </c>
      <c r="W79" s="328">
        <f>IFERROR(__xludf.DUMMYFUNCTION("SUM(QUERY(Coletas_BD!D:S,""select Q where D='""&amp;D79&amp;""'"",1))"),21.0)</f>
        <v>21</v>
      </c>
      <c r="X79" s="328">
        <f>IFERROR(__xludf.DUMMYFUNCTION("SUM(QUERY(Coletas_BD!D:S,""select R where D='""&amp;D79&amp;""'"",1))"),2.0)</f>
        <v>2</v>
      </c>
      <c r="Y79" s="328">
        <f>IFERROR(__xludf.DUMMYFUNCTION("SUM(QUERY(Coletas_BD!D:S,""select S where D='""&amp;D79&amp;""'"",1))"),4.0)</f>
        <v>4</v>
      </c>
      <c r="Z79" s="341"/>
    </row>
    <row r="80" ht="18.75" customHeight="1">
      <c r="A80" s="348"/>
      <c r="B80" s="378"/>
      <c r="C80" s="322">
        <v>79.0</v>
      </c>
      <c r="D80" s="351"/>
      <c r="E80" s="352"/>
      <c r="F80" s="355"/>
      <c r="G80" s="354"/>
      <c r="H80" s="354"/>
      <c r="I80" s="354"/>
      <c r="J80" s="350"/>
      <c r="K80" s="354"/>
      <c r="L80" s="354"/>
      <c r="M80" s="354"/>
      <c r="N80" s="354"/>
      <c r="O80" s="373"/>
      <c r="P80" s="379"/>
      <c r="Q80" s="370"/>
      <c r="R80" s="328">
        <f>IFERROR(__xludf.DUMMYFUNCTION("SUM(QUERY(Coletas_BD!D:M,""select J where D='""&amp;D80&amp;""'"",1))"),5407.0)</f>
        <v>5407</v>
      </c>
      <c r="S80" s="328">
        <f>IFERROR(__xludf.DUMMYFUNCTION("SUM(QUERY(Coletas_BD!D:M,""select K where D='""&amp;D80&amp;""'"",1))"),25.0)</f>
        <v>25</v>
      </c>
      <c r="T80" s="328">
        <f>IFERROR(__xludf.DUMMYFUNCTION("SUM(QUERY(Coletas_BD!D:M,""select L where D='""&amp;D80&amp;""'"",1))"),75.0)</f>
        <v>75</v>
      </c>
      <c r="U80" s="328">
        <f>IFERROR(__xludf.DUMMYFUNCTION("SUM(QUERY(Coletas_BD!D:M,""select M where D='""&amp;D80&amp;""'"",1))"),250.0)</f>
        <v>250</v>
      </c>
      <c r="V80" s="328">
        <f>IFERROR(__xludf.DUMMYFUNCTION("SUM(QUERY(Coletas_BD!D:S,""select P where D='""&amp;D80&amp;""'"",1))"),65.0)</f>
        <v>65</v>
      </c>
      <c r="W80" s="328">
        <f>IFERROR(__xludf.DUMMYFUNCTION("SUM(QUERY(Coletas_BD!D:S,""select Q where D='""&amp;D80&amp;""'"",1))"),21.0)</f>
        <v>21</v>
      </c>
      <c r="X80" s="328">
        <f>IFERROR(__xludf.DUMMYFUNCTION("SUM(QUERY(Coletas_BD!D:S,""select R where D='""&amp;D80&amp;""'"",1))"),2.0)</f>
        <v>2</v>
      </c>
      <c r="Y80" s="328">
        <f>IFERROR(__xludf.DUMMYFUNCTION("SUM(QUERY(Coletas_BD!D:S,""select S where D='""&amp;D80&amp;""'"",1))"),4.0)</f>
        <v>4</v>
      </c>
      <c r="Z80" s="364"/>
    </row>
    <row r="81" ht="18.75" customHeight="1">
      <c r="A81" s="348"/>
      <c r="B81" s="349"/>
      <c r="C81" s="322">
        <v>80.0</v>
      </c>
      <c r="D81" s="351"/>
      <c r="E81" s="352"/>
      <c r="F81" s="355"/>
      <c r="G81" s="354"/>
      <c r="H81" s="354"/>
      <c r="I81" s="354"/>
      <c r="J81" s="354"/>
      <c r="K81" s="354"/>
      <c r="L81" s="354"/>
      <c r="M81" s="354"/>
      <c r="N81" s="354"/>
      <c r="O81" s="373"/>
      <c r="P81" s="354"/>
      <c r="Q81" s="370"/>
      <c r="R81" s="328">
        <f>IFERROR(__xludf.DUMMYFUNCTION("SUM(QUERY(Coletas_BD!D:M,""select J where D='""&amp;D81&amp;""'"",1))"),5407.0)</f>
        <v>5407</v>
      </c>
      <c r="S81" s="328">
        <f>IFERROR(__xludf.DUMMYFUNCTION("SUM(QUERY(Coletas_BD!D:M,""select K where D='""&amp;D81&amp;""'"",1))"),25.0)</f>
        <v>25</v>
      </c>
      <c r="T81" s="328">
        <f>IFERROR(__xludf.DUMMYFUNCTION("SUM(QUERY(Coletas_BD!D:M,""select L where D='""&amp;D81&amp;""'"",1))"),75.0)</f>
        <v>75</v>
      </c>
      <c r="U81" s="328">
        <f>IFERROR(__xludf.DUMMYFUNCTION("SUM(QUERY(Coletas_BD!D:M,""select M where D='""&amp;D81&amp;""'"",1))"),250.0)</f>
        <v>250</v>
      </c>
      <c r="V81" s="328">
        <f>IFERROR(__xludf.DUMMYFUNCTION("SUM(QUERY(Coletas_BD!D:S,""select P where D='""&amp;D81&amp;""'"",1))"),65.0)</f>
        <v>65</v>
      </c>
      <c r="W81" s="328">
        <f>IFERROR(__xludf.DUMMYFUNCTION("SUM(QUERY(Coletas_BD!D:S,""select Q where D='""&amp;D81&amp;""'"",1))"),21.0)</f>
        <v>21</v>
      </c>
      <c r="X81" s="328">
        <f>IFERROR(__xludf.DUMMYFUNCTION("SUM(QUERY(Coletas_BD!D:S,""select R where D='""&amp;D81&amp;""'"",1))"),2.0)</f>
        <v>2</v>
      </c>
      <c r="Y81" s="328">
        <f>IFERROR(__xludf.DUMMYFUNCTION("SUM(QUERY(Coletas_BD!D:S,""select S where D='""&amp;D81&amp;""'"",1))"),4.0)</f>
        <v>4</v>
      </c>
      <c r="Z81" s="368"/>
    </row>
    <row r="82" ht="18.75" customHeight="1">
      <c r="A82" s="380"/>
      <c r="B82" s="381"/>
      <c r="C82" s="322">
        <v>81.0</v>
      </c>
      <c r="D82" s="382"/>
      <c r="E82" s="382"/>
      <c r="F82" s="383"/>
      <c r="G82" s="383">
        <v>40.0</v>
      </c>
      <c r="H82" s="382" t="s">
        <v>1261</v>
      </c>
      <c r="I82" s="372"/>
      <c r="J82" s="382" t="s">
        <v>1252</v>
      </c>
      <c r="K82" s="354"/>
      <c r="L82" s="354"/>
      <c r="M82" s="382"/>
      <c r="N82" s="384"/>
      <c r="O82" s="382"/>
      <c r="P82" s="382"/>
      <c r="Q82" s="370"/>
      <c r="R82" s="328">
        <f>IFERROR(__xludf.DUMMYFUNCTION("SUM(QUERY(Coletas_BD!D:M,""select J where D='""&amp;D82&amp;""'"",1))"),5407.0)</f>
        <v>5407</v>
      </c>
      <c r="S82" s="328">
        <f>IFERROR(__xludf.DUMMYFUNCTION("SUM(QUERY(Coletas_BD!D:M,""select K where D='""&amp;D82&amp;""'"",1))"),25.0)</f>
        <v>25</v>
      </c>
      <c r="T82" s="328">
        <f>IFERROR(__xludf.DUMMYFUNCTION("SUM(QUERY(Coletas_BD!D:M,""select L where D='""&amp;D82&amp;""'"",1))"),75.0)</f>
        <v>75</v>
      </c>
      <c r="U82" s="328">
        <f>IFERROR(__xludf.DUMMYFUNCTION("SUM(QUERY(Coletas_BD!D:M,""select M where D='""&amp;D82&amp;""'"",1))"),250.0)</f>
        <v>250</v>
      </c>
      <c r="V82" s="328">
        <f>IFERROR(__xludf.DUMMYFUNCTION("SUM(QUERY(Coletas_BD!D:S,""select P where D='""&amp;D82&amp;""'"",1))"),65.0)</f>
        <v>65</v>
      </c>
      <c r="W82" s="328">
        <f>IFERROR(__xludf.DUMMYFUNCTION("SUM(QUERY(Coletas_BD!D:S,""select Q where D='""&amp;D82&amp;""'"",1))"),21.0)</f>
        <v>21</v>
      </c>
      <c r="X82" s="328">
        <f>IFERROR(__xludf.DUMMYFUNCTION("SUM(QUERY(Coletas_BD!D:S,""select R where D='""&amp;D82&amp;""'"",1))"),2.0)</f>
        <v>2</v>
      </c>
      <c r="Y82" s="328">
        <f>IFERROR(__xludf.DUMMYFUNCTION("SUM(QUERY(Coletas_BD!D:S,""select S where D='""&amp;D82&amp;""'"",1))"),4.0)</f>
        <v>4</v>
      </c>
      <c r="Z82" s="364"/>
    </row>
    <row r="83" ht="18.75" customHeight="1">
      <c r="A83" s="320"/>
      <c r="B83" s="321"/>
      <c r="C83" s="322">
        <v>82.0</v>
      </c>
      <c r="D83" s="382"/>
      <c r="E83" s="382"/>
      <c r="F83" s="383"/>
      <c r="G83" s="383">
        <v>2.0</v>
      </c>
      <c r="H83" s="382" t="s">
        <v>1262</v>
      </c>
      <c r="I83" s="372"/>
      <c r="J83" s="382" t="s">
        <v>1263</v>
      </c>
      <c r="K83" s="354"/>
      <c r="L83" s="354"/>
      <c r="M83" s="382"/>
      <c r="N83" s="384"/>
      <c r="O83" s="382"/>
      <c r="P83" s="382"/>
      <c r="Q83" s="370"/>
      <c r="R83" s="328">
        <f>IFERROR(__xludf.DUMMYFUNCTION("SUM(QUERY(Coletas_BD!D:M,""select J where D='""&amp;D83&amp;""'"",1))"),5407.0)</f>
        <v>5407</v>
      </c>
      <c r="S83" s="328">
        <f>IFERROR(__xludf.DUMMYFUNCTION("SUM(QUERY(Coletas_BD!D:M,""select K where D='""&amp;D83&amp;""'"",1))"),25.0)</f>
        <v>25</v>
      </c>
      <c r="T83" s="328">
        <f>IFERROR(__xludf.DUMMYFUNCTION("SUM(QUERY(Coletas_BD!D:M,""select L where D='""&amp;D83&amp;""'"",1))"),75.0)</f>
        <v>75</v>
      </c>
      <c r="U83" s="328">
        <f>IFERROR(__xludf.DUMMYFUNCTION("SUM(QUERY(Coletas_BD!D:M,""select M where D='""&amp;D83&amp;""'"",1))"),250.0)</f>
        <v>250</v>
      </c>
      <c r="V83" s="328">
        <f>IFERROR(__xludf.DUMMYFUNCTION("SUM(QUERY(Coletas_BD!D:S,""select P where D='""&amp;D83&amp;""'"",1))"),65.0)</f>
        <v>65</v>
      </c>
      <c r="W83" s="328">
        <f>IFERROR(__xludf.DUMMYFUNCTION("SUM(QUERY(Coletas_BD!D:S,""select Q where D='""&amp;D83&amp;""'"",1))"),21.0)</f>
        <v>21</v>
      </c>
      <c r="X83" s="328">
        <f>IFERROR(__xludf.DUMMYFUNCTION("SUM(QUERY(Coletas_BD!D:S,""select R where D='""&amp;D83&amp;""'"",1))"),2.0)</f>
        <v>2</v>
      </c>
      <c r="Y83" s="328">
        <f>IFERROR(__xludf.DUMMYFUNCTION("SUM(QUERY(Coletas_BD!D:S,""select S where D='""&amp;D83&amp;""'"",1))"),4.0)</f>
        <v>4</v>
      </c>
      <c r="Z83" s="368"/>
    </row>
    <row r="84" ht="18.75" customHeight="1">
      <c r="A84" s="320"/>
      <c r="B84" s="321"/>
      <c r="C84" s="322">
        <v>83.0</v>
      </c>
      <c r="D84" s="382"/>
      <c r="E84" s="382"/>
      <c r="F84" s="383"/>
      <c r="G84" s="383">
        <v>1.0</v>
      </c>
      <c r="H84" s="382" t="s">
        <v>1264</v>
      </c>
      <c r="I84" s="372"/>
      <c r="J84" s="382" t="s">
        <v>1248</v>
      </c>
      <c r="K84" s="354"/>
      <c r="L84" s="354"/>
      <c r="M84" s="382"/>
      <c r="N84" s="384"/>
      <c r="O84" s="382"/>
      <c r="P84" s="382"/>
      <c r="Q84" s="370"/>
      <c r="R84" s="328">
        <f>IFERROR(__xludf.DUMMYFUNCTION("SUM(QUERY(Coletas_BD!D:M,""select J where D='""&amp;D84&amp;""'"",1))"),5407.0)</f>
        <v>5407</v>
      </c>
      <c r="S84" s="328">
        <f>IFERROR(__xludf.DUMMYFUNCTION("SUM(QUERY(Coletas_BD!D:M,""select K where D='""&amp;D84&amp;""'"",1))"),25.0)</f>
        <v>25</v>
      </c>
      <c r="T84" s="328">
        <f>IFERROR(__xludf.DUMMYFUNCTION("SUM(QUERY(Coletas_BD!D:M,""select L where D='""&amp;D84&amp;""'"",1))"),75.0)</f>
        <v>75</v>
      </c>
      <c r="U84" s="328">
        <f>IFERROR(__xludf.DUMMYFUNCTION("SUM(QUERY(Coletas_BD!D:M,""select M where D='""&amp;D84&amp;""'"",1))"),250.0)</f>
        <v>250</v>
      </c>
      <c r="V84" s="328">
        <f>IFERROR(__xludf.DUMMYFUNCTION("SUM(QUERY(Coletas_BD!D:S,""select P where D='""&amp;D84&amp;""'"",1))"),65.0)</f>
        <v>65</v>
      </c>
      <c r="W84" s="328">
        <f>IFERROR(__xludf.DUMMYFUNCTION("SUM(QUERY(Coletas_BD!D:S,""select Q where D='""&amp;D84&amp;""'"",1))"),21.0)</f>
        <v>21</v>
      </c>
      <c r="X84" s="328">
        <f>IFERROR(__xludf.DUMMYFUNCTION("SUM(QUERY(Coletas_BD!D:S,""select R where D='""&amp;D84&amp;""'"",1))"),2.0)</f>
        <v>2</v>
      </c>
      <c r="Y84" s="328">
        <f>IFERROR(__xludf.DUMMYFUNCTION("SUM(QUERY(Coletas_BD!D:S,""select S where D='""&amp;D84&amp;""'"",1))"),4.0)</f>
        <v>4</v>
      </c>
      <c r="Z84" s="364"/>
    </row>
    <row r="85" ht="18.75" customHeight="1">
      <c r="A85" s="320"/>
      <c r="B85" s="321"/>
      <c r="C85" s="322">
        <v>84.0</v>
      </c>
      <c r="D85" s="382"/>
      <c r="E85" s="382"/>
      <c r="F85" s="383"/>
      <c r="G85" s="383">
        <v>1.0</v>
      </c>
      <c r="H85" s="382" t="s">
        <v>1265</v>
      </c>
      <c r="I85" s="372"/>
      <c r="J85" s="382" t="s">
        <v>1263</v>
      </c>
      <c r="K85" s="354"/>
      <c r="L85" s="354"/>
      <c r="M85" s="382"/>
      <c r="N85" s="384"/>
      <c r="O85" s="382"/>
      <c r="P85" s="382"/>
      <c r="Q85" s="370"/>
      <c r="R85" s="328">
        <f>IFERROR(__xludf.DUMMYFUNCTION("SUM(QUERY(Coletas_BD!D:M,""select J where D='""&amp;D85&amp;""'"",1))"),5407.0)</f>
        <v>5407</v>
      </c>
      <c r="S85" s="328">
        <f>IFERROR(__xludf.DUMMYFUNCTION("SUM(QUERY(Coletas_BD!D:M,""select K where D='""&amp;D85&amp;""'"",1))"),25.0)</f>
        <v>25</v>
      </c>
      <c r="T85" s="328">
        <f>IFERROR(__xludf.DUMMYFUNCTION("SUM(QUERY(Coletas_BD!D:M,""select L where D='""&amp;D85&amp;""'"",1))"),75.0)</f>
        <v>75</v>
      </c>
      <c r="U85" s="328">
        <f>IFERROR(__xludf.DUMMYFUNCTION("SUM(QUERY(Coletas_BD!D:M,""select M where D='""&amp;D85&amp;""'"",1))"),250.0)</f>
        <v>250</v>
      </c>
      <c r="V85" s="328">
        <f>IFERROR(__xludf.DUMMYFUNCTION("SUM(QUERY(Coletas_BD!D:S,""select P where D='""&amp;D85&amp;""'"",1))"),65.0)</f>
        <v>65</v>
      </c>
      <c r="W85" s="328">
        <f>IFERROR(__xludf.DUMMYFUNCTION("SUM(QUERY(Coletas_BD!D:S,""select Q where D='""&amp;D85&amp;""'"",1))"),21.0)</f>
        <v>21</v>
      </c>
      <c r="X85" s="328">
        <f>IFERROR(__xludf.DUMMYFUNCTION("SUM(QUERY(Coletas_BD!D:S,""select R where D='""&amp;D85&amp;""'"",1))"),2.0)</f>
        <v>2</v>
      </c>
      <c r="Y85" s="328">
        <f>IFERROR(__xludf.DUMMYFUNCTION("SUM(QUERY(Coletas_BD!D:S,""select S where D='""&amp;D85&amp;""'"",1))"),4.0)</f>
        <v>4</v>
      </c>
      <c r="Z85" s="341"/>
    </row>
    <row r="86" ht="18.75" customHeight="1">
      <c r="A86" s="320"/>
      <c r="B86" s="321"/>
      <c r="C86" s="322">
        <v>85.0</v>
      </c>
      <c r="D86" s="382"/>
      <c r="E86" s="382"/>
      <c r="F86" s="383"/>
      <c r="G86" s="383">
        <v>1.0</v>
      </c>
      <c r="H86" s="382" t="s">
        <v>1266</v>
      </c>
      <c r="I86" s="372"/>
      <c r="J86" s="382" t="s">
        <v>1254</v>
      </c>
      <c r="K86" s="354"/>
      <c r="L86" s="354"/>
      <c r="M86" s="382"/>
      <c r="N86" s="384"/>
      <c r="O86" s="382"/>
      <c r="P86" s="382"/>
      <c r="Q86" s="370"/>
      <c r="R86" s="328">
        <f>IFERROR(__xludf.DUMMYFUNCTION("SUM(QUERY(Coletas_BD!D:M,""select J where D='""&amp;D86&amp;""'"",1))"),5407.0)</f>
        <v>5407</v>
      </c>
      <c r="S86" s="328">
        <f>IFERROR(__xludf.DUMMYFUNCTION("SUM(QUERY(Coletas_BD!D:M,""select K where D='""&amp;D86&amp;""'"",1))"),25.0)</f>
        <v>25</v>
      </c>
      <c r="T86" s="328">
        <f>IFERROR(__xludf.DUMMYFUNCTION("SUM(QUERY(Coletas_BD!D:M,""select L where D='""&amp;D86&amp;""'"",1))"),75.0)</f>
        <v>75</v>
      </c>
      <c r="U86" s="328">
        <f>IFERROR(__xludf.DUMMYFUNCTION("SUM(QUERY(Coletas_BD!D:M,""select M where D='""&amp;D86&amp;""'"",1))"),250.0)</f>
        <v>250</v>
      </c>
      <c r="V86" s="328">
        <f>IFERROR(__xludf.DUMMYFUNCTION("SUM(QUERY(Coletas_BD!D:S,""select P where D='""&amp;D86&amp;""'"",1))"),65.0)</f>
        <v>65</v>
      </c>
      <c r="W86" s="328">
        <f>IFERROR(__xludf.DUMMYFUNCTION("SUM(QUERY(Coletas_BD!D:S,""select Q where D='""&amp;D86&amp;""'"",1))"),21.0)</f>
        <v>21</v>
      </c>
      <c r="X86" s="328">
        <f>IFERROR(__xludf.DUMMYFUNCTION("SUM(QUERY(Coletas_BD!D:S,""select R where D='""&amp;D86&amp;""'"",1))"),2.0)</f>
        <v>2</v>
      </c>
      <c r="Y86" s="328">
        <f>IFERROR(__xludf.DUMMYFUNCTION("SUM(QUERY(Coletas_BD!D:S,""select S where D='""&amp;D86&amp;""'"",1))"),4.0)</f>
        <v>4</v>
      </c>
      <c r="Z86" s="364"/>
    </row>
    <row r="87" ht="18.75" customHeight="1">
      <c r="A87" s="320"/>
      <c r="B87" s="321"/>
      <c r="C87" s="322">
        <v>86.0</v>
      </c>
      <c r="D87" s="382"/>
      <c r="E87" s="382"/>
      <c r="F87" s="383"/>
      <c r="G87" s="383">
        <v>3.0</v>
      </c>
      <c r="H87" s="382" t="s">
        <v>1267</v>
      </c>
      <c r="I87" s="382" t="s">
        <v>1268</v>
      </c>
      <c r="J87" s="382" t="s">
        <v>1263</v>
      </c>
      <c r="K87" s="354"/>
      <c r="L87" s="354"/>
      <c r="M87" s="382"/>
      <c r="N87" s="384"/>
      <c r="O87" s="382"/>
      <c r="P87" s="382"/>
      <c r="Q87" s="370"/>
      <c r="R87" s="328">
        <f>IFERROR(__xludf.DUMMYFUNCTION("SUM(QUERY(Coletas_BD!D:M,""select J where D='""&amp;D87&amp;""'"",1))"),5407.0)</f>
        <v>5407</v>
      </c>
      <c r="S87" s="328">
        <f>IFERROR(__xludf.DUMMYFUNCTION("SUM(QUERY(Coletas_BD!D:M,""select K where D='""&amp;D87&amp;""'"",1))"),25.0)</f>
        <v>25</v>
      </c>
      <c r="T87" s="328">
        <f>IFERROR(__xludf.DUMMYFUNCTION("SUM(QUERY(Coletas_BD!D:M,""select L where D='""&amp;D87&amp;""'"",1))"),75.0)</f>
        <v>75</v>
      </c>
      <c r="U87" s="328">
        <f>IFERROR(__xludf.DUMMYFUNCTION("SUM(QUERY(Coletas_BD!D:M,""select M where D='""&amp;D87&amp;""'"",1))"),250.0)</f>
        <v>250</v>
      </c>
      <c r="V87" s="328">
        <f>IFERROR(__xludf.DUMMYFUNCTION("SUM(QUERY(Coletas_BD!D:S,""select P where D='""&amp;D87&amp;""'"",1))"),65.0)</f>
        <v>65</v>
      </c>
      <c r="W87" s="328">
        <f>IFERROR(__xludf.DUMMYFUNCTION("SUM(QUERY(Coletas_BD!D:S,""select Q where D='""&amp;D87&amp;""'"",1))"),21.0)</f>
        <v>21</v>
      </c>
      <c r="X87" s="328">
        <f>IFERROR(__xludf.DUMMYFUNCTION("SUM(QUERY(Coletas_BD!D:S,""select R where D='""&amp;D87&amp;""'"",1))"),2.0)</f>
        <v>2</v>
      </c>
      <c r="Y87" s="328">
        <f>IFERROR(__xludf.DUMMYFUNCTION("SUM(QUERY(Coletas_BD!D:S,""select S where D='""&amp;D87&amp;""'"",1))"),4.0)</f>
        <v>4</v>
      </c>
      <c r="Z87" s="368"/>
    </row>
    <row r="88" ht="18.75" customHeight="1">
      <c r="A88" s="320"/>
      <c r="B88" s="321"/>
      <c r="C88" s="322">
        <v>87.0</v>
      </c>
      <c r="D88" s="382"/>
      <c r="E88" s="382"/>
      <c r="F88" s="383"/>
      <c r="G88" s="382">
        <v>2.0</v>
      </c>
      <c r="H88" s="382" t="s">
        <v>1269</v>
      </c>
      <c r="I88" s="372"/>
      <c r="J88" s="382" t="s">
        <v>1263</v>
      </c>
      <c r="K88" s="354"/>
      <c r="L88" s="354"/>
      <c r="M88" s="382"/>
      <c r="N88" s="384"/>
      <c r="O88" s="382"/>
      <c r="P88" s="382"/>
      <c r="Q88" s="370"/>
      <c r="R88" s="328">
        <f>IFERROR(__xludf.DUMMYFUNCTION("SUM(QUERY(Coletas_BD!D:M,""select J where D='""&amp;D88&amp;""'"",1))"),5407.0)</f>
        <v>5407</v>
      </c>
      <c r="S88" s="328">
        <f>IFERROR(__xludf.DUMMYFUNCTION("SUM(QUERY(Coletas_BD!D:M,""select K where D='""&amp;D88&amp;""'"",1))"),25.0)</f>
        <v>25</v>
      </c>
      <c r="T88" s="328">
        <f>IFERROR(__xludf.DUMMYFUNCTION("SUM(QUERY(Coletas_BD!D:M,""select L where D='""&amp;D88&amp;""'"",1))"),75.0)</f>
        <v>75</v>
      </c>
      <c r="U88" s="328">
        <f>IFERROR(__xludf.DUMMYFUNCTION("SUM(QUERY(Coletas_BD!D:M,""select M where D='""&amp;D88&amp;""'"",1))"),250.0)</f>
        <v>250</v>
      </c>
      <c r="V88" s="328">
        <f>IFERROR(__xludf.DUMMYFUNCTION("SUM(QUERY(Coletas_BD!D:S,""select P where D='""&amp;D88&amp;""'"",1))"),65.0)</f>
        <v>65</v>
      </c>
      <c r="W88" s="328">
        <f>IFERROR(__xludf.DUMMYFUNCTION("SUM(QUERY(Coletas_BD!D:S,""select Q where D='""&amp;D88&amp;""'"",1))"),21.0)</f>
        <v>21</v>
      </c>
      <c r="X88" s="328">
        <f>IFERROR(__xludf.DUMMYFUNCTION("SUM(QUERY(Coletas_BD!D:S,""select R where D='""&amp;D88&amp;""'"",1))"),2.0)</f>
        <v>2</v>
      </c>
      <c r="Y88" s="328">
        <f>IFERROR(__xludf.DUMMYFUNCTION("SUM(QUERY(Coletas_BD!D:S,""select S where D='""&amp;D88&amp;""'"",1))"),4.0)</f>
        <v>4</v>
      </c>
      <c r="Z88" s="364"/>
    </row>
    <row r="89" ht="18.75" customHeight="1">
      <c r="A89" s="320"/>
      <c r="B89" s="321"/>
      <c r="C89" s="322">
        <v>88.0</v>
      </c>
      <c r="D89" s="382"/>
      <c r="E89" s="382"/>
      <c r="F89" s="383"/>
      <c r="G89" s="383">
        <v>1.0</v>
      </c>
      <c r="H89" s="382" t="s">
        <v>1270</v>
      </c>
      <c r="I89" s="382" t="s">
        <v>1271</v>
      </c>
      <c r="J89" s="382" t="s">
        <v>1248</v>
      </c>
      <c r="K89" s="354"/>
      <c r="L89" s="354"/>
      <c r="M89" s="382"/>
      <c r="N89" s="384"/>
      <c r="O89" s="382"/>
      <c r="P89" s="382"/>
      <c r="Q89" s="370"/>
      <c r="R89" s="328">
        <f>IFERROR(__xludf.DUMMYFUNCTION("SUM(QUERY(Coletas_BD!D:M,""select J where D='""&amp;D89&amp;""'"",1))"),5407.0)</f>
        <v>5407</v>
      </c>
      <c r="S89" s="328">
        <f>IFERROR(__xludf.DUMMYFUNCTION("SUM(QUERY(Coletas_BD!D:M,""select K where D='""&amp;D89&amp;""'"",1))"),25.0)</f>
        <v>25</v>
      </c>
      <c r="T89" s="328">
        <f>IFERROR(__xludf.DUMMYFUNCTION("SUM(QUERY(Coletas_BD!D:M,""select L where D='""&amp;D89&amp;""'"",1))"),75.0)</f>
        <v>75</v>
      </c>
      <c r="U89" s="328">
        <f>IFERROR(__xludf.DUMMYFUNCTION("SUM(QUERY(Coletas_BD!D:M,""select M where D='""&amp;D89&amp;""'"",1))"),250.0)</f>
        <v>250</v>
      </c>
      <c r="V89" s="328">
        <f>IFERROR(__xludf.DUMMYFUNCTION("SUM(QUERY(Coletas_BD!D:S,""select P where D='""&amp;D89&amp;""'"",1))"),65.0)</f>
        <v>65</v>
      </c>
      <c r="W89" s="328">
        <f>IFERROR(__xludf.DUMMYFUNCTION("SUM(QUERY(Coletas_BD!D:S,""select Q where D='""&amp;D89&amp;""'"",1))"),21.0)</f>
        <v>21</v>
      </c>
      <c r="X89" s="328">
        <f>IFERROR(__xludf.DUMMYFUNCTION("SUM(QUERY(Coletas_BD!D:S,""select R where D='""&amp;D89&amp;""'"",1))"),2.0)</f>
        <v>2</v>
      </c>
      <c r="Y89" s="328">
        <f>IFERROR(__xludf.DUMMYFUNCTION("SUM(QUERY(Coletas_BD!D:S,""select S where D='""&amp;D89&amp;""'"",1))"),4.0)</f>
        <v>4</v>
      </c>
      <c r="Z89" s="368"/>
    </row>
    <row r="90" ht="18.75" customHeight="1">
      <c r="A90" s="320"/>
      <c r="B90" s="321"/>
      <c r="C90" s="322">
        <v>89.0</v>
      </c>
      <c r="D90" s="382"/>
      <c r="E90" s="382"/>
      <c r="F90" s="383"/>
      <c r="G90" s="383">
        <v>1.0</v>
      </c>
      <c r="H90" s="382" t="s">
        <v>1272</v>
      </c>
      <c r="I90" s="372"/>
      <c r="J90" s="382" t="s">
        <v>1273</v>
      </c>
      <c r="K90" s="354"/>
      <c r="L90" s="354"/>
      <c r="M90" s="382"/>
      <c r="N90" s="384"/>
      <c r="O90" s="382"/>
      <c r="P90" s="382"/>
      <c r="Q90" s="370"/>
      <c r="R90" s="328">
        <f>IFERROR(__xludf.DUMMYFUNCTION("SUM(QUERY(Coletas_BD!D:M,""select J where D='""&amp;D90&amp;""'"",1))"),5407.0)</f>
        <v>5407</v>
      </c>
      <c r="S90" s="328">
        <f>IFERROR(__xludf.DUMMYFUNCTION("SUM(QUERY(Coletas_BD!D:M,""select K where D='""&amp;D90&amp;""'"",1))"),25.0)</f>
        <v>25</v>
      </c>
      <c r="T90" s="328">
        <f>IFERROR(__xludf.DUMMYFUNCTION("SUM(QUERY(Coletas_BD!D:M,""select L where D='""&amp;D90&amp;""'"",1))"),75.0)</f>
        <v>75</v>
      </c>
      <c r="U90" s="328">
        <f>IFERROR(__xludf.DUMMYFUNCTION("SUM(QUERY(Coletas_BD!D:M,""select M where D='""&amp;D90&amp;""'"",1))"),250.0)</f>
        <v>250</v>
      </c>
      <c r="V90" s="328">
        <f>IFERROR(__xludf.DUMMYFUNCTION("SUM(QUERY(Coletas_BD!D:S,""select P where D='""&amp;D90&amp;""'"",1))"),65.0)</f>
        <v>65</v>
      </c>
      <c r="W90" s="328">
        <f>IFERROR(__xludf.DUMMYFUNCTION("SUM(QUERY(Coletas_BD!D:S,""select Q where D='""&amp;D90&amp;""'"",1))"),21.0)</f>
        <v>21</v>
      </c>
      <c r="X90" s="328">
        <f>IFERROR(__xludf.DUMMYFUNCTION("SUM(QUERY(Coletas_BD!D:S,""select R where D='""&amp;D90&amp;""'"",1))"),2.0)</f>
        <v>2</v>
      </c>
      <c r="Y90" s="328">
        <f>IFERROR(__xludf.DUMMYFUNCTION("SUM(QUERY(Coletas_BD!D:S,""select S where D='""&amp;D90&amp;""'"",1))"),4.0)</f>
        <v>4</v>
      </c>
      <c r="Z90" s="364"/>
    </row>
    <row r="91" ht="18.75" customHeight="1">
      <c r="A91" s="320"/>
      <c r="B91" s="321"/>
      <c r="C91" s="322">
        <v>90.0</v>
      </c>
      <c r="D91" s="382"/>
      <c r="E91" s="382"/>
      <c r="F91" s="383"/>
      <c r="G91" s="383">
        <v>4.0</v>
      </c>
      <c r="H91" s="382" t="s">
        <v>1274</v>
      </c>
      <c r="I91" s="372"/>
      <c r="J91" s="382" t="s">
        <v>1252</v>
      </c>
      <c r="K91" s="354"/>
      <c r="L91" s="354"/>
      <c r="M91" s="382"/>
      <c r="N91" s="384"/>
      <c r="O91" s="382"/>
      <c r="P91" s="382"/>
      <c r="Q91" s="370"/>
      <c r="R91" s="328">
        <f>IFERROR(__xludf.DUMMYFUNCTION("SUM(QUERY(Coletas_BD!D:M,""select J where D='""&amp;D91&amp;""'"",1))"),5407.0)</f>
        <v>5407</v>
      </c>
      <c r="S91" s="328">
        <f>IFERROR(__xludf.DUMMYFUNCTION("SUM(QUERY(Coletas_BD!D:M,""select K where D='""&amp;D91&amp;""'"",1))"),25.0)</f>
        <v>25</v>
      </c>
      <c r="T91" s="328">
        <f>IFERROR(__xludf.DUMMYFUNCTION("SUM(QUERY(Coletas_BD!D:M,""select L where D='""&amp;D91&amp;""'"",1))"),75.0)</f>
        <v>75</v>
      </c>
      <c r="U91" s="328">
        <f>IFERROR(__xludf.DUMMYFUNCTION("SUM(QUERY(Coletas_BD!D:M,""select M where D='""&amp;D91&amp;""'"",1))"),250.0)</f>
        <v>250</v>
      </c>
      <c r="V91" s="328">
        <f>IFERROR(__xludf.DUMMYFUNCTION("SUM(QUERY(Coletas_BD!D:S,""select P where D='""&amp;D91&amp;""'"",1))"),65.0)</f>
        <v>65</v>
      </c>
      <c r="W91" s="328">
        <f>IFERROR(__xludf.DUMMYFUNCTION("SUM(QUERY(Coletas_BD!D:S,""select Q where D='""&amp;D91&amp;""'"",1))"),21.0)</f>
        <v>21</v>
      </c>
      <c r="X91" s="328">
        <f>IFERROR(__xludf.DUMMYFUNCTION("SUM(QUERY(Coletas_BD!D:S,""select R where D='""&amp;D91&amp;""'"",1))"),2.0)</f>
        <v>2</v>
      </c>
      <c r="Y91" s="328">
        <f>IFERROR(__xludf.DUMMYFUNCTION("SUM(QUERY(Coletas_BD!D:S,""select S where D='""&amp;D91&amp;""'"",1))"),4.0)</f>
        <v>4</v>
      </c>
      <c r="Z91" s="341"/>
    </row>
    <row r="92" ht="18.75" customHeight="1">
      <c r="A92" s="385"/>
      <c r="B92" s="386"/>
      <c r="C92" s="322">
        <v>91.0</v>
      </c>
      <c r="D92" s="382"/>
      <c r="E92" s="382"/>
      <c r="F92" s="383"/>
      <c r="G92" s="383" t="s">
        <v>1275</v>
      </c>
      <c r="H92" s="382" t="s">
        <v>1276</v>
      </c>
      <c r="I92" s="382" t="s">
        <v>1277</v>
      </c>
      <c r="J92" s="382" t="s">
        <v>1252</v>
      </c>
      <c r="K92" s="354"/>
      <c r="L92" s="354"/>
      <c r="M92" s="382"/>
      <c r="N92" s="384"/>
      <c r="O92" s="382"/>
      <c r="P92" s="384"/>
      <c r="Q92" s="387"/>
      <c r="R92" s="328">
        <f>IFERROR(__xludf.DUMMYFUNCTION("SUM(QUERY(Coletas_BD!D:M,""select J where D='""&amp;D92&amp;""'"",1))"),5407.0)</f>
        <v>5407</v>
      </c>
      <c r="S92" s="328">
        <f>IFERROR(__xludf.DUMMYFUNCTION("SUM(QUERY(Coletas_BD!D:M,""select K where D='""&amp;D92&amp;""'"",1))"),25.0)</f>
        <v>25</v>
      </c>
      <c r="T92" s="328">
        <f>IFERROR(__xludf.DUMMYFUNCTION("SUM(QUERY(Coletas_BD!D:M,""select L where D='""&amp;D92&amp;""'"",1))"),75.0)</f>
        <v>75</v>
      </c>
      <c r="U92" s="328">
        <f>IFERROR(__xludf.DUMMYFUNCTION("SUM(QUERY(Coletas_BD!D:M,""select M where D='""&amp;D92&amp;""'"",1))"),250.0)</f>
        <v>250</v>
      </c>
      <c r="V92" s="328">
        <f>IFERROR(__xludf.DUMMYFUNCTION("SUM(QUERY(Coletas_BD!D:S,""select P where D='""&amp;D92&amp;""'"",1))"),65.0)</f>
        <v>65</v>
      </c>
      <c r="W92" s="328">
        <f>IFERROR(__xludf.DUMMYFUNCTION("SUM(QUERY(Coletas_BD!D:S,""select Q where D='""&amp;D92&amp;""'"",1))"),21.0)</f>
        <v>21</v>
      </c>
      <c r="X92" s="328">
        <f>IFERROR(__xludf.DUMMYFUNCTION("SUM(QUERY(Coletas_BD!D:S,""select R where D='""&amp;D92&amp;""'"",1))"),2.0)</f>
        <v>2</v>
      </c>
      <c r="Y92" s="328">
        <f>IFERROR(__xludf.DUMMYFUNCTION("SUM(QUERY(Coletas_BD!D:S,""select S where D='""&amp;D92&amp;""'"",1))"),4.0)</f>
        <v>4</v>
      </c>
      <c r="Z92" s="364"/>
    </row>
    <row r="93" ht="18.75" customHeight="1">
      <c r="A93" s="385"/>
      <c r="B93" s="386"/>
      <c r="C93" s="322">
        <v>92.0</v>
      </c>
      <c r="D93" s="382"/>
      <c r="E93" s="382"/>
      <c r="F93" s="383"/>
      <c r="G93" s="383">
        <v>0.0</v>
      </c>
      <c r="H93" s="382"/>
      <c r="I93" s="382" t="s">
        <v>1278</v>
      </c>
      <c r="J93" s="382"/>
      <c r="K93" s="354"/>
      <c r="L93" s="354"/>
      <c r="M93" s="382"/>
      <c r="N93" s="384"/>
      <c r="O93" s="382"/>
      <c r="P93" s="382"/>
      <c r="Q93" s="387"/>
      <c r="R93" s="328">
        <f>IFERROR(__xludf.DUMMYFUNCTION("SUM(QUERY(Coletas_BD!D:M,""select J where D='""&amp;D93&amp;""'"",1))"),5407.0)</f>
        <v>5407</v>
      </c>
      <c r="S93" s="328">
        <f>IFERROR(__xludf.DUMMYFUNCTION("SUM(QUERY(Coletas_BD!D:M,""select K where D='""&amp;D93&amp;""'"",1))"),25.0)</f>
        <v>25</v>
      </c>
      <c r="T93" s="328">
        <f>IFERROR(__xludf.DUMMYFUNCTION("SUM(QUERY(Coletas_BD!D:M,""select L where D='""&amp;D93&amp;""'"",1))"),75.0)</f>
        <v>75</v>
      </c>
      <c r="U93" s="328">
        <f>IFERROR(__xludf.DUMMYFUNCTION("SUM(QUERY(Coletas_BD!D:M,""select M where D='""&amp;D93&amp;""'"",1))"),250.0)</f>
        <v>250</v>
      </c>
      <c r="V93" s="328">
        <f>IFERROR(__xludf.DUMMYFUNCTION("SUM(QUERY(Coletas_BD!D:S,""select P where D='""&amp;D93&amp;""'"",1))"),65.0)</f>
        <v>65</v>
      </c>
      <c r="W93" s="328">
        <f>IFERROR(__xludf.DUMMYFUNCTION("SUM(QUERY(Coletas_BD!D:S,""select Q where D='""&amp;D93&amp;""'"",1))"),21.0)</f>
        <v>21</v>
      </c>
      <c r="X93" s="328">
        <f>IFERROR(__xludf.DUMMYFUNCTION("SUM(QUERY(Coletas_BD!D:S,""select R where D='""&amp;D93&amp;""'"",1))"),2.0)</f>
        <v>2</v>
      </c>
      <c r="Y93" s="328">
        <f>IFERROR(__xludf.DUMMYFUNCTION("SUM(QUERY(Coletas_BD!D:S,""select S where D='""&amp;D93&amp;""'"",1))"),4.0)</f>
        <v>4</v>
      </c>
      <c r="Z93" s="368"/>
    </row>
    <row r="94" ht="18.75" customHeight="1">
      <c r="A94" s="388"/>
      <c r="B94" s="386"/>
      <c r="C94" s="322">
        <v>93.0</v>
      </c>
      <c r="D94" s="382"/>
      <c r="E94" s="382"/>
      <c r="F94" s="383"/>
      <c r="G94" s="383">
        <v>1.0</v>
      </c>
      <c r="H94" s="382" t="s">
        <v>1279</v>
      </c>
      <c r="I94" s="382" t="s">
        <v>1280</v>
      </c>
      <c r="J94" s="382" t="s">
        <v>1248</v>
      </c>
      <c r="K94" s="354"/>
      <c r="L94" s="354"/>
      <c r="M94" s="382"/>
      <c r="N94" s="384"/>
      <c r="O94" s="382"/>
      <c r="P94" s="382"/>
      <c r="Q94" s="389"/>
      <c r="R94" s="328">
        <f>IFERROR(__xludf.DUMMYFUNCTION("SUM(QUERY(Coletas_BD!D:M,""select J where D='""&amp;D94&amp;""'"",1))"),5407.0)</f>
        <v>5407</v>
      </c>
      <c r="S94" s="328">
        <f>IFERROR(__xludf.DUMMYFUNCTION("SUM(QUERY(Coletas_BD!D:M,""select K where D='""&amp;D94&amp;""'"",1))"),25.0)</f>
        <v>25</v>
      </c>
      <c r="T94" s="328">
        <f>IFERROR(__xludf.DUMMYFUNCTION("SUM(QUERY(Coletas_BD!D:M,""select L where D='""&amp;D94&amp;""'"",1))"),75.0)</f>
        <v>75</v>
      </c>
      <c r="U94" s="328">
        <f>IFERROR(__xludf.DUMMYFUNCTION("SUM(QUERY(Coletas_BD!D:M,""select M where D='""&amp;D94&amp;""'"",1))"),250.0)</f>
        <v>250</v>
      </c>
      <c r="V94" s="328">
        <f>IFERROR(__xludf.DUMMYFUNCTION("SUM(QUERY(Coletas_BD!D:S,""select P where D='""&amp;D94&amp;""'"",1))"),65.0)</f>
        <v>65</v>
      </c>
      <c r="W94" s="328">
        <f>IFERROR(__xludf.DUMMYFUNCTION("SUM(QUERY(Coletas_BD!D:S,""select Q where D='""&amp;D94&amp;""'"",1))"),21.0)</f>
        <v>21</v>
      </c>
      <c r="X94" s="328">
        <f>IFERROR(__xludf.DUMMYFUNCTION("SUM(QUERY(Coletas_BD!D:S,""select R where D='""&amp;D94&amp;""'"",1))"),2.0)</f>
        <v>2</v>
      </c>
      <c r="Y94" s="328">
        <f>IFERROR(__xludf.DUMMYFUNCTION("SUM(QUERY(Coletas_BD!D:S,""select S where D='""&amp;D94&amp;""'"",1))"),4.0)</f>
        <v>4</v>
      </c>
      <c r="Z94" s="368"/>
    </row>
    <row r="95" ht="18.75" customHeight="1">
      <c r="A95" s="388"/>
      <c r="B95" s="386"/>
      <c r="C95" s="322">
        <v>94.0</v>
      </c>
      <c r="D95" s="382"/>
      <c r="E95" s="382"/>
      <c r="F95" s="383"/>
      <c r="G95" s="383">
        <v>2.0</v>
      </c>
      <c r="H95" s="382" t="s">
        <v>1281</v>
      </c>
      <c r="I95" s="382" t="s">
        <v>1282</v>
      </c>
      <c r="J95" s="382" t="s">
        <v>1252</v>
      </c>
      <c r="K95" s="354"/>
      <c r="L95" s="354"/>
      <c r="M95" s="382"/>
      <c r="N95" s="384"/>
      <c r="O95" s="382"/>
      <c r="P95" s="382"/>
      <c r="Q95" s="389"/>
      <c r="R95" s="328">
        <f>IFERROR(__xludf.DUMMYFUNCTION("SUM(QUERY(Coletas_BD!D:M,""select J where D='""&amp;D95&amp;""'"",1))"),5407.0)</f>
        <v>5407</v>
      </c>
      <c r="S95" s="328">
        <f>IFERROR(__xludf.DUMMYFUNCTION("SUM(QUERY(Coletas_BD!D:M,""select K where D='""&amp;D95&amp;""'"",1))"),25.0)</f>
        <v>25</v>
      </c>
      <c r="T95" s="328">
        <f>IFERROR(__xludf.DUMMYFUNCTION("SUM(QUERY(Coletas_BD!D:M,""select L where D='""&amp;D95&amp;""'"",1))"),75.0)</f>
        <v>75</v>
      </c>
      <c r="U95" s="328">
        <f>IFERROR(__xludf.DUMMYFUNCTION("SUM(QUERY(Coletas_BD!D:M,""select M where D='""&amp;D95&amp;""'"",1))"),250.0)</f>
        <v>250</v>
      </c>
      <c r="V95" s="328">
        <f>IFERROR(__xludf.DUMMYFUNCTION("SUM(QUERY(Coletas_BD!D:S,""select P where D='""&amp;D95&amp;""'"",1))"),65.0)</f>
        <v>65</v>
      </c>
      <c r="W95" s="328">
        <f>IFERROR(__xludf.DUMMYFUNCTION("SUM(QUERY(Coletas_BD!D:S,""select Q where D='""&amp;D95&amp;""'"",1))"),21.0)</f>
        <v>21</v>
      </c>
      <c r="X95" s="328">
        <f>IFERROR(__xludf.DUMMYFUNCTION("SUM(QUERY(Coletas_BD!D:S,""select R where D='""&amp;D95&amp;""'"",1))"),2.0)</f>
        <v>2</v>
      </c>
      <c r="Y95" s="328">
        <f>IFERROR(__xludf.DUMMYFUNCTION("SUM(QUERY(Coletas_BD!D:S,""select S where D='""&amp;D95&amp;""'"",1))"),4.0)</f>
        <v>4</v>
      </c>
      <c r="Z95" s="360"/>
    </row>
    <row r="96" ht="18.75" customHeight="1">
      <c r="A96" s="388"/>
      <c r="B96" s="386"/>
      <c r="C96" s="322">
        <v>95.0</v>
      </c>
      <c r="D96" s="390"/>
      <c r="E96" s="390"/>
      <c r="F96" s="383"/>
      <c r="G96" s="391">
        <v>1.0</v>
      </c>
      <c r="H96" s="392" t="s">
        <v>1261</v>
      </c>
      <c r="I96" s="382"/>
      <c r="J96" s="392" t="s">
        <v>1283</v>
      </c>
      <c r="K96" s="354"/>
      <c r="L96" s="354"/>
      <c r="M96" s="382"/>
      <c r="N96" s="393"/>
      <c r="O96" s="390"/>
      <c r="P96" s="382"/>
      <c r="Q96" s="394"/>
      <c r="R96" s="328">
        <f>IFERROR(__xludf.DUMMYFUNCTION("SUM(QUERY(Coletas_BD!D:M,""select J where D='""&amp;D96&amp;""'"",1))"),5407.0)</f>
        <v>5407</v>
      </c>
      <c r="S96" s="328">
        <f>IFERROR(__xludf.DUMMYFUNCTION("SUM(QUERY(Coletas_BD!D:M,""select K where D='""&amp;D96&amp;""'"",1))"),25.0)</f>
        <v>25</v>
      </c>
      <c r="T96" s="328">
        <f>IFERROR(__xludf.DUMMYFUNCTION("SUM(QUERY(Coletas_BD!D:M,""select L where D='""&amp;D96&amp;""'"",1))"),75.0)</f>
        <v>75</v>
      </c>
      <c r="U96" s="328">
        <f>IFERROR(__xludf.DUMMYFUNCTION("SUM(QUERY(Coletas_BD!D:M,""select M where D='""&amp;D96&amp;""'"",1))"),250.0)</f>
        <v>250</v>
      </c>
      <c r="V96" s="328">
        <f>IFERROR(__xludf.DUMMYFUNCTION("SUM(QUERY(Coletas_BD!D:S,""select P where D='""&amp;D96&amp;""'"",1))"),65.0)</f>
        <v>65</v>
      </c>
      <c r="W96" s="328">
        <f>IFERROR(__xludf.DUMMYFUNCTION("SUM(QUERY(Coletas_BD!D:S,""select Q where D='""&amp;D96&amp;""'"",1))"),21.0)</f>
        <v>21</v>
      </c>
      <c r="X96" s="328">
        <f>IFERROR(__xludf.DUMMYFUNCTION("SUM(QUERY(Coletas_BD!D:S,""select R where D='""&amp;D96&amp;""'"",1))"),2.0)</f>
        <v>2</v>
      </c>
      <c r="Y96" s="328">
        <f>IFERROR(__xludf.DUMMYFUNCTION("SUM(QUERY(Coletas_BD!D:S,""select S where D='""&amp;D96&amp;""'"",1))"),4.0)</f>
        <v>4</v>
      </c>
      <c r="Z96" s="360"/>
    </row>
    <row r="97" ht="18.75" customHeight="1">
      <c r="A97" s="388"/>
      <c r="B97" s="386"/>
      <c r="C97" s="322">
        <v>96.0</v>
      </c>
      <c r="D97" s="390"/>
      <c r="E97" s="390"/>
      <c r="F97" s="383"/>
      <c r="G97" s="391">
        <v>1.0</v>
      </c>
      <c r="H97" s="392" t="s">
        <v>1284</v>
      </c>
      <c r="I97" s="382"/>
      <c r="J97" s="392" t="s">
        <v>1285</v>
      </c>
      <c r="K97" s="354"/>
      <c r="L97" s="354"/>
      <c r="M97" s="382"/>
      <c r="N97" s="393"/>
      <c r="O97" s="390"/>
      <c r="P97" s="382"/>
      <c r="Q97" s="394"/>
      <c r="R97" s="328">
        <f>IFERROR(__xludf.DUMMYFUNCTION("SUM(QUERY(Coletas_BD!D:M,""select J where D='""&amp;D97&amp;""'"",1))"),5407.0)</f>
        <v>5407</v>
      </c>
      <c r="S97" s="328">
        <f>IFERROR(__xludf.DUMMYFUNCTION("SUM(QUERY(Coletas_BD!D:M,""select K where D='""&amp;D97&amp;""'"",1))"),25.0)</f>
        <v>25</v>
      </c>
      <c r="T97" s="328">
        <f>IFERROR(__xludf.DUMMYFUNCTION("SUM(QUERY(Coletas_BD!D:M,""select L where D='""&amp;D97&amp;""'"",1))"),75.0)</f>
        <v>75</v>
      </c>
      <c r="U97" s="328">
        <f>IFERROR(__xludf.DUMMYFUNCTION("SUM(QUERY(Coletas_BD!D:M,""select M where D='""&amp;D97&amp;""'"",1))"),250.0)</f>
        <v>250</v>
      </c>
      <c r="V97" s="328">
        <f>IFERROR(__xludf.DUMMYFUNCTION("SUM(QUERY(Coletas_BD!D:S,""select P where D='""&amp;D97&amp;""'"",1))"),65.0)</f>
        <v>65</v>
      </c>
      <c r="W97" s="328">
        <f>IFERROR(__xludf.DUMMYFUNCTION("SUM(QUERY(Coletas_BD!D:S,""select Q where D='""&amp;D97&amp;""'"",1))"),21.0)</f>
        <v>21</v>
      </c>
      <c r="X97" s="328">
        <f>IFERROR(__xludf.DUMMYFUNCTION("SUM(QUERY(Coletas_BD!D:S,""select R where D='""&amp;D97&amp;""'"",1))"),2.0)</f>
        <v>2</v>
      </c>
      <c r="Y97" s="328">
        <f>IFERROR(__xludf.DUMMYFUNCTION("SUM(QUERY(Coletas_BD!D:S,""select S where D='""&amp;D97&amp;""'"",1))"),4.0)</f>
        <v>4</v>
      </c>
      <c r="Z97" s="360"/>
    </row>
    <row r="98" ht="18.75" customHeight="1">
      <c r="A98" s="388"/>
      <c r="B98" s="386"/>
      <c r="C98" s="322">
        <v>97.0</v>
      </c>
      <c r="D98" s="390"/>
      <c r="E98" s="390"/>
      <c r="F98" s="383"/>
      <c r="G98" s="391">
        <v>2.0</v>
      </c>
      <c r="H98" s="392" t="s">
        <v>1286</v>
      </c>
      <c r="I98" s="382"/>
      <c r="J98" s="395" t="s">
        <v>1287</v>
      </c>
      <c r="K98" s="354"/>
      <c r="L98" s="354"/>
      <c r="M98" s="382"/>
      <c r="N98" s="393"/>
      <c r="O98" s="390"/>
      <c r="P98" s="382"/>
      <c r="Q98" s="394"/>
      <c r="R98" s="328">
        <f>IFERROR(__xludf.DUMMYFUNCTION("SUM(QUERY(Coletas_BD!D:M,""select J where D='""&amp;D98&amp;""'"",1))"),5407.0)</f>
        <v>5407</v>
      </c>
      <c r="S98" s="328">
        <f>IFERROR(__xludf.DUMMYFUNCTION("SUM(QUERY(Coletas_BD!D:M,""select K where D='""&amp;D98&amp;""'"",1))"),25.0)</f>
        <v>25</v>
      </c>
      <c r="T98" s="328">
        <f>IFERROR(__xludf.DUMMYFUNCTION("SUM(QUERY(Coletas_BD!D:M,""select L where D='""&amp;D98&amp;""'"",1))"),75.0)</f>
        <v>75</v>
      </c>
      <c r="U98" s="328">
        <f>IFERROR(__xludf.DUMMYFUNCTION("SUM(QUERY(Coletas_BD!D:M,""select M where D='""&amp;D98&amp;""'"",1))"),250.0)</f>
        <v>250</v>
      </c>
      <c r="V98" s="328">
        <f>IFERROR(__xludf.DUMMYFUNCTION("SUM(QUERY(Coletas_BD!D:S,""select P where D='""&amp;D98&amp;""'"",1))"),65.0)</f>
        <v>65</v>
      </c>
      <c r="W98" s="328">
        <f>IFERROR(__xludf.DUMMYFUNCTION("SUM(QUERY(Coletas_BD!D:S,""select Q where D='""&amp;D98&amp;""'"",1))"),21.0)</f>
        <v>21</v>
      </c>
      <c r="X98" s="328">
        <f>IFERROR(__xludf.DUMMYFUNCTION("SUM(QUERY(Coletas_BD!D:S,""select R where D='""&amp;D98&amp;""'"",1))"),2.0)</f>
        <v>2</v>
      </c>
      <c r="Y98" s="328">
        <f>IFERROR(__xludf.DUMMYFUNCTION("SUM(QUERY(Coletas_BD!D:S,""select S where D='""&amp;D98&amp;""'"",1))"),4.0)</f>
        <v>4</v>
      </c>
      <c r="Z98" s="360"/>
    </row>
    <row r="99" ht="18.75" customHeight="1">
      <c r="A99" s="388"/>
      <c r="B99" s="386"/>
      <c r="C99" s="322">
        <v>98.0</v>
      </c>
      <c r="D99" s="390"/>
      <c r="E99" s="390"/>
      <c r="F99" s="383"/>
      <c r="G99" s="391">
        <v>2.0</v>
      </c>
      <c r="H99" s="392" t="s">
        <v>1288</v>
      </c>
      <c r="I99" s="382"/>
      <c r="J99" s="392" t="s">
        <v>1251</v>
      </c>
      <c r="K99" s="354"/>
      <c r="L99" s="354"/>
      <c r="M99" s="382"/>
      <c r="N99" s="393"/>
      <c r="O99" s="390"/>
      <c r="P99" s="382"/>
      <c r="Q99" s="394"/>
      <c r="R99" s="328">
        <f>IFERROR(__xludf.DUMMYFUNCTION("SUM(QUERY(Coletas_BD!D:M,""select J where D='""&amp;D99&amp;""'"",1))"),5407.0)</f>
        <v>5407</v>
      </c>
      <c r="S99" s="328">
        <f>IFERROR(__xludf.DUMMYFUNCTION("SUM(QUERY(Coletas_BD!D:M,""select K where D='""&amp;D99&amp;""'"",1))"),25.0)</f>
        <v>25</v>
      </c>
      <c r="T99" s="328">
        <f>IFERROR(__xludf.DUMMYFUNCTION("SUM(QUERY(Coletas_BD!D:M,""select L where D='""&amp;D99&amp;""'"",1))"),75.0)</f>
        <v>75</v>
      </c>
      <c r="U99" s="328">
        <f>IFERROR(__xludf.DUMMYFUNCTION("SUM(QUERY(Coletas_BD!D:M,""select M where D='""&amp;D99&amp;""'"",1))"),250.0)</f>
        <v>250</v>
      </c>
      <c r="V99" s="328">
        <f>IFERROR(__xludf.DUMMYFUNCTION("SUM(QUERY(Coletas_BD!D:S,""select P where D='""&amp;D99&amp;""'"",1))"),65.0)</f>
        <v>65</v>
      </c>
      <c r="W99" s="328">
        <f>IFERROR(__xludf.DUMMYFUNCTION("SUM(QUERY(Coletas_BD!D:S,""select Q where D='""&amp;D99&amp;""'"",1))"),21.0)</f>
        <v>21</v>
      </c>
      <c r="X99" s="328">
        <f>IFERROR(__xludf.DUMMYFUNCTION("SUM(QUERY(Coletas_BD!D:S,""select R where D='""&amp;D99&amp;""'"",1))"),2.0)</f>
        <v>2</v>
      </c>
      <c r="Y99" s="328">
        <f>IFERROR(__xludf.DUMMYFUNCTION("SUM(QUERY(Coletas_BD!D:S,""select S where D='""&amp;D99&amp;""'"",1))"),4.0)</f>
        <v>4</v>
      </c>
      <c r="Z99" s="360"/>
    </row>
    <row r="100" ht="18.75" customHeight="1">
      <c r="A100" s="388"/>
      <c r="B100" s="386"/>
      <c r="C100" s="322">
        <v>99.0</v>
      </c>
      <c r="D100" s="390"/>
      <c r="E100" s="390"/>
      <c r="F100" s="390"/>
      <c r="G100" s="391">
        <v>1.0</v>
      </c>
      <c r="H100" s="392" t="s">
        <v>1289</v>
      </c>
      <c r="I100" s="382"/>
      <c r="J100" s="392" t="s">
        <v>1248</v>
      </c>
      <c r="K100" s="354"/>
      <c r="L100" s="354"/>
      <c r="M100" s="382"/>
      <c r="N100" s="393"/>
      <c r="O100" s="390"/>
      <c r="P100" s="382"/>
      <c r="Q100" s="394"/>
      <c r="R100" s="328">
        <f>IFERROR(__xludf.DUMMYFUNCTION("SUM(QUERY(Coletas_BD!D:M,""select J where D='""&amp;D100&amp;""'"",1))"),5407.0)</f>
        <v>5407</v>
      </c>
      <c r="S100" s="328">
        <f>IFERROR(__xludf.DUMMYFUNCTION("SUM(QUERY(Coletas_BD!D:M,""select K where D='""&amp;D100&amp;""'"",1))"),25.0)</f>
        <v>25</v>
      </c>
      <c r="T100" s="328">
        <f>IFERROR(__xludf.DUMMYFUNCTION("SUM(QUERY(Coletas_BD!D:M,""select L where D='""&amp;D100&amp;""'"",1))"),75.0)</f>
        <v>75</v>
      </c>
      <c r="U100" s="328">
        <f>IFERROR(__xludf.DUMMYFUNCTION("SUM(QUERY(Coletas_BD!D:M,""select M where D='""&amp;D100&amp;""'"",1))"),250.0)</f>
        <v>250</v>
      </c>
      <c r="V100" s="328">
        <f>IFERROR(__xludf.DUMMYFUNCTION("SUM(QUERY(Coletas_BD!D:S,""select P where D='""&amp;D100&amp;""'"",1))"),65.0)</f>
        <v>65</v>
      </c>
      <c r="W100" s="328">
        <f>IFERROR(__xludf.DUMMYFUNCTION("SUM(QUERY(Coletas_BD!D:S,""select Q where D='""&amp;D100&amp;""'"",1))"),21.0)</f>
        <v>21</v>
      </c>
      <c r="X100" s="328">
        <f>IFERROR(__xludf.DUMMYFUNCTION("SUM(QUERY(Coletas_BD!D:S,""select R where D='""&amp;D100&amp;""'"",1))"),2.0)</f>
        <v>2</v>
      </c>
      <c r="Y100" s="328">
        <f>IFERROR(__xludf.DUMMYFUNCTION("SUM(QUERY(Coletas_BD!D:S,""select S where D='""&amp;D100&amp;""'"",1))"),4.0)</f>
        <v>4</v>
      </c>
      <c r="Z100" s="360"/>
    </row>
    <row r="101" ht="18.75" customHeight="1">
      <c r="A101" s="388"/>
      <c r="B101" s="386"/>
      <c r="C101" s="322">
        <v>100.0</v>
      </c>
      <c r="D101" s="390"/>
      <c r="E101" s="390"/>
      <c r="F101" s="387"/>
      <c r="G101" s="391">
        <v>1.0</v>
      </c>
      <c r="H101" s="392" t="s">
        <v>1290</v>
      </c>
      <c r="I101" s="382"/>
      <c r="J101" s="392" t="s">
        <v>1251</v>
      </c>
      <c r="K101" s="354"/>
      <c r="L101" s="354"/>
      <c r="M101" s="382"/>
      <c r="N101" s="393"/>
      <c r="O101" s="390"/>
      <c r="P101" s="382"/>
      <c r="Q101" s="394"/>
      <c r="R101" s="328">
        <f>IFERROR(__xludf.DUMMYFUNCTION("SUM(QUERY(Coletas_BD!D:M,""select J where D='""&amp;D101&amp;""'"",1))"),5407.0)</f>
        <v>5407</v>
      </c>
      <c r="S101" s="328">
        <f>IFERROR(__xludf.DUMMYFUNCTION("SUM(QUERY(Coletas_BD!D:M,""select K where D='""&amp;D101&amp;""'"",1))"),25.0)</f>
        <v>25</v>
      </c>
      <c r="T101" s="328">
        <f>IFERROR(__xludf.DUMMYFUNCTION("SUM(QUERY(Coletas_BD!D:M,""select L where D='""&amp;D101&amp;""'"",1))"),75.0)</f>
        <v>75</v>
      </c>
      <c r="U101" s="328">
        <f>IFERROR(__xludf.DUMMYFUNCTION("SUM(QUERY(Coletas_BD!D:M,""select M where D='""&amp;D101&amp;""'"",1))"),250.0)</f>
        <v>250</v>
      </c>
      <c r="V101" s="328">
        <f>IFERROR(__xludf.DUMMYFUNCTION("SUM(QUERY(Coletas_BD!D:S,""select P where D='""&amp;D101&amp;""'"",1))"),65.0)</f>
        <v>65</v>
      </c>
      <c r="W101" s="328">
        <f>IFERROR(__xludf.DUMMYFUNCTION("SUM(QUERY(Coletas_BD!D:S,""select Q where D='""&amp;D101&amp;""'"",1))"),21.0)</f>
        <v>21</v>
      </c>
      <c r="X101" s="328">
        <f>IFERROR(__xludf.DUMMYFUNCTION("SUM(QUERY(Coletas_BD!D:S,""select R where D='""&amp;D101&amp;""'"",1))"),2.0)</f>
        <v>2</v>
      </c>
      <c r="Y101" s="328">
        <f>IFERROR(__xludf.DUMMYFUNCTION("SUM(QUERY(Coletas_BD!D:S,""select S where D='""&amp;D101&amp;""'"",1))"),4.0)</f>
        <v>4</v>
      </c>
      <c r="Z101" s="360"/>
    </row>
    <row r="102" ht="18.75" customHeight="1">
      <c r="A102" s="388"/>
      <c r="B102" s="386"/>
      <c r="C102" s="322">
        <v>101.0</v>
      </c>
      <c r="D102" s="390"/>
      <c r="E102" s="390"/>
      <c r="F102" s="387"/>
      <c r="G102" s="391">
        <v>1.0</v>
      </c>
      <c r="H102" s="392" t="s">
        <v>1291</v>
      </c>
      <c r="I102" s="382"/>
      <c r="J102" s="392" t="s">
        <v>1292</v>
      </c>
      <c r="K102" s="354"/>
      <c r="L102" s="354"/>
      <c r="M102" s="382"/>
      <c r="N102" s="393"/>
      <c r="O102" s="390"/>
      <c r="P102" s="382"/>
      <c r="Q102" s="394"/>
      <c r="R102" s="328">
        <f>IFERROR(__xludf.DUMMYFUNCTION("SUM(QUERY(Coletas_BD!D:M,""select J where D='""&amp;D102&amp;""'"",1))"),5407.0)</f>
        <v>5407</v>
      </c>
      <c r="S102" s="328">
        <f>IFERROR(__xludf.DUMMYFUNCTION("SUM(QUERY(Coletas_BD!D:M,""select K where D='""&amp;D102&amp;""'"",1))"),25.0)</f>
        <v>25</v>
      </c>
      <c r="T102" s="328">
        <f>IFERROR(__xludf.DUMMYFUNCTION("SUM(QUERY(Coletas_BD!D:M,""select L where D='""&amp;D102&amp;""'"",1))"),75.0)</f>
        <v>75</v>
      </c>
      <c r="U102" s="328">
        <f>IFERROR(__xludf.DUMMYFUNCTION("SUM(QUERY(Coletas_BD!D:M,""select M where D='""&amp;D102&amp;""'"",1))"),250.0)</f>
        <v>250</v>
      </c>
      <c r="V102" s="328">
        <f>IFERROR(__xludf.DUMMYFUNCTION("SUM(QUERY(Coletas_BD!D:S,""select P where D='""&amp;D102&amp;""'"",1))"),65.0)</f>
        <v>65</v>
      </c>
      <c r="W102" s="328">
        <f>IFERROR(__xludf.DUMMYFUNCTION("SUM(QUERY(Coletas_BD!D:S,""select Q where D='""&amp;D102&amp;""'"",1))"),21.0)</f>
        <v>21</v>
      </c>
      <c r="X102" s="328">
        <f>IFERROR(__xludf.DUMMYFUNCTION("SUM(QUERY(Coletas_BD!D:S,""select R where D='""&amp;D102&amp;""'"",1))"),2.0)</f>
        <v>2</v>
      </c>
      <c r="Y102" s="328">
        <f>IFERROR(__xludf.DUMMYFUNCTION("SUM(QUERY(Coletas_BD!D:S,""select S where D='""&amp;D102&amp;""'"",1))"),4.0)</f>
        <v>4</v>
      </c>
      <c r="Z102" s="360"/>
    </row>
    <row r="103" ht="18.75" customHeight="1">
      <c r="A103" s="388"/>
      <c r="B103" s="386"/>
      <c r="C103" s="322">
        <v>102.0</v>
      </c>
      <c r="D103" s="390"/>
      <c r="E103" s="390"/>
      <c r="F103" s="390"/>
      <c r="G103" s="391">
        <v>1.0</v>
      </c>
      <c r="H103" s="392" t="s">
        <v>1293</v>
      </c>
      <c r="I103" s="382"/>
      <c r="J103" s="392"/>
      <c r="K103" s="354"/>
      <c r="L103" s="354"/>
      <c r="M103" s="382"/>
      <c r="N103" s="393"/>
      <c r="O103" s="390"/>
      <c r="P103" s="382"/>
      <c r="Q103" s="394"/>
      <c r="R103" s="328">
        <f>IFERROR(__xludf.DUMMYFUNCTION("SUM(QUERY(Coletas_BD!D:M,""select J where D='""&amp;D103&amp;""'"",1))"),5407.0)</f>
        <v>5407</v>
      </c>
      <c r="S103" s="328">
        <f>IFERROR(__xludf.DUMMYFUNCTION("SUM(QUERY(Coletas_BD!D:M,""select K where D='""&amp;D103&amp;""'"",1))"),25.0)</f>
        <v>25</v>
      </c>
      <c r="T103" s="328">
        <f>IFERROR(__xludf.DUMMYFUNCTION("SUM(QUERY(Coletas_BD!D:M,""select L where D='""&amp;D103&amp;""'"",1))"),75.0)</f>
        <v>75</v>
      </c>
      <c r="U103" s="328">
        <f>IFERROR(__xludf.DUMMYFUNCTION("SUM(QUERY(Coletas_BD!D:M,""select M where D='""&amp;D103&amp;""'"",1))"),250.0)</f>
        <v>250</v>
      </c>
      <c r="V103" s="328">
        <f>IFERROR(__xludf.DUMMYFUNCTION("SUM(QUERY(Coletas_BD!D:S,""select P where D='""&amp;D103&amp;""'"",1))"),65.0)</f>
        <v>65</v>
      </c>
      <c r="W103" s="328">
        <f>IFERROR(__xludf.DUMMYFUNCTION("SUM(QUERY(Coletas_BD!D:S,""select Q where D='""&amp;D103&amp;""'"",1))"),21.0)</f>
        <v>21</v>
      </c>
      <c r="X103" s="328">
        <f>IFERROR(__xludf.DUMMYFUNCTION("SUM(QUERY(Coletas_BD!D:S,""select R where D='""&amp;D103&amp;""'"",1))"),2.0)</f>
        <v>2</v>
      </c>
      <c r="Y103" s="328">
        <f>IFERROR(__xludf.DUMMYFUNCTION("SUM(QUERY(Coletas_BD!D:S,""select S where D='""&amp;D103&amp;""'"",1))"),4.0)</f>
        <v>4</v>
      </c>
      <c r="Z103" s="360"/>
    </row>
    <row r="104" ht="18.75" customHeight="1">
      <c r="A104" s="388"/>
      <c r="B104" s="386"/>
      <c r="C104" s="322">
        <v>103.0</v>
      </c>
      <c r="D104" s="390"/>
      <c r="E104" s="390"/>
      <c r="F104" s="390"/>
      <c r="G104" s="396" t="s">
        <v>1294</v>
      </c>
      <c r="H104" s="392" t="s">
        <v>1295</v>
      </c>
      <c r="I104" s="382"/>
      <c r="J104" s="392" t="s">
        <v>1296</v>
      </c>
      <c r="K104" s="354"/>
      <c r="L104" s="354"/>
      <c r="M104" s="382"/>
      <c r="N104" s="393"/>
      <c r="O104" s="390"/>
      <c r="P104" s="382"/>
      <c r="Q104" s="394"/>
      <c r="R104" s="328">
        <f>IFERROR(__xludf.DUMMYFUNCTION("SUM(QUERY(Coletas_BD!D:M,""select J where D='""&amp;D104&amp;""'"",1))"),5407.0)</f>
        <v>5407</v>
      </c>
      <c r="S104" s="328">
        <f>IFERROR(__xludf.DUMMYFUNCTION("SUM(QUERY(Coletas_BD!D:M,""select K where D='""&amp;D104&amp;""'"",1))"),25.0)</f>
        <v>25</v>
      </c>
      <c r="T104" s="328">
        <f>IFERROR(__xludf.DUMMYFUNCTION("SUM(QUERY(Coletas_BD!D:M,""select L where D='""&amp;D104&amp;""'"",1))"),75.0)</f>
        <v>75</v>
      </c>
      <c r="U104" s="328">
        <f>IFERROR(__xludf.DUMMYFUNCTION("SUM(QUERY(Coletas_BD!D:M,""select M where D='""&amp;D104&amp;""'"",1))"),250.0)</f>
        <v>250</v>
      </c>
      <c r="V104" s="328">
        <f>IFERROR(__xludf.DUMMYFUNCTION("SUM(QUERY(Coletas_BD!D:S,""select P where D='""&amp;D104&amp;""'"",1))"),65.0)</f>
        <v>65</v>
      </c>
      <c r="W104" s="328">
        <f>IFERROR(__xludf.DUMMYFUNCTION("SUM(QUERY(Coletas_BD!D:S,""select Q where D='""&amp;D104&amp;""'"",1))"),21.0)</f>
        <v>21</v>
      </c>
      <c r="X104" s="328">
        <f>IFERROR(__xludf.DUMMYFUNCTION("SUM(QUERY(Coletas_BD!D:S,""select R where D='""&amp;D104&amp;""'"",1))"),2.0)</f>
        <v>2</v>
      </c>
      <c r="Y104" s="328">
        <f>IFERROR(__xludf.DUMMYFUNCTION("SUM(QUERY(Coletas_BD!D:S,""select S where D='""&amp;D104&amp;""'"",1))"),4.0)</f>
        <v>4</v>
      </c>
      <c r="Z104" s="360"/>
    </row>
    <row r="105" ht="18.75" customHeight="1">
      <c r="A105" s="388"/>
      <c r="B105" s="386"/>
      <c r="C105" s="322">
        <v>104.0</v>
      </c>
      <c r="D105" s="390"/>
      <c r="E105" s="390"/>
      <c r="F105" s="387"/>
      <c r="G105" s="391">
        <v>3.0</v>
      </c>
      <c r="H105" s="392" t="s">
        <v>1297</v>
      </c>
      <c r="I105" s="382"/>
      <c r="J105" s="392" t="s">
        <v>1248</v>
      </c>
      <c r="K105" s="354"/>
      <c r="L105" s="354"/>
      <c r="M105" s="382"/>
      <c r="N105" s="393"/>
      <c r="O105" s="390"/>
      <c r="P105" s="382"/>
      <c r="Q105" s="394"/>
      <c r="R105" s="328">
        <f>IFERROR(__xludf.DUMMYFUNCTION("SUM(QUERY(Coletas_BD!D:M,""select J where D='""&amp;D105&amp;""'"",1))"),5407.0)</f>
        <v>5407</v>
      </c>
      <c r="S105" s="328">
        <f>IFERROR(__xludf.DUMMYFUNCTION("SUM(QUERY(Coletas_BD!D:M,""select K where D='""&amp;D105&amp;""'"",1))"),25.0)</f>
        <v>25</v>
      </c>
      <c r="T105" s="328">
        <f>IFERROR(__xludf.DUMMYFUNCTION("SUM(QUERY(Coletas_BD!D:M,""select L where D='""&amp;D105&amp;""'"",1))"),75.0)</f>
        <v>75</v>
      </c>
      <c r="U105" s="328">
        <f>IFERROR(__xludf.DUMMYFUNCTION("SUM(QUERY(Coletas_BD!D:M,""select M where D='""&amp;D105&amp;""'"",1))"),250.0)</f>
        <v>250</v>
      </c>
      <c r="V105" s="328">
        <f>IFERROR(__xludf.DUMMYFUNCTION("SUM(QUERY(Coletas_BD!D:S,""select P where D='""&amp;D105&amp;""'"",1))"),65.0)</f>
        <v>65</v>
      </c>
      <c r="W105" s="328">
        <f>IFERROR(__xludf.DUMMYFUNCTION("SUM(QUERY(Coletas_BD!D:S,""select Q where D='""&amp;D105&amp;""'"",1))"),21.0)</f>
        <v>21</v>
      </c>
      <c r="X105" s="328">
        <f>IFERROR(__xludf.DUMMYFUNCTION("SUM(QUERY(Coletas_BD!D:S,""select R where D='""&amp;D105&amp;""'"",1))"),2.0)</f>
        <v>2</v>
      </c>
      <c r="Y105" s="328">
        <f>IFERROR(__xludf.DUMMYFUNCTION("SUM(QUERY(Coletas_BD!D:S,""select S where D='""&amp;D105&amp;""'"",1))"),4.0)</f>
        <v>4</v>
      </c>
      <c r="Z105" s="360"/>
    </row>
    <row r="106" ht="18.75" customHeight="1">
      <c r="A106" s="388"/>
      <c r="B106" s="386"/>
      <c r="C106" s="322">
        <v>105.0</v>
      </c>
      <c r="D106" s="390"/>
      <c r="E106" s="390"/>
      <c r="F106" s="390"/>
      <c r="G106" s="391">
        <v>1.0</v>
      </c>
      <c r="H106" s="392" t="s">
        <v>1261</v>
      </c>
      <c r="I106" s="382"/>
      <c r="J106" s="392" t="s">
        <v>1248</v>
      </c>
      <c r="K106" s="354"/>
      <c r="L106" s="354"/>
      <c r="M106" s="382"/>
      <c r="N106" s="393"/>
      <c r="O106" s="390"/>
      <c r="P106" s="382"/>
      <c r="Q106" s="394"/>
      <c r="R106" s="328">
        <f>IFERROR(__xludf.DUMMYFUNCTION("SUM(QUERY(Coletas_BD!D:M,""select J where D='""&amp;D106&amp;""'"",1))"),5407.0)</f>
        <v>5407</v>
      </c>
      <c r="S106" s="328">
        <f>IFERROR(__xludf.DUMMYFUNCTION("SUM(QUERY(Coletas_BD!D:M,""select K where D='""&amp;D106&amp;""'"",1))"),25.0)</f>
        <v>25</v>
      </c>
      <c r="T106" s="328">
        <f>IFERROR(__xludf.DUMMYFUNCTION("SUM(QUERY(Coletas_BD!D:M,""select L where D='""&amp;D106&amp;""'"",1))"),75.0)</f>
        <v>75</v>
      </c>
      <c r="U106" s="328">
        <f>IFERROR(__xludf.DUMMYFUNCTION("SUM(QUERY(Coletas_BD!D:M,""select M where D='""&amp;D106&amp;""'"",1))"),250.0)</f>
        <v>250</v>
      </c>
      <c r="V106" s="328">
        <f>IFERROR(__xludf.DUMMYFUNCTION("SUM(QUERY(Coletas_BD!D:S,""select P where D='""&amp;D106&amp;""'"",1))"),65.0)</f>
        <v>65</v>
      </c>
      <c r="W106" s="328">
        <f>IFERROR(__xludf.DUMMYFUNCTION("SUM(QUERY(Coletas_BD!D:S,""select Q where D='""&amp;D106&amp;""'"",1))"),21.0)</f>
        <v>21</v>
      </c>
      <c r="X106" s="328">
        <f>IFERROR(__xludf.DUMMYFUNCTION("SUM(QUERY(Coletas_BD!D:S,""select R where D='""&amp;D106&amp;""'"",1))"),2.0)</f>
        <v>2</v>
      </c>
      <c r="Y106" s="328">
        <f>IFERROR(__xludf.DUMMYFUNCTION("SUM(QUERY(Coletas_BD!D:S,""select S where D='""&amp;D106&amp;""'"",1))"),4.0)</f>
        <v>4</v>
      </c>
      <c r="Z106" s="360"/>
    </row>
    <row r="107" ht="18.75" customHeight="1">
      <c r="A107" s="388"/>
      <c r="B107" s="386"/>
      <c r="C107" s="322">
        <v>106.0</v>
      </c>
      <c r="D107" s="390"/>
      <c r="E107" s="390"/>
      <c r="F107" s="387"/>
      <c r="G107" s="391">
        <v>1.0</v>
      </c>
      <c r="H107" s="392" t="s">
        <v>1261</v>
      </c>
      <c r="I107" s="382"/>
      <c r="J107" s="392" t="s">
        <v>1298</v>
      </c>
      <c r="K107" s="354"/>
      <c r="L107" s="354"/>
      <c r="M107" s="382"/>
      <c r="N107" s="393"/>
      <c r="O107" s="390"/>
      <c r="P107" s="382"/>
      <c r="Q107" s="394"/>
      <c r="R107" s="328">
        <f>IFERROR(__xludf.DUMMYFUNCTION("SUM(QUERY(Coletas_BD!D:M,""select J where D='""&amp;D107&amp;""'"",1))"),5407.0)</f>
        <v>5407</v>
      </c>
      <c r="S107" s="328">
        <f>IFERROR(__xludf.DUMMYFUNCTION("SUM(QUERY(Coletas_BD!D:M,""select K where D='""&amp;D107&amp;""'"",1))"),25.0)</f>
        <v>25</v>
      </c>
      <c r="T107" s="328">
        <f>IFERROR(__xludf.DUMMYFUNCTION("SUM(QUERY(Coletas_BD!D:M,""select L where D='""&amp;D107&amp;""'"",1))"),75.0)</f>
        <v>75</v>
      </c>
      <c r="U107" s="328">
        <f>IFERROR(__xludf.DUMMYFUNCTION("SUM(QUERY(Coletas_BD!D:M,""select M where D='""&amp;D107&amp;""'"",1))"),250.0)</f>
        <v>250</v>
      </c>
      <c r="V107" s="328">
        <f>IFERROR(__xludf.DUMMYFUNCTION("SUM(QUERY(Coletas_BD!D:S,""select P where D='""&amp;D107&amp;""'"",1))"),65.0)</f>
        <v>65</v>
      </c>
      <c r="W107" s="328">
        <f>IFERROR(__xludf.DUMMYFUNCTION("SUM(QUERY(Coletas_BD!D:S,""select Q where D='""&amp;D107&amp;""'"",1))"),21.0)</f>
        <v>21</v>
      </c>
      <c r="X107" s="328">
        <f>IFERROR(__xludf.DUMMYFUNCTION("SUM(QUERY(Coletas_BD!D:S,""select R where D='""&amp;D107&amp;""'"",1))"),2.0)</f>
        <v>2</v>
      </c>
      <c r="Y107" s="328">
        <f>IFERROR(__xludf.DUMMYFUNCTION("SUM(QUERY(Coletas_BD!D:S,""select S where D='""&amp;D107&amp;""'"",1))"),4.0)</f>
        <v>4</v>
      </c>
      <c r="Z107" s="360"/>
    </row>
    <row r="108" ht="18.75" customHeight="1">
      <c r="A108" s="388"/>
      <c r="B108" s="386"/>
      <c r="C108" s="322">
        <v>107.0</v>
      </c>
      <c r="D108" s="390"/>
      <c r="E108" s="390"/>
      <c r="F108" s="390"/>
      <c r="G108" s="391">
        <v>1.0</v>
      </c>
      <c r="H108" s="392" t="s">
        <v>1299</v>
      </c>
      <c r="I108" s="382"/>
      <c r="J108" s="392" t="s">
        <v>1248</v>
      </c>
      <c r="K108" s="354"/>
      <c r="L108" s="354"/>
      <c r="M108" s="382"/>
      <c r="N108" s="393"/>
      <c r="O108" s="390"/>
      <c r="P108" s="382"/>
      <c r="Q108" s="394"/>
      <c r="R108" s="328">
        <f>IFERROR(__xludf.DUMMYFUNCTION("SUM(QUERY(Coletas_BD!D:M,""select J where D='""&amp;D108&amp;""'"",1))"),5407.0)</f>
        <v>5407</v>
      </c>
      <c r="S108" s="328">
        <f>IFERROR(__xludf.DUMMYFUNCTION("SUM(QUERY(Coletas_BD!D:M,""select K where D='""&amp;D108&amp;""'"",1))"),25.0)</f>
        <v>25</v>
      </c>
      <c r="T108" s="328">
        <f>IFERROR(__xludf.DUMMYFUNCTION("SUM(QUERY(Coletas_BD!D:M,""select L where D='""&amp;D108&amp;""'"",1))"),75.0)</f>
        <v>75</v>
      </c>
      <c r="U108" s="328">
        <f>IFERROR(__xludf.DUMMYFUNCTION("SUM(QUERY(Coletas_BD!D:M,""select M where D='""&amp;D108&amp;""'"",1))"),250.0)</f>
        <v>250</v>
      </c>
      <c r="V108" s="328">
        <f>IFERROR(__xludf.DUMMYFUNCTION("SUM(QUERY(Coletas_BD!D:S,""select P where D='""&amp;D108&amp;""'"",1))"),65.0)</f>
        <v>65</v>
      </c>
      <c r="W108" s="328">
        <f>IFERROR(__xludf.DUMMYFUNCTION("SUM(QUERY(Coletas_BD!D:S,""select Q where D='""&amp;D108&amp;""'"",1))"),21.0)</f>
        <v>21</v>
      </c>
      <c r="X108" s="328">
        <f>IFERROR(__xludf.DUMMYFUNCTION("SUM(QUERY(Coletas_BD!D:S,""select R where D='""&amp;D108&amp;""'"",1))"),2.0)</f>
        <v>2</v>
      </c>
      <c r="Y108" s="328">
        <f>IFERROR(__xludf.DUMMYFUNCTION("SUM(QUERY(Coletas_BD!D:S,""select S where D='""&amp;D108&amp;""'"",1))"),4.0)</f>
        <v>4</v>
      </c>
      <c r="Z108" s="360"/>
    </row>
    <row r="109" ht="18.75" customHeight="1">
      <c r="A109" s="388"/>
      <c r="B109" s="386"/>
      <c r="C109" s="322">
        <v>108.0</v>
      </c>
      <c r="D109" s="390"/>
      <c r="E109" s="390"/>
      <c r="F109" s="390"/>
      <c r="G109" s="391">
        <v>1.0</v>
      </c>
      <c r="H109" s="392" t="s">
        <v>1300</v>
      </c>
      <c r="I109" s="382"/>
      <c r="J109" s="392" t="s">
        <v>1301</v>
      </c>
      <c r="K109" s="354"/>
      <c r="L109" s="354"/>
      <c r="M109" s="382"/>
      <c r="N109" s="393"/>
      <c r="O109" s="390"/>
      <c r="P109" s="382"/>
      <c r="Q109" s="394"/>
      <c r="R109" s="328">
        <f>IFERROR(__xludf.DUMMYFUNCTION("SUM(QUERY(Coletas_BD!D:M,""select J where D='""&amp;D109&amp;""'"",1))"),5407.0)</f>
        <v>5407</v>
      </c>
      <c r="S109" s="328">
        <f>IFERROR(__xludf.DUMMYFUNCTION("SUM(QUERY(Coletas_BD!D:M,""select K where D='""&amp;D109&amp;""'"",1))"),25.0)</f>
        <v>25</v>
      </c>
      <c r="T109" s="328">
        <f>IFERROR(__xludf.DUMMYFUNCTION("SUM(QUERY(Coletas_BD!D:M,""select L where D='""&amp;D109&amp;""'"",1))"),75.0)</f>
        <v>75</v>
      </c>
      <c r="U109" s="328">
        <f>IFERROR(__xludf.DUMMYFUNCTION("SUM(QUERY(Coletas_BD!D:M,""select M where D='""&amp;D109&amp;""'"",1))"),250.0)</f>
        <v>250</v>
      </c>
      <c r="V109" s="328">
        <f>IFERROR(__xludf.DUMMYFUNCTION("SUM(QUERY(Coletas_BD!D:S,""select P where D='""&amp;D109&amp;""'"",1))"),65.0)</f>
        <v>65</v>
      </c>
      <c r="W109" s="328">
        <f>IFERROR(__xludf.DUMMYFUNCTION("SUM(QUERY(Coletas_BD!D:S,""select Q where D='""&amp;D109&amp;""'"",1))"),21.0)</f>
        <v>21</v>
      </c>
      <c r="X109" s="328">
        <f>IFERROR(__xludf.DUMMYFUNCTION("SUM(QUERY(Coletas_BD!D:S,""select R where D='""&amp;D109&amp;""'"",1))"),2.0)</f>
        <v>2</v>
      </c>
      <c r="Y109" s="328">
        <f>IFERROR(__xludf.DUMMYFUNCTION("SUM(QUERY(Coletas_BD!D:S,""select S where D='""&amp;D109&amp;""'"",1))"),4.0)</f>
        <v>4</v>
      </c>
      <c r="Z109" s="360"/>
    </row>
    <row r="110" ht="18.75" customHeight="1">
      <c r="A110" s="388"/>
      <c r="B110" s="386"/>
      <c r="C110" s="322">
        <v>109.0</v>
      </c>
      <c r="D110" s="390"/>
      <c r="E110" s="390"/>
      <c r="F110" s="390"/>
      <c r="G110" s="391">
        <v>1.0</v>
      </c>
      <c r="H110" s="392" t="s">
        <v>1302</v>
      </c>
      <c r="I110" s="382"/>
      <c r="J110" s="392" t="s">
        <v>1303</v>
      </c>
      <c r="K110" s="354"/>
      <c r="L110" s="354"/>
      <c r="M110" s="382"/>
      <c r="N110" s="393"/>
      <c r="O110" s="390"/>
      <c r="P110" s="382"/>
      <c r="Q110" s="394"/>
      <c r="R110" s="328">
        <f>IFERROR(__xludf.DUMMYFUNCTION("SUM(QUERY(Coletas_BD!D:M,""select J where D='""&amp;D110&amp;""'"",1))"),5407.0)</f>
        <v>5407</v>
      </c>
      <c r="S110" s="328">
        <f>IFERROR(__xludf.DUMMYFUNCTION("SUM(QUERY(Coletas_BD!D:M,""select K where D='""&amp;D110&amp;""'"",1))"),25.0)</f>
        <v>25</v>
      </c>
      <c r="T110" s="328">
        <f>IFERROR(__xludf.DUMMYFUNCTION("SUM(QUERY(Coletas_BD!D:M,""select L where D='""&amp;D110&amp;""'"",1))"),75.0)</f>
        <v>75</v>
      </c>
      <c r="U110" s="328">
        <f>IFERROR(__xludf.DUMMYFUNCTION("SUM(QUERY(Coletas_BD!D:M,""select M where D='""&amp;D110&amp;""'"",1))"),250.0)</f>
        <v>250</v>
      </c>
      <c r="V110" s="328">
        <f>IFERROR(__xludf.DUMMYFUNCTION("SUM(QUERY(Coletas_BD!D:S,""select P where D='""&amp;D110&amp;""'"",1))"),65.0)</f>
        <v>65</v>
      </c>
      <c r="W110" s="328">
        <f>IFERROR(__xludf.DUMMYFUNCTION("SUM(QUERY(Coletas_BD!D:S,""select Q where D='""&amp;D110&amp;""'"",1))"),21.0)</f>
        <v>21</v>
      </c>
      <c r="X110" s="328">
        <f>IFERROR(__xludf.DUMMYFUNCTION("SUM(QUERY(Coletas_BD!D:S,""select R where D='""&amp;D110&amp;""'"",1))"),2.0)</f>
        <v>2</v>
      </c>
      <c r="Y110" s="328">
        <f>IFERROR(__xludf.DUMMYFUNCTION("SUM(QUERY(Coletas_BD!D:S,""select S where D='""&amp;D110&amp;""'"",1))"),4.0)</f>
        <v>4</v>
      </c>
      <c r="Z110" s="360"/>
    </row>
    <row r="111" ht="18.75" customHeight="1">
      <c r="A111" s="388"/>
      <c r="B111" s="386"/>
      <c r="C111" s="322">
        <v>110.0</v>
      </c>
      <c r="D111" s="390"/>
      <c r="E111" s="390"/>
      <c r="F111" s="387"/>
      <c r="G111" s="391">
        <v>1.0</v>
      </c>
      <c r="H111" s="392" t="s">
        <v>1304</v>
      </c>
      <c r="I111" s="382"/>
      <c r="J111" s="392" t="s">
        <v>1248</v>
      </c>
      <c r="K111" s="354"/>
      <c r="L111" s="354"/>
      <c r="M111" s="382"/>
      <c r="N111" s="393"/>
      <c r="O111" s="390"/>
      <c r="P111" s="382"/>
      <c r="Q111" s="394"/>
      <c r="R111" s="328">
        <f>IFERROR(__xludf.DUMMYFUNCTION("SUM(QUERY(Coletas_BD!D:M,""select J where D='""&amp;D111&amp;""'"",1))"),5407.0)</f>
        <v>5407</v>
      </c>
      <c r="S111" s="328">
        <f>IFERROR(__xludf.DUMMYFUNCTION("SUM(QUERY(Coletas_BD!D:M,""select K where D='""&amp;D111&amp;""'"",1))"),25.0)</f>
        <v>25</v>
      </c>
      <c r="T111" s="328">
        <f>IFERROR(__xludf.DUMMYFUNCTION("SUM(QUERY(Coletas_BD!D:M,""select L where D='""&amp;D111&amp;""'"",1))"),75.0)</f>
        <v>75</v>
      </c>
      <c r="U111" s="328">
        <f>IFERROR(__xludf.DUMMYFUNCTION("SUM(QUERY(Coletas_BD!D:M,""select M where D='""&amp;D111&amp;""'"",1))"),250.0)</f>
        <v>250</v>
      </c>
      <c r="V111" s="328">
        <f>IFERROR(__xludf.DUMMYFUNCTION("SUM(QUERY(Coletas_BD!D:S,""select P where D='""&amp;D111&amp;""'"",1))"),65.0)</f>
        <v>65</v>
      </c>
      <c r="W111" s="328">
        <f>IFERROR(__xludf.DUMMYFUNCTION("SUM(QUERY(Coletas_BD!D:S,""select Q where D='""&amp;D111&amp;""'"",1))"),21.0)</f>
        <v>21</v>
      </c>
      <c r="X111" s="328">
        <f>IFERROR(__xludf.DUMMYFUNCTION("SUM(QUERY(Coletas_BD!D:S,""select R where D='""&amp;D111&amp;""'"",1))"),2.0)</f>
        <v>2</v>
      </c>
      <c r="Y111" s="328">
        <f>IFERROR(__xludf.DUMMYFUNCTION("SUM(QUERY(Coletas_BD!D:S,""select S where D='""&amp;D111&amp;""'"",1))"),4.0)</f>
        <v>4</v>
      </c>
      <c r="Z111" s="360"/>
    </row>
    <row r="112" ht="18.75" customHeight="1">
      <c r="A112" s="388"/>
      <c r="B112" s="386"/>
      <c r="C112" s="322">
        <v>111.0</v>
      </c>
      <c r="D112" s="390"/>
      <c r="E112" s="390"/>
      <c r="F112" s="387"/>
      <c r="G112" s="391">
        <v>1.0</v>
      </c>
      <c r="H112" s="392" t="s">
        <v>1305</v>
      </c>
      <c r="I112" s="382"/>
      <c r="J112" s="392" t="s">
        <v>1251</v>
      </c>
      <c r="K112" s="354"/>
      <c r="L112" s="354"/>
      <c r="M112" s="382"/>
      <c r="N112" s="393"/>
      <c r="O112" s="390"/>
      <c r="P112" s="382"/>
      <c r="Q112" s="394"/>
      <c r="R112" s="328">
        <f>IFERROR(__xludf.DUMMYFUNCTION("SUM(QUERY(Coletas_BD!D:M,""select J where D='""&amp;D112&amp;""'"",1))"),5407.0)</f>
        <v>5407</v>
      </c>
      <c r="S112" s="328">
        <f>IFERROR(__xludf.DUMMYFUNCTION("SUM(QUERY(Coletas_BD!D:M,""select K where D='""&amp;D112&amp;""'"",1))"),25.0)</f>
        <v>25</v>
      </c>
      <c r="T112" s="328">
        <f>IFERROR(__xludf.DUMMYFUNCTION("SUM(QUERY(Coletas_BD!D:M,""select L where D='""&amp;D112&amp;""'"",1))"),75.0)</f>
        <v>75</v>
      </c>
      <c r="U112" s="328">
        <f>IFERROR(__xludf.DUMMYFUNCTION("SUM(QUERY(Coletas_BD!D:M,""select M where D='""&amp;D112&amp;""'"",1))"),250.0)</f>
        <v>250</v>
      </c>
      <c r="V112" s="328">
        <f>IFERROR(__xludf.DUMMYFUNCTION("SUM(QUERY(Coletas_BD!D:S,""select P where D='""&amp;D112&amp;""'"",1))"),65.0)</f>
        <v>65</v>
      </c>
      <c r="W112" s="328">
        <f>IFERROR(__xludf.DUMMYFUNCTION("SUM(QUERY(Coletas_BD!D:S,""select Q where D='""&amp;D112&amp;""'"",1))"),21.0)</f>
        <v>21</v>
      </c>
      <c r="X112" s="328">
        <f>IFERROR(__xludf.DUMMYFUNCTION("SUM(QUERY(Coletas_BD!D:S,""select R where D='""&amp;D112&amp;""'"",1))"),2.0)</f>
        <v>2</v>
      </c>
      <c r="Y112" s="328">
        <f>IFERROR(__xludf.DUMMYFUNCTION("SUM(QUERY(Coletas_BD!D:S,""select S where D='""&amp;D112&amp;""'"",1))"),4.0)</f>
        <v>4</v>
      </c>
      <c r="Z112" s="360"/>
    </row>
    <row r="113" ht="18.75" customHeight="1">
      <c r="A113" s="388"/>
      <c r="B113" s="386"/>
      <c r="C113" s="322">
        <v>112.0</v>
      </c>
      <c r="D113" s="390"/>
      <c r="E113" s="390"/>
      <c r="F113" s="387"/>
      <c r="G113" s="391">
        <v>1.0</v>
      </c>
      <c r="H113" s="392" t="s">
        <v>1306</v>
      </c>
      <c r="I113" s="382"/>
      <c r="J113" s="392" t="s">
        <v>1307</v>
      </c>
      <c r="K113" s="354"/>
      <c r="L113" s="354"/>
      <c r="M113" s="382"/>
      <c r="N113" s="393"/>
      <c r="O113" s="390"/>
      <c r="P113" s="382"/>
      <c r="Q113" s="394"/>
      <c r="R113" s="328">
        <f>IFERROR(__xludf.DUMMYFUNCTION("SUM(QUERY(Coletas_BD!D:M,""select J where D='""&amp;D113&amp;""'"",1))"),5407.0)</f>
        <v>5407</v>
      </c>
      <c r="S113" s="328">
        <f>IFERROR(__xludf.DUMMYFUNCTION("SUM(QUERY(Coletas_BD!D:M,""select K where D='""&amp;D113&amp;""'"",1))"),25.0)</f>
        <v>25</v>
      </c>
      <c r="T113" s="328">
        <f>IFERROR(__xludf.DUMMYFUNCTION("SUM(QUERY(Coletas_BD!D:M,""select L where D='""&amp;D113&amp;""'"",1))"),75.0)</f>
        <v>75</v>
      </c>
      <c r="U113" s="328">
        <f>IFERROR(__xludf.DUMMYFUNCTION("SUM(QUERY(Coletas_BD!D:M,""select M where D='""&amp;D113&amp;""'"",1))"),250.0)</f>
        <v>250</v>
      </c>
      <c r="V113" s="328">
        <f>IFERROR(__xludf.DUMMYFUNCTION("SUM(QUERY(Coletas_BD!D:S,""select P where D='""&amp;D113&amp;""'"",1))"),65.0)</f>
        <v>65</v>
      </c>
      <c r="W113" s="328">
        <f>IFERROR(__xludf.DUMMYFUNCTION("SUM(QUERY(Coletas_BD!D:S,""select Q where D='""&amp;D113&amp;""'"",1))"),21.0)</f>
        <v>21</v>
      </c>
      <c r="X113" s="328">
        <f>IFERROR(__xludf.DUMMYFUNCTION("SUM(QUERY(Coletas_BD!D:S,""select R where D='""&amp;D113&amp;""'"",1))"),2.0)</f>
        <v>2</v>
      </c>
      <c r="Y113" s="328">
        <f>IFERROR(__xludf.DUMMYFUNCTION("SUM(QUERY(Coletas_BD!D:S,""select S where D='""&amp;D113&amp;""'"",1))"),4.0)</f>
        <v>4</v>
      </c>
      <c r="Z113" s="360"/>
    </row>
    <row r="114" ht="18.75" customHeight="1">
      <c r="A114" s="388"/>
      <c r="B114" s="386"/>
      <c r="C114" s="322">
        <v>113.0</v>
      </c>
      <c r="D114" s="390"/>
      <c r="E114" s="390"/>
      <c r="F114" s="390"/>
      <c r="G114" s="391">
        <v>1.0</v>
      </c>
      <c r="H114" s="392" t="s">
        <v>1308</v>
      </c>
      <c r="I114" s="382"/>
      <c r="J114" s="392" t="s">
        <v>1248</v>
      </c>
      <c r="K114" s="354"/>
      <c r="L114" s="354"/>
      <c r="M114" s="382"/>
      <c r="N114" s="393"/>
      <c r="O114" s="390"/>
      <c r="P114" s="382"/>
      <c r="Q114" s="394"/>
      <c r="R114" s="328">
        <f>IFERROR(__xludf.DUMMYFUNCTION("SUM(QUERY(Coletas_BD!D:M,""select J where D='""&amp;D114&amp;""'"",1))"),5407.0)</f>
        <v>5407</v>
      </c>
      <c r="S114" s="328">
        <f>IFERROR(__xludf.DUMMYFUNCTION("SUM(QUERY(Coletas_BD!D:M,""select K where D='""&amp;D114&amp;""'"",1))"),25.0)</f>
        <v>25</v>
      </c>
      <c r="T114" s="328">
        <f>IFERROR(__xludf.DUMMYFUNCTION("SUM(QUERY(Coletas_BD!D:M,""select L where D='""&amp;D114&amp;""'"",1))"),75.0)</f>
        <v>75</v>
      </c>
      <c r="U114" s="328">
        <f>IFERROR(__xludf.DUMMYFUNCTION("SUM(QUERY(Coletas_BD!D:M,""select M where D='""&amp;D114&amp;""'"",1))"),250.0)</f>
        <v>250</v>
      </c>
      <c r="V114" s="328">
        <f>IFERROR(__xludf.DUMMYFUNCTION("SUM(QUERY(Coletas_BD!D:S,""select P where D='""&amp;D114&amp;""'"",1))"),65.0)</f>
        <v>65</v>
      </c>
      <c r="W114" s="328">
        <f>IFERROR(__xludf.DUMMYFUNCTION("SUM(QUERY(Coletas_BD!D:S,""select Q where D='""&amp;D114&amp;""'"",1))"),21.0)</f>
        <v>21</v>
      </c>
      <c r="X114" s="328">
        <f>IFERROR(__xludf.DUMMYFUNCTION("SUM(QUERY(Coletas_BD!D:S,""select R where D='""&amp;D114&amp;""'"",1))"),2.0)</f>
        <v>2</v>
      </c>
      <c r="Y114" s="328">
        <f>IFERROR(__xludf.DUMMYFUNCTION("SUM(QUERY(Coletas_BD!D:S,""select S where D='""&amp;D114&amp;""'"",1))"),4.0)</f>
        <v>4</v>
      </c>
      <c r="Z114" s="360"/>
    </row>
    <row r="115" ht="18.75" customHeight="1">
      <c r="A115" s="388"/>
      <c r="B115" s="386"/>
      <c r="C115" s="322">
        <v>114.0</v>
      </c>
      <c r="D115" s="390"/>
      <c r="E115" s="390"/>
      <c r="F115" s="390"/>
      <c r="G115" s="391">
        <v>2.0</v>
      </c>
      <c r="H115" s="392" t="s">
        <v>1309</v>
      </c>
      <c r="I115" s="382"/>
      <c r="J115" s="392" t="s">
        <v>1310</v>
      </c>
      <c r="K115" s="354"/>
      <c r="L115" s="354"/>
      <c r="M115" s="382"/>
      <c r="N115" s="393"/>
      <c r="O115" s="390"/>
      <c r="P115" s="382"/>
      <c r="Q115" s="394"/>
      <c r="R115" s="328">
        <f>IFERROR(__xludf.DUMMYFUNCTION("SUM(QUERY(Coletas_BD!D:M,""select J where D='""&amp;D115&amp;""'"",1))"),5407.0)</f>
        <v>5407</v>
      </c>
      <c r="S115" s="328">
        <f>IFERROR(__xludf.DUMMYFUNCTION("SUM(QUERY(Coletas_BD!D:M,""select K where D='""&amp;D115&amp;""'"",1))"),25.0)</f>
        <v>25</v>
      </c>
      <c r="T115" s="328">
        <f>IFERROR(__xludf.DUMMYFUNCTION("SUM(QUERY(Coletas_BD!D:M,""select L where D='""&amp;D115&amp;""'"",1))"),75.0)</f>
        <v>75</v>
      </c>
      <c r="U115" s="328">
        <f>IFERROR(__xludf.DUMMYFUNCTION("SUM(QUERY(Coletas_BD!D:M,""select M where D='""&amp;D115&amp;""'"",1))"),250.0)</f>
        <v>250</v>
      </c>
      <c r="V115" s="328">
        <f>IFERROR(__xludf.DUMMYFUNCTION("SUM(QUERY(Coletas_BD!D:S,""select P where D='""&amp;D115&amp;""'"",1))"),65.0)</f>
        <v>65</v>
      </c>
      <c r="W115" s="328">
        <f>IFERROR(__xludf.DUMMYFUNCTION("SUM(QUERY(Coletas_BD!D:S,""select Q where D='""&amp;D115&amp;""'"",1))"),21.0)</f>
        <v>21</v>
      </c>
      <c r="X115" s="328">
        <f>IFERROR(__xludf.DUMMYFUNCTION("SUM(QUERY(Coletas_BD!D:S,""select R where D='""&amp;D115&amp;""'"",1))"),2.0)</f>
        <v>2</v>
      </c>
      <c r="Y115" s="328">
        <f>IFERROR(__xludf.DUMMYFUNCTION("SUM(QUERY(Coletas_BD!D:S,""select S where D='""&amp;D115&amp;""'"",1))"),4.0)</f>
        <v>4</v>
      </c>
      <c r="Z115" s="360"/>
    </row>
    <row r="116" ht="18.75" customHeight="1">
      <c r="A116" s="388"/>
      <c r="B116" s="386"/>
      <c r="C116" s="322">
        <v>115.0</v>
      </c>
      <c r="D116" s="390"/>
      <c r="E116" s="390"/>
      <c r="F116" s="390"/>
      <c r="G116" s="391">
        <v>1.0</v>
      </c>
      <c r="H116" s="392" t="s">
        <v>1311</v>
      </c>
      <c r="I116" s="382"/>
      <c r="J116" s="392" t="s">
        <v>1312</v>
      </c>
      <c r="K116" s="354"/>
      <c r="L116" s="354"/>
      <c r="M116" s="382"/>
      <c r="N116" s="393"/>
      <c r="O116" s="390"/>
      <c r="P116" s="382"/>
      <c r="Q116" s="394"/>
      <c r="R116" s="328">
        <f>IFERROR(__xludf.DUMMYFUNCTION("SUM(QUERY(Coletas_BD!D:M,""select J where D='""&amp;D116&amp;""'"",1))"),5407.0)</f>
        <v>5407</v>
      </c>
      <c r="S116" s="328">
        <f>IFERROR(__xludf.DUMMYFUNCTION("SUM(QUERY(Coletas_BD!D:M,""select K where D='""&amp;D116&amp;""'"",1))"),25.0)</f>
        <v>25</v>
      </c>
      <c r="T116" s="328">
        <f>IFERROR(__xludf.DUMMYFUNCTION("SUM(QUERY(Coletas_BD!D:M,""select L where D='""&amp;D116&amp;""'"",1))"),75.0)</f>
        <v>75</v>
      </c>
      <c r="U116" s="328">
        <f>IFERROR(__xludf.DUMMYFUNCTION("SUM(QUERY(Coletas_BD!D:M,""select M where D='""&amp;D116&amp;""'"",1))"),250.0)</f>
        <v>250</v>
      </c>
      <c r="V116" s="328">
        <f>IFERROR(__xludf.DUMMYFUNCTION("SUM(QUERY(Coletas_BD!D:S,""select P where D='""&amp;D116&amp;""'"",1))"),65.0)</f>
        <v>65</v>
      </c>
      <c r="W116" s="328">
        <f>IFERROR(__xludf.DUMMYFUNCTION("SUM(QUERY(Coletas_BD!D:S,""select Q where D='""&amp;D116&amp;""'"",1))"),21.0)</f>
        <v>21</v>
      </c>
      <c r="X116" s="328">
        <f>IFERROR(__xludf.DUMMYFUNCTION("SUM(QUERY(Coletas_BD!D:S,""select R where D='""&amp;D116&amp;""'"",1))"),2.0)</f>
        <v>2</v>
      </c>
      <c r="Y116" s="328">
        <f>IFERROR(__xludf.DUMMYFUNCTION("SUM(QUERY(Coletas_BD!D:S,""select S where D='""&amp;D116&amp;""'"",1))"),4.0)</f>
        <v>4</v>
      </c>
      <c r="Z116" s="360"/>
    </row>
    <row r="117" ht="18.75" customHeight="1">
      <c r="A117" s="388"/>
      <c r="B117" s="386"/>
      <c r="C117" s="322">
        <v>116.0</v>
      </c>
      <c r="D117" s="390"/>
      <c r="E117" s="390"/>
      <c r="F117" s="390"/>
      <c r="G117" s="391">
        <v>1.0</v>
      </c>
      <c r="H117" s="392" t="s">
        <v>1313</v>
      </c>
      <c r="I117" s="382"/>
      <c r="J117" s="392" t="s">
        <v>1314</v>
      </c>
      <c r="K117" s="354"/>
      <c r="L117" s="354"/>
      <c r="M117" s="382"/>
      <c r="N117" s="393"/>
      <c r="O117" s="390"/>
      <c r="P117" s="382"/>
      <c r="Q117" s="394"/>
      <c r="R117" s="328">
        <f>IFERROR(__xludf.DUMMYFUNCTION("SUM(QUERY(Coletas_BD!D:M,""select J where D='""&amp;D117&amp;""'"",1))"),5407.0)</f>
        <v>5407</v>
      </c>
      <c r="S117" s="328">
        <f>IFERROR(__xludf.DUMMYFUNCTION("SUM(QUERY(Coletas_BD!D:M,""select K where D='""&amp;D117&amp;""'"",1))"),25.0)</f>
        <v>25</v>
      </c>
      <c r="T117" s="328">
        <f>IFERROR(__xludf.DUMMYFUNCTION("SUM(QUERY(Coletas_BD!D:M,""select L where D='""&amp;D117&amp;""'"",1))"),75.0)</f>
        <v>75</v>
      </c>
      <c r="U117" s="328">
        <f>IFERROR(__xludf.DUMMYFUNCTION("SUM(QUERY(Coletas_BD!D:M,""select M where D='""&amp;D117&amp;""'"",1))"),250.0)</f>
        <v>250</v>
      </c>
      <c r="V117" s="328">
        <f>IFERROR(__xludf.DUMMYFUNCTION("SUM(QUERY(Coletas_BD!D:S,""select P where D='""&amp;D117&amp;""'"",1))"),65.0)</f>
        <v>65</v>
      </c>
      <c r="W117" s="328">
        <f>IFERROR(__xludf.DUMMYFUNCTION("SUM(QUERY(Coletas_BD!D:S,""select Q where D='""&amp;D117&amp;""'"",1))"),21.0)</f>
        <v>21</v>
      </c>
      <c r="X117" s="328">
        <f>IFERROR(__xludf.DUMMYFUNCTION("SUM(QUERY(Coletas_BD!D:S,""select R where D='""&amp;D117&amp;""'"",1))"),2.0)</f>
        <v>2</v>
      </c>
      <c r="Y117" s="328">
        <f>IFERROR(__xludf.DUMMYFUNCTION("SUM(QUERY(Coletas_BD!D:S,""select S where D='""&amp;D117&amp;""'"",1))"),4.0)</f>
        <v>4</v>
      </c>
      <c r="Z117" s="360"/>
    </row>
    <row r="118" ht="18.75" customHeight="1">
      <c r="A118" s="388"/>
      <c r="B118" s="386"/>
      <c r="C118" s="322">
        <v>117.0</v>
      </c>
      <c r="D118" s="390"/>
      <c r="E118" s="390"/>
      <c r="F118" s="387"/>
      <c r="G118" s="391">
        <v>1.0</v>
      </c>
      <c r="H118" s="392" t="s">
        <v>1265</v>
      </c>
      <c r="I118" s="382"/>
      <c r="J118" s="392" t="s">
        <v>1263</v>
      </c>
      <c r="K118" s="354"/>
      <c r="L118" s="354"/>
      <c r="M118" s="382"/>
      <c r="N118" s="393"/>
      <c r="O118" s="390"/>
      <c r="P118" s="382"/>
      <c r="Q118" s="394"/>
      <c r="R118" s="328">
        <f>IFERROR(__xludf.DUMMYFUNCTION("SUM(QUERY(Coletas_BD!D:M,""select J where D='""&amp;D118&amp;""'"",1))"),5407.0)</f>
        <v>5407</v>
      </c>
      <c r="S118" s="328">
        <f>IFERROR(__xludf.DUMMYFUNCTION("SUM(QUERY(Coletas_BD!D:M,""select K where D='""&amp;D118&amp;""'"",1))"),25.0)</f>
        <v>25</v>
      </c>
      <c r="T118" s="328">
        <f>IFERROR(__xludf.DUMMYFUNCTION("SUM(QUERY(Coletas_BD!D:M,""select L where D='""&amp;D118&amp;""'"",1))"),75.0)</f>
        <v>75</v>
      </c>
      <c r="U118" s="328">
        <f>IFERROR(__xludf.DUMMYFUNCTION("SUM(QUERY(Coletas_BD!D:M,""select M where D='""&amp;D118&amp;""'"",1))"),250.0)</f>
        <v>250</v>
      </c>
      <c r="V118" s="328">
        <f>IFERROR(__xludf.DUMMYFUNCTION("SUM(QUERY(Coletas_BD!D:S,""select P where D='""&amp;D118&amp;""'"",1))"),65.0)</f>
        <v>65</v>
      </c>
      <c r="W118" s="328">
        <f>IFERROR(__xludf.DUMMYFUNCTION("SUM(QUERY(Coletas_BD!D:S,""select Q where D='""&amp;D118&amp;""'"",1))"),21.0)</f>
        <v>21</v>
      </c>
      <c r="X118" s="328">
        <f>IFERROR(__xludf.DUMMYFUNCTION("SUM(QUERY(Coletas_BD!D:S,""select R where D='""&amp;D118&amp;""'"",1))"),2.0)</f>
        <v>2</v>
      </c>
      <c r="Y118" s="328">
        <f>IFERROR(__xludf.DUMMYFUNCTION("SUM(QUERY(Coletas_BD!D:S,""select S where D='""&amp;D118&amp;""'"",1))"),4.0)</f>
        <v>4</v>
      </c>
      <c r="Z118" s="360"/>
    </row>
    <row r="119" ht="18.75" customHeight="1">
      <c r="A119" s="388"/>
      <c r="B119" s="386"/>
      <c r="C119" s="322">
        <v>118.0</v>
      </c>
      <c r="D119" s="390"/>
      <c r="E119" s="390"/>
      <c r="F119" s="387"/>
      <c r="G119" s="391">
        <v>1.0</v>
      </c>
      <c r="H119" s="392" t="s">
        <v>1315</v>
      </c>
      <c r="I119" s="382"/>
      <c r="J119" s="392" t="s">
        <v>1316</v>
      </c>
      <c r="K119" s="354"/>
      <c r="L119" s="354"/>
      <c r="M119" s="382"/>
      <c r="N119" s="393"/>
      <c r="O119" s="390"/>
      <c r="P119" s="382"/>
      <c r="Q119" s="394"/>
      <c r="R119" s="328">
        <f>IFERROR(__xludf.DUMMYFUNCTION("SUM(QUERY(Coletas_BD!D:M,""select J where D='""&amp;D119&amp;""'"",1))"),5407.0)</f>
        <v>5407</v>
      </c>
      <c r="S119" s="328">
        <f>IFERROR(__xludf.DUMMYFUNCTION("SUM(QUERY(Coletas_BD!D:M,""select K where D='""&amp;D119&amp;""'"",1))"),25.0)</f>
        <v>25</v>
      </c>
      <c r="T119" s="328">
        <f>IFERROR(__xludf.DUMMYFUNCTION("SUM(QUERY(Coletas_BD!D:M,""select L where D='""&amp;D119&amp;""'"",1))"),75.0)</f>
        <v>75</v>
      </c>
      <c r="U119" s="328">
        <f>IFERROR(__xludf.DUMMYFUNCTION("SUM(QUERY(Coletas_BD!D:M,""select M where D='""&amp;D119&amp;""'"",1))"),250.0)</f>
        <v>250</v>
      </c>
      <c r="V119" s="328">
        <f>IFERROR(__xludf.DUMMYFUNCTION("SUM(QUERY(Coletas_BD!D:S,""select P where D='""&amp;D119&amp;""'"",1))"),65.0)</f>
        <v>65</v>
      </c>
      <c r="W119" s="328">
        <f>IFERROR(__xludf.DUMMYFUNCTION("SUM(QUERY(Coletas_BD!D:S,""select Q where D='""&amp;D119&amp;""'"",1))"),21.0)</f>
        <v>21</v>
      </c>
      <c r="X119" s="328">
        <f>IFERROR(__xludf.DUMMYFUNCTION("SUM(QUERY(Coletas_BD!D:S,""select R where D='""&amp;D119&amp;""'"",1))"),2.0)</f>
        <v>2</v>
      </c>
      <c r="Y119" s="328">
        <f>IFERROR(__xludf.DUMMYFUNCTION("SUM(QUERY(Coletas_BD!D:S,""select S where D='""&amp;D119&amp;""'"",1))"),4.0)</f>
        <v>4</v>
      </c>
      <c r="Z119" s="360"/>
    </row>
    <row r="120" ht="18.75" customHeight="1">
      <c r="A120" s="388"/>
      <c r="B120" s="386"/>
      <c r="C120" s="322">
        <v>119.0</v>
      </c>
      <c r="D120" s="390"/>
      <c r="E120" s="390"/>
      <c r="F120" s="387"/>
      <c r="G120" s="391">
        <v>3.0</v>
      </c>
      <c r="H120" s="392" t="s">
        <v>1317</v>
      </c>
      <c r="I120" s="382"/>
      <c r="J120" s="392" t="s">
        <v>1248</v>
      </c>
      <c r="K120" s="354"/>
      <c r="L120" s="354"/>
      <c r="M120" s="382"/>
      <c r="N120" s="393"/>
      <c r="O120" s="390"/>
      <c r="P120" s="382"/>
      <c r="Q120" s="394"/>
      <c r="R120" s="328">
        <f>IFERROR(__xludf.DUMMYFUNCTION("SUM(QUERY(Coletas_BD!D:M,""select J where D='""&amp;D120&amp;""'"",1))"),5407.0)</f>
        <v>5407</v>
      </c>
      <c r="S120" s="328">
        <f>IFERROR(__xludf.DUMMYFUNCTION("SUM(QUERY(Coletas_BD!D:M,""select K where D='""&amp;D120&amp;""'"",1))"),25.0)</f>
        <v>25</v>
      </c>
      <c r="T120" s="328">
        <f>IFERROR(__xludf.DUMMYFUNCTION("SUM(QUERY(Coletas_BD!D:M,""select L where D='""&amp;D120&amp;""'"",1))"),75.0)</f>
        <v>75</v>
      </c>
      <c r="U120" s="328">
        <f>IFERROR(__xludf.DUMMYFUNCTION("SUM(QUERY(Coletas_BD!D:M,""select M where D='""&amp;D120&amp;""'"",1))"),250.0)</f>
        <v>250</v>
      </c>
      <c r="V120" s="328">
        <f>IFERROR(__xludf.DUMMYFUNCTION("SUM(QUERY(Coletas_BD!D:S,""select P where D='""&amp;D120&amp;""'"",1))"),65.0)</f>
        <v>65</v>
      </c>
      <c r="W120" s="328">
        <f>IFERROR(__xludf.DUMMYFUNCTION("SUM(QUERY(Coletas_BD!D:S,""select Q where D='""&amp;D120&amp;""'"",1))"),21.0)</f>
        <v>21</v>
      </c>
      <c r="X120" s="328">
        <f>IFERROR(__xludf.DUMMYFUNCTION("SUM(QUERY(Coletas_BD!D:S,""select R where D='""&amp;D120&amp;""'"",1))"),2.0)</f>
        <v>2</v>
      </c>
      <c r="Y120" s="328">
        <f>IFERROR(__xludf.DUMMYFUNCTION("SUM(QUERY(Coletas_BD!D:S,""select S where D='""&amp;D120&amp;""'"",1))"),4.0)</f>
        <v>4</v>
      </c>
      <c r="Z120" s="360"/>
    </row>
    <row r="121" ht="18.75" customHeight="1">
      <c r="A121" s="388"/>
      <c r="B121" s="386"/>
      <c r="C121" s="322">
        <v>120.0</v>
      </c>
      <c r="D121" s="390"/>
      <c r="E121" s="390"/>
      <c r="F121" s="390"/>
      <c r="G121" s="391">
        <v>1.0</v>
      </c>
      <c r="H121" s="392" t="s">
        <v>1318</v>
      </c>
      <c r="I121" s="382"/>
      <c r="J121" s="392" t="s">
        <v>1310</v>
      </c>
      <c r="K121" s="354"/>
      <c r="L121" s="354"/>
      <c r="M121" s="382"/>
      <c r="N121" s="393"/>
      <c r="O121" s="390"/>
      <c r="P121" s="382"/>
      <c r="Q121" s="394"/>
      <c r="R121" s="328">
        <f>IFERROR(__xludf.DUMMYFUNCTION("SUM(QUERY(Coletas_BD!D:M,""select J where D='""&amp;D121&amp;""'"",1))"),5407.0)</f>
        <v>5407</v>
      </c>
      <c r="S121" s="328">
        <f>IFERROR(__xludf.DUMMYFUNCTION("SUM(QUERY(Coletas_BD!D:M,""select K where D='""&amp;D121&amp;""'"",1))"),25.0)</f>
        <v>25</v>
      </c>
      <c r="T121" s="328">
        <f>IFERROR(__xludf.DUMMYFUNCTION("SUM(QUERY(Coletas_BD!D:M,""select L where D='""&amp;D121&amp;""'"",1))"),75.0)</f>
        <v>75</v>
      </c>
      <c r="U121" s="328">
        <f>IFERROR(__xludf.DUMMYFUNCTION("SUM(QUERY(Coletas_BD!D:M,""select M where D='""&amp;D121&amp;""'"",1))"),250.0)</f>
        <v>250</v>
      </c>
      <c r="V121" s="328">
        <f>IFERROR(__xludf.DUMMYFUNCTION("SUM(QUERY(Coletas_BD!D:S,""select P where D='""&amp;D121&amp;""'"",1))"),65.0)</f>
        <v>65</v>
      </c>
      <c r="W121" s="328">
        <f>IFERROR(__xludf.DUMMYFUNCTION("SUM(QUERY(Coletas_BD!D:S,""select Q where D='""&amp;D121&amp;""'"",1))"),21.0)</f>
        <v>21</v>
      </c>
      <c r="X121" s="328">
        <f>IFERROR(__xludf.DUMMYFUNCTION("SUM(QUERY(Coletas_BD!D:S,""select R where D='""&amp;D121&amp;""'"",1))"),2.0)</f>
        <v>2</v>
      </c>
      <c r="Y121" s="328">
        <f>IFERROR(__xludf.DUMMYFUNCTION("SUM(QUERY(Coletas_BD!D:S,""select S where D='""&amp;D121&amp;""'"",1))"),4.0)</f>
        <v>4</v>
      </c>
      <c r="Z121" s="360"/>
    </row>
    <row r="122" ht="18.75" customHeight="1">
      <c r="A122" s="388"/>
      <c r="B122" s="386"/>
      <c r="C122" s="322">
        <v>121.0</v>
      </c>
      <c r="D122" s="390"/>
      <c r="E122" s="390"/>
      <c r="F122" s="387"/>
      <c r="G122" s="391">
        <v>1.0</v>
      </c>
      <c r="H122" s="392" t="s">
        <v>1319</v>
      </c>
      <c r="I122" s="382"/>
      <c r="J122" s="392" t="s">
        <v>1310</v>
      </c>
      <c r="K122" s="354"/>
      <c r="L122" s="354"/>
      <c r="M122" s="382"/>
      <c r="N122" s="393"/>
      <c r="O122" s="390"/>
      <c r="P122" s="382"/>
      <c r="Q122" s="394"/>
      <c r="R122" s="328">
        <f>IFERROR(__xludf.DUMMYFUNCTION("SUM(QUERY(Coletas_BD!D:M,""select J where D='""&amp;D122&amp;""'"",1))"),5407.0)</f>
        <v>5407</v>
      </c>
      <c r="S122" s="328">
        <f>IFERROR(__xludf.DUMMYFUNCTION("SUM(QUERY(Coletas_BD!D:M,""select K where D='""&amp;D122&amp;""'"",1))"),25.0)</f>
        <v>25</v>
      </c>
      <c r="T122" s="328">
        <f>IFERROR(__xludf.DUMMYFUNCTION("SUM(QUERY(Coletas_BD!D:M,""select L where D='""&amp;D122&amp;""'"",1))"),75.0)</f>
        <v>75</v>
      </c>
      <c r="U122" s="328">
        <f>IFERROR(__xludf.DUMMYFUNCTION("SUM(QUERY(Coletas_BD!D:M,""select M where D='""&amp;D122&amp;""'"",1))"),250.0)</f>
        <v>250</v>
      </c>
      <c r="V122" s="328">
        <f>IFERROR(__xludf.DUMMYFUNCTION("SUM(QUERY(Coletas_BD!D:S,""select P where D='""&amp;D122&amp;""'"",1))"),65.0)</f>
        <v>65</v>
      </c>
      <c r="W122" s="328">
        <f>IFERROR(__xludf.DUMMYFUNCTION("SUM(QUERY(Coletas_BD!D:S,""select Q where D='""&amp;D122&amp;""'"",1))"),21.0)</f>
        <v>21</v>
      </c>
      <c r="X122" s="328">
        <f>IFERROR(__xludf.DUMMYFUNCTION("SUM(QUERY(Coletas_BD!D:S,""select R where D='""&amp;D122&amp;""'"",1))"),2.0)</f>
        <v>2</v>
      </c>
      <c r="Y122" s="328">
        <f>IFERROR(__xludf.DUMMYFUNCTION("SUM(QUERY(Coletas_BD!D:S,""select S where D='""&amp;D122&amp;""'"",1))"),4.0)</f>
        <v>4</v>
      </c>
      <c r="Z122" s="360"/>
    </row>
    <row r="123" ht="18.75" customHeight="1">
      <c r="A123" s="388"/>
      <c r="B123" s="386"/>
      <c r="C123" s="322">
        <v>122.0</v>
      </c>
      <c r="D123" s="390"/>
      <c r="E123" s="390"/>
      <c r="F123" s="390"/>
      <c r="G123" s="391">
        <v>3.0</v>
      </c>
      <c r="H123" s="392" t="s">
        <v>1320</v>
      </c>
      <c r="I123" s="382"/>
      <c r="J123" s="392" t="s">
        <v>1254</v>
      </c>
      <c r="K123" s="354"/>
      <c r="L123" s="354"/>
      <c r="M123" s="382"/>
      <c r="N123" s="393"/>
      <c r="O123" s="390"/>
      <c r="P123" s="382"/>
      <c r="Q123" s="394"/>
      <c r="R123" s="328">
        <f>IFERROR(__xludf.DUMMYFUNCTION("SUM(QUERY(Coletas_BD!D:M,""select J where D='""&amp;D123&amp;""'"",1))"),5407.0)</f>
        <v>5407</v>
      </c>
      <c r="S123" s="328">
        <f>IFERROR(__xludf.DUMMYFUNCTION("SUM(QUERY(Coletas_BD!D:M,""select K where D='""&amp;D123&amp;""'"",1))"),25.0)</f>
        <v>25</v>
      </c>
      <c r="T123" s="328">
        <f>IFERROR(__xludf.DUMMYFUNCTION("SUM(QUERY(Coletas_BD!D:M,""select L where D='""&amp;D123&amp;""'"",1))"),75.0)</f>
        <v>75</v>
      </c>
      <c r="U123" s="328">
        <f>IFERROR(__xludf.DUMMYFUNCTION("SUM(QUERY(Coletas_BD!D:M,""select M where D='""&amp;D123&amp;""'"",1))"),250.0)</f>
        <v>250</v>
      </c>
      <c r="V123" s="328">
        <f>IFERROR(__xludf.DUMMYFUNCTION("SUM(QUERY(Coletas_BD!D:S,""select P where D='""&amp;D123&amp;""'"",1))"),65.0)</f>
        <v>65</v>
      </c>
      <c r="W123" s="328">
        <f>IFERROR(__xludf.DUMMYFUNCTION("SUM(QUERY(Coletas_BD!D:S,""select Q where D='""&amp;D123&amp;""'"",1))"),21.0)</f>
        <v>21</v>
      </c>
      <c r="X123" s="328">
        <f>IFERROR(__xludf.DUMMYFUNCTION("SUM(QUERY(Coletas_BD!D:S,""select R where D='""&amp;D123&amp;""'"",1))"),2.0)</f>
        <v>2</v>
      </c>
      <c r="Y123" s="328">
        <f>IFERROR(__xludf.DUMMYFUNCTION("SUM(QUERY(Coletas_BD!D:S,""select S where D='""&amp;D123&amp;""'"",1))"),4.0)</f>
        <v>4</v>
      </c>
      <c r="Z123" s="360"/>
    </row>
    <row r="124" ht="18.75" customHeight="1">
      <c r="A124" s="388"/>
      <c r="B124" s="386"/>
      <c r="C124" s="322">
        <v>123.0</v>
      </c>
      <c r="D124" s="390"/>
      <c r="E124" s="390"/>
      <c r="F124" s="387"/>
      <c r="G124" s="391">
        <v>1.0</v>
      </c>
      <c r="H124" s="392" t="s">
        <v>1284</v>
      </c>
      <c r="I124" s="382"/>
      <c r="J124" s="392" t="s">
        <v>1321</v>
      </c>
      <c r="K124" s="354"/>
      <c r="L124" s="354"/>
      <c r="M124" s="382"/>
      <c r="N124" s="393"/>
      <c r="O124" s="390"/>
      <c r="P124" s="382"/>
      <c r="Q124" s="394"/>
      <c r="R124" s="328">
        <f>IFERROR(__xludf.DUMMYFUNCTION("SUM(QUERY(Coletas_BD!D:M,""select J where D='""&amp;D124&amp;""'"",1))"),5407.0)</f>
        <v>5407</v>
      </c>
      <c r="S124" s="328">
        <f>IFERROR(__xludf.DUMMYFUNCTION("SUM(QUERY(Coletas_BD!D:M,""select K where D='""&amp;D124&amp;""'"",1))"),25.0)</f>
        <v>25</v>
      </c>
      <c r="T124" s="328">
        <f>IFERROR(__xludf.DUMMYFUNCTION("SUM(QUERY(Coletas_BD!D:M,""select L where D='""&amp;D124&amp;""'"",1))"),75.0)</f>
        <v>75</v>
      </c>
      <c r="U124" s="328">
        <f>IFERROR(__xludf.DUMMYFUNCTION("SUM(QUERY(Coletas_BD!D:M,""select M where D='""&amp;D124&amp;""'"",1))"),250.0)</f>
        <v>250</v>
      </c>
      <c r="V124" s="328">
        <f>IFERROR(__xludf.DUMMYFUNCTION("SUM(QUERY(Coletas_BD!D:S,""select P where D='""&amp;D124&amp;""'"",1))"),65.0)</f>
        <v>65</v>
      </c>
      <c r="W124" s="328">
        <f>IFERROR(__xludf.DUMMYFUNCTION("SUM(QUERY(Coletas_BD!D:S,""select Q where D='""&amp;D124&amp;""'"",1))"),21.0)</f>
        <v>21</v>
      </c>
      <c r="X124" s="328">
        <f>IFERROR(__xludf.DUMMYFUNCTION("SUM(QUERY(Coletas_BD!D:S,""select R where D='""&amp;D124&amp;""'"",1))"),2.0)</f>
        <v>2</v>
      </c>
      <c r="Y124" s="328">
        <f>IFERROR(__xludf.DUMMYFUNCTION("SUM(QUERY(Coletas_BD!D:S,""select S where D='""&amp;D124&amp;""'"",1))"),4.0)</f>
        <v>4</v>
      </c>
      <c r="Z124" s="360"/>
    </row>
    <row r="125" ht="18.75" customHeight="1">
      <c r="A125" s="388"/>
      <c r="B125" s="386"/>
      <c r="C125" s="322">
        <v>124.0</v>
      </c>
      <c r="D125" s="390"/>
      <c r="E125" s="390"/>
      <c r="F125" s="390"/>
      <c r="G125" s="391">
        <v>1.0</v>
      </c>
      <c r="H125" s="392" t="s">
        <v>1322</v>
      </c>
      <c r="I125" s="382"/>
      <c r="J125" s="392" t="s">
        <v>1248</v>
      </c>
      <c r="K125" s="354"/>
      <c r="L125" s="354"/>
      <c r="M125" s="382"/>
      <c r="N125" s="393"/>
      <c r="O125" s="390"/>
      <c r="P125" s="382"/>
      <c r="Q125" s="394"/>
      <c r="R125" s="328">
        <f>IFERROR(__xludf.DUMMYFUNCTION("SUM(QUERY(Coletas_BD!D:M,""select J where D='""&amp;D125&amp;""'"",1))"),5407.0)</f>
        <v>5407</v>
      </c>
      <c r="S125" s="328">
        <f>IFERROR(__xludf.DUMMYFUNCTION("SUM(QUERY(Coletas_BD!D:M,""select K where D='""&amp;D125&amp;""'"",1))"),25.0)</f>
        <v>25</v>
      </c>
      <c r="T125" s="328">
        <f>IFERROR(__xludf.DUMMYFUNCTION("SUM(QUERY(Coletas_BD!D:M,""select L where D='""&amp;D125&amp;""'"",1))"),75.0)</f>
        <v>75</v>
      </c>
      <c r="U125" s="328">
        <f>IFERROR(__xludf.DUMMYFUNCTION("SUM(QUERY(Coletas_BD!D:M,""select M where D='""&amp;D125&amp;""'"",1))"),250.0)</f>
        <v>250</v>
      </c>
      <c r="V125" s="328">
        <f>IFERROR(__xludf.DUMMYFUNCTION("SUM(QUERY(Coletas_BD!D:S,""select P where D='""&amp;D125&amp;""'"",1))"),65.0)</f>
        <v>65</v>
      </c>
      <c r="W125" s="328">
        <f>IFERROR(__xludf.DUMMYFUNCTION("SUM(QUERY(Coletas_BD!D:S,""select Q where D='""&amp;D125&amp;""'"",1))"),21.0)</f>
        <v>21</v>
      </c>
      <c r="X125" s="328">
        <f>IFERROR(__xludf.DUMMYFUNCTION("SUM(QUERY(Coletas_BD!D:S,""select R where D='""&amp;D125&amp;""'"",1))"),2.0)</f>
        <v>2</v>
      </c>
      <c r="Y125" s="328">
        <f>IFERROR(__xludf.DUMMYFUNCTION("SUM(QUERY(Coletas_BD!D:S,""select S where D='""&amp;D125&amp;""'"",1))"),4.0)</f>
        <v>4</v>
      </c>
      <c r="Z125" s="360"/>
    </row>
    <row r="126" ht="18.75" customHeight="1">
      <c r="A126" s="388"/>
      <c r="B126" s="386"/>
      <c r="C126" s="322">
        <v>125.0</v>
      </c>
      <c r="D126" s="390"/>
      <c r="E126" s="390"/>
      <c r="F126" s="387"/>
      <c r="G126" s="391">
        <v>1.0</v>
      </c>
      <c r="H126" s="392" t="s">
        <v>1323</v>
      </c>
      <c r="I126" s="382"/>
      <c r="J126" s="392" t="s">
        <v>1251</v>
      </c>
      <c r="K126" s="354"/>
      <c r="L126" s="354"/>
      <c r="M126" s="382"/>
      <c r="N126" s="393"/>
      <c r="O126" s="390"/>
      <c r="P126" s="382"/>
      <c r="Q126" s="394"/>
      <c r="R126" s="328">
        <f>IFERROR(__xludf.DUMMYFUNCTION("SUM(QUERY(Coletas_BD!D:M,""select J where D='""&amp;D126&amp;""'"",1))"),5407.0)</f>
        <v>5407</v>
      </c>
      <c r="S126" s="328">
        <f>IFERROR(__xludf.DUMMYFUNCTION("SUM(QUERY(Coletas_BD!D:M,""select K where D='""&amp;D126&amp;""'"",1))"),25.0)</f>
        <v>25</v>
      </c>
      <c r="T126" s="328">
        <f>IFERROR(__xludf.DUMMYFUNCTION("SUM(QUERY(Coletas_BD!D:M,""select L where D='""&amp;D126&amp;""'"",1))"),75.0)</f>
        <v>75</v>
      </c>
      <c r="U126" s="328">
        <f>IFERROR(__xludf.DUMMYFUNCTION("SUM(QUERY(Coletas_BD!D:M,""select M where D='""&amp;D126&amp;""'"",1))"),250.0)</f>
        <v>250</v>
      </c>
      <c r="V126" s="328">
        <f>IFERROR(__xludf.DUMMYFUNCTION("SUM(QUERY(Coletas_BD!D:S,""select P where D='""&amp;D126&amp;""'"",1))"),65.0)</f>
        <v>65</v>
      </c>
      <c r="W126" s="328">
        <f>IFERROR(__xludf.DUMMYFUNCTION("SUM(QUERY(Coletas_BD!D:S,""select Q where D='""&amp;D126&amp;""'"",1))"),21.0)</f>
        <v>21</v>
      </c>
      <c r="X126" s="328">
        <f>IFERROR(__xludf.DUMMYFUNCTION("SUM(QUERY(Coletas_BD!D:S,""select R where D='""&amp;D126&amp;""'"",1))"),2.0)</f>
        <v>2</v>
      </c>
      <c r="Y126" s="328">
        <f>IFERROR(__xludf.DUMMYFUNCTION("SUM(QUERY(Coletas_BD!D:S,""select S where D='""&amp;D126&amp;""'"",1))"),4.0)</f>
        <v>4</v>
      </c>
      <c r="Z126" s="360"/>
    </row>
    <row r="127" ht="18.75" customHeight="1">
      <c r="A127" s="388"/>
      <c r="B127" s="386"/>
      <c r="C127" s="322">
        <v>126.0</v>
      </c>
      <c r="D127" s="390"/>
      <c r="E127" s="390"/>
      <c r="F127" s="390"/>
      <c r="G127" s="391">
        <v>1.0</v>
      </c>
      <c r="H127" s="392" t="s">
        <v>1324</v>
      </c>
      <c r="I127" s="382"/>
      <c r="J127" s="392" t="s">
        <v>1325</v>
      </c>
      <c r="K127" s="354"/>
      <c r="L127" s="354"/>
      <c r="M127" s="382"/>
      <c r="N127" s="393"/>
      <c r="O127" s="390"/>
      <c r="P127" s="382"/>
      <c r="Q127" s="394"/>
      <c r="R127" s="328">
        <f>IFERROR(__xludf.DUMMYFUNCTION("SUM(QUERY(Coletas_BD!D:M,""select J where D='""&amp;D127&amp;""'"",1))"),5407.0)</f>
        <v>5407</v>
      </c>
      <c r="S127" s="328">
        <f>IFERROR(__xludf.DUMMYFUNCTION("SUM(QUERY(Coletas_BD!D:M,""select K where D='""&amp;D127&amp;""'"",1))"),25.0)</f>
        <v>25</v>
      </c>
      <c r="T127" s="328">
        <f>IFERROR(__xludf.DUMMYFUNCTION("SUM(QUERY(Coletas_BD!D:M,""select L where D='""&amp;D127&amp;""'"",1))"),75.0)</f>
        <v>75</v>
      </c>
      <c r="U127" s="328">
        <f>IFERROR(__xludf.DUMMYFUNCTION("SUM(QUERY(Coletas_BD!D:M,""select M where D='""&amp;D127&amp;""'"",1))"),250.0)</f>
        <v>250</v>
      </c>
      <c r="V127" s="328">
        <f>IFERROR(__xludf.DUMMYFUNCTION("SUM(QUERY(Coletas_BD!D:S,""select P where D='""&amp;D127&amp;""'"",1))"),65.0)</f>
        <v>65</v>
      </c>
      <c r="W127" s="328">
        <f>IFERROR(__xludf.DUMMYFUNCTION("SUM(QUERY(Coletas_BD!D:S,""select Q where D='""&amp;D127&amp;""'"",1))"),21.0)</f>
        <v>21</v>
      </c>
      <c r="X127" s="328">
        <f>IFERROR(__xludf.DUMMYFUNCTION("SUM(QUERY(Coletas_BD!D:S,""select R where D='""&amp;D127&amp;""'"",1))"),2.0)</f>
        <v>2</v>
      </c>
      <c r="Y127" s="328">
        <f>IFERROR(__xludf.DUMMYFUNCTION("SUM(QUERY(Coletas_BD!D:S,""select S where D='""&amp;D127&amp;""'"",1))"),4.0)</f>
        <v>4</v>
      </c>
      <c r="Z127" s="360"/>
    </row>
    <row r="128" ht="18.75" customHeight="1">
      <c r="A128" s="388"/>
      <c r="B128" s="386"/>
      <c r="C128" s="322">
        <v>127.0</v>
      </c>
      <c r="D128" s="390"/>
      <c r="E128" s="390"/>
      <c r="F128" s="390"/>
      <c r="G128" s="391">
        <v>1.0</v>
      </c>
      <c r="H128" s="392" t="s">
        <v>1326</v>
      </c>
      <c r="I128" s="382"/>
      <c r="J128" s="392" t="s">
        <v>1327</v>
      </c>
      <c r="K128" s="354"/>
      <c r="L128" s="354"/>
      <c r="M128" s="382"/>
      <c r="N128" s="393"/>
      <c r="O128" s="390"/>
      <c r="P128" s="382"/>
      <c r="Q128" s="394"/>
      <c r="R128" s="328">
        <f>IFERROR(__xludf.DUMMYFUNCTION("SUM(QUERY(Coletas_BD!D:M,""select J where D='""&amp;D128&amp;""'"",1))"),5407.0)</f>
        <v>5407</v>
      </c>
      <c r="S128" s="328">
        <f>IFERROR(__xludf.DUMMYFUNCTION("SUM(QUERY(Coletas_BD!D:M,""select K where D='""&amp;D128&amp;""'"",1))"),25.0)</f>
        <v>25</v>
      </c>
      <c r="T128" s="328">
        <f>IFERROR(__xludf.DUMMYFUNCTION("SUM(QUERY(Coletas_BD!D:M,""select L where D='""&amp;D128&amp;""'"",1))"),75.0)</f>
        <v>75</v>
      </c>
      <c r="U128" s="328">
        <f>IFERROR(__xludf.DUMMYFUNCTION("SUM(QUERY(Coletas_BD!D:M,""select M where D='""&amp;D128&amp;""'"",1))"),250.0)</f>
        <v>250</v>
      </c>
      <c r="V128" s="328">
        <f>IFERROR(__xludf.DUMMYFUNCTION("SUM(QUERY(Coletas_BD!D:S,""select P where D='""&amp;D128&amp;""'"",1))"),65.0)</f>
        <v>65</v>
      </c>
      <c r="W128" s="328">
        <f>IFERROR(__xludf.DUMMYFUNCTION("SUM(QUERY(Coletas_BD!D:S,""select Q where D='""&amp;D128&amp;""'"",1))"),21.0)</f>
        <v>21</v>
      </c>
      <c r="X128" s="328">
        <f>IFERROR(__xludf.DUMMYFUNCTION("SUM(QUERY(Coletas_BD!D:S,""select R where D='""&amp;D128&amp;""'"",1))"),2.0)</f>
        <v>2</v>
      </c>
      <c r="Y128" s="328">
        <f>IFERROR(__xludf.DUMMYFUNCTION("SUM(QUERY(Coletas_BD!D:S,""select S where D='""&amp;D128&amp;""'"",1))"),4.0)</f>
        <v>4</v>
      </c>
      <c r="Z128" s="360"/>
    </row>
    <row r="129" ht="18.75" customHeight="1">
      <c r="A129" s="388"/>
      <c r="B129" s="386"/>
      <c r="C129" s="322">
        <v>128.0</v>
      </c>
      <c r="D129" s="390"/>
      <c r="E129" s="390"/>
      <c r="F129" s="390"/>
      <c r="G129" s="391">
        <v>1.0</v>
      </c>
      <c r="H129" s="392" t="s">
        <v>1261</v>
      </c>
      <c r="I129" s="382"/>
      <c r="J129" s="392" t="s">
        <v>1251</v>
      </c>
      <c r="K129" s="354"/>
      <c r="L129" s="354"/>
      <c r="M129" s="382"/>
      <c r="N129" s="393"/>
      <c r="O129" s="390"/>
      <c r="P129" s="382"/>
      <c r="Q129" s="394"/>
      <c r="R129" s="328">
        <f>IFERROR(__xludf.DUMMYFUNCTION("SUM(QUERY(Coletas_BD!D:M,""select J where D='""&amp;D129&amp;""'"",1))"),5407.0)</f>
        <v>5407</v>
      </c>
      <c r="S129" s="328">
        <f>IFERROR(__xludf.DUMMYFUNCTION("SUM(QUERY(Coletas_BD!D:M,""select K where D='""&amp;D129&amp;""'"",1))"),25.0)</f>
        <v>25</v>
      </c>
      <c r="T129" s="328">
        <f>IFERROR(__xludf.DUMMYFUNCTION("SUM(QUERY(Coletas_BD!D:M,""select L where D='""&amp;D129&amp;""'"",1))"),75.0)</f>
        <v>75</v>
      </c>
      <c r="U129" s="328">
        <f>IFERROR(__xludf.DUMMYFUNCTION("SUM(QUERY(Coletas_BD!D:M,""select M where D='""&amp;D129&amp;""'"",1))"),250.0)</f>
        <v>250</v>
      </c>
      <c r="V129" s="328">
        <f>IFERROR(__xludf.DUMMYFUNCTION("SUM(QUERY(Coletas_BD!D:S,""select P where D='""&amp;D129&amp;""'"",1))"),65.0)</f>
        <v>65</v>
      </c>
      <c r="W129" s="328">
        <f>IFERROR(__xludf.DUMMYFUNCTION("SUM(QUERY(Coletas_BD!D:S,""select Q where D='""&amp;D129&amp;""'"",1))"),21.0)</f>
        <v>21</v>
      </c>
      <c r="X129" s="328">
        <f>IFERROR(__xludf.DUMMYFUNCTION("SUM(QUERY(Coletas_BD!D:S,""select R where D='""&amp;D129&amp;""'"",1))"),2.0)</f>
        <v>2</v>
      </c>
      <c r="Y129" s="328">
        <f>IFERROR(__xludf.DUMMYFUNCTION("SUM(QUERY(Coletas_BD!D:S,""select S where D='""&amp;D129&amp;""'"",1))"),4.0)</f>
        <v>4</v>
      </c>
      <c r="Z129" s="360"/>
    </row>
    <row r="130" ht="18.75" customHeight="1">
      <c r="A130" s="388"/>
      <c r="B130" s="386"/>
      <c r="C130" s="322">
        <v>129.0</v>
      </c>
      <c r="D130" s="390"/>
      <c r="E130" s="390"/>
      <c r="F130" s="390"/>
      <c r="G130" s="391">
        <v>1.0</v>
      </c>
      <c r="H130" s="392" t="s">
        <v>1328</v>
      </c>
      <c r="I130" s="382"/>
      <c r="J130" s="392" t="s">
        <v>1329</v>
      </c>
      <c r="K130" s="354"/>
      <c r="L130" s="354"/>
      <c r="M130" s="382"/>
      <c r="N130" s="393"/>
      <c r="O130" s="390"/>
      <c r="P130" s="382"/>
      <c r="Q130" s="394"/>
      <c r="R130" s="328">
        <f>IFERROR(__xludf.DUMMYFUNCTION("SUM(QUERY(Coletas_BD!D:M,""select J where D='""&amp;D130&amp;""'"",1))"),5407.0)</f>
        <v>5407</v>
      </c>
      <c r="S130" s="328">
        <f>IFERROR(__xludf.DUMMYFUNCTION("SUM(QUERY(Coletas_BD!D:M,""select K where D='""&amp;D130&amp;""'"",1))"),25.0)</f>
        <v>25</v>
      </c>
      <c r="T130" s="328">
        <f>IFERROR(__xludf.DUMMYFUNCTION("SUM(QUERY(Coletas_BD!D:M,""select L where D='""&amp;D130&amp;""'"",1))"),75.0)</f>
        <v>75</v>
      </c>
      <c r="U130" s="328">
        <f>IFERROR(__xludf.DUMMYFUNCTION("SUM(QUERY(Coletas_BD!D:M,""select M where D='""&amp;D130&amp;""'"",1))"),250.0)</f>
        <v>250</v>
      </c>
      <c r="V130" s="328">
        <f>IFERROR(__xludf.DUMMYFUNCTION("SUM(QUERY(Coletas_BD!D:S,""select P where D='""&amp;D130&amp;""'"",1))"),65.0)</f>
        <v>65</v>
      </c>
      <c r="W130" s="328">
        <f>IFERROR(__xludf.DUMMYFUNCTION("SUM(QUERY(Coletas_BD!D:S,""select Q where D='""&amp;D130&amp;""'"",1))"),21.0)</f>
        <v>21</v>
      </c>
      <c r="X130" s="328">
        <f>IFERROR(__xludf.DUMMYFUNCTION("SUM(QUERY(Coletas_BD!D:S,""select R where D='""&amp;D130&amp;""'"",1))"),2.0)</f>
        <v>2</v>
      </c>
      <c r="Y130" s="328">
        <f>IFERROR(__xludf.DUMMYFUNCTION("SUM(QUERY(Coletas_BD!D:S,""select S where D='""&amp;D130&amp;""'"",1))"),4.0)</f>
        <v>4</v>
      </c>
      <c r="Z130" s="360"/>
    </row>
    <row r="131" ht="18.75" customHeight="1">
      <c r="A131" s="388"/>
      <c r="B131" s="386"/>
      <c r="C131" s="322">
        <v>130.0</v>
      </c>
      <c r="D131" s="390"/>
      <c r="E131" s="390"/>
      <c r="F131" s="390"/>
      <c r="G131" s="391">
        <v>1.0</v>
      </c>
      <c r="H131" s="392" t="s">
        <v>1330</v>
      </c>
      <c r="I131" s="382"/>
      <c r="J131" s="392" t="s">
        <v>1331</v>
      </c>
      <c r="K131" s="354"/>
      <c r="L131" s="354"/>
      <c r="M131" s="382"/>
      <c r="N131" s="393"/>
      <c r="O131" s="390"/>
      <c r="P131" s="382"/>
      <c r="Q131" s="394"/>
      <c r="R131" s="328">
        <f>IFERROR(__xludf.DUMMYFUNCTION("SUM(QUERY(Coletas_BD!D:M,""select J where D='""&amp;D131&amp;""'"",1))"),5407.0)</f>
        <v>5407</v>
      </c>
      <c r="S131" s="328">
        <f>IFERROR(__xludf.DUMMYFUNCTION("SUM(QUERY(Coletas_BD!D:M,""select K where D='""&amp;D131&amp;""'"",1))"),25.0)</f>
        <v>25</v>
      </c>
      <c r="T131" s="328">
        <f>IFERROR(__xludf.DUMMYFUNCTION("SUM(QUERY(Coletas_BD!D:M,""select L where D='""&amp;D131&amp;""'"",1))"),75.0)</f>
        <v>75</v>
      </c>
      <c r="U131" s="328">
        <f>IFERROR(__xludf.DUMMYFUNCTION("SUM(QUERY(Coletas_BD!D:M,""select M where D='""&amp;D131&amp;""'"",1))"),250.0)</f>
        <v>250</v>
      </c>
      <c r="V131" s="328">
        <f>IFERROR(__xludf.DUMMYFUNCTION("SUM(QUERY(Coletas_BD!D:S,""select P where D='""&amp;D131&amp;""'"",1))"),65.0)</f>
        <v>65</v>
      </c>
      <c r="W131" s="328">
        <f>IFERROR(__xludf.DUMMYFUNCTION("SUM(QUERY(Coletas_BD!D:S,""select Q where D='""&amp;D131&amp;""'"",1))"),21.0)</f>
        <v>21</v>
      </c>
      <c r="X131" s="328">
        <f>IFERROR(__xludf.DUMMYFUNCTION("SUM(QUERY(Coletas_BD!D:S,""select R where D='""&amp;D131&amp;""'"",1))"),2.0)</f>
        <v>2</v>
      </c>
      <c r="Y131" s="328">
        <f>IFERROR(__xludf.DUMMYFUNCTION("SUM(QUERY(Coletas_BD!D:S,""select S where D='""&amp;D131&amp;""'"",1))"),4.0)</f>
        <v>4</v>
      </c>
      <c r="Z131" s="360"/>
    </row>
    <row r="132" ht="18.75" customHeight="1">
      <c r="A132" s="388"/>
      <c r="B132" s="386"/>
      <c r="C132" s="322">
        <v>131.0</v>
      </c>
      <c r="D132" s="390"/>
      <c r="E132" s="390"/>
      <c r="F132" s="387"/>
      <c r="G132" s="391">
        <v>2.0</v>
      </c>
      <c r="H132" s="392" t="s">
        <v>1332</v>
      </c>
      <c r="I132" s="382"/>
      <c r="J132" s="392" t="s">
        <v>1333</v>
      </c>
      <c r="K132" s="354"/>
      <c r="L132" s="354"/>
      <c r="M132" s="382"/>
      <c r="N132" s="393"/>
      <c r="O132" s="390"/>
      <c r="P132" s="382"/>
      <c r="Q132" s="394"/>
      <c r="R132" s="328">
        <f>IFERROR(__xludf.DUMMYFUNCTION("SUM(QUERY(Coletas_BD!D:M,""select J where D='""&amp;D132&amp;""'"",1))"),5407.0)</f>
        <v>5407</v>
      </c>
      <c r="S132" s="328">
        <f>IFERROR(__xludf.DUMMYFUNCTION("SUM(QUERY(Coletas_BD!D:M,""select K where D='""&amp;D132&amp;""'"",1))"),25.0)</f>
        <v>25</v>
      </c>
      <c r="T132" s="328">
        <f>IFERROR(__xludf.DUMMYFUNCTION("SUM(QUERY(Coletas_BD!D:M,""select L where D='""&amp;D132&amp;""'"",1))"),75.0)</f>
        <v>75</v>
      </c>
      <c r="U132" s="328">
        <f>IFERROR(__xludf.DUMMYFUNCTION("SUM(QUERY(Coletas_BD!D:M,""select M where D='""&amp;D132&amp;""'"",1))"),250.0)</f>
        <v>250</v>
      </c>
      <c r="V132" s="328">
        <f>IFERROR(__xludf.DUMMYFUNCTION("SUM(QUERY(Coletas_BD!D:S,""select P where D='""&amp;D132&amp;""'"",1))"),65.0)</f>
        <v>65</v>
      </c>
      <c r="W132" s="328">
        <f>IFERROR(__xludf.DUMMYFUNCTION("SUM(QUERY(Coletas_BD!D:S,""select Q where D='""&amp;D132&amp;""'"",1))"),21.0)</f>
        <v>21</v>
      </c>
      <c r="X132" s="328">
        <f>IFERROR(__xludf.DUMMYFUNCTION("SUM(QUERY(Coletas_BD!D:S,""select R where D='""&amp;D132&amp;""'"",1))"),2.0)</f>
        <v>2</v>
      </c>
      <c r="Y132" s="328">
        <f>IFERROR(__xludf.DUMMYFUNCTION("SUM(QUERY(Coletas_BD!D:S,""select S where D='""&amp;D132&amp;""'"",1))"),4.0)</f>
        <v>4</v>
      </c>
      <c r="Z132" s="360"/>
    </row>
    <row r="133" ht="18.75" customHeight="1">
      <c r="A133" s="388"/>
      <c r="B133" s="386"/>
      <c r="C133" s="322">
        <v>132.0</v>
      </c>
      <c r="D133" s="390"/>
      <c r="E133" s="390"/>
      <c r="F133" s="390"/>
      <c r="G133" s="396" t="s">
        <v>1334</v>
      </c>
      <c r="H133" s="392" t="s">
        <v>1335</v>
      </c>
      <c r="I133" s="382"/>
      <c r="J133" s="392" t="s">
        <v>1248</v>
      </c>
      <c r="K133" s="354"/>
      <c r="L133" s="354"/>
      <c r="M133" s="382"/>
      <c r="N133" s="393"/>
      <c r="O133" s="390"/>
      <c r="P133" s="382"/>
      <c r="Q133" s="394"/>
      <c r="R133" s="328">
        <f>IFERROR(__xludf.DUMMYFUNCTION("SUM(QUERY(Coletas_BD!D:M,""select J where D='""&amp;D133&amp;""'"",1))"),5407.0)</f>
        <v>5407</v>
      </c>
      <c r="S133" s="328">
        <f>IFERROR(__xludf.DUMMYFUNCTION("SUM(QUERY(Coletas_BD!D:M,""select K where D='""&amp;D133&amp;""'"",1))"),25.0)</f>
        <v>25</v>
      </c>
      <c r="T133" s="328">
        <f>IFERROR(__xludf.DUMMYFUNCTION("SUM(QUERY(Coletas_BD!D:M,""select L where D='""&amp;D133&amp;""'"",1))"),75.0)</f>
        <v>75</v>
      </c>
      <c r="U133" s="328">
        <f>IFERROR(__xludf.DUMMYFUNCTION("SUM(QUERY(Coletas_BD!D:M,""select M where D='""&amp;D133&amp;""'"",1))"),250.0)</f>
        <v>250</v>
      </c>
      <c r="V133" s="328">
        <f>IFERROR(__xludf.DUMMYFUNCTION("SUM(QUERY(Coletas_BD!D:S,""select P where D='""&amp;D133&amp;""'"",1))"),65.0)</f>
        <v>65</v>
      </c>
      <c r="W133" s="328">
        <f>IFERROR(__xludf.DUMMYFUNCTION("SUM(QUERY(Coletas_BD!D:S,""select Q where D='""&amp;D133&amp;""'"",1))"),21.0)</f>
        <v>21</v>
      </c>
      <c r="X133" s="328">
        <f>IFERROR(__xludf.DUMMYFUNCTION("SUM(QUERY(Coletas_BD!D:S,""select R where D='""&amp;D133&amp;""'"",1))"),2.0)</f>
        <v>2</v>
      </c>
      <c r="Y133" s="328">
        <f>IFERROR(__xludf.DUMMYFUNCTION("SUM(QUERY(Coletas_BD!D:S,""select S where D='""&amp;D133&amp;""'"",1))"),4.0)</f>
        <v>4</v>
      </c>
      <c r="Z133" s="360"/>
    </row>
    <row r="134" ht="18.75" customHeight="1">
      <c r="A134" s="388"/>
      <c r="B134" s="386"/>
      <c r="C134" s="322">
        <v>133.0</v>
      </c>
      <c r="D134" s="390"/>
      <c r="E134" s="390"/>
      <c r="F134" s="387"/>
      <c r="G134" s="391">
        <v>3.0</v>
      </c>
      <c r="H134" s="392" t="s">
        <v>1336</v>
      </c>
      <c r="I134" s="382"/>
      <c r="J134" s="395" t="s">
        <v>1337</v>
      </c>
      <c r="K134" s="354"/>
      <c r="L134" s="354"/>
      <c r="M134" s="382"/>
      <c r="N134" s="393"/>
      <c r="O134" s="390"/>
      <c r="P134" s="382"/>
      <c r="Q134" s="394"/>
      <c r="R134" s="328">
        <f>IFERROR(__xludf.DUMMYFUNCTION("SUM(QUERY(Coletas_BD!D:M,""select J where D='""&amp;D134&amp;""'"",1))"),5407.0)</f>
        <v>5407</v>
      </c>
      <c r="S134" s="328">
        <f>IFERROR(__xludf.DUMMYFUNCTION("SUM(QUERY(Coletas_BD!D:M,""select K where D='""&amp;D134&amp;""'"",1))"),25.0)</f>
        <v>25</v>
      </c>
      <c r="T134" s="328">
        <f>IFERROR(__xludf.DUMMYFUNCTION("SUM(QUERY(Coletas_BD!D:M,""select L where D='""&amp;D134&amp;""'"",1))"),75.0)</f>
        <v>75</v>
      </c>
      <c r="U134" s="328">
        <f>IFERROR(__xludf.DUMMYFUNCTION("SUM(QUERY(Coletas_BD!D:M,""select M where D='""&amp;D134&amp;""'"",1))"),250.0)</f>
        <v>250</v>
      </c>
      <c r="V134" s="328">
        <f>IFERROR(__xludf.DUMMYFUNCTION("SUM(QUERY(Coletas_BD!D:S,""select P where D='""&amp;D134&amp;""'"",1))"),65.0)</f>
        <v>65</v>
      </c>
      <c r="W134" s="328">
        <f>IFERROR(__xludf.DUMMYFUNCTION("SUM(QUERY(Coletas_BD!D:S,""select Q where D='""&amp;D134&amp;""'"",1))"),21.0)</f>
        <v>21</v>
      </c>
      <c r="X134" s="328">
        <f>IFERROR(__xludf.DUMMYFUNCTION("SUM(QUERY(Coletas_BD!D:S,""select R where D='""&amp;D134&amp;""'"",1))"),2.0)</f>
        <v>2</v>
      </c>
      <c r="Y134" s="328">
        <f>IFERROR(__xludf.DUMMYFUNCTION("SUM(QUERY(Coletas_BD!D:S,""select S where D='""&amp;D134&amp;""'"",1))"),4.0)</f>
        <v>4</v>
      </c>
      <c r="Z134" s="360"/>
    </row>
    <row r="135" ht="18.75" customHeight="1">
      <c r="A135" s="388"/>
      <c r="B135" s="386"/>
      <c r="C135" s="322">
        <v>134.0</v>
      </c>
      <c r="D135" s="390"/>
      <c r="E135" s="390"/>
      <c r="F135" s="387"/>
      <c r="G135" s="391">
        <v>2.0</v>
      </c>
      <c r="H135" s="392" t="s">
        <v>1338</v>
      </c>
      <c r="I135" s="382"/>
      <c r="J135" s="392" t="s">
        <v>1339</v>
      </c>
      <c r="K135" s="354"/>
      <c r="L135" s="354"/>
      <c r="M135" s="382"/>
      <c r="N135" s="393"/>
      <c r="O135" s="390"/>
      <c r="P135" s="382"/>
      <c r="Q135" s="394"/>
      <c r="R135" s="328">
        <f>IFERROR(__xludf.DUMMYFUNCTION("SUM(QUERY(Coletas_BD!D:M,""select J where D='""&amp;D135&amp;""'"",1))"),5407.0)</f>
        <v>5407</v>
      </c>
      <c r="S135" s="328">
        <f>IFERROR(__xludf.DUMMYFUNCTION("SUM(QUERY(Coletas_BD!D:M,""select K where D='""&amp;D135&amp;""'"",1))"),25.0)</f>
        <v>25</v>
      </c>
      <c r="T135" s="328">
        <f>IFERROR(__xludf.DUMMYFUNCTION("SUM(QUERY(Coletas_BD!D:M,""select L where D='""&amp;D135&amp;""'"",1))"),75.0)</f>
        <v>75</v>
      </c>
      <c r="U135" s="328">
        <f>IFERROR(__xludf.DUMMYFUNCTION("SUM(QUERY(Coletas_BD!D:M,""select M where D='""&amp;D135&amp;""'"",1))"),250.0)</f>
        <v>250</v>
      </c>
      <c r="V135" s="328">
        <f>IFERROR(__xludf.DUMMYFUNCTION("SUM(QUERY(Coletas_BD!D:S,""select P where D='""&amp;D135&amp;""'"",1))"),65.0)</f>
        <v>65</v>
      </c>
      <c r="W135" s="328">
        <f>IFERROR(__xludf.DUMMYFUNCTION("SUM(QUERY(Coletas_BD!D:S,""select Q where D='""&amp;D135&amp;""'"",1))"),21.0)</f>
        <v>21</v>
      </c>
      <c r="X135" s="328">
        <f>IFERROR(__xludf.DUMMYFUNCTION("SUM(QUERY(Coletas_BD!D:S,""select R where D='""&amp;D135&amp;""'"",1))"),2.0)</f>
        <v>2</v>
      </c>
      <c r="Y135" s="328">
        <f>IFERROR(__xludf.DUMMYFUNCTION("SUM(QUERY(Coletas_BD!D:S,""select S where D='""&amp;D135&amp;""'"",1))"),4.0)</f>
        <v>4</v>
      </c>
      <c r="Z135" s="360"/>
    </row>
    <row r="136" ht="18.75" customHeight="1">
      <c r="A136" s="388"/>
      <c r="B136" s="386"/>
      <c r="C136" s="322">
        <v>135.0</v>
      </c>
      <c r="D136" s="390"/>
      <c r="E136" s="390"/>
      <c r="F136" s="390"/>
      <c r="G136" s="391">
        <v>1.0</v>
      </c>
      <c r="H136" s="392" t="s">
        <v>1261</v>
      </c>
      <c r="I136" s="382"/>
      <c r="J136" s="392" t="s">
        <v>1248</v>
      </c>
      <c r="K136" s="354"/>
      <c r="L136" s="354"/>
      <c r="M136" s="382"/>
      <c r="N136" s="393"/>
      <c r="O136" s="390"/>
      <c r="P136" s="382"/>
      <c r="Q136" s="394"/>
      <c r="R136" s="328">
        <f>IFERROR(__xludf.DUMMYFUNCTION("SUM(QUERY(Coletas_BD!D:M,""select J where D='""&amp;D136&amp;""'"",1))"),5407.0)</f>
        <v>5407</v>
      </c>
      <c r="S136" s="328">
        <f>IFERROR(__xludf.DUMMYFUNCTION("SUM(QUERY(Coletas_BD!D:M,""select K where D='""&amp;D136&amp;""'"",1))"),25.0)</f>
        <v>25</v>
      </c>
      <c r="T136" s="328">
        <f>IFERROR(__xludf.DUMMYFUNCTION("SUM(QUERY(Coletas_BD!D:M,""select L where D='""&amp;D136&amp;""'"",1))"),75.0)</f>
        <v>75</v>
      </c>
      <c r="U136" s="328">
        <f>IFERROR(__xludf.DUMMYFUNCTION("SUM(QUERY(Coletas_BD!D:M,""select M where D='""&amp;D136&amp;""'"",1))"),250.0)</f>
        <v>250</v>
      </c>
      <c r="V136" s="328">
        <f>IFERROR(__xludf.DUMMYFUNCTION("SUM(QUERY(Coletas_BD!D:S,""select P where D='""&amp;D136&amp;""'"",1))"),65.0)</f>
        <v>65</v>
      </c>
      <c r="W136" s="328">
        <f>IFERROR(__xludf.DUMMYFUNCTION("SUM(QUERY(Coletas_BD!D:S,""select Q where D='""&amp;D136&amp;""'"",1))"),21.0)</f>
        <v>21</v>
      </c>
      <c r="X136" s="328">
        <f>IFERROR(__xludf.DUMMYFUNCTION("SUM(QUERY(Coletas_BD!D:S,""select R where D='""&amp;D136&amp;""'"",1))"),2.0)</f>
        <v>2</v>
      </c>
      <c r="Y136" s="328">
        <f>IFERROR(__xludf.DUMMYFUNCTION("SUM(QUERY(Coletas_BD!D:S,""select S where D='""&amp;D136&amp;""'"",1))"),4.0)</f>
        <v>4</v>
      </c>
      <c r="Z136" s="360"/>
    </row>
    <row r="137" ht="18.75" customHeight="1">
      <c r="A137" s="388"/>
      <c r="B137" s="386"/>
      <c r="C137" s="322">
        <v>136.0</v>
      </c>
      <c r="D137" s="390"/>
      <c r="E137" s="390"/>
      <c r="F137" s="390"/>
      <c r="G137" s="391">
        <v>1.0</v>
      </c>
      <c r="H137" s="392" t="s">
        <v>1340</v>
      </c>
      <c r="I137" s="382"/>
      <c r="J137" s="392" t="s">
        <v>1248</v>
      </c>
      <c r="K137" s="354"/>
      <c r="L137" s="354"/>
      <c r="M137" s="382"/>
      <c r="N137" s="393"/>
      <c r="O137" s="390"/>
      <c r="P137" s="382"/>
      <c r="Q137" s="394"/>
      <c r="R137" s="328">
        <f>IFERROR(__xludf.DUMMYFUNCTION("SUM(QUERY(Coletas_BD!D:M,""select J where D='""&amp;D137&amp;""'"",1))"),5407.0)</f>
        <v>5407</v>
      </c>
      <c r="S137" s="328">
        <f>IFERROR(__xludf.DUMMYFUNCTION("SUM(QUERY(Coletas_BD!D:M,""select K where D='""&amp;D137&amp;""'"",1))"),25.0)</f>
        <v>25</v>
      </c>
      <c r="T137" s="328">
        <f>IFERROR(__xludf.DUMMYFUNCTION("SUM(QUERY(Coletas_BD!D:M,""select L where D='""&amp;D137&amp;""'"",1))"),75.0)</f>
        <v>75</v>
      </c>
      <c r="U137" s="328">
        <f>IFERROR(__xludf.DUMMYFUNCTION("SUM(QUERY(Coletas_BD!D:M,""select M where D='""&amp;D137&amp;""'"",1))"),250.0)</f>
        <v>250</v>
      </c>
      <c r="V137" s="328">
        <f>IFERROR(__xludf.DUMMYFUNCTION("SUM(QUERY(Coletas_BD!D:S,""select P where D='""&amp;D137&amp;""'"",1))"),65.0)</f>
        <v>65</v>
      </c>
      <c r="W137" s="328">
        <f>IFERROR(__xludf.DUMMYFUNCTION("SUM(QUERY(Coletas_BD!D:S,""select Q where D='""&amp;D137&amp;""'"",1))"),21.0)</f>
        <v>21</v>
      </c>
      <c r="X137" s="328">
        <f>IFERROR(__xludf.DUMMYFUNCTION("SUM(QUERY(Coletas_BD!D:S,""select R where D='""&amp;D137&amp;""'"",1))"),2.0)</f>
        <v>2</v>
      </c>
      <c r="Y137" s="328">
        <f>IFERROR(__xludf.DUMMYFUNCTION("SUM(QUERY(Coletas_BD!D:S,""select S where D='""&amp;D137&amp;""'"",1))"),4.0)</f>
        <v>4</v>
      </c>
      <c r="Z137" s="360"/>
    </row>
    <row r="138" ht="18.75" customHeight="1">
      <c r="A138" s="388"/>
      <c r="B138" s="386"/>
      <c r="C138" s="322">
        <v>137.0</v>
      </c>
      <c r="D138" s="390"/>
      <c r="E138" s="390"/>
      <c r="F138" s="387"/>
      <c r="G138" s="391">
        <v>1.0</v>
      </c>
      <c r="H138" s="392" t="s">
        <v>1326</v>
      </c>
      <c r="I138" s="382"/>
      <c r="J138" s="392" t="s">
        <v>1341</v>
      </c>
      <c r="K138" s="354"/>
      <c r="L138" s="354"/>
      <c r="M138" s="382"/>
      <c r="N138" s="393"/>
      <c r="O138" s="390"/>
      <c r="P138" s="382"/>
      <c r="Q138" s="394"/>
      <c r="R138" s="328">
        <f>IFERROR(__xludf.DUMMYFUNCTION("SUM(QUERY(Coletas_BD!D:M,""select J where D='""&amp;D138&amp;""'"",1))"),5407.0)</f>
        <v>5407</v>
      </c>
      <c r="S138" s="328">
        <f>IFERROR(__xludf.DUMMYFUNCTION("SUM(QUERY(Coletas_BD!D:M,""select K where D='""&amp;D138&amp;""'"",1))"),25.0)</f>
        <v>25</v>
      </c>
      <c r="T138" s="328">
        <f>IFERROR(__xludf.DUMMYFUNCTION("SUM(QUERY(Coletas_BD!D:M,""select L where D='""&amp;D138&amp;""'"",1))"),75.0)</f>
        <v>75</v>
      </c>
      <c r="U138" s="328">
        <f>IFERROR(__xludf.DUMMYFUNCTION("SUM(QUERY(Coletas_BD!D:M,""select M where D='""&amp;D138&amp;""'"",1))"),250.0)</f>
        <v>250</v>
      </c>
      <c r="V138" s="328">
        <f>IFERROR(__xludf.DUMMYFUNCTION("SUM(QUERY(Coletas_BD!D:S,""select P where D='""&amp;D138&amp;""'"",1))"),65.0)</f>
        <v>65</v>
      </c>
      <c r="W138" s="328">
        <f>IFERROR(__xludf.DUMMYFUNCTION("SUM(QUERY(Coletas_BD!D:S,""select Q where D='""&amp;D138&amp;""'"",1))"),21.0)</f>
        <v>21</v>
      </c>
      <c r="X138" s="328">
        <f>IFERROR(__xludf.DUMMYFUNCTION("SUM(QUERY(Coletas_BD!D:S,""select R where D='""&amp;D138&amp;""'"",1))"),2.0)</f>
        <v>2</v>
      </c>
      <c r="Y138" s="328">
        <f>IFERROR(__xludf.DUMMYFUNCTION("SUM(QUERY(Coletas_BD!D:S,""select S where D='""&amp;D138&amp;""'"",1))"),4.0)</f>
        <v>4</v>
      </c>
      <c r="Z138" s="360"/>
    </row>
    <row r="139" ht="18.75" customHeight="1">
      <c r="A139" s="388"/>
      <c r="B139" s="386"/>
      <c r="C139" s="322">
        <v>138.0</v>
      </c>
      <c r="D139" s="390"/>
      <c r="E139" s="390"/>
      <c r="F139" s="390"/>
      <c r="G139" s="391">
        <v>3.0</v>
      </c>
      <c r="H139" s="392" t="s">
        <v>1342</v>
      </c>
      <c r="I139" s="382"/>
      <c r="J139" s="392" t="s">
        <v>1343</v>
      </c>
      <c r="K139" s="354"/>
      <c r="L139" s="354"/>
      <c r="M139" s="382"/>
      <c r="N139" s="393"/>
      <c r="O139" s="390"/>
      <c r="P139" s="382"/>
      <c r="Q139" s="394"/>
      <c r="R139" s="328">
        <f>IFERROR(__xludf.DUMMYFUNCTION("SUM(QUERY(Coletas_BD!D:M,""select J where D='""&amp;D139&amp;""'"",1))"),5407.0)</f>
        <v>5407</v>
      </c>
      <c r="S139" s="328">
        <f>IFERROR(__xludf.DUMMYFUNCTION("SUM(QUERY(Coletas_BD!D:M,""select K where D='""&amp;D139&amp;""'"",1))"),25.0)</f>
        <v>25</v>
      </c>
      <c r="T139" s="328">
        <f>IFERROR(__xludf.DUMMYFUNCTION("SUM(QUERY(Coletas_BD!D:M,""select L where D='""&amp;D139&amp;""'"",1))"),75.0)</f>
        <v>75</v>
      </c>
      <c r="U139" s="328">
        <f>IFERROR(__xludf.DUMMYFUNCTION("SUM(QUERY(Coletas_BD!D:M,""select M where D='""&amp;D139&amp;""'"",1))"),250.0)</f>
        <v>250</v>
      </c>
      <c r="V139" s="328">
        <f>IFERROR(__xludf.DUMMYFUNCTION("SUM(QUERY(Coletas_BD!D:S,""select P where D='""&amp;D139&amp;""'"",1))"),65.0)</f>
        <v>65</v>
      </c>
      <c r="W139" s="328">
        <f>IFERROR(__xludf.DUMMYFUNCTION("SUM(QUERY(Coletas_BD!D:S,""select Q where D='""&amp;D139&amp;""'"",1))"),21.0)</f>
        <v>21</v>
      </c>
      <c r="X139" s="328">
        <f>IFERROR(__xludf.DUMMYFUNCTION("SUM(QUERY(Coletas_BD!D:S,""select R where D='""&amp;D139&amp;""'"",1))"),2.0)</f>
        <v>2</v>
      </c>
      <c r="Y139" s="328">
        <f>IFERROR(__xludf.DUMMYFUNCTION("SUM(QUERY(Coletas_BD!D:S,""select S where D='""&amp;D139&amp;""'"",1))"),4.0)</f>
        <v>4</v>
      </c>
      <c r="Z139" s="360"/>
    </row>
    <row r="140" ht="18.75" customHeight="1">
      <c r="A140" s="388"/>
      <c r="B140" s="386"/>
      <c r="C140" s="322">
        <v>139.0</v>
      </c>
      <c r="D140" s="390"/>
      <c r="E140" s="390"/>
      <c r="F140" s="390"/>
      <c r="G140" s="391">
        <v>1.0</v>
      </c>
      <c r="H140" s="392" t="s">
        <v>1344</v>
      </c>
      <c r="I140" s="382"/>
      <c r="J140" s="392" t="s">
        <v>1248</v>
      </c>
      <c r="K140" s="354"/>
      <c r="L140" s="354"/>
      <c r="M140" s="382"/>
      <c r="N140" s="393"/>
      <c r="O140" s="390"/>
      <c r="P140" s="382"/>
      <c r="Q140" s="394"/>
      <c r="R140" s="328">
        <f>IFERROR(__xludf.DUMMYFUNCTION("SUM(QUERY(Coletas_BD!D:M,""select J where D='""&amp;D140&amp;""'"",1))"),5407.0)</f>
        <v>5407</v>
      </c>
      <c r="S140" s="328">
        <f>IFERROR(__xludf.DUMMYFUNCTION("SUM(QUERY(Coletas_BD!D:M,""select K where D='""&amp;D140&amp;""'"",1))"),25.0)</f>
        <v>25</v>
      </c>
      <c r="T140" s="328">
        <f>IFERROR(__xludf.DUMMYFUNCTION("SUM(QUERY(Coletas_BD!D:M,""select L where D='""&amp;D140&amp;""'"",1))"),75.0)</f>
        <v>75</v>
      </c>
      <c r="U140" s="328">
        <f>IFERROR(__xludf.DUMMYFUNCTION("SUM(QUERY(Coletas_BD!D:M,""select M where D='""&amp;D140&amp;""'"",1))"),250.0)</f>
        <v>250</v>
      </c>
      <c r="V140" s="328">
        <f>IFERROR(__xludf.DUMMYFUNCTION("SUM(QUERY(Coletas_BD!D:S,""select P where D='""&amp;D140&amp;""'"",1))"),65.0)</f>
        <v>65</v>
      </c>
      <c r="W140" s="328">
        <f>IFERROR(__xludf.DUMMYFUNCTION("SUM(QUERY(Coletas_BD!D:S,""select Q where D='""&amp;D140&amp;""'"",1))"),21.0)</f>
        <v>21</v>
      </c>
      <c r="X140" s="328">
        <f>IFERROR(__xludf.DUMMYFUNCTION("SUM(QUERY(Coletas_BD!D:S,""select R where D='""&amp;D140&amp;""'"",1))"),2.0)</f>
        <v>2</v>
      </c>
      <c r="Y140" s="328">
        <f>IFERROR(__xludf.DUMMYFUNCTION("SUM(QUERY(Coletas_BD!D:S,""select S where D='""&amp;D140&amp;""'"",1))"),4.0)</f>
        <v>4</v>
      </c>
      <c r="Z140" s="360"/>
    </row>
    <row r="141" ht="18.75" customHeight="1">
      <c r="A141" s="388"/>
      <c r="B141" s="386"/>
      <c r="C141" s="322">
        <v>140.0</v>
      </c>
      <c r="D141" s="390"/>
      <c r="E141" s="390"/>
      <c r="F141" s="390"/>
      <c r="G141" s="391">
        <v>6.0</v>
      </c>
      <c r="H141" s="392" t="s">
        <v>1345</v>
      </c>
      <c r="I141" s="382"/>
      <c r="J141" s="392" t="s">
        <v>1248</v>
      </c>
      <c r="K141" s="354"/>
      <c r="L141" s="354"/>
      <c r="M141" s="382"/>
      <c r="N141" s="393"/>
      <c r="O141" s="390"/>
      <c r="P141" s="382"/>
      <c r="Q141" s="394"/>
      <c r="R141" s="328">
        <f>IFERROR(__xludf.DUMMYFUNCTION("SUM(QUERY(Coletas_BD!D:M,""select J where D='""&amp;D141&amp;""'"",1))"),5407.0)</f>
        <v>5407</v>
      </c>
      <c r="S141" s="328">
        <f>IFERROR(__xludf.DUMMYFUNCTION("SUM(QUERY(Coletas_BD!D:M,""select K where D='""&amp;D141&amp;""'"",1))"),25.0)</f>
        <v>25</v>
      </c>
      <c r="T141" s="328">
        <f>IFERROR(__xludf.DUMMYFUNCTION("SUM(QUERY(Coletas_BD!D:M,""select L where D='""&amp;D141&amp;""'"",1))"),75.0)</f>
        <v>75</v>
      </c>
      <c r="U141" s="328">
        <f>IFERROR(__xludf.DUMMYFUNCTION("SUM(QUERY(Coletas_BD!D:M,""select M where D='""&amp;D141&amp;""'"",1))"),250.0)</f>
        <v>250</v>
      </c>
      <c r="V141" s="328">
        <f>IFERROR(__xludf.DUMMYFUNCTION("SUM(QUERY(Coletas_BD!D:S,""select P where D='""&amp;D141&amp;""'"",1))"),65.0)</f>
        <v>65</v>
      </c>
      <c r="W141" s="328">
        <f>IFERROR(__xludf.DUMMYFUNCTION("SUM(QUERY(Coletas_BD!D:S,""select Q where D='""&amp;D141&amp;""'"",1))"),21.0)</f>
        <v>21</v>
      </c>
      <c r="X141" s="328">
        <f>IFERROR(__xludf.DUMMYFUNCTION("SUM(QUERY(Coletas_BD!D:S,""select R where D='""&amp;D141&amp;""'"",1))"),2.0)</f>
        <v>2</v>
      </c>
      <c r="Y141" s="328">
        <f>IFERROR(__xludf.DUMMYFUNCTION("SUM(QUERY(Coletas_BD!D:S,""select S where D='""&amp;D141&amp;""'"",1))"),4.0)</f>
        <v>4</v>
      </c>
      <c r="Z141" s="360"/>
    </row>
    <row r="142" ht="18.75" customHeight="1">
      <c r="A142" s="388"/>
      <c r="B142" s="386"/>
      <c r="C142" s="322">
        <v>141.0</v>
      </c>
      <c r="D142" s="390"/>
      <c r="E142" s="390"/>
      <c r="F142" s="390"/>
      <c r="G142" s="391">
        <v>2.0</v>
      </c>
      <c r="H142" s="392" t="s">
        <v>1346</v>
      </c>
      <c r="I142" s="382"/>
      <c r="J142" s="392" t="s">
        <v>1347</v>
      </c>
      <c r="K142" s="354"/>
      <c r="L142" s="354"/>
      <c r="M142" s="382"/>
      <c r="N142" s="393"/>
      <c r="O142" s="390"/>
      <c r="P142" s="382"/>
      <c r="Q142" s="394"/>
      <c r="R142" s="328">
        <f>IFERROR(__xludf.DUMMYFUNCTION("SUM(QUERY(Coletas_BD!D:M,""select J where D='""&amp;D142&amp;""'"",1))"),5407.0)</f>
        <v>5407</v>
      </c>
      <c r="S142" s="328">
        <f>IFERROR(__xludf.DUMMYFUNCTION("SUM(QUERY(Coletas_BD!D:M,""select K where D='""&amp;D142&amp;""'"",1))"),25.0)</f>
        <v>25</v>
      </c>
      <c r="T142" s="328">
        <f>IFERROR(__xludf.DUMMYFUNCTION("SUM(QUERY(Coletas_BD!D:M,""select L where D='""&amp;D142&amp;""'"",1))"),75.0)</f>
        <v>75</v>
      </c>
      <c r="U142" s="328">
        <f>IFERROR(__xludf.DUMMYFUNCTION("SUM(QUERY(Coletas_BD!D:M,""select M where D='""&amp;D142&amp;""'"",1))"),250.0)</f>
        <v>250</v>
      </c>
      <c r="V142" s="328">
        <f>IFERROR(__xludf.DUMMYFUNCTION("SUM(QUERY(Coletas_BD!D:S,""select P where D='""&amp;D142&amp;""'"",1))"),65.0)</f>
        <v>65</v>
      </c>
      <c r="W142" s="328">
        <f>IFERROR(__xludf.DUMMYFUNCTION("SUM(QUERY(Coletas_BD!D:S,""select Q where D='""&amp;D142&amp;""'"",1))"),21.0)</f>
        <v>21</v>
      </c>
      <c r="X142" s="328">
        <f>IFERROR(__xludf.DUMMYFUNCTION("SUM(QUERY(Coletas_BD!D:S,""select R where D='""&amp;D142&amp;""'"",1))"),2.0)</f>
        <v>2</v>
      </c>
      <c r="Y142" s="328">
        <f>IFERROR(__xludf.DUMMYFUNCTION("SUM(QUERY(Coletas_BD!D:S,""select S where D='""&amp;D142&amp;""'"",1))"),4.0)</f>
        <v>4</v>
      </c>
      <c r="Z142" s="360"/>
    </row>
    <row r="143" ht="18.75" customHeight="1">
      <c r="A143" s="388"/>
      <c r="B143" s="386"/>
      <c r="C143" s="322">
        <v>142.0</v>
      </c>
      <c r="D143" s="390"/>
      <c r="E143" s="390"/>
      <c r="F143" s="390"/>
      <c r="G143" s="391">
        <v>2.0</v>
      </c>
      <c r="H143" s="392" t="s">
        <v>1348</v>
      </c>
      <c r="I143" s="382"/>
      <c r="J143" s="392" t="s">
        <v>1349</v>
      </c>
      <c r="K143" s="354"/>
      <c r="L143" s="354"/>
      <c r="M143" s="382"/>
      <c r="N143" s="393"/>
      <c r="O143" s="390"/>
      <c r="P143" s="382"/>
      <c r="Q143" s="394"/>
      <c r="R143" s="328">
        <f>IFERROR(__xludf.DUMMYFUNCTION("SUM(QUERY(Coletas_BD!D:M,""select J where D='""&amp;D143&amp;""'"",1))"),5407.0)</f>
        <v>5407</v>
      </c>
      <c r="S143" s="328">
        <f>IFERROR(__xludf.DUMMYFUNCTION("SUM(QUERY(Coletas_BD!D:M,""select K where D='""&amp;D143&amp;""'"",1))"),25.0)</f>
        <v>25</v>
      </c>
      <c r="T143" s="328">
        <f>IFERROR(__xludf.DUMMYFUNCTION("SUM(QUERY(Coletas_BD!D:M,""select L where D='""&amp;D143&amp;""'"",1))"),75.0)</f>
        <v>75</v>
      </c>
      <c r="U143" s="328">
        <f>IFERROR(__xludf.DUMMYFUNCTION("SUM(QUERY(Coletas_BD!D:M,""select M where D='""&amp;D143&amp;""'"",1))"),250.0)</f>
        <v>250</v>
      </c>
      <c r="V143" s="328">
        <f>IFERROR(__xludf.DUMMYFUNCTION("SUM(QUERY(Coletas_BD!D:S,""select P where D='""&amp;D143&amp;""'"",1))"),65.0)</f>
        <v>65</v>
      </c>
      <c r="W143" s="328">
        <f>IFERROR(__xludf.DUMMYFUNCTION("SUM(QUERY(Coletas_BD!D:S,""select Q where D='""&amp;D143&amp;""'"",1))"),21.0)</f>
        <v>21</v>
      </c>
      <c r="X143" s="328">
        <f>IFERROR(__xludf.DUMMYFUNCTION("SUM(QUERY(Coletas_BD!D:S,""select R where D='""&amp;D143&amp;""'"",1))"),2.0)</f>
        <v>2</v>
      </c>
      <c r="Y143" s="328">
        <f>IFERROR(__xludf.DUMMYFUNCTION("SUM(QUERY(Coletas_BD!D:S,""select S where D='""&amp;D143&amp;""'"",1))"),4.0)</f>
        <v>4</v>
      </c>
      <c r="Z143" s="360"/>
    </row>
    <row r="144" ht="18.75" customHeight="1">
      <c r="A144" s="388"/>
      <c r="B144" s="386"/>
      <c r="C144" s="322">
        <v>143.0</v>
      </c>
      <c r="D144" s="390"/>
      <c r="E144" s="390"/>
      <c r="F144" s="390"/>
      <c r="G144" s="391">
        <v>1.0</v>
      </c>
      <c r="H144" s="392" t="s">
        <v>1350</v>
      </c>
      <c r="I144" s="382"/>
      <c r="J144" s="392" t="s">
        <v>1351</v>
      </c>
      <c r="K144" s="354"/>
      <c r="L144" s="354"/>
      <c r="M144" s="382"/>
      <c r="N144" s="393"/>
      <c r="O144" s="390"/>
      <c r="P144" s="382"/>
      <c r="Q144" s="394"/>
      <c r="R144" s="328">
        <f>IFERROR(__xludf.DUMMYFUNCTION("SUM(QUERY(Coletas_BD!D:M,""select J where D='""&amp;D144&amp;""'"",1))"),5407.0)</f>
        <v>5407</v>
      </c>
      <c r="S144" s="328">
        <f>IFERROR(__xludf.DUMMYFUNCTION("SUM(QUERY(Coletas_BD!D:M,""select K where D='""&amp;D144&amp;""'"",1))"),25.0)</f>
        <v>25</v>
      </c>
      <c r="T144" s="328">
        <f>IFERROR(__xludf.DUMMYFUNCTION("SUM(QUERY(Coletas_BD!D:M,""select L where D='""&amp;D144&amp;""'"",1))"),75.0)</f>
        <v>75</v>
      </c>
      <c r="U144" s="328">
        <f>IFERROR(__xludf.DUMMYFUNCTION("SUM(QUERY(Coletas_BD!D:M,""select M where D='""&amp;D144&amp;""'"",1))"),250.0)</f>
        <v>250</v>
      </c>
      <c r="V144" s="328">
        <f>IFERROR(__xludf.DUMMYFUNCTION("SUM(QUERY(Coletas_BD!D:S,""select P where D='""&amp;D144&amp;""'"",1))"),65.0)</f>
        <v>65</v>
      </c>
      <c r="W144" s="328">
        <f>IFERROR(__xludf.DUMMYFUNCTION("SUM(QUERY(Coletas_BD!D:S,""select Q where D='""&amp;D144&amp;""'"",1))"),21.0)</f>
        <v>21</v>
      </c>
      <c r="X144" s="328">
        <f>IFERROR(__xludf.DUMMYFUNCTION("SUM(QUERY(Coletas_BD!D:S,""select R where D='""&amp;D144&amp;""'"",1))"),2.0)</f>
        <v>2</v>
      </c>
      <c r="Y144" s="328">
        <f>IFERROR(__xludf.DUMMYFUNCTION("SUM(QUERY(Coletas_BD!D:S,""select S where D='""&amp;D144&amp;""'"",1))"),4.0)</f>
        <v>4</v>
      </c>
      <c r="Z144" s="360"/>
    </row>
    <row r="145" ht="18.75" customHeight="1">
      <c r="A145" s="388"/>
      <c r="B145" s="386"/>
      <c r="C145" s="322">
        <v>144.0</v>
      </c>
      <c r="D145" s="397"/>
      <c r="E145" s="390"/>
      <c r="F145" s="390"/>
      <c r="G145" s="391">
        <v>1.0</v>
      </c>
      <c r="H145" s="392" t="s">
        <v>1352</v>
      </c>
      <c r="I145" s="382"/>
      <c r="J145" s="392" t="s">
        <v>1251</v>
      </c>
      <c r="K145" s="354"/>
      <c r="L145" s="354"/>
      <c r="M145" s="382"/>
      <c r="N145" s="393"/>
      <c r="O145" s="390"/>
      <c r="P145" s="382"/>
      <c r="Q145" s="394"/>
      <c r="R145" s="328">
        <f>IFERROR(__xludf.DUMMYFUNCTION("SUM(QUERY(Coletas_BD!D:M,""select J where D='""&amp;D145&amp;""'"",1))"),5407.0)</f>
        <v>5407</v>
      </c>
      <c r="S145" s="328">
        <f>IFERROR(__xludf.DUMMYFUNCTION("SUM(QUERY(Coletas_BD!D:M,""select K where D='""&amp;D145&amp;""'"",1))"),25.0)</f>
        <v>25</v>
      </c>
      <c r="T145" s="328">
        <f>IFERROR(__xludf.DUMMYFUNCTION("SUM(QUERY(Coletas_BD!D:M,""select L where D='""&amp;D145&amp;""'"",1))"),75.0)</f>
        <v>75</v>
      </c>
      <c r="U145" s="328">
        <f>IFERROR(__xludf.DUMMYFUNCTION("SUM(QUERY(Coletas_BD!D:M,""select M where D='""&amp;D145&amp;""'"",1))"),250.0)</f>
        <v>250</v>
      </c>
      <c r="V145" s="328">
        <f>IFERROR(__xludf.DUMMYFUNCTION("SUM(QUERY(Coletas_BD!D:S,""select P where D='""&amp;D145&amp;""'"",1))"),65.0)</f>
        <v>65</v>
      </c>
      <c r="W145" s="328">
        <f>IFERROR(__xludf.DUMMYFUNCTION("SUM(QUERY(Coletas_BD!D:S,""select Q where D='""&amp;D145&amp;""'"",1))"),21.0)</f>
        <v>21</v>
      </c>
      <c r="X145" s="328">
        <f>IFERROR(__xludf.DUMMYFUNCTION("SUM(QUERY(Coletas_BD!D:S,""select R where D='""&amp;D145&amp;""'"",1))"),2.0)</f>
        <v>2</v>
      </c>
      <c r="Y145" s="328">
        <f>IFERROR(__xludf.DUMMYFUNCTION("SUM(QUERY(Coletas_BD!D:S,""select S where D='""&amp;D145&amp;""'"",1))"),4.0)</f>
        <v>4</v>
      </c>
      <c r="Z145" s="360"/>
    </row>
    <row r="146" ht="18.75" customHeight="1">
      <c r="A146" s="388"/>
      <c r="B146" s="386"/>
      <c r="C146" s="322">
        <v>145.0</v>
      </c>
      <c r="D146" s="390"/>
      <c r="E146" s="390"/>
      <c r="F146" s="390"/>
      <c r="G146" s="391">
        <v>3.0</v>
      </c>
      <c r="H146" s="392" t="s">
        <v>1353</v>
      </c>
      <c r="I146" s="382"/>
      <c r="J146" s="392" t="s">
        <v>1354</v>
      </c>
      <c r="K146" s="354"/>
      <c r="L146" s="354"/>
      <c r="M146" s="382"/>
      <c r="N146" s="393"/>
      <c r="O146" s="390"/>
      <c r="P146" s="382"/>
      <c r="Q146" s="394"/>
      <c r="R146" s="328">
        <f>IFERROR(__xludf.DUMMYFUNCTION("SUM(QUERY(Coletas_BD!D:M,""select J where D='""&amp;D146&amp;""'"",1))"),5407.0)</f>
        <v>5407</v>
      </c>
      <c r="S146" s="328">
        <f>IFERROR(__xludf.DUMMYFUNCTION("SUM(QUERY(Coletas_BD!D:M,""select K where D='""&amp;D146&amp;""'"",1))"),25.0)</f>
        <v>25</v>
      </c>
      <c r="T146" s="328">
        <f>IFERROR(__xludf.DUMMYFUNCTION("SUM(QUERY(Coletas_BD!D:M,""select L where D='""&amp;D146&amp;""'"",1))"),75.0)</f>
        <v>75</v>
      </c>
      <c r="U146" s="328">
        <f>IFERROR(__xludf.DUMMYFUNCTION("SUM(QUERY(Coletas_BD!D:M,""select M where D='""&amp;D146&amp;""'"",1))"),250.0)</f>
        <v>250</v>
      </c>
      <c r="V146" s="328">
        <f>IFERROR(__xludf.DUMMYFUNCTION("SUM(QUERY(Coletas_BD!D:S,""select P where D='""&amp;D146&amp;""'"",1))"),65.0)</f>
        <v>65</v>
      </c>
      <c r="W146" s="328">
        <f>IFERROR(__xludf.DUMMYFUNCTION("SUM(QUERY(Coletas_BD!D:S,""select Q where D='""&amp;D146&amp;""'"",1))"),21.0)</f>
        <v>21</v>
      </c>
      <c r="X146" s="328">
        <f>IFERROR(__xludf.DUMMYFUNCTION("SUM(QUERY(Coletas_BD!D:S,""select R where D='""&amp;D146&amp;""'"",1))"),2.0)</f>
        <v>2</v>
      </c>
      <c r="Y146" s="328">
        <f>IFERROR(__xludf.DUMMYFUNCTION("SUM(QUERY(Coletas_BD!D:S,""select S where D='""&amp;D146&amp;""'"",1))"),4.0)</f>
        <v>4</v>
      </c>
      <c r="Z146" s="360"/>
    </row>
    <row r="147" ht="18.75" customHeight="1">
      <c r="A147" s="388"/>
      <c r="B147" s="386"/>
      <c r="C147" s="322">
        <v>146.0</v>
      </c>
      <c r="D147" s="390"/>
      <c r="E147" s="390"/>
      <c r="F147" s="387"/>
      <c r="G147" s="391">
        <v>1.0</v>
      </c>
      <c r="H147" s="392" t="s">
        <v>1355</v>
      </c>
      <c r="I147" s="382"/>
      <c r="J147" s="392" t="s">
        <v>1356</v>
      </c>
      <c r="K147" s="354"/>
      <c r="L147" s="354"/>
      <c r="M147" s="382"/>
      <c r="N147" s="393"/>
      <c r="O147" s="390"/>
      <c r="P147" s="382"/>
      <c r="Q147" s="394"/>
      <c r="R147" s="328">
        <f>IFERROR(__xludf.DUMMYFUNCTION("SUM(QUERY(Coletas_BD!D:M,""select J where D='""&amp;D147&amp;""'"",1))"),5407.0)</f>
        <v>5407</v>
      </c>
      <c r="S147" s="328">
        <f>IFERROR(__xludf.DUMMYFUNCTION("SUM(QUERY(Coletas_BD!D:M,""select K where D='""&amp;D147&amp;""'"",1))"),25.0)</f>
        <v>25</v>
      </c>
      <c r="T147" s="328">
        <f>IFERROR(__xludf.DUMMYFUNCTION("SUM(QUERY(Coletas_BD!D:M,""select L where D='""&amp;D147&amp;""'"",1))"),75.0)</f>
        <v>75</v>
      </c>
      <c r="U147" s="328">
        <f>IFERROR(__xludf.DUMMYFUNCTION("SUM(QUERY(Coletas_BD!D:M,""select M where D='""&amp;D147&amp;""'"",1))"),250.0)</f>
        <v>250</v>
      </c>
      <c r="V147" s="328">
        <f>IFERROR(__xludf.DUMMYFUNCTION("SUM(QUERY(Coletas_BD!D:S,""select P where D='""&amp;D147&amp;""'"",1))"),65.0)</f>
        <v>65</v>
      </c>
      <c r="W147" s="328">
        <f>IFERROR(__xludf.DUMMYFUNCTION("SUM(QUERY(Coletas_BD!D:S,""select Q where D='""&amp;D147&amp;""'"",1))"),21.0)</f>
        <v>21</v>
      </c>
      <c r="X147" s="328">
        <f>IFERROR(__xludf.DUMMYFUNCTION("SUM(QUERY(Coletas_BD!D:S,""select R where D='""&amp;D147&amp;""'"",1))"),2.0)</f>
        <v>2</v>
      </c>
      <c r="Y147" s="328">
        <f>IFERROR(__xludf.DUMMYFUNCTION("SUM(QUERY(Coletas_BD!D:S,""select S where D='""&amp;D147&amp;""'"",1))"),4.0)</f>
        <v>4</v>
      </c>
      <c r="Z147" s="360"/>
    </row>
    <row r="148" ht="18.75" customHeight="1">
      <c r="A148" s="388"/>
      <c r="B148" s="386"/>
      <c r="C148" s="322">
        <v>147.0</v>
      </c>
      <c r="D148" s="390"/>
      <c r="E148" s="390"/>
      <c r="F148" s="387"/>
      <c r="G148" s="391">
        <v>2.0</v>
      </c>
      <c r="H148" s="392" t="s">
        <v>1357</v>
      </c>
      <c r="I148" s="382"/>
      <c r="J148" s="392" t="s">
        <v>1358</v>
      </c>
      <c r="K148" s="354"/>
      <c r="L148" s="354"/>
      <c r="M148" s="382"/>
      <c r="N148" s="393"/>
      <c r="O148" s="390"/>
      <c r="P148" s="382"/>
      <c r="Q148" s="394"/>
      <c r="R148" s="328">
        <f>IFERROR(__xludf.DUMMYFUNCTION("SUM(QUERY(Coletas_BD!D:M,""select J where D='""&amp;D148&amp;""'"",1))"),5407.0)</f>
        <v>5407</v>
      </c>
      <c r="S148" s="328">
        <f>IFERROR(__xludf.DUMMYFUNCTION("SUM(QUERY(Coletas_BD!D:M,""select K where D='""&amp;D148&amp;""'"",1))"),25.0)</f>
        <v>25</v>
      </c>
      <c r="T148" s="328">
        <f>IFERROR(__xludf.DUMMYFUNCTION("SUM(QUERY(Coletas_BD!D:M,""select L where D='""&amp;D148&amp;""'"",1))"),75.0)</f>
        <v>75</v>
      </c>
      <c r="U148" s="328">
        <f>IFERROR(__xludf.DUMMYFUNCTION("SUM(QUERY(Coletas_BD!D:M,""select M where D='""&amp;D148&amp;""'"",1))"),250.0)</f>
        <v>250</v>
      </c>
      <c r="V148" s="328">
        <f>IFERROR(__xludf.DUMMYFUNCTION("SUM(QUERY(Coletas_BD!D:S,""select P where D='""&amp;D148&amp;""'"",1))"),65.0)</f>
        <v>65</v>
      </c>
      <c r="W148" s="328">
        <f>IFERROR(__xludf.DUMMYFUNCTION("SUM(QUERY(Coletas_BD!D:S,""select Q where D='""&amp;D148&amp;""'"",1))"),21.0)</f>
        <v>21</v>
      </c>
      <c r="X148" s="328">
        <f>IFERROR(__xludf.DUMMYFUNCTION("SUM(QUERY(Coletas_BD!D:S,""select R where D='""&amp;D148&amp;""'"",1))"),2.0)</f>
        <v>2</v>
      </c>
      <c r="Y148" s="328">
        <f>IFERROR(__xludf.DUMMYFUNCTION("SUM(QUERY(Coletas_BD!D:S,""select S where D='""&amp;D148&amp;""'"",1))"),4.0)</f>
        <v>4</v>
      </c>
      <c r="Z148" s="360"/>
    </row>
    <row r="149" ht="18.75" customHeight="1">
      <c r="A149" s="388"/>
      <c r="B149" s="386"/>
      <c r="C149" s="322">
        <v>148.0</v>
      </c>
      <c r="D149" s="390"/>
      <c r="E149" s="390"/>
      <c r="F149" s="387"/>
      <c r="G149" s="391">
        <v>2.0</v>
      </c>
      <c r="H149" s="392" t="s">
        <v>1359</v>
      </c>
      <c r="I149" s="382"/>
      <c r="J149" s="392" t="s">
        <v>1360</v>
      </c>
      <c r="K149" s="354"/>
      <c r="L149" s="354"/>
      <c r="M149" s="382"/>
      <c r="N149" s="393"/>
      <c r="O149" s="390"/>
      <c r="P149" s="382"/>
      <c r="Q149" s="394"/>
      <c r="R149" s="328">
        <f>IFERROR(__xludf.DUMMYFUNCTION("SUM(QUERY(Coletas_BD!D:M,""select J where D='""&amp;D149&amp;""'"",1))"),5407.0)</f>
        <v>5407</v>
      </c>
      <c r="S149" s="328">
        <f>IFERROR(__xludf.DUMMYFUNCTION("SUM(QUERY(Coletas_BD!D:M,""select K where D='""&amp;D149&amp;""'"",1))"),25.0)</f>
        <v>25</v>
      </c>
      <c r="T149" s="328">
        <f>IFERROR(__xludf.DUMMYFUNCTION("SUM(QUERY(Coletas_BD!D:M,""select L where D='""&amp;D149&amp;""'"",1))"),75.0)</f>
        <v>75</v>
      </c>
      <c r="U149" s="328">
        <f>IFERROR(__xludf.DUMMYFUNCTION("SUM(QUERY(Coletas_BD!D:M,""select M where D='""&amp;D149&amp;""'"",1))"),250.0)</f>
        <v>250</v>
      </c>
      <c r="V149" s="328">
        <f>IFERROR(__xludf.DUMMYFUNCTION("SUM(QUERY(Coletas_BD!D:S,""select P where D='""&amp;D149&amp;""'"",1))"),65.0)</f>
        <v>65</v>
      </c>
      <c r="W149" s="328">
        <f>IFERROR(__xludf.DUMMYFUNCTION("SUM(QUERY(Coletas_BD!D:S,""select Q where D='""&amp;D149&amp;""'"",1))"),21.0)</f>
        <v>21</v>
      </c>
      <c r="X149" s="328">
        <f>IFERROR(__xludf.DUMMYFUNCTION("SUM(QUERY(Coletas_BD!D:S,""select R where D='""&amp;D149&amp;""'"",1))"),2.0)</f>
        <v>2</v>
      </c>
      <c r="Y149" s="328">
        <f>IFERROR(__xludf.DUMMYFUNCTION("SUM(QUERY(Coletas_BD!D:S,""select S where D='""&amp;D149&amp;""'"",1))"),4.0)</f>
        <v>4</v>
      </c>
      <c r="Z149" s="360"/>
    </row>
    <row r="150" ht="18.75" customHeight="1">
      <c r="A150" s="388"/>
      <c r="B150" s="386"/>
      <c r="C150" s="322">
        <v>149.0</v>
      </c>
      <c r="D150" s="390"/>
      <c r="E150" s="390"/>
      <c r="F150" s="390"/>
      <c r="G150" s="391">
        <v>2.0</v>
      </c>
      <c r="H150" s="392" t="s">
        <v>1361</v>
      </c>
      <c r="I150" s="382"/>
      <c r="J150" s="392" t="s">
        <v>1248</v>
      </c>
      <c r="K150" s="354"/>
      <c r="L150" s="354"/>
      <c r="M150" s="382"/>
      <c r="N150" s="393"/>
      <c r="O150" s="390"/>
      <c r="P150" s="382"/>
      <c r="Q150" s="394"/>
      <c r="R150" s="328">
        <f>IFERROR(__xludf.DUMMYFUNCTION("SUM(QUERY(Coletas_BD!D:M,""select J where D='""&amp;D150&amp;""'"",1))"),5407.0)</f>
        <v>5407</v>
      </c>
      <c r="S150" s="328">
        <f>IFERROR(__xludf.DUMMYFUNCTION("SUM(QUERY(Coletas_BD!D:M,""select K where D='""&amp;D150&amp;""'"",1))"),25.0)</f>
        <v>25</v>
      </c>
      <c r="T150" s="328">
        <f>IFERROR(__xludf.DUMMYFUNCTION("SUM(QUERY(Coletas_BD!D:M,""select L where D='""&amp;D150&amp;""'"",1))"),75.0)</f>
        <v>75</v>
      </c>
      <c r="U150" s="328">
        <f>IFERROR(__xludf.DUMMYFUNCTION("SUM(QUERY(Coletas_BD!D:M,""select M where D='""&amp;D150&amp;""'"",1))"),250.0)</f>
        <v>250</v>
      </c>
      <c r="V150" s="328">
        <f>IFERROR(__xludf.DUMMYFUNCTION("SUM(QUERY(Coletas_BD!D:S,""select P where D='""&amp;D150&amp;""'"",1))"),65.0)</f>
        <v>65</v>
      </c>
      <c r="W150" s="328">
        <f>IFERROR(__xludf.DUMMYFUNCTION("SUM(QUERY(Coletas_BD!D:S,""select Q where D='""&amp;D150&amp;""'"",1))"),21.0)</f>
        <v>21</v>
      </c>
      <c r="X150" s="328">
        <f>IFERROR(__xludf.DUMMYFUNCTION("SUM(QUERY(Coletas_BD!D:S,""select R where D='""&amp;D150&amp;""'"",1))"),2.0)</f>
        <v>2</v>
      </c>
      <c r="Y150" s="328">
        <f>IFERROR(__xludf.DUMMYFUNCTION("SUM(QUERY(Coletas_BD!D:S,""select S where D='""&amp;D150&amp;""'"",1))"),4.0)</f>
        <v>4</v>
      </c>
      <c r="Z150" s="360"/>
    </row>
    <row r="151" ht="18.75" customHeight="1">
      <c r="A151" s="388"/>
      <c r="B151" s="386"/>
      <c r="C151" s="322">
        <v>150.0</v>
      </c>
      <c r="D151" s="390"/>
      <c r="E151" s="390"/>
      <c r="F151" s="390"/>
      <c r="G151" s="391">
        <v>1.0</v>
      </c>
      <c r="H151" s="392" t="s">
        <v>1362</v>
      </c>
      <c r="I151" s="382"/>
      <c r="J151" s="392" t="s">
        <v>1363</v>
      </c>
      <c r="K151" s="354"/>
      <c r="L151" s="354"/>
      <c r="M151" s="382"/>
      <c r="N151" s="393"/>
      <c r="O151" s="390"/>
      <c r="P151" s="382"/>
      <c r="Q151" s="394"/>
      <c r="R151" s="328">
        <f>IFERROR(__xludf.DUMMYFUNCTION("SUM(QUERY(Coletas_BD!D:M,""select J where D='""&amp;D151&amp;""'"",1))"),5407.0)</f>
        <v>5407</v>
      </c>
      <c r="S151" s="328">
        <f>IFERROR(__xludf.DUMMYFUNCTION("SUM(QUERY(Coletas_BD!D:M,""select K where D='""&amp;D151&amp;""'"",1))"),25.0)</f>
        <v>25</v>
      </c>
      <c r="T151" s="328">
        <f>IFERROR(__xludf.DUMMYFUNCTION("SUM(QUERY(Coletas_BD!D:M,""select L where D='""&amp;D151&amp;""'"",1))"),75.0)</f>
        <v>75</v>
      </c>
      <c r="U151" s="328">
        <f>IFERROR(__xludf.DUMMYFUNCTION("SUM(QUERY(Coletas_BD!D:M,""select M where D='""&amp;D151&amp;""'"",1))"),250.0)</f>
        <v>250</v>
      </c>
      <c r="V151" s="328">
        <f>IFERROR(__xludf.DUMMYFUNCTION("SUM(QUERY(Coletas_BD!D:S,""select P where D='""&amp;D151&amp;""'"",1))"),65.0)</f>
        <v>65</v>
      </c>
      <c r="W151" s="328">
        <f>IFERROR(__xludf.DUMMYFUNCTION("SUM(QUERY(Coletas_BD!D:S,""select Q where D='""&amp;D151&amp;""'"",1))"),21.0)</f>
        <v>21</v>
      </c>
      <c r="X151" s="328">
        <f>IFERROR(__xludf.DUMMYFUNCTION("SUM(QUERY(Coletas_BD!D:S,""select R where D='""&amp;D151&amp;""'"",1))"),2.0)</f>
        <v>2</v>
      </c>
      <c r="Y151" s="328">
        <f>IFERROR(__xludf.DUMMYFUNCTION("SUM(QUERY(Coletas_BD!D:S,""select S where D='""&amp;D151&amp;""'"",1))"),4.0)</f>
        <v>4</v>
      </c>
      <c r="Z151" s="360"/>
    </row>
    <row r="152" ht="18.75" customHeight="1">
      <c r="A152" s="388"/>
      <c r="B152" s="386"/>
      <c r="C152" s="322">
        <v>151.0</v>
      </c>
      <c r="D152" s="390"/>
      <c r="E152" s="390"/>
      <c r="F152" s="387"/>
      <c r="G152" s="391">
        <v>1.0</v>
      </c>
      <c r="H152" s="392" t="s">
        <v>1364</v>
      </c>
      <c r="I152" s="382"/>
      <c r="J152" s="392" t="s">
        <v>1365</v>
      </c>
      <c r="K152" s="354"/>
      <c r="L152" s="354"/>
      <c r="M152" s="382"/>
      <c r="N152" s="393"/>
      <c r="O152" s="390"/>
      <c r="P152" s="382"/>
      <c r="Q152" s="394"/>
      <c r="R152" s="328">
        <f>IFERROR(__xludf.DUMMYFUNCTION("SUM(QUERY(Coletas_BD!D:M,""select J where D='""&amp;D152&amp;""'"",1))"),5407.0)</f>
        <v>5407</v>
      </c>
      <c r="S152" s="328">
        <f>IFERROR(__xludf.DUMMYFUNCTION("SUM(QUERY(Coletas_BD!D:M,""select K where D='""&amp;D152&amp;""'"",1))"),25.0)</f>
        <v>25</v>
      </c>
      <c r="T152" s="328">
        <f>IFERROR(__xludf.DUMMYFUNCTION("SUM(QUERY(Coletas_BD!D:M,""select L where D='""&amp;D152&amp;""'"",1))"),75.0)</f>
        <v>75</v>
      </c>
      <c r="U152" s="328">
        <f>IFERROR(__xludf.DUMMYFUNCTION("SUM(QUERY(Coletas_BD!D:M,""select M where D='""&amp;D152&amp;""'"",1))"),250.0)</f>
        <v>250</v>
      </c>
      <c r="V152" s="328">
        <f>IFERROR(__xludf.DUMMYFUNCTION("SUM(QUERY(Coletas_BD!D:S,""select P where D='""&amp;D152&amp;""'"",1))"),65.0)</f>
        <v>65</v>
      </c>
      <c r="W152" s="328">
        <f>IFERROR(__xludf.DUMMYFUNCTION("SUM(QUERY(Coletas_BD!D:S,""select Q where D='""&amp;D152&amp;""'"",1))"),21.0)</f>
        <v>21</v>
      </c>
      <c r="X152" s="328">
        <f>IFERROR(__xludf.DUMMYFUNCTION("SUM(QUERY(Coletas_BD!D:S,""select R where D='""&amp;D152&amp;""'"",1))"),2.0)</f>
        <v>2</v>
      </c>
      <c r="Y152" s="328">
        <f>IFERROR(__xludf.DUMMYFUNCTION("SUM(QUERY(Coletas_BD!D:S,""select S where D='""&amp;D152&amp;""'"",1))"),4.0)</f>
        <v>4</v>
      </c>
      <c r="Z152" s="360"/>
    </row>
    <row r="153" ht="18.75" customHeight="1">
      <c r="A153" s="388"/>
      <c r="B153" s="386"/>
      <c r="C153" s="322">
        <v>152.0</v>
      </c>
      <c r="D153" s="398"/>
      <c r="E153" s="398"/>
      <c r="F153" s="389"/>
      <c r="G153" s="394">
        <v>1.0</v>
      </c>
      <c r="H153" s="399" t="s">
        <v>1366</v>
      </c>
      <c r="I153" s="382" t="s">
        <v>1367</v>
      </c>
      <c r="J153" s="399" t="s">
        <v>1248</v>
      </c>
      <c r="K153" s="354"/>
      <c r="L153" s="354"/>
      <c r="M153" s="382"/>
      <c r="N153" s="384"/>
      <c r="O153" s="398"/>
      <c r="P153" s="382"/>
      <c r="Q153" s="389"/>
      <c r="R153" s="328">
        <f>IFERROR(__xludf.DUMMYFUNCTION("SUM(QUERY(Coletas_BD!D:M,""select J where D='""&amp;D153&amp;""'"",1))"),5407.0)</f>
        <v>5407</v>
      </c>
      <c r="S153" s="328">
        <f>IFERROR(__xludf.DUMMYFUNCTION("SUM(QUERY(Coletas_BD!D:M,""select K where D='""&amp;D153&amp;""'"",1))"),25.0)</f>
        <v>25</v>
      </c>
      <c r="T153" s="328">
        <f>IFERROR(__xludf.DUMMYFUNCTION("SUM(QUERY(Coletas_BD!D:M,""select L where D='""&amp;D153&amp;""'"",1))"),75.0)</f>
        <v>75</v>
      </c>
      <c r="U153" s="328">
        <f>IFERROR(__xludf.DUMMYFUNCTION("SUM(QUERY(Coletas_BD!D:M,""select M where D='""&amp;D153&amp;""'"",1))"),250.0)</f>
        <v>250</v>
      </c>
      <c r="V153" s="328">
        <f>IFERROR(__xludf.DUMMYFUNCTION("SUM(QUERY(Coletas_BD!D:S,""select P where D='""&amp;D153&amp;""'"",1))"),65.0)</f>
        <v>65</v>
      </c>
      <c r="W153" s="328">
        <f>IFERROR(__xludf.DUMMYFUNCTION("SUM(QUERY(Coletas_BD!D:S,""select Q where D='""&amp;D153&amp;""'"",1))"),21.0)</f>
        <v>21</v>
      </c>
      <c r="X153" s="328">
        <f>IFERROR(__xludf.DUMMYFUNCTION("SUM(QUERY(Coletas_BD!D:S,""select R where D='""&amp;D153&amp;""'"",1))"),2.0)</f>
        <v>2</v>
      </c>
      <c r="Y153" s="328">
        <f>IFERROR(__xludf.DUMMYFUNCTION("SUM(QUERY(Coletas_BD!D:S,""select S where D='""&amp;D153&amp;""'"",1))"),4.0)</f>
        <v>4</v>
      </c>
      <c r="Z153" s="360"/>
    </row>
    <row r="154" ht="18.75" customHeight="1">
      <c r="A154" s="388"/>
      <c r="B154" s="386"/>
      <c r="C154" s="322">
        <v>153.0</v>
      </c>
      <c r="D154" s="398"/>
      <c r="E154" s="398"/>
      <c r="F154" s="389"/>
      <c r="G154" s="394">
        <v>1.0</v>
      </c>
      <c r="H154" s="399" t="s">
        <v>1368</v>
      </c>
      <c r="I154" s="382" t="s">
        <v>1369</v>
      </c>
      <c r="J154" s="399" t="s">
        <v>1248</v>
      </c>
      <c r="K154" s="354"/>
      <c r="L154" s="354"/>
      <c r="M154" s="382"/>
      <c r="N154" s="384"/>
      <c r="O154" s="398"/>
      <c r="P154" s="382"/>
      <c r="Q154" s="389"/>
      <c r="R154" s="328">
        <f>IFERROR(__xludf.DUMMYFUNCTION("SUM(QUERY(Coletas_BD!D:M,""select J where D='""&amp;D154&amp;""'"",1))"),5407.0)</f>
        <v>5407</v>
      </c>
      <c r="S154" s="328">
        <f>IFERROR(__xludf.DUMMYFUNCTION("SUM(QUERY(Coletas_BD!D:M,""select K where D='""&amp;D154&amp;""'"",1))"),25.0)</f>
        <v>25</v>
      </c>
      <c r="T154" s="328">
        <f>IFERROR(__xludf.DUMMYFUNCTION("SUM(QUERY(Coletas_BD!D:M,""select L where D='""&amp;D154&amp;""'"",1))"),75.0)</f>
        <v>75</v>
      </c>
      <c r="U154" s="328">
        <f>IFERROR(__xludf.DUMMYFUNCTION("SUM(QUERY(Coletas_BD!D:M,""select M where D='""&amp;D154&amp;""'"",1))"),250.0)</f>
        <v>250</v>
      </c>
      <c r="V154" s="328">
        <f>IFERROR(__xludf.DUMMYFUNCTION("SUM(QUERY(Coletas_BD!D:S,""select P where D='""&amp;D154&amp;""'"",1))"),65.0)</f>
        <v>65</v>
      </c>
      <c r="W154" s="328">
        <f>IFERROR(__xludf.DUMMYFUNCTION("SUM(QUERY(Coletas_BD!D:S,""select Q where D='""&amp;D154&amp;""'"",1))"),21.0)</f>
        <v>21</v>
      </c>
      <c r="X154" s="328">
        <f>IFERROR(__xludf.DUMMYFUNCTION("SUM(QUERY(Coletas_BD!D:S,""select R where D='""&amp;D154&amp;""'"",1))"),2.0)</f>
        <v>2</v>
      </c>
      <c r="Y154" s="328">
        <f>IFERROR(__xludf.DUMMYFUNCTION("SUM(QUERY(Coletas_BD!D:S,""select S where D='""&amp;D154&amp;""'"",1))"),4.0)</f>
        <v>4</v>
      </c>
      <c r="Z154" s="360"/>
    </row>
    <row r="155" ht="18.75" customHeight="1">
      <c r="A155" s="388"/>
      <c r="B155" s="386"/>
      <c r="C155" s="322">
        <v>154.0</v>
      </c>
      <c r="D155" s="398"/>
      <c r="E155" s="398"/>
      <c r="F155" s="389"/>
      <c r="G155" s="394">
        <v>1.0</v>
      </c>
      <c r="H155" s="399" t="s">
        <v>1370</v>
      </c>
      <c r="I155" s="382" t="s">
        <v>1371</v>
      </c>
      <c r="J155" s="399" t="s">
        <v>1263</v>
      </c>
      <c r="K155" s="354"/>
      <c r="L155" s="354"/>
      <c r="M155" s="382"/>
      <c r="N155" s="384"/>
      <c r="O155" s="398"/>
      <c r="P155" s="382"/>
      <c r="Q155" s="389"/>
      <c r="R155" s="328">
        <f>IFERROR(__xludf.DUMMYFUNCTION("SUM(QUERY(Coletas_BD!D:M,""select J where D='""&amp;D155&amp;""'"",1))"),5407.0)</f>
        <v>5407</v>
      </c>
      <c r="S155" s="328">
        <f>IFERROR(__xludf.DUMMYFUNCTION("SUM(QUERY(Coletas_BD!D:M,""select K where D='""&amp;D155&amp;""'"",1))"),25.0)</f>
        <v>25</v>
      </c>
      <c r="T155" s="328">
        <f>IFERROR(__xludf.DUMMYFUNCTION("SUM(QUERY(Coletas_BD!D:M,""select L where D='""&amp;D155&amp;""'"",1))"),75.0)</f>
        <v>75</v>
      </c>
      <c r="U155" s="328">
        <f>IFERROR(__xludf.DUMMYFUNCTION("SUM(QUERY(Coletas_BD!D:M,""select M where D='""&amp;D155&amp;""'"",1))"),250.0)</f>
        <v>250</v>
      </c>
      <c r="V155" s="328">
        <f>IFERROR(__xludf.DUMMYFUNCTION("SUM(QUERY(Coletas_BD!D:S,""select P where D='""&amp;D155&amp;""'"",1))"),65.0)</f>
        <v>65</v>
      </c>
      <c r="W155" s="328">
        <f>IFERROR(__xludf.DUMMYFUNCTION("SUM(QUERY(Coletas_BD!D:S,""select Q where D='""&amp;D155&amp;""'"",1))"),21.0)</f>
        <v>21</v>
      </c>
      <c r="X155" s="328">
        <f>IFERROR(__xludf.DUMMYFUNCTION("SUM(QUERY(Coletas_BD!D:S,""select R where D='""&amp;D155&amp;""'"",1))"),2.0)</f>
        <v>2</v>
      </c>
      <c r="Y155" s="328">
        <f>IFERROR(__xludf.DUMMYFUNCTION("SUM(QUERY(Coletas_BD!D:S,""select S where D='""&amp;D155&amp;""'"",1))"),4.0)</f>
        <v>4</v>
      </c>
      <c r="Z155" s="360"/>
    </row>
    <row r="156" ht="18.75" customHeight="1">
      <c r="A156" s="388"/>
      <c r="B156" s="386"/>
      <c r="C156" s="322">
        <v>155.0</v>
      </c>
      <c r="D156" s="398"/>
      <c r="E156" s="398"/>
      <c r="F156" s="389"/>
      <c r="G156" s="394">
        <v>1.0</v>
      </c>
      <c r="H156" s="399" t="s">
        <v>1261</v>
      </c>
      <c r="I156" s="382" t="s">
        <v>1372</v>
      </c>
      <c r="J156" s="399" t="s">
        <v>1248</v>
      </c>
      <c r="K156" s="354"/>
      <c r="L156" s="354"/>
      <c r="M156" s="382"/>
      <c r="N156" s="384"/>
      <c r="O156" s="398"/>
      <c r="P156" s="382"/>
      <c r="Q156" s="389"/>
      <c r="R156" s="328">
        <f>IFERROR(__xludf.DUMMYFUNCTION("SUM(QUERY(Coletas_BD!D:M,""select J where D='""&amp;D156&amp;""'"",1))"),5407.0)</f>
        <v>5407</v>
      </c>
      <c r="S156" s="328">
        <f>IFERROR(__xludf.DUMMYFUNCTION("SUM(QUERY(Coletas_BD!D:M,""select K where D='""&amp;D156&amp;""'"",1))"),25.0)</f>
        <v>25</v>
      </c>
      <c r="T156" s="328">
        <f>IFERROR(__xludf.DUMMYFUNCTION("SUM(QUERY(Coletas_BD!D:M,""select L where D='""&amp;D156&amp;""'"",1))"),75.0)</f>
        <v>75</v>
      </c>
      <c r="U156" s="328">
        <f>IFERROR(__xludf.DUMMYFUNCTION("SUM(QUERY(Coletas_BD!D:M,""select M where D='""&amp;D156&amp;""'"",1))"),250.0)</f>
        <v>250</v>
      </c>
      <c r="V156" s="328">
        <f>IFERROR(__xludf.DUMMYFUNCTION("SUM(QUERY(Coletas_BD!D:S,""select P where D='""&amp;D156&amp;""'"",1))"),65.0)</f>
        <v>65</v>
      </c>
      <c r="W156" s="328">
        <f>IFERROR(__xludf.DUMMYFUNCTION("SUM(QUERY(Coletas_BD!D:S,""select Q where D='""&amp;D156&amp;""'"",1))"),21.0)</f>
        <v>21</v>
      </c>
      <c r="X156" s="328">
        <f>IFERROR(__xludf.DUMMYFUNCTION("SUM(QUERY(Coletas_BD!D:S,""select R where D='""&amp;D156&amp;""'"",1))"),2.0)</f>
        <v>2</v>
      </c>
      <c r="Y156" s="328">
        <f>IFERROR(__xludf.DUMMYFUNCTION("SUM(QUERY(Coletas_BD!D:S,""select S where D='""&amp;D156&amp;""'"",1))"),4.0)</f>
        <v>4</v>
      </c>
      <c r="Z156" s="360"/>
    </row>
    <row r="157" ht="18.75" customHeight="1">
      <c r="A157" s="388"/>
      <c r="B157" s="386"/>
      <c r="C157" s="322">
        <v>156.0</v>
      </c>
      <c r="D157" s="398"/>
      <c r="E157" s="398"/>
      <c r="F157" s="389"/>
      <c r="G157" s="394">
        <v>1.0</v>
      </c>
      <c r="H157" s="399" t="s">
        <v>1373</v>
      </c>
      <c r="I157" s="382" t="s">
        <v>1374</v>
      </c>
      <c r="J157" s="399" t="s">
        <v>1254</v>
      </c>
      <c r="K157" s="354"/>
      <c r="L157" s="354"/>
      <c r="M157" s="382"/>
      <c r="N157" s="384"/>
      <c r="O157" s="398"/>
      <c r="P157" s="382"/>
      <c r="Q157" s="389"/>
      <c r="R157" s="328">
        <f>IFERROR(__xludf.DUMMYFUNCTION("SUM(QUERY(Coletas_BD!D:M,""select J where D='""&amp;D157&amp;""'"",1))"),5407.0)</f>
        <v>5407</v>
      </c>
      <c r="S157" s="328">
        <f>IFERROR(__xludf.DUMMYFUNCTION("SUM(QUERY(Coletas_BD!D:M,""select K where D='""&amp;D157&amp;""'"",1))"),25.0)</f>
        <v>25</v>
      </c>
      <c r="T157" s="328">
        <f>IFERROR(__xludf.DUMMYFUNCTION("SUM(QUERY(Coletas_BD!D:M,""select L where D='""&amp;D157&amp;""'"",1))"),75.0)</f>
        <v>75</v>
      </c>
      <c r="U157" s="328">
        <f>IFERROR(__xludf.DUMMYFUNCTION("SUM(QUERY(Coletas_BD!D:M,""select M where D='""&amp;D157&amp;""'"",1))"),250.0)</f>
        <v>250</v>
      </c>
      <c r="V157" s="328">
        <f>IFERROR(__xludf.DUMMYFUNCTION("SUM(QUERY(Coletas_BD!D:S,""select P where D='""&amp;D157&amp;""'"",1))"),65.0)</f>
        <v>65</v>
      </c>
      <c r="W157" s="328">
        <f>IFERROR(__xludf.DUMMYFUNCTION("SUM(QUERY(Coletas_BD!D:S,""select Q where D='""&amp;D157&amp;""'"",1))"),21.0)</f>
        <v>21</v>
      </c>
      <c r="X157" s="328">
        <f>IFERROR(__xludf.DUMMYFUNCTION("SUM(QUERY(Coletas_BD!D:S,""select R where D='""&amp;D157&amp;""'"",1))"),2.0)</f>
        <v>2</v>
      </c>
      <c r="Y157" s="328">
        <f>IFERROR(__xludf.DUMMYFUNCTION("SUM(QUERY(Coletas_BD!D:S,""select S where D='""&amp;D157&amp;""'"",1))"),4.0)</f>
        <v>4</v>
      </c>
      <c r="Z157" s="360"/>
    </row>
    <row r="158" ht="18.75" customHeight="1">
      <c r="A158" s="388"/>
      <c r="B158" s="386"/>
      <c r="C158" s="322">
        <v>157.0</v>
      </c>
      <c r="D158" s="398"/>
      <c r="E158" s="398"/>
      <c r="F158" s="389"/>
      <c r="G158" s="394">
        <v>1.0</v>
      </c>
      <c r="H158" s="399" t="s">
        <v>1375</v>
      </c>
      <c r="I158" s="382" t="s">
        <v>1376</v>
      </c>
      <c r="J158" s="399" t="s">
        <v>1252</v>
      </c>
      <c r="K158" s="354"/>
      <c r="L158" s="354"/>
      <c r="M158" s="382"/>
      <c r="N158" s="384"/>
      <c r="O158" s="398"/>
      <c r="P158" s="382"/>
      <c r="Q158" s="389"/>
      <c r="R158" s="328">
        <f>IFERROR(__xludf.DUMMYFUNCTION("SUM(QUERY(Coletas_BD!D:M,""select J where D='""&amp;D158&amp;""'"",1))"),5407.0)</f>
        <v>5407</v>
      </c>
      <c r="S158" s="328">
        <f>IFERROR(__xludf.DUMMYFUNCTION("SUM(QUERY(Coletas_BD!D:M,""select K where D='""&amp;D158&amp;""'"",1))"),25.0)</f>
        <v>25</v>
      </c>
      <c r="T158" s="328">
        <f>IFERROR(__xludf.DUMMYFUNCTION("SUM(QUERY(Coletas_BD!D:M,""select L where D='""&amp;D158&amp;""'"",1))"),75.0)</f>
        <v>75</v>
      </c>
      <c r="U158" s="328">
        <f>IFERROR(__xludf.DUMMYFUNCTION("SUM(QUERY(Coletas_BD!D:M,""select M where D='""&amp;D158&amp;""'"",1))"),250.0)</f>
        <v>250</v>
      </c>
      <c r="V158" s="328">
        <f>IFERROR(__xludf.DUMMYFUNCTION("SUM(QUERY(Coletas_BD!D:S,""select P where D='""&amp;D158&amp;""'"",1))"),65.0)</f>
        <v>65</v>
      </c>
      <c r="W158" s="328">
        <f>IFERROR(__xludf.DUMMYFUNCTION("SUM(QUERY(Coletas_BD!D:S,""select Q where D='""&amp;D158&amp;""'"",1))"),21.0)</f>
        <v>21</v>
      </c>
      <c r="X158" s="328">
        <f>IFERROR(__xludf.DUMMYFUNCTION("SUM(QUERY(Coletas_BD!D:S,""select R where D='""&amp;D158&amp;""'"",1))"),2.0)</f>
        <v>2</v>
      </c>
      <c r="Y158" s="328">
        <f>IFERROR(__xludf.DUMMYFUNCTION("SUM(QUERY(Coletas_BD!D:S,""select S where D='""&amp;D158&amp;""'"",1))"),4.0)</f>
        <v>4</v>
      </c>
      <c r="Z158" s="360"/>
    </row>
    <row r="159" ht="18.75" customHeight="1">
      <c r="A159" s="400"/>
      <c r="B159" s="401"/>
      <c r="C159" s="322">
        <v>158.0</v>
      </c>
      <c r="D159" s="398"/>
      <c r="E159" s="398"/>
      <c r="F159" s="389"/>
      <c r="G159" s="394">
        <v>1.0</v>
      </c>
      <c r="H159" s="399" t="s">
        <v>1261</v>
      </c>
      <c r="I159" s="382"/>
      <c r="J159" s="399" t="s">
        <v>1248</v>
      </c>
      <c r="K159" s="354"/>
      <c r="L159" s="384"/>
      <c r="M159" s="382"/>
      <c r="N159" s="384"/>
      <c r="O159" s="398"/>
      <c r="P159" s="382"/>
      <c r="Q159" s="389"/>
      <c r="R159" s="328">
        <f>IFERROR(__xludf.DUMMYFUNCTION("SUM(QUERY(Coletas_BD!D:M,""select J where D='""&amp;D159&amp;""'"",1))"),5407.0)</f>
        <v>5407</v>
      </c>
      <c r="S159" s="328">
        <f>IFERROR(__xludf.DUMMYFUNCTION("SUM(QUERY(Coletas_BD!D:M,""select K where D='""&amp;D159&amp;""'"",1))"),25.0)</f>
        <v>25</v>
      </c>
      <c r="T159" s="328">
        <f>IFERROR(__xludf.DUMMYFUNCTION("SUM(QUERY(Coletas_BD!D:M,""select L where D='""&amp;D159&amp;""'"",1))"),75.0)</f>
        <v>75</v>
      </c>
      <c r="U159" s="328">
        <f>IFERROR(__xludf.DUMMYFUNCTION("SUM(QUERY(Coletas_BD!D:M,""select M where D='""&amp;D159&amp;""'"",1))"),250.0)</f>
        <v>250</v>
      </c>
      <c r="V159" s="328">
        <f>IFERROR(__xludf.DUMMYFUNCTION("SUM(QUERY(Coletas_BD!D:S,""select P where D='""&amp;D159&amp;""'"",1))"),65.0)</f>
        <v>65</v>
      </c>
      <c r="W159" s="328">
        <f>IFERROR(__xludf.DUMMYFUNCTION("SUM(QUERY(Coletas_BD!D:S,""select Q where D='""&amp;D159&amp;""'"",1))"),21.0)</f>
        <v>21</v>
      </c>
      <c r="X159" s="328">
        <f>IFERROR(__xludf.DUMMYFUNCTION("SUM(QUERY(Coletas_BD!D:S,""select R where D='""&amp;D159&amp;""'"",1))"),2.0)</f>
        <v>2</v>
      </c>
      <c r="Y159" s="328">
        <f>IFERROR(__xludf.DUMMYFUNCTION("SUM(QUERY(Coletas_BD!D:S,""select S where D='""&amp;D159&amp;""'"",1))"),4.0)</f>
        <v>4</v>
      </c>
      <c r="Z159" s="360"/>
    </row>
    <row r="160" ht="18.75" customHeight="1">
      <c r="A160" s="400"/>
      <c r="B160" s="401"/>
      <c r="C160" s="322">
        <v>159.0</v>
      </c>
      <c r="D160" s="398"/>
      <c r="E160" s="398"/>
      <c r="F160" s="389"/>
      <c r="G160" s="394">
        <v>4.0</v>
      </c>
      <c r="H160" s="399" t="s">
        <v>1377</v>
      </c>
      <c r="I160" s="382" t="s">
        <v>1378</v>
      </c>
      <c r="J160" s="399" t="s">
        <v>1263</v>
      </c>
      <c r="K160" s="354"/>
      <c r="L160" s="393"/>
      <c r="M160" s="382"/>
      <c r="N160" s="384"/>
      <c r="O160" s="398"/>
      <c r="P160" s="382"/>
      <c r="Q160" s="389"/>
      <c r="R160" s="328">
        <f>IFERROR(__xludf.DUMMYFUNCTION("SUM(QUERY(Coletas_BD!D:M,""select J where D='""&amp;D160&amp;""'"",1))"),5407.0)</f>
        <v>5407</v>
      </c>
      <c r="S160" s="328">
        <f>IFERROR(__xludf.DUMMYFUNCTION("SUM(QUERY(Coletas_BD!D:M,""select K where D='""&amp;D160&amp;""'"",1))"),25.0)</f>
        <v>25</v>
      </c>
      <c r="T160" s="328">
        <f>IFERROR(__xludf.DUMMYFUNCTION("SUM(QUERY(Coletas_BD!D:M,""select L where D='""&amp;D160&amp;""'"",1))"),75.0)</f>
        <v>75</v>
      </c>
      <c r="U160" s="328">
        <f>IFERROR(__xludf.DUMMYFUNCTION("SUM(QUERY(Coletas_BD!D:M,""select M where D='""&amp;D160&amp;""'"",1))"),250.0)</f>
        <v>250</v>
      </c>
      <c r="V160" s="328">
        <f>IFERROR(__xludf.DUMMYFUNCTION("SUM(QUERY(Coletas_BD!D:S,""select P where D='""&amp;D160&amp;""'"",1))"),65.0)</f>
        <v>65</v>
      </c>
      <c r="W160" s="328">
        <f>IFERROR(__xludf.DUMMYFUNCTION("SUM(QUERY(Coletas_BD!D:S,""select Q where D='""&amp;D160&amp;""'"",1))"),21.0)</f>
        <v>21</v>
      </c>
      <c r="X160" s="328">
        <f>IFERROR(__xludf.DUMMYFUNCTION("SUM(QUERY(Coletas_BD!D:S,""select R where D='""&amp;D160&amp;""'"",1))"),2.0)</f>
        <v>2</v>
      </c>
      <c r="Y160" s="328">
        <f>IFERROR(__xludf.DUMMYFUNCTION("SUM(QUERY(Coletas_BD!D:S,""select S where D='""&amp;D160&amp;""'"",1))"),4.0)</f>
        <v>4</v>
      </c>
      <c r="Z160" s="360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  <col customWidth="1" min="7" max="7" width="20.57"/>
    <col customWidth="1" min="8" max="8" width="23.43"/>
    <col customWidth="1" min="14" max="14" width="24.71"/>
    <col customWidth="1" min="16" max="16" width="6.14"/>
    <col customWidth="1" min="17" max="17" width="6.57"/>
    <col customWidth="1" min="18" max="18" width="6.71"/>
    <col customWidth="1" min="19" max="19" width="9.86"/>
    <col customWidth="1" min="20" max="20" width="18.43"/>
  </cols>
  <sheetData>
    <row r="1" ht="17.25" customHeight="1">
      <c r="A1" s="402" t="s">
        <v>2</v>
      </c>
      <c r="B1" s="403" t="s">
        <v>3</v>
      </c>
      <c r="C1" s="404" t="s">
        <v>1379</v>
      </c>
      <c r="D1" s="405" t="s">
        <v>1231</v>
      </c>
      <c r="E1" s="405" t="s">
        <v>977</v>
      </c>
      <c r="F1" s="405" t="s">
        <v>8</v>
      </c>
      <c r="G1" s="405" t="s">
        <v>979</v>
      </c>
      <c r="H1" s="405" t="s">
        <v>14</v>
      </c>
      <c r="I1" s="406" t="s">
        <v>1232</v>
      </c>
      <c r="J1" s="404" t="s">
        <v>1380</v>
      </c>
      <c r="K1" s="404" t="s">
        <v>1241</v>
      </c>
      <c r="L1" s="404" t="s">
        <v>1242</v>
      </c>
      <c r="M1" s="404" t="s">
        <v>1243</v>
      </c>
      <c r="N1" s="405" t="s">
        <v>1381</v>
      </c>
      <c r="O1" s="405" t="s">
        <v>982</v>
      </c>
      <c r="P1" s="407" t="s">
        <v>1382</v>
      </c>
      <c r="Q1" s="407" t="s">
        <v>1245</v>
      </c>
      <c r="R1" s="407" t="s">
        <v>1246</v>
      </c>
      <c r="S1" s="407" t="s">
        <v>1247</v>
      </c>
      <c r="T1" s="407" t="s">
        <v>1383</v>
      </c>
      <c r="U1" s="407" t="s">
        <v>1384</v>
      </c>
      <c r="V1" s="407" t="s">
        <v>1385</v>
      </c>
    </row>
    <row r="2" ht="17.25" customHeight="1">
      <c r="A2" s="408"/>
      <c r="B2" s="409"/>
      <c r="C2" s="410">
        <f t="array" ref="C2:C137">ROW(A2:A137)-1</f>
        <v>1</v>
      </c>
      <c r="D2" s="411"/>
      <c r="E2" s="96"/>
      <c r="F2" s="96"/>
      <c r="G2" s="412"/>
      <c r="H2" s="411"/>
      <c r="I2" s="413"/>
      <c r="J2" s="413">
        <v>40.0</v>
      </c>
      <c r="K2" s="413">
        <v>0.0</v>
      </c>
      <c r="L2" s="413">
        <v>0.0</v>
      </c>
      <c r="M2" s="413">
        <v>0.0</v>
      </c>
      <c r="N2" s="412" t="s">
        <v>1251</v>
      </c>
      <c r="O2" s="414"/>
      <c r="P2" s="412">
        <v>0.0</v>
      </c>
      <c r="Q2" s="412"/>
      <c r="R2" s="412"/>
      <c r="S2" s="412"/>
      <c r="T2" s="96"/>
      <c r="U2" s="96"/>
      <c r="V2" s="96"/>
    </row>
    <row r="3" ht="17.25" customHeight="1">
      <c r="A3" s="415"/>
      <c r="B3" s="416"/>
      <c r="C3" s="417">
        <v>2.0</v>
      </c>
      <c r="D3" s="418"/>
      <c r="E3" s="419"/>
      <c r="F3" s="419"/>
      <c r="G3" s="420"/>
      <c r="H3" s="418"/>
      <c r="I3" s="421"/>
      <c r="J3" s="421">
        <v>25.0</v>
      </c>
      <c r="K3" s="421">
        <v>0.0</v>
      </c>
      <c r="L3" s="421">
        <v>0.0</v>
      </c>
      <c r="M3" s="421">
        <v>0.0</v>
      </c>
      <c r="N3" s="420" t="s">
        <v>1248</v>
      </c>
      <c r="O3" s="422"/>
      <c r="P3" s="420">
        <v>0.0</v>
      </c>
      <c r="Q3" s="420"/>
      <c r="R3" s="420"/>
      <c r="S3" s="420"/>
      <c r="T3" s="419"/>
      <c r="U3" s="419"/>
      <c r="V3" s="419"/>
    </row>
    <row r="4" ht="17.25" customHeight="1">
      <c r="A4" s="408"/>
      <c r="B4" s="409"/>
      <c r="C4" s="410">
        <v>3.0</v>
      </c>
      <c r="D4" s="411"/>
      <c r="E4" s="96"/>
      <c r="F4" s="96"/>
      <c r="G4" s="412"/>
      <c r="H4" s="411"/>
      <c r="I4" s="413"/>
      <c r="J4" s="413">
        <v>20.0</v>
      </c>
      <c r="K4" s="413">
        <v>0.0</v>
      </c>
      <c r="L4" s="413">
        <v>0.0</v>
      </c>
      <c r="M4" s="413">
        <v>0.0</v>
      </c>
      <c r="N4" s="412" t="s">
        <v>1248</v>
      </c>
      <c r="O4" s="414"/>
      <c r="P4" s="412">
        <v>0.0</v>
      </c>
      <c r="Q4" s="412"/>
      <c r="R4" s="412"/>
      <c r="S4" s="412"/>
      <c r="T4" s="96"/>
      <c r="U4" s="96"/>
      <c r="V4" s="96"/>
    </row>
    <row r="5" ht="17.25" customHeight="1">
      <c r="A5" s="415"/>
      <c r="B5" s="416"/>
      <c r="C5" s="417">
        <v>4.0</v>
      </c>
      <c r="D5" s="418"/>
      <c r="E5" s="419"/>
      <c r="F5" s="419"/>
      <c r="G5" s="420"/>
      <c r="H5" s="418"/>
      <c r="I5" s="421"/>
      <c r="J5" s="421">
        <v>20.0</v>
      </c>
      <c r="K5" s="421">
        <v>0.0</v>
      </c>
      <c r="L5" s="421">
        <v>0.0</v>
      </c>
      <c r="M5" s="421">
        <v>0.0</v>
      </c>
      <c r="N5" s="420" t="s">
        <v>1386</v>
      </c>
      <c r="O5" s="422"/>
      <c r="P5" s="420">
        <v>0.0</v>
      </c>
      <c r="Q5" s="420"/>
      <c r="R5" s="420"/>
      <c r="S5" s="420"/>
      <c r="T5" s="419"/>
      <c r="U5" s="419"/>
      <c r="V5" s="419"/>
    </row>
    <row r="6" ht="17.25" customHeight="1">
      <c r="A6" s="408"/>
      <c r="B6" s="409"/>
      <c r="C6" s="410">
        <v>5.0</v>
      </c>
      <c r="D6" s="411"/>
      <c r="E6" s="96"/>
      <c r="F6" s="96"/>
      <c r="G6" s="412"/>
      <c r="H6" s="411"/>
      <c r="I6" s="413"/>
      <c r="J6" s="413">
        <v>25.0</v>
      </c>
      <c r="K6" s="413">
        <v>0.0</v>
      </c>
      <c r="L6" s="413">
        <v>0.0</v>
      </c>
      <c r="M6" s="413">
        <v>0.0</v>
      </c>
      <c r="N6" s="412" t="s">
        <v>1248</v>
      </c>
      <c r="O6" s="414"/>
      <c r="P6" s="412">
        <v>0.0</v>
      </c>
      <c r="Q6" s="412"/>
      <c r="R6" s="412"/>
      <c r="S6" s="412"/>
      <c r="T6" s="96"/>
      <c r="U6" s="96"/>
      <c r="V6" s="96"/>
    </row>
    <row r="7" ht="17.25" customHeight="1">
      <c r="A7" s="415"/>
      <c r="B7" s="416"/>
      <c r="C7" s="417">
        <v>6.0</v>
      </c>
      <c r="D7" s="418"/>
      <c r="E7" s="419"/>
      <c r="F7" s="419"/>
      <c r="G7" s="420"/>
      <c r="H7" s="418"/>
      <c r="I7" s="421"/>
      <c r="J7" s="421">
        <v>30.0</v>
      </c>
      <c r="K7" s="421">
        <v>0.0</v>
      </c>
      <c r="L7" s="421">
        <v>0.0</v>
      </c>
      <c r="M7" s="421">
        <v>0.0</v>
      </c>
      <c r="N7" s="420"/>
      <c r="O7" s="422"/>
      <c r="P7" s="420">
        <v>0.0</v>
      </c>
      <c r="Q7" s="420"/>
      <c r="R7" s="420"/>
      <c r="S7" s="420"/>
      <c r="T7" s="419"/>
      <c r="U7" s="419"/>
      <c r="V7" s="419"/>
    </row>
    <row r="8" ht="17.25" customHeight="1">
      <c r="A8" s="408"/>
      <c r="B8" s="409"/>
      <c r="C8" s="410">
        <v>7.0</v>
      </c>
      <c r="D8" s="411"/>
      <c r="E8" s="96"/>
      <c r="F8" s="96"/>
      <c r="G8" s="412"/>
      <c r="H8" s="411"/>
      <c r="I8" s="413"/>
      <c r="J8" s="413">
        <v>25.0</v>
      </c>
      <c r="K8" s="413">
        <v>0.0</v>
      </c>
      <c r="L8" s="413">
        <v>0.0</v>
      </c>
      <c r="M8" s="413">
        <v>0.0</v>
      </c>
      <c r="N8" s="412" t="s">
        <v>1248</v>
      </c>
      <c r="O8" s="412"/>
      <c r="P8" s="412">
        <v>0.0</v>
      </c>
      <c r="Q8" s="412"/>
      <c r="R8" s="412"/>
      <c r="S8" s="412"/>
      <c r="T8" s="96"/>
      <c r="U8" s="96"/>
      <c r="V8" s="96"/>
    </row>
    <row r="9" ht="17.25" customHeight="1">
      <c r="A9" s="416"/>
      <c r="B9" s="416"/>
      <c r="C9" s="417">
        <v>8.0</v>
      </c>
      <c r="D9" s="418"/>
      <c r="E9" s="419"/>
      <c r="F9" s="419"/>
      <c r="G9" s="420"/>
      <c r="H9" s="418"/>
      <c r="I9" s="421"/>
      <c r="J9" s="421">
        <v>60.0</v>
      </c>
      <c r="K9" s="421">
        <v>0.0</v>
      </c>
      <c r="L9" s="421">
        <v>0.0</v>
      </c>
      <c r="M9" s="421">
        <v>0.0</v>
      </c>
      <c r="N9" s="420" t="s">
        <v>1248</v>
      </c>
      <c r="O9" s="422"/>
      <c r="P9" s="420">
        <v>0.0</v>
      </c>
      <c r="Q9" s="420"/>
      <c r="R9" s="420"/>
      <c r="S9" s="420"/>
      <c r="T9" s="419"/>
      <c r="U9" s="419"/>
      <c r="V9" s="419"/>
    </row>
    <row r="10" ht="17.25" customHeight="1">
      <c r="A10" s="409"/>
      <c r="B10" s="409"/>
      <c r="C10" s="410">
        <v>9.0</v>
      </c>
      <c r="D10" s="411"/>
      <c r="E10" s="96"/>
      <c r="F10" s="96"/>
      <c r="G10" s="412"/>
      <c r="H10" s="411"/>
      <c r="I10" s="413"/>
      <c r="J10" s="413">
        <v>22.0</v>
      </c>
      <c r="K10" s="413">
        <v>0.0</v>
      </c>
      <c r="L10" s="413">
        <v>0.0</v>
      </c>
      <c r="M10" s="413">
        <v>0.0</v>
      </c>
      <c r="N10" s="412" t="s">
        <v>1248</v>
      </c>
      <c r="O10" s="414"/>
      <c r="P10" s="412">
        <v>0.0</v>
      </c>
      <c r="Q10" s="412"/>
      <c r="R10" s="412"/>
      <c r="S10" s="412"/>
      <c r="T10" s="96"/>
      <c r="U10" s="96"/>
      <c r="V10" s="96"/>
    </row>
    <row r="11" ht="17.25" customHeight="1">
      <c r="A11" s="423"/>
      <c r="B11" s="416"/>
      <c r="C11" s="417">
        <v>10.0</v>
      </c>
      <c r="D11" s="418"/>
      <c r="E11" s="419"/>
      <c r="F11" s="419"/>
      <c r="G11" s="420"/>
      <c r="H11" s="418"/>
      <c r="I11" s="421"/>
      <c r="J11" s="421">
        <v>20.0</v>
      </c>
      <c r="K11" s="421">
        <v>0.0</v>
      </c>
      <c r="L11" s="421">
        <v>0.0</v>
      </c>
      <c r="M11" s="421">
        <v>0.0</v>
      </c>
      <c r="N11" s="420" t="s">
        <v>1248</v>
      </c>
      <c r="O11" s="422"/>
      <c r="P11" s="420">
        <v>0.0</v>
      </c>
      <c r="Q11" s="420"/>
      <c r="R11" s="420"/>
      <c r="S11" s="420"/>
      <c r="T11" s="419"/>
      <c r="U11" s="419"/>
      <c r="V11" s="419"/>
    </row>
    <row r="12" ht="17.25" customHeight="1">
      <c r="A12" s="424"/>
      <c r="B12" s="409"/>
      <c r="C12" s="410">
        <v>11.0</v>
      </c>
      <c r="D12" s="411"/>
      <c r="E12" s="96"/>
      <c r="F12" s="96"/>
      <c r="G12" s="412"/>
      <c r="H12" s="411"/>
      <c r="I12" s="413"/>
      <c r="J12" s="413">
        <v>20.0</v>
      </c>
      <c r="K12" s="413">
        <v>0.0</v>
      </c>
      <c r="L12" s="413">
        <v>0.0</v>
      </c>
      <c r="M12" s="413">
        <v>0.0</v>
      </c>
      <c r="N12" s="412" t="s">
        <v>1248</v>
      </c>
      <c r="O12" s="412"/>
      <c r="P12" s="412">
        <v>0.0</v>
      </c>
      <c r="Q12" s="412"/>
      <c r="R12" s="412"/>
      <c r="S12" s="412"/>
      <c r="T12" s="96"/>
      <c r="U12" s="96"/>
      <c r="V12" s="96"/>
    </row>
    <row r="13" ht="17.25" customHeight="1">
      <c r="A13" s="423"/>
      <c r="B13" s="416"/>
      <c r="C13" s="417">
        <v>12.0</v>
      </c>
      <c r="D13" s="418"/>
      <c r="E13" s="419"/>
      <c r="F13" s="419"/>
      <c r="G13" s="420"/>
      <c r="H13" s="418"/>
      <c r="I13" s="421"/>
      <c r="J13" s="421">
        <v>59.0</v>
      </c>
      <c r="K13" s="421">
        <v>0.0</v>
      </c>
      <c r="L13" s="421">
        <v>0.0</v>
      </c>
      <c r="M13" s="421">
        <v>0.0</v>
      </c>
      <c r="N13" s="420" t="s">
        <v>1248</v>
      </c>
      <c r="O13" s="422"/>
      <c r="P13" s="420">
        <v>0.0</v>
      </c>
      <c r="Q13" s="420"/>
      <c r="R13" s="420"/>
      <c r="S13" s="420"/>
      <c r="T13" s="419"/>
      <c r="U13" s="419"/>
      <c r="V13" s="419"/>
    </row>
    <row r="14" ht="17.25" customHeight="1">
      <c r="A14" s="424"/>
      <c r="B14" s="409"/>
      <c r="C14" s="410">
        <v>13.0</v>
      </c>
      <c r="D14" s="411"/>
      <c r="E14" s="96"/>
      <c r="F14" s="96"/>
      <c r="G14" s="412"/>
      <c r="H14" s="411"/>
      <c r="I14" s="413"/>
      <c r="J14" s="413">
        <v>0.0</v>
      </c>
      <c r="K14" s="413">
        <v>0.0</v>
      </c>
      <c r="L14" s="413">
        <v>0.0</v>
      </c>
      <c r="M14" s="413">
        <v>0.0</v>
      </c>
      <c r="N14" s="412" t="s">
        <v>1248</v>
      </c>
      <c r="O14" s="412"/>
      <c r="P14" s="412">
        <v>0.0</v>
      </c>
      <c r="Q14" s="412"/>
      <c r="R14" s="412"/>
      <c r="S14" s="412"/>
      <c r="T14" s="96"/>
      <c r="U14" s="96"/>
      <c r="V14" s="96"/>
    </row>
    <row r="15" ht="17.25" customHeight="1">
      <c r="A15" s="423"/>
      <c r="B15" s="416"/>
      <c r="C15" s="417">
        <v>14.0</v>
      </c>
      <c r="D15" s="418"/>
      <c r="E15" s="419"/>
      <c r="F15" s="419"/>
      <c r="G15" s="420"/>
      <c r="H15" s="418"/>
      <c r="I15" s="421"/>
      <c r="J15" s="421">
        <v>70.0</v>
      </c>
      <c r="K15" s="421">
        <v>0.0</v>
      </c>
      <c r="L15" s="421">
        <v>0.0</v>
      </c>
      <c r="M15" s="421">
        <v>0.0</v>
      </c>
      <c r="N15" s="420" t="s">
        <v>1248</v>
      </c>
      <c r="O15" s="420"/>
      <c r="P15" s="420">
        <v>0.0</v>
      </c>
      <c r="Q15" s="420"/>
      <c r="R15" s="420"/>
      <c r="S15" s="420"/>
      <c r="T15" s="419"/>
      <c r="U15" s="419"/>
      <c r="V15" s="419"/>
    </row>
    <row r="16" ht="17.25" customHeight="1">
      <c r="A16" s="424"/>
      <c r="B16" s="409"/>
      <c r="C16" s="410">
        <v>15.0</v>
      </c>
      <c r="D16" s="411"/>
      <c r="E16" s="96"/>
      <c r="F16" s="96"/>
      <c r="G16" s="412"/>
      <c r="H16" s="411"/>
      <c r="I16" s="413"/>
      <c r="J16" s="413">
        <v>23.0</v>
      </c>
      <c r="K16" s="413">
        <v>0.0</v>
      </c>
      <c r="L16" s="413">
        <v>0.0</v>
      </c>
      <c r="M16" s="413">
        <v>0.0</v>
      </c>
      <c r="N16" s="412" t="s">
        <v>1251</v>
      </c>
      <c r="O16" s="414"/>
      <c r="P16" s="412">
        <v>0.0</v>
      </c>
      <c r="Q16" s="412"/>
      <c r="R16" s="412"/>
      <c r="S16" s="412"/>
      <c r="T16" s="96"/>
      <c r="U16" s="96"/>
      <c r="V16" s="96"/>
    </row>
    <row r="17" ht="17.25" customHeight="1">
      <c r="A17" s="423"/>
      <c r="B17" s="416"/>
      <c r="C17" s="417">
        <v>16.0</v>
      </c>
      <c r="D17" s="418"/>
      <c r="E17" s="419"/>
      <c r="F17" s="419"/>
      <c r="G17" s="420"/>
      <c r="H17" s="418"/>
      <c r="I17" s="421"/>
      <c r="J17" s="421">
        <v>40.0</v>
      </c>
      <c r="K17" s="421">
        <v>0.0</v>
      </c>
      <c r="L17" s="421">
        <v>0.0</v>
      </c>
      <c r="M17" s="421">
        <v>0.0</v>
      </c>
      <c r="N17" s="420" t="s">
        <v>1251</v>
      </c>
      <c r="O17" s="422"/>
      <c r="P17" s="420">
        <v>0.0</v>
      </c>
      <c r="Q17" s="420"/>
      <c r="R17" s="420"/>
      <c r="S17" s="420"/>
      <c r="T17" s="419"/>
      <c r="U17" s="419"/>
      <c r="V17" s="419"/>
    </row>
    <row r="18" ht="17.25" customHeight="1">
      <c r="A18" s="424"/>
      <c r="B18" s="409"/>
      <c r="C18" s="410">
        <v>17.0</v>
      </c>
      <c r="D18" s="411"/>
      <c r="E18" s="96"/>
      <c r="F18" s="96"/>
      <c r="G18" s="412"/>
      <c r="H18" s="411"/>
      <c r="I18" s="413"/>
      <c r="J18" s="413">
        <v>20.0</v>
      </c>
      <c r="K18" s="413">
        <v>0.0</v>
      </c>
      <c r="L18" s="413">
        <v>0.0</v>
      </c>
      <c r="M18" s="413">
        <v>0.0</v>
      </c>
      <c r="N18" s="412" t="s">
        <v>1248</v>
      </c>
      <c r="O18" s="412"/>
      <c r="P18" s="412">
        <v>0.0</v>
      </c>
      <c r="Q18" s="412"/>
      <c r="R18" s="412"/>
      <c r="S18" s="412"/>
      <c r="T18" s="96"/>
      <c r="U18" s="96"/>
      <c r="V18" s="96"/>
    </row>
    <row r="19" ht="17.25" customHeight="1">
      <c r="A19" s="416"/>
      <c r="B19" s="416"/>
      <c r="C19" s="417">
        <v>18.0</v>
      </c>
      <c r="D19" s="418"/>
      <c r="E19" s="419"/>
      <c r="F19" s="419"/>
      <c r="G19" s="420"/>
      <c r="H19" s="418"/>
      <c r="I19" s="421"/>
      <c r="J19" s="421">
        <v>30.0</v>
      </c>
      <c r="K19" s="421">
        <v>0.0</v>
      </c>
      <c r="L19" s="421">
        <v>0.0</v>
      </c>
      <c r="M19" s="421">
        <v>0.0</v>
      </c>
      <c r="N19" s="420" t="s">
        <v>1248</v>
      </c>
      <c r="O19" s="422"/>
      <c r="P19" s="420">
        <v>0.0</v>
      </c>
      <c r="Q19" s="420"/>
      <c r="R19" s="420"/>
      <c r="S19" s="420"/>
      <c r="T19" s="419"/>
      <c r="U19" s="419"/>
      <c r="V19" s="419"/>
    </row>
    <row r="20" ht="17.25" customHeight="1">
      <c r="A20" s="409"/>
      <c r="B20" s="409"/>
      <c r="C20" s="410">
        <v>19.0</v>
      </c>
      <c r="D20" s="425"/>
      <c r="E20" s="426"/>
      <c r="F20" s="425"/>
      <c r="G20" s="425"/>
      <c r="H20" s="427"/>
      <c r="I20" s="428"/>
      <c r="J20" s="429">
        <v>40.0</v>
      </c>
      <c r="K20" s="413"/>
      <c r="L20" s="413"/>
      <c r="M20" s="413"/>
      <c r="N20" s="412" t="s">
        <v>1248</v>
      </c>
      <c r="O20" s="430"/>
      <c r="P20" s="426">
        <v>1.0</v>
      </c>
      <c r="Q20" s="431">
        <v>0.0</v>
      </c>
      <c r="R20" s="431">
        <v>0.0</v>
      </c>
      <c r="S20" s="431">
        <v>0.0</v>
      </c>
      <c r="T20" s="96"/>
      <c r="U20" s="96"/>
      <c r="V20" s="96"/>
    </row>
    <row r="21" ht="17.25" customHeight="1">
      <c r="A21" s="416"/>
      <c r="B21" s="416"/>
      <c r="C21" s="417">
        <v>20.0</v>
      </c>
      <c r="D21" s="432"/>
      <c r="E21" s="433"/>
      <c r="F21" s="432"/>
      <c r="G21" s="432"/>
      <c r="H21" s="432"/>
      <c r="I21" s="434"/>
      <c r="J21" s="435">
        <v>70.0</v>
      </c>
      <c r="K21" s="421"/>
      <c r="L21" s="421"/>
      <c r="M21" s="421"/>
      <c r="N21" s="420" t="s">
        <v>1248</v>
      </c>
      <c r="O21" s="436"/>
      <c r="P21" s="433">
        <v>2.0</v>
      </c>
      <c r="Q21" s="437">
        <v>0.0</v>
      </c>
      <c r="R21" s="437">
        <v>0.0</v>
      </c>
      <c r="S21" s="437">
        <v>0.0</v>
      </c>
      <c r="T21" s="419"/>
      <c r="U21" s="419"/>
      <c r="V21" s="419"/>
    </row>
    <row r="22" ht="17.25" customHeight="1">
      <c r="A22" s="409"/>
      <c r="B22" s="409"/>
      <c r="C22" s="410">
        <v>21.0</v>
      </c>
      <c r="D22" s="425"/>
      <c r="E22" s="426"/>
      <c r="F22" s="425"/>
      <c r="G22" s="425"/>
      <c r="H22" s="425"/>
      <c r="I22" s="428"/>
      <c r="J22" s="429">
        <v>160.0</v>
      </c>
      <c r="K22" s="413"/>
      <c r="L22" s="413"/>
      <c r="M22" s="413"/>
      <c r="N22" s="412" t="s">
        <v>1251</v>
      </c>
      <c r="O22" s="430"/>
      <c r="P22" s="426">
        <v>0.0</v>
      </c>
      <c r="Q22" s="438">
        <v>1.0</v>
      </c>
      <c r="R22" s="431">
        <v>0.0</v>
      </c>
      <c r="S22" s="431">
        <v>0.0</v>
      </c>
      <c r="T22" s="96"/>
      <c r="U22" s="96"/>
      <c r="V22" s="96"/>
    </row>
    <row r="23" ht="17.25" customHeight="1">
      <c r="A23" s="416"/>
      <c r="B23" s="416"/>
      <c r="C23" s="417">
        <v>22.0</v>
      </c>
      <c r="D23" s="432"/>
      <c r="E23" s="433"/>
      <c r="F23" s="432"/>
      <c r="G23" s="432"/>
      <c r="H23" s="432"/>
      <c r="I23" s="434"/>
      <c r="J23" s="435">
        <v>96.0</v>
      </c>
      <c r="K23" s="421"/>
      <c r="L23" s="421"/>
      <c r="M23" s="421"/>
      <c r="N23" s="420" t="s">
        <v>1251</v>
      </c>
      <c r="O23" s="436"/>
      <c r="P23" s="433">
        <v>0.0</v>
      </c>
      <c r="Q23" s="439">
        <v>4.0</v>
      </c>
      <c r="R23" s="437">
        <v>0.0</v>
      </c>
      <c r="S23" s="437">
        <v>0.0</v>
      </c>
      <c r="T23" s="419"/>
      <c r="U23" s="419"/>
      <c r="V23" s="419"/>
    </row>
    <row r="24" ht="17.25" customHeight="1">
      <c r="A24" s="409"/>
      <c r="B24" s="409"/>
      <c r="C24" s="410">
        <v>23.0</v>
      </c>
      <c r="D24" s="425"/>
      <c r="E24" s="426"/>
      <c r="F24" s="425"/>
      <c r="G24" s="425"/>
      <c r="H24" s="425"/>
      <c r="I24" s="428"/>
      <c r="J24" s="429">
        <v>95.0</v>
      </c>
      <c r="K24" s="413"/>
      <c r="L24" s="413"/>
      <c r="M24" s="413"/>
      <c r="N24" s="412" t="s">
        <v>1248</v>
      </c>
      <c r="O24" s="430"/>
      <c r="P24" s="426">
        <v>4.0</v>
      </c>
      <c r="Q24" s="440">
        <v>0.0</v>
      </c>
      <c r="R24" s="431">
        <v>0.0</v>
      </c>
      <c r="S24" s="431">
        <v>0.0</v>
      </c>
      <c r="T24" s="96"/>
      <c r="U24" s="96"/>
      <c r="V24" s="96"/>
    </row>
    <row r="25" ht="17.25" customHeight="1">
      <c r="A25" s="416"/>
      <c r="B25" s="416"/>
      <c r="C25" s="417">
        <v>24.0</v>
      </c>
      <c r="D25" s="432"/>
      <c r="E25" s="433"/>
      <c r="F25" s="432"/>
      <c r="G25" s="432"/>
      <c r="H25" s="432"/>
      <c r="I25" s="434"/>
      <c r="J25" s="435">
        <v>19.0</v>
      </c>
      <c r="K25" s="421"/>
      <c r="L25" s="421"/>
      <c r="M25" s="421"/>
      <c r="N25" s="420" t="s">
        <v>1248</v>
      </c>
      <c r="O25" s="436"/>
      <c r="P25" s="433">
        <v>1.0</v>
      </c>
      <c r="Q25" s="441">
        <v>0.0</v>
      </c>
      <c r="R25" s="437">
        <v>0.0</v>
      </c>
      <c r="S25" s="437">
        <v>0.0</v>
      </c>
      <c r="T25" s="419"/>
      <c r="U25" s="419"/>
      <c r="V25" s="419"/>
    </row>
    <row r="26" ht="17.25" customHeight="1">
      <c r="A26" s="409"/>
      <c r="B26" s="409"/>
      <c r="C26" s="410">
        <v>25.0</v>
      </c>
      <c r="D26" s="425"/>
      <c r="E26" s="426"/>
      <c r="F26" s="425"/>
      <c r="G26" s="425"/>
      <c r="H26" s="425"/>
      <c r="I26" s="428"/>
      <c r="J26" s="429">
        <v>24.0</v>
      </c>
      <c r="K26" s="413"/>
      <c r="L26" s="413"/>
      <c r="M26" s="413"/>
      <c r="N26" s="412" t="s">
        <v>1387</v>
      </c>
      <c r="O26" s="430"/>
      <c r="P26" s="426">
        <v>0.0</v>
      </c>
      <c r="Q26" s="438">
        <v>1.0</v>
      </c>
      <c r="R26" s="431">
        <v>0.0</v>
      </c>
      <c r="S26" s="431">
        <v>0.0</v>
      </c>
      <c r="T26" s="96"/>
      <c r="U26" s="96"/>
      <c r="V26" s="96"/>
    </row>
    <row r="27" ht="17.25" customHeight="1">
      <c r="A27" s="416"/>
      <c r="B27" s="416"/>
      <c r="C27" s="417">
        <v>26.0</v>
      </c>
      <c r="D27" s="432"/>
      <c r="E27" s="432"/>
      <c r="F27" s="432"/>
      <c r="G27" s="432"/>
      <c r="H27" s="432"/>
      <c r="I27" s="434"/>
      <c r="J27" s="435">
        <v>17.0</v>
      </c>
      <c r="K27" s="421"/>
      <c r="L27" s="421"/>
      <c r="M27" s="421"/>
      <c r="N27" s="420" t="s">
        <v>1248</v>
      </c>
      <c r="O27" s="436"/>
      <c r="P27" s="433">
        <v>1.0</v>
      </c>
      <c r="Q27" s="441">
        <v>0.0</v>
      </c>
      <c r="R27" s="437">
        <v>0.0</v>
      </c>
      <c r="S27" s="437">
        <v>0.0</v>
      </c>
      <c r="T27" s="419"/>
      <c r="U27" s="419"/>
      <c r="V27" s="419"/>
    </row>
    <row r="28" ht="17.25" customHeight="1">
      <c r="A28" s="409"/>
      <c r="B28" s="409"/>
      <c r="C28" s="410">
        <v>27.0</v>
      </c>
      <c r="D28" s="425"/>
      <c r="E28" s="442"/>
      <c r="F28" s="425"/>
      <c r="G28" s="425"/>
      <c r="H28" s="425"/>
      <c r="I28" s="428"/>
      <c r="J28" s="429">
        <v>22.0</v>
      </c>
      <c r="K28" s="413"/>
      <c r="L28" s="413"/>
      <c r="M28" s="413"/>
      <c r="N28" s="412" t="s">
        <v>1251</v>
      </c>
      <c r="O28" s="430"/>
      <c r="P28" s="426">
        <v>0.0</v>
      </c>
      <c r="Q28" s="438">
        <v>1.0</v>
      </c>
      <c r="R28" s="431">
        <v>0.0</v>
      </c>
      <c r="S28" s="431">
        <v>0.0</v>
      </c>
      <c r="T28" s="96"/>
      <c r="U28" s="96"/>
      <c r="V28" s="96"/>
    </row>
    <row r="29" ht="17.25" customHeight="1">
      <c r="A29" s="416"/>
      <c r="B29" s="416"/>
      <c r="C29" s="417">
        <v>28.0</v>
      </c>
      <c r="D29" s="432"/>
      <c r="E29" s="433"/>
      <c r="F29" s="432"/>
      <c r="G29" s="432"/>
      <c r="H29" s="443"/>
      <c r="I29" s="434"/>
      <c r="J29" s="435">
        <v>19.0</v>
      </c>
      <c r="K29" s="421"/>
      <c r="L29" s="421"/>
      <c r="M29" s="421"/>
      <c r="N29" s="420"/>
      <c r="O29" s="436"/>
      <c r="P29" s="433">
        <v>1.0</v>
      </c>
      <c r="Q29" s="441">
        <v>0.0</v>
      </c>
      <c r="R29" s="437">
        <v>0.0</v>
      </c>
      <c r="S29" s="437">
        <v>0.0</v>
      </c>
      <c r="T29" s="419"/>
      <c r="U29" s="419"/>
      <c r="V29" s="419"/>
    </row>
    <row r="30" ht="17.25" customHeight="1">
      <c r="A30" s="409"/>
      <c r="B30" s="409"/>
      <c r="C30" s="410">
        <v>29.0</v>
      </c>
      <c r="D30" s="425"/>
      <c r="E30" s="426"/>
      <c r="F30" s="425"/>
      <c r="G30" s="425"/>
      <c r="H30" s="425"/>
      <c r="I30" s="428"/>
      <c r="J30" s="429"/>
      <c r="K30" s="413"/>
      <c r="L30" s="413"/>
      <c r="M30" s="413"/>
      <c r="N30" s="412" t="s">
        <v>1388</v>
      </c>
      <c r="O30" s="430"/>
      <c r="P30" s="426">
        <v>0.0</v>
      </c>
      <c r="Q30" s="440">
        <v>0.0</v>
      </c>
      <c r="R30" s="440">
        <v>0.0</v>
      </c>
      <c r="S30" s="438">
        <v>4.0</v>
      </c>
      <c r="T30" s="96"/>
      <c r="U30" s="96"/>
      <c r="V30" s="96"/>
    </row>
    <row r="31" ht="17.25" customHeight="1">
      <c r="A31" s="416"/>
      <c r="B31" s="416"/>
      <c r="C31" s="417">
        <v>30.0</v>
      </c>
      <c r="D31" s="432"/>
      <c r="E31" s="433"/>
      <c r="F31" s="432"/>
      <c r="G31" s="432"/>
      <c r="H31" s="432"/>
      <c r="I31" s="434"/>
      <c r="J31" s="435">
        <v>47.0</v>
      </c>
      <c r="K31" s="421"/>
      <c r="L31" s="421"/>
      <c r="M31" s="421"/>
      <c r="N31" s="420" t="s">
        <v>1248</v>
      </c>
      <c r="O31" s="436"/>
      <c r="P31" s="433">
        <v>2.0</v>
      </c>
      <c r="Q31" s="441">
        <v>0.0</v>
      </c>
      <c r="R31" s="437">
        <v>0.0</v>
      </c>
      <c r="S31" s="437">
        <v>0.0</v>
      </c>
      <c r="T31" s="419"/>
      <c r="U31" s="419"/>
      <c r="V31" s="419"/>
    </row>
    <row r="32" ht="17.25" customHeight="1">
      <c r="A32" s="409"/>
      <c r="B32" s="409"/>
      <c r="C32" s="410">
        <v>31.0</v>
      </c>
      <c r="D32" s="425"/>
      <c r="E32" s="426"/>
      <c r="F32" s="425"/>
      <c r="G32" s="425"/>
      <c r="H32" s="425"/>
      <c r="I32" s="428"/>
      <c r="J32" s="429">
        <v>27.0</v>
      </c>
      <c r="K32" s="413"/>
      <c r="L32" s="413"/>
      <c r="M32" s="413"/>
      <c r="N32" s="412"/>
      <c r="O32" s="430"/>
      <c r="P32" s="431">
        <v>0.0</v>
      </c>
      <c r="Q32" s="438">
        <v>1.0</v>
      </c>
      <c r="R32" s="431">
        <v>0.0</v>
      </c>
      <c r="S32" s="431">
        <v>0.0</v>
      </c>
      <c r="T32" s="96"/>
      <c r="U32" s="96"/>
      <c r="V32" s="96"/>
    </row>
    <row r="33" ht="17.25" customHeight="1">
      <c r="A33" s="416"/>
      <c r="B33" s="416"/>
      <c r="C33" s="417">
        <v>32.0</v>
      </c>
      <c r="D33" s="432"/>
      <c r="E33" s="433"/>
      <c r="F33" s="432"/>
      <c r="G33" s="432"/>
      <c r="H33" s="432"/>
      <c r="I33" s="434"/>
      <c r="J33" s="444">
        <v>35.0</v>
      </c>
      <c r="K33" s="421"/>
      <c r="L33" s="421"/>
      <c r="M33" s="421"/>
      <c r="N33" s="420"/>
      <c r="O33" s="436"/>
      <c r="P33" s="437">
        <v>0.0</v>
      </c>
      <c r="Q33" s="439">
        <v>1.0</v>
      </c>
      <c r="R33" s="437">
        <v>0.0</v>
      </c>
      <c r="S33" s="437">
        <v>0.0</v>
      </c>
      <c r="T33" s="419"/>
      <c r="U33" s="419"/>
      <c r="V33" s="419"/>
    </row>
    <row r="34" ht="17.25" customHeight="1">
      <c r="A34" s="409"/>
      <c r="B34" s="409"/>
      <c r="C34" s="410">
        <v>33.0</v>
      </c>
      <c r="D34" s="425"/>
      <c r="E34" s="426"/>
      <c r="F34" s="425"/>
      <c r="G34" s="425"/>
      <c r="H34" s="430"/>
      <c r="I34" s="428"/>
      <c r="J34" s="445"/>
      <c r="K34" s="413"/>
      <c r="L34" s="413"/>
      <c r="M34" s="413"/>
      <c r="N34" s="412" t="s">
        <v>1248</v>
      </c>
      <c r="O34" s="425"/>
      <c r="P34" s="426">
        <v>2.0</v>
      </c>
      <c r="Q34" s="431">
        <v>0.0</v>
      </c>
      <c r="R34" s="431">
        <v>0.0</v>
      </c>
      <c r="S34" s="431">
        <v>0.0</v>
      </c>
      <c r="T34" s="96"/>
      <c r="U34" s="96"/>
      <c r="V34" s="96"/>
    </row>
    <row r="35" ht="17.25" customHeight="1">
      <c r="A35" s="416"/>
      <c r="B35" s="416"/>
      <c r="C35" s="417">
        <v>34.0</v>
      </c>
      <c r="D35" s="432"/>
      <c r="E35" s="433"/>
      <c r="F35" s="432"/>
      <c r="G35" s="432"/>
      <c r="H35" s="432"/>
      <c r="I35" s="434"/>
      <c r="J35" s="444">
        <v>20.0</v>
      </c>
      <c r="K35" s="421"/>
      <c r="L35" s="421"/>
      <c r="M35" s="421"/>
      <c r="N35" s="420" t="s">
        <v>1248</v>
      </c>
      <c r="O35" s="436"/>
      <c r="P35" s="433">
        <v>1.0</v>
      </c>
      <c r="Q35" s="437">
        <v>0.0</v>
      </c>
      <c r="R35" s="437">
        <v>0.0</v>
      </c>
      <c r="S35" s="437">
        <v>0.0</v>
      </c>
      <c r="T35" s="419"/>
      <c r="U35" s="419"/>
      <c r="V35" s="419"/>
    </row>
    <row r="36" ht="17.25" customHeight="1">
      <c r="A36" s="409"/>
      <c r="B36" s="409"/>
      <c r="C36" s="410">
        <v>35.0</v>
      </c>
      <c r="D36" s="425"/>
      <c r="E36" s="426"/>
      <c r="F36" s="425"/>
      <c r="G36" s="425"/>
      <c r="H36" s="425"/>
      <c r="I36" s="428"/>
      <c r="J36" s="429">
        <v>60.0</v>
      </c>
      <c r="K36" s="413"/>
      <c r="L36" s="413"/>
      <c r="M36" s="413"/>
      <c r="N36" s="412"/>
      <c r="O36" s="430"/>
      <c r="P36" s="431">
        <v>0.0</v>
      </c>
      <c r="Q36" s="438">
        <v>1.0</v>
      </c>
      <c r="R36" s="431">
        <v>0.0</v>
      </c>
      <c r="S36" s="431">
        <v>0.0</v>
      </c>
      <c r="T36" s="96"/>
      <c r="U36" s="96"/>
      <c r="V36" s="96"/>
    </row>
    <row r="37" ht="17.25" customHeight="1">
      <c r="A37" s="416"/>
      <c r="B37" s="416"/>
      <c r="C37" s="417">
        <v>36.0</v>
      </c>
      <c r="D37" s="432"/>
      <c r="E37" s="433"/>
      <c r="F37" s="432"/>
      <c r="G37" s="432"/>
      <c r="H37" s="436"/>
      <c r="I37" s="434"/>
      <c r="J37" s="435">
        <v>11.0</v>
      </c>
      <c r="K37" s="421"/>
      <c r="L37" s="421"/>
      <c r="M37" s="421"/>
      <c r="N37" s="420"/>
      <c r="O37" s="446"/>
      <c r="P37" s="437">
        <v>0.0</v>
      </c>
      <c r="Q37" s="437">
        <v>0.0</v>
      </c>
      <c r="R37" s="437">
        <v>0.0</v>
      </c>
      <c r="S37" s="437">
        <v>0.0</v>
      </c>
      <c r="T37" s="419"/>
      <c r="U37" s="419"/>
      <c r="V37" s="419"/>
    </row>
    <row r="38" ht="17.25" customHeight="1">
      <c r="A38" s="409"/>
      <c r="B38" s="409"/>
      <c r="C38" s="410">
        <v>37.0</v>
      </c>
      <c r="D38" s="425"/>
      <c r="E38" s="426"/>
      <c r="F38" s="425"/>
      <c r="G38" s="425"/>
      <c r="H38" s="425"/>
      <c r="I38" s="428"/>
      <c r="J38" s="429">
        <v>75.0</v>
      </c>
      <c r="K38" s="413"/>
      <c r="L38" s="413"/>
      <c r="M38" s="413"/>
      <c r="N38" s="412" t="s">
        <v>1248</v>
      </c>
      <c r="O38" s="430"/>
      <c r="P38" s="426">
        <v>2.0</v>
      </c>
      <c r="Q38" s="431">
        <v>0.0</v>
      </c>
      <c r="R38" s="431">
        <v>0.0</v>
      </c>
      <c r="S38" s="431">
        <v>0.0</v>
      </c>
      <c r="T38" s="96"/>
      <c r="U38" s="96"/>
      <c r="V38" s="96"/>
    </row>
    <row r="39" ht="17.25" customHeight="1">
      <c r="A39" s="416"/>
      <c r="B39" s="416"/>
      <c r="C39" s="417">
        <v>38.0</v>
      </c>
      <c r="D39" s="432"/>
      <c r="E39" s="433"/>
      <c r="F39" s="443"/>
      <c r="G39" s="432"/>
      <c r="H39" s="432"/>
      <c r="I39" s="434"/>
      <c r="J39" s="444">
        <v>21.0</v>
      </c>
      <c r="K39" s="421"/>
      <c r="L39" s="421"/>
      <c r="M39" s="421"/>
      <c r="N39" s="420" t="s">
        <v>1251</v>
      </c>
      <c r="O39" s="436"/>
      <c r="P39" s="437">
        <v>0.0</v>
      </c>
      <c r="Q39" s="439">
        <v>1.0</v>
      </c>
      <c r="R39" s="437">
        <v>0.0</v>
      </c>
      <c r="S39" s="437">
        <v>0.0</v>
      </c>
      <c r="T39" s="419"/>
      <c r="U39" s="419"/>
      <c r="V39" s="419"/>
    </row>
    <row r="40" ht="17.25" customHeight="1">
      <c r="A40" s="409"/>
      <c r="B40" s="409"/>
      <c r="C40" s="410">
        <v>39.0</v>
      </c>
      <c r="D40" s="425"/>
      <c r="E40" s="426"/>
      <c r="F40" s="425"/>
      <c r="G40" s="425"/>
      <c r="H40" s="425"/>
      <c r="I40" s="428"/>
      <c r="J40" s="429">
        <v>20.0</v>
      </c>
      <c r="K40" s="413"/>
      <c r="L40" s="413"/>
      <c r="M40" s="413"/>
      <c r="N40" s="412" t="s">
        <v>1248</v>
      </c>
      <c r="O40" s="430"/>
      <c r="P40" s="426">
        <v>1.0</v>
      </c>
      <c r="Q40" s="431">
        <v>0.0</v>
      </c>
      <c r="R40" s="431">
        <v>0.0</v>
      </c>
      <c r="S40" s="431">
        <v>0.0</v>
      </c>
      <c r="T40" s="96"/>
      <c r="U40" s="96"/>
      <c r="V40" s="96"/>
    </row>
    <row r="41" ht="17.25" customHeight="1">
      <c r="A41" s="416"/>
      <c r="B41" s="416"/>
      <c r="C41" s="417">
        <v>40.0</v>
      </c>
      <c r="D41" s="432"/>
      <c r="E41" s="433"/>
      <c r="F41" s="432"/>
      <c r="G41" s="432"/>
      <c r="H41" s="432"/>
      <c r="I41" s="434"/>
      <c r="J41" s="435">
        <v>20.0</v>
      </c>
      <c r="K41" s="421"/>
      <c r="L41" s="421"/>
      <c r="M41" s="421"/>
      <c r="N41" s="420" t="s">
        <v>1273</v>
      </c>
      <c r="O41" s="436"/>
      <c r="P41" s="437">
        <v>0.0</v>
      </c>
      <c r="Q41" s="437">
        <v>0.0</v>
      </c>
      <c r="R41" s="439">
        <v>1.0</v>
      </c>
      <c r="S41" s="437">
        <v>0.0</v>
      </c>
      <c r="T41" s="419"/>
      <c r="U41" s="419"/>
      <c r="V41" s="419"/>
    </row>
    <row r="42" ht="17.25" customHeight="1">
      <c r="A42" s="409"/>
      <c r="B42" s="409"/>
      <c r="C42" s="410">
        <v>41.0</v>
      </c>
      <c r="D42" s="447"/>
      <c r="E42" s="426"/>
      <c r="F42" s="447"/>
      <c r="G42" s="425"/>
      <c r="H42" s="425"/>
      <c r="I42" s="428"/>
      <c r="J42" s="445">
        <v>20.0</v>
      </c>
      <c r="K42" s="413"/>
      <c r="L42" s="413"/>
      <c r="M42" s="413"/>
      <c r="N42" s="412" t="s">
        <v>1248</v>
      </c>
      <c r="O42" s="430"/>
      <c r="P42" s="426">
        <v>1.0</v>
      </c>
      <c r="Q42" s="431">
        <v>0.0</v>
      </c>
      <c r="R42" s="431">
        <v>0.0</v>
      </c>
      <c r="S42" s="431">
        <v>0.0</v>
      </c>
      <c r="T42" s="96"/>
      <c r="U42" s="96"/>
      <c r="V42" s="96"/>
    </row>
    <row r="43" ht="17.25" customHeight="1">
      <c r="A43" s="416"/>
      <c r="B43" s="416"/>
      <c r="C43" s="417">
        <v>42.0</v>
      </c>
      <c r="D43" s="432"/>
      <c r="E43" s="433"/>
      <c r="F43" s="432"/>
      <c r="G43" s="432"/>
      <c r="H43" s="443"/>
      <c r="I43" s="434"/>
      <c r="J43" s="444">
        <v>50.0</v>
      </c>
      <c r="K43" s="421"/>
      <c r="L43" s="421"/>
      <c r="M43" s="421"/>
      <c r="N43" s="420" t="s">
        <v>1248</v>
      </c>
      <c r="O43" s="436"/>
      <c r="P43" s="433">
        <v>2.0</v>
      </c>
      <c r="Q43" s="437">
        <v>0.0</v>
      </c>
      <c r="R43" s="437">
        <v>0.0</v>
      </c>
      <c r="S43" s="437">
        <v>0.0</v>
      </c>
      <c r="T43" s="419"/>
      <c r="U43" s="419"/>
      <c r="V43" s="419"/>
    </row>
    <row r="44" ht="17.25" customHeight="1">
      <c r="A44" s="409"/>
      <c r="B44" s="409"/>
      <c r="C44" s="410">
        <v>43.0</v>
      </c>
      <c r="D44" s="447"/>
      <c r="E44" s="447"/>
      <c r="F44" s="447"/>
      <c r="G44" s="425"/>
      <c r="H44" s="430"/>
      <c r="I44" s="428"/>
      <c r="J44" s="445">
        <v>90.0</v>
      </c>
      <c r="K44" s="413"/>
      <c r="L44" s="413"/>
      <c r="M44" s="413"/>
      <c r="N44" s="412" t="s">
        <v>1248</v>
      </c>
      <c r="O44" s="448"/>
      <c r="P44" s="426">
        <v>2.0</v>
      </c>
      <c r="Q44" s="431">
        <v>0.0</v>
      </c>
      <c r="R44" s="431">
        <v>0.0</v>
      </c>
      <c r="S44" s="431">
        <v>0.0</v>
      </c>
      <c r="T44" s="96"/>
      <c r="U44" s="96"/>
      <c r="V44" s="96"/>
    </row>
    <row r="45" ht="17.25" customHeight="1">
      <c r="A45" s="416"/>
      <c r="B45" s="416"/>
      <c r="C45" s="417">
        <v>44.0</v>
      </c>
      <c r="D45" s="443"/>
      <c r="E45" s="449"/>
      <c r="F45" s="443"/>
      <c r="G45" s="432"/>
      <c r="H45" s="432"/>
      <c r="I45" s="434"/>
      <c r="J45" s="444">
        <v>21.0</v>
      </c>
      <c r="K45" s="421"/>
      <c r="L45" s="421"/>
      <c r="M45" s="421"/>
      <c r="N45" s="420" t="s">
        <v>1248</v>
      </c>
      <c r="O45" s="436"/>
      <c r="P45" s="433">
        <v>1.0</v>
      </c>
      <c r="Q45" s="437">
        <v>0.0</v>
      </c>
      <c r="R45" s="437">
        <v>0.0</v>
      </c>
      <c r="S45" s="437">
        <v>0.0</v>
      </c>
      <c r="T45" s="419"/>
      <c r="U45" s="419"/>
      <c r="V45" s="419"/>
    </row>
    <row r="46" ht="17.25" customHeight="1">
      <c r="A46" s="409"/>
      <c r="B46" s="409"/>
      <c r="C46" s="410">
        <v>45.0</v>
      </c>
      <c r="D46" s="425"/>
      <c r="E46" s="442"/>
      <c r="F46" s="425"/>
      <c r="G46" s="425"/>
      <c r="I46" s="428"/>
      <c r="J46" s="445">
        <v>30.0</v>
      </c>
      <c r="K46" s="413"/>
      <c r="L46" s="413"/>
      <c r="M46" s="413"/>
      <c r="N46" s="412" t="s">
        <v>1248</v>
      </c>
      <c r="O46" s="430"/>
      <c r="P46" s="426">
        <v>1.0</v>
      </c>
      <c r="Q46" s="431">
        <v>0.0</v>
      </c>
      <c r="R46" s="431">
        <v>0.0</v>
      </c>
      <c r="S46" s="431">
        <v>0.0</v>
      </c>
      <c r="T46" s="96"/>
      <c r="U46" s="96"/>
      <c r="V46" s="96"/>
    </row>
    <row r="47" ht="17.25" customHeight="1">
      <c r="A47" s="416"/>
      <c r="B47" s="416"/>
      <c r="C47" s="417">
        <v>46.0</v>
      </c>
      <c r="D47" s="432"/>
      <c r="E47" s="449"/>
      <c r="F47" s="432"/>
      <c r="G47" s="432"/>
      <c r="H47" s="432"/>
      <c r="I47" s="434"/>
      <c r="J47" s="435">
        <v>40.0</v>
      </c>
      <c r="K47" s="421"/>
      <c r="L47" s="421"/>
      <c r="M47" s="421"/>
      <c r="N47" s="420" t="s">
        <v>1248</v>
      </c>
      <c r="O47" s="436"/>
      <c r="P47" s="433">
        <v>2.0</v>
      </c>
      <c r="Q47" s="437">
        <v>0.0</v>
      </c>
      <c r="R47" s="437">
        <v>0.0</v>
      </c>
      <c r="S47" s="437">
        <v>0.0</v>
      </c>
      <c r="T47" s="419"/>
      <c r="U47" s="419"/>
      <c r="V47" s="419"/>
    </row>
    <row r="48" ht="17.25" customHeight="1">
      <c r="A48" s="409"/>
      <c r="B48" s="409"/>
      <c r="C48" s="410">
        <v>47.0</v>
      </c>
      <c r="D48" s="425"/>
      <c r="E48" s="442"/>
      <c r="F48" s="425"/>
      <c r="G48" s="425"/>
      <c r="H48" s="425"/>
      <c r="I48" s="428"/>
      <c r="J48" s="445">
        <v>50.0</v>
      </c>
      <c r="K48" s="413"/>
      <c r="L48" s="413"/>
      <c r="M48" s="413"/>
      <c r="N48" s="412" t="s">
        <v>1251</v>
      </c>
      <c r="O48" s="430"/>
      <c r="P48" s="431">
        <v>0.0</v>
      </c>
      <c r="Q48" s="438">
        <v>2.0</v>
      </c>
      <c r="R48" s="431">
        <v>0.0</v>
      </c>
      <c r="S48" s="431">
        <v>0.0</v>
      </c>
      <c r="T48" s="96"/>
      <c r="U48" s="96"/>
      <c r="V48" s="96"/>
    </row>
    <row r="49" ht="17.25" customHeight="1">
      <c r="A49" s="416"/>
      <c r="B49" s="416"/>
      <c r="C49" s="417">
        <v>48.0</v>
      </c>
      <c r="D49" s="432"/>
      <c r="E49" s="449"/>
      <c r="F49" s="432"/>
      <c r="G49" s="432"/>
      <c r="H49" s="432"/>
      <c r="I49" s="434"/>
      <c r="J49" s="444">
        <v>70.0</v>
      </c>
      <c r="K49" s="421"/>
      <c r="L49" s="421"/>
      <c r="M49" s="421"/>
      <c r="N49" s="420"/>
      <c r="O49" s="436"/>
      <c r="P49" s="437">
        <v>0.0</v>
      </c>
      <c r="Q49" s="437">
        <v>0.0</v>
      </c>
      <c r="R49" s="437">
        <v>0.0</v>
      </c>
      <c r="S49" s="437">
        <v>0.0</v>
      </c>
      <c r="T49" s="419"/>
      <c r="U49" s="419"/>
      <c r="V49" s="419"/>
    </row>
    <row r="50" ht="17.25" customHeight="1">
      <c r="A50" s="409"/>
      <c r="B50" s="409"/>
      <c r="C50" s="410">
        <v>49.0</v>
      </c>
      <c r="D50" s="425"/>
      <c r="E50" s="442"/>
      <c r="F50" s="425"/>
      <c r="G50" s="425"/>
      <c r="H50" s="425"/>
      <c r="I50" s="428"/>
      <c r="J50" s="445">
        <v>20.0</v>
      </c>
      <c r="K50" s="413"/>
      <c r="L50" s="413"/>
      <c r="M50" s="413"/>
      <c r="N50" s="412" t="s">
        <v>1248</v>
      </c>
      <c r="O50" s="430"/>
      <c r="P50" s="426">
        <v>1.0</v>
      </c>
      <c r="Q50" s="431">
        <v>0.0</v>
      </c>
      <c r="R50" s="431">
        <v>0.0</v>
      </c>
      <c r="S50" s="431">
        <v>0.0</v>
      </c>
      <c r="T50" s="96"/>
      <c r="U50" s="96"/>
      <c r="V50" s="96"/>
    </row>
    <row r="51" ht="17.25" customHeight="1">
      <c r="A51" s="416"/>
      <c r="B51" s="416"/>
      <c r="C51" s="417">
        <v>50.0</v>
      </c>
      <c r="D51" s="443"/>
      <c r="E51" s="449"/>
      <c r="F51" s="443"/>
      <c r="G51" s="443"/>
      <c r="H51" s="436"/>
      <c r="I51" s="450"/>
      <c r="J51" s="444">
        <v>550.0</v>
      </c>
      <c r="K51" s="421"/>
      <c r="L51" s="421"/>
      <c r="M51" s="421"/>
      <c r="N51" s="420" t="s">
        <v>1248</v>
      </c>
      <c r="O51" s="446"/>
      <c r="P51" s="433">
        <v>14.0</v>
      </c>
      <c r="Q51" s="437">
        <v>0.0</v>
      </c>
      <c r="R51" s="437">
        <v>0.0</v>
      </c>
      <c r="S51" s="437">
        <v>0.0</v>
      </c>
      <c r="T51" s="419"/>
      <c r="U51" s="419"/>
      <c r="V51" s="419"/>
    </row>
    <row r="52" ht="17.25" customHeight="1">
      <c r="A52" s="409"/>
      <c r="B52" s="409"/>
      <c r="C52" s="410">
        <v>51.0</v>
      </c>
      <c r="D52" s="447"/>
      <c r="E52" s="442"/>
      <c r="F52" s="447"/>
      <c r="G52" s="447"/>
      <c r="H52" s="447"/>
      <c r="I52" s="451"/>
      <c r="J52" s="445">
        <v>20.0</v>
      </c>
      <c r="K52" s="413"/>
      <c r="L52" s="413"/>
      <c r="M52" s="413"/>
      <c r="N52" s="412" t="s">
        <v>1251</v>
      </c>
      <c r="O52" s="430"/>
      <c r="P52" s="431">
        <v>0.0</v>
      </c>
      <c r="Q52" s="438">
        <v>1.0</v>
      </c>
      <c r="R52" s="431">
        <v>0.0</v>
      </c>
      <c r="S52" s="431">
        <v>0.0</v>
      </c>
      <c r="T52" s="96"/>
      <c r="U52" s="96"/>
      <c r="V52" s="96"/>
    </row>
    <row r="53" ht="17.25" customHeight="1">
      <c r="A53" s="416"/>
      <c r="B53" s="416"/>
      <c r="C53" s="417">
        <v>52.0</v>
      </c>
      <c r="D53" s="443"/>
      <c r="E53" s="449"/>
      <c r="F53" s="443"/>
      <c r="G53" s="443"/>
      <c r="H53" s="443"/>
      <c r="I53" s="450"/>
      <c r="J53" s="444">
        <v>35.0</v>
      </c>
      <c r="K53" s="421"/>
      <c r="L53" s="421"/>
      <c r="M53" s="421"/>
      <c r="N53" s="420" t="s">
        <v>1248</v>
      </c>
      <c r="O53" s="436"/>
      <c r="P53" s="449">
        <v>1.0</v>
      </c>
      <c r="Q53" s="437">
        <v>0.0</v>
      </c>
      <c r="R53" s="437">
        <v>0.0</v>
      </c>
      <c r="S53" s="437">
        <v>0.0</v>
      </c>
      <c r="T53" s="419"/>
      <c r="U53" s="419"/>
      <c r="V53" s="419"/>
    </row>
    <row r="54" ht="17.25" customHeight="1">
      <c r="A54" s="409"/>
      <c r="B54" s="409"/>
      <c r="C54" s="410">
        <v>53.0</v>
      </c>
      <c r="D54" s="447"/>
      <c r="E54" s="426"/>
      <c r="F54" s="447"/>
      <c r="G54" s="447"/>
      <c r="H54" s="447"/>
      <c r="I54" s="451"/>
      <c r="J54" s="445">
        <v>26.0</v>
      </c>
      <c r="K54" s="413"/>
      <c r="L54" s="413"/>
      <c r="M54" s="413"/>
      <c r="N54" s="412" t="s">
        <v>1248</v>
      </c>
      <c r="O54" s="430"/>
      <c r="P54" s="426">
        <v>1.0</v>
      </c>
      <c r="Q54" s="431">
        <v>0.0</v>
      </c>
      <c r="R54" s="431">
        <v>0.0</v>
      </c>
      <c r="S54" s="431">
        <v>0.0</v>
      </c>
      <c r="T54" s="96"/>
      <c r="U54" s="96"/>
      <c r="V54" s="96"/>
    </row>
    <row r="55" ht="17.25" customHeight="1">
      <c r="A55" s="416"/>
      <c r="B55" s="416"/>
      <c r="C55" s="417">
        <v>54.0</v>
      </c>
      <c r="D55" s="432"/>
      <c r="E55" s="433"/>
      <c r="F55" s="432"/>
      <c r="G55" s="432"/>
      <c r="H55" s="432"/>
      <c r="I55" s="434"/>
      <c r="J55" s="435">
        <v>33.0</v>
      </c>
      <c r="K55" s="421"/>
      <c r="L55" s="421"/>
      <c r="M55" s="421"/>
      <c r="N55" s="420" t="s">
        <v>1248</v>
      </c>
      <c r="O55" s="436"/>
      <c r="P55" s="433">
        <v>1.0</v>
      </c>
      <c r="Q55" s="437">
        <v>0.0</v>
      </c>
      <c r="R55" s="437">
        <v>0.0</v>
      </c>
      <c r="S55" s="437">
        <v>0.0</v>
      </c>
      <c r="T55" s="419"/>
      <c r="U55" s="419"/>
      <c r="V55" s="419"/>
    </row>
    <row r="56" ht="17.25" customHeight="1">
      <c r="A56" s="409"/>
      <c r="B56" s="409"/>
      <c r="C56" s="410">
        <v>55.0</v>
      </c>
      <c r="D56" s="447"/>
      <c r="E56" s="447"/>
      <c r="F56" s="430"/>
      <c r="G56" s="452"/>
      <c r="H56" s="453"/>
      <c r="I56" s="454"/>
      <c r="J56" s="445">
        <v>40.0</v>
      </c>
      <c r="K56" s="413"/>
      <c r="L56" s="413"/>
      <c r="M56" s="413"/>
      <c r="N56" s="412" t="s">
        <v>1248</v>
      </c>
      <c r="O56" s="430"/>
      <c r="P56" s="455">
        <v>2.0</v>
      </c>
      <c r="Q56" s="431">
        <v>0.0</v>
      </c>
      <c r="R56" s="431">
        <v>0.0</v>
      </c>
      <c r="S56" s="431">
        <v>0.0</v>
      </c>
      <c r="T56" s="96"/>
      <c r="U56" s="96"/>
      <c r="V56" s="96"/>
    </row>
    <row r="57" ht="17.25" customHeight="1">
      <c r="A57" s="456"/>
      <c r="B57" s="457"/>
      <c r="C57" s="417">
        <v>56.0</v>
      </c>
      <c r="D57" s="458"/>
      <c r="E57" s="458"/>
      <c r="F57" s="458"/>
      <c r="G57" s="459"/>
      <c r="H57" s="458"/>
      <c r="I57" s="460"/>
      <c r="J57" s="461">
        <v>25.0</v>
      </c>
      <c r="K57" s="421"/>
      <c r="L57" s="421"/>
      <c r="M57" s="421"/>
      <c r="N57" s="420" t="s">
        <v>1248</v>
      </c>
      <c r="O57" s="436"/>
      <c r="P57" s="462">
        <v>1.0</v>
      </c>
      <c r="Q57" s="436">
        <v>0.0</v>
      </c>
      <c r="R57" s="436">
        <v>0.0</v>
      </c>
      <c r="S57" s="436">
        <v>0.0</v>
      </c>
      <c r="T57" s="419"/>
      <c r="U57" s="419"/>
      <c r="V57" s="419"/>
    </row>
    <row r="58" ht="17.25" customHeight="1">
      <c r="A58" s="409"/>
      <c r="B58" s="409"/>
      <c r="C58" s="410">
        <v>57.0</v>
      </c>
      <c r="D58" s="452"/>
      <c r="E58" s="452"/>
      <c r="F58" s="452"/>
      <c r="G58" s="463"/>
      <c r="H58" s="452"/>
      <c r="I58" s="454"/>
      <c r="J58" s="464">
        <v>20.0</v>
      </c>
      <c r="K58" s="413"/>
      <c r="L58" s="413"/>
      <c r="M58" s="413"/>
      <c r="N58" s="412"/>
      <c r="O58" s="430"/>
      <c r="P58" s="455">
        <v>0.0</v>
      </c>
      <c r="Q58" s="430">
        <v>0.0</v>
      </c>
      <c r="R58" s="430">
        <v>1.0</v>
      </c>
      <c r="S58" s="430">
        <v>0.0</v>
      </c>
      <c r="T58" s="96"/>
      <c r="U58" s="96"/>
      <c r="V58" s="96"/>
    </row>
    <row r="59" ht="17.25" customHeight="1">
      <c r="A59" s="416"/>
      <c r="B59" s="416"/>
      <c r="C59" s="417">
        <v>58.0</v>
      </c>
      <c r="D59" s="458"/>
      <c r="E59" s="458"/>
      <c r="F59" s="458"/>
      <c r="G59" s="459"/>
      <c r="H59" s="458"/>
      <c r="I59" s="460"/>
      <c r="J59" s="461">
        <v>60.0</v>
      </c>
      <c r="K59" s="421"/>
      <c r="L59" s="421"/>
      <c r="M59" s="421"/>
      <c r="N59" s="420" t="s">
        <v>1248</v>
      </c>
      <c r="O59" s="436"/>
      <c r="P59" s="462">
        <v>3.0</v>
      </c>
      <c r="Q59" s="436">
        <v>0.0</v>
      </c>
      <c r="R59" s="436">
        <v>0.0</v>
      </c>
      <c r="S59" s="436">
        <v>0.0</v>
      </c>
      <c r="T59" s="419"/>
      <c r="U59" s="419"/>
      <c r="V59" s="419"/>
    </row>
    <row r="60" ht="17.25" customHeight="1">
      <c r="A60" s="409"/>
      <c r="B60" s="409"/>
      <c r="C60" s="410">
        <v>59.0</v>
      </c>
      <c r="D60" s="452"/>
      <c r="E60" s="452"/>
      <c r="F60" s="452"/>
      <c r="G60" s="463"/>
      <c r="H60" s="452"/>
      <c r="I60" s="454"/>
      <c r="J60" s="464">
        <v>0.0</v>
      </c>
      <c r="K60" s="413"/>
      <c r="L60" s="413"/>
      <c r="M60" s="413"/>
      <c r="N60" s="412" t="s">
        <v>1248</v>
      </c>
      <c r="O60" s="465"/>
      <c r="P60" s="455">
        <v>1.0</v>
      </c>
      <c r="Q60" s="430">
        <v>0.0</v>
      </c>
      <c r="R60" s="430">
        <v>0.0</v>
      </c>
      <c r="S60" s="430">
        <v>0.0</v>
      </c>
      <c r="T60" s="96"/>
      <c r="U60" s="96"/>
      <c r="V60" s="96"/>
    </row>
    <row r="61" ht="17.25" customHeight="1">
      <c r="A61" s="416"/>
      <c r="B61" s="416"/>
      <c r="C61" s="417">
        <v>60.0</v>
      </c>
      <c r="D61" s="458"/>
      <c r="E61" s="458"/>
      <c r="F61" s="458"/>
      <c r="G61" s="459"/>
      <c r="H61" s="458"/>
      <c r="I61" s="460"/>
      <c r="J61" s="461">
        <v>40.0</v>
      </c>
      <c r="K61" s="421"/>
      <c r="L61" s="421"/>
      <c r="M61" s="421"/>
      <c r="N61" s="420" t="s">
        <v>1251</v>
      </c>
      <c r="O61" s="436"/>
      <c r="P61" s="437">
        <v>0.0</v>
      </c>
      <c r="Q61" s="436">
        <v>2.0</v>
      </c>
      <c r="R61" s="437">
        <v>0.0</v>
      </c>
      <c r="S61" s="437">
        <v>0.0</v>
      </c>
      <c r="T61" s="419"/>
      <c r="U61" s="419"/>
      <c r="V61" s="419"/>
    </row>
    <row r="62" ht="17.25" customHeight="1">
      <c r="A62" s="409"/>
      <c r="B62" s="409"/>
      <c r="C62" s="410">
        <v>61.0</v>
      </c>
      <c r="D62" s="466"/>
      <c r="E62" s="452"/>
      <c r="F62" s="452"/>
      <c r="G62" s="463"/>
      <c r="H62" s="452"/>
      <c r="I62" s="454"/>
      <c r="J62" s="464">
        <v>40.0</v>
      </c>
      <c r="K62" s="413"/>
      <c r="L62" s="413"/>
      <c r="M62" s="413"/>
      <c r="N62" s="412" t="s">
        <v>1251</v>
      </c>
      <c r="O62" s="430"/>
      <c r="P62" s="455">
        <v>0.0</v>
      </c>
      <c r="Q62" s="430">
        <v>2.0</v>
      </c>
      <c r="R62" s="430">
        <v>0.0</v>
      </c>
      <c r="S62" s="430">
        <v>0.0</v>
      </c>
      <c r="T62" s="96"/>
      <c r="U62" s="96"/>
      <c r="V62" s="96"/>
    </row>
    <row r="63" ht="17.25" customHeight="1">
      <c r="A63" s="416"/>
      <c r="B63" s="416"/>
      <c r="C63" s="417">
        <v>62.0</v>
      </c>
      <c r="D63" s="458"/>
      <c r="E63" s="458"/>
      <c r="F63" s="458"/>
      <c r="G63" s="459"/>
      <c r="H63" s="458"/>
      <c r="I63" s="460"/>
      <c r="J63" s="461">
        <v>20.0</v>
      </c>
      <c r="K63" s="421"/>
      <c r="L63" s="421"/>
      <c r="M63" s="421"/>
      <c r="N63" s="420" t="s">
        <v>1248</v>
      </c>
      <c r="O63" s="436"/>
      <c r="P63" s="462">
        <v>1.0</v>
      </c>
      <c r="Q63" s="436">
        <v>0.0</v>
      </c>
      <c r="R63" s="436">
        <v>0.0</v>
      </c>
      <c r="S63" s="436">
        <v>0.0</v>
      </c>
      <c r="T63" s="419"/>
      <c r="U63" s="419"/>
      <c r="V63" s="419"/>
    </row>
    <row r="64" ht="17.25" customHeight="1">
      <c r="A64" s="409"/>
      <c r="B64" s="409"/>
      <c r="C64" s="410">
        <v>63.0</v>
      </c>
      <c r="D64" s="452"/>
      <c r="E64" s="452"/>
      <c r="F64" s="452"/>
      <c r="G64" s="463"/>
      <c r="H64" s="452"/>
      <c r="I64" s="454"/>
      <c r="J64" s="464">
        <v>20.0</v>
      </c>
      <c r="K64" s="413"/>
      <c r="L64" s="413"/>
      <c r="M64" s="413"/>
      <c r="N64" s="412" t="s">
        <v>1248</v>
      </c>
      <c r="O64" s="465"/>
      <c r="P64" s="455">
        <v>1.0</v>
      </c>
      <c r="Q64" s="430">
        <v>0.0</v>
      </c>
      <c r="R64" s="430">
        <v>0.0</v>
      </c>
      <c r="S64" s="430">
        <v>0.0</v>
      </c>
      <c r="T64" s="96"/>
      <c r="U64" s="96"/>
      <c r="V64" s="96"/>
    </row>
    <row r="65" ht="17.25" customHeight="1">
      <c r="A65" s="416"/>
      <c r="B65" s="416"/>
      <c r="C65" s="417">
        <v>64.0</v>
      </c>
      <c r="D65" s="458"/>
      <c r="E65" s="458"/>
      <c r="F65" s="458"/>
      <c r="G65" s="459"/>
      <c r="H65" s="458"/>
      <c r="I65" s="460"/>
      <c r="J65" s="461">
        <v>23.0</v>
      </c>
      <c r="K65" s="421"/>
      <c r="L65" s="421"/>
      <c r="M65" s="421"/>
      <c r="N65" s="420" t="s">
        <v>1251</v>
      </c>
      <c r="O65" s="436"/>
      <c r="P65" s="437">
        <v>0.0</v>
      </c>
      <c r="Q65" s="436">
        <v>1.0</v>
      </c>
      <c r="R65" s="437">
        <v>0.0</v>
      </c>
      <c r="S65" s="437">
        <v>0.0</v>
      </c>
      <c r="T65" s="419"/>
      <c r="U65" s="419"/>
      <c r="V65" s="419"/>
    </row>
    <row r="66" ht="17.25" customHeight="1">
      <c r="A66" s="409"/>
      <c r="B66" s="409"/>
      <c r="C66" s="410">
        <v>65.0</v>
      </c>
      <c r="D66" s="452"/>
      <c r="E66" s="96"/>
      <c r="F66" s="452"/>
      <c r="G66" s="463"/>
      <c r="H66" s="452"/>
      <c r="I66" s="454"/>
      <c r="J66" s="464">
        <v>25.0</v>
      </c>
      <c r="K66" s="413"/>
      <c r="L66" s="413"/>
      <c r="M66" s="413"/>
      <c r="N66" s="412" t="s">
        <v>1248</v>
      </c>
      <c r="O66" s="463"/>
      <c r="P66" s="455">
        <v>1.0</v>
      </c>
      <c r="Q66" s="430">
        <v>0.0</v>
      </c>
      <c r="R66" s="430">
        <v>0.0</v>
      </c>
      <c r="S66" s="430">
        <v>0.0</v>
      </c>
      <c r="T66" s="96"/>
      <c r="U66" s="96"/>
      <c r="V66" s="96"/>
    </row>
    <row r="67" ht="17.25" customHeight="1">
      <c r="A67" s="416"/>
      <c r="B67" s="416"/>
      <c r="C67" s="417">
        <v>66.0</v>
      </c>
      <c r="D67" s="458"/>
      <c r="E67" s="419"/>
      <c r="F67" s="458"/>
      <c r="G67" s="459"/>
      <c r="H67" s="458"/>
      <c r="I67" s="460"/>
      <c r="J67" s="461">
        <v>22.0</v>
      </c>
      <c r="K67" s="421"/>
      <c r="L67" s="421"/>
      <c r="M67" s="421"/>
      <c r="N67" s="420" t="s">
        <v>1248</v>
      </c>
      <c r="O67" s="436"/>
      <c r="P67" s="462">
        <v>1.0</v>
      </c>
      <c r="Q67" s="436">
        <v>0.0</v>
      </c>
      <c r="R67" s="436">
        <v>0.0</v>
      </c>
      <c r="S67" s="436">
        <v>0.0</v>
      </c>
      <c r="T67" s="419"/>
      <c r="U67" s="419"/>
      <c r="V67" s="419"/>
    </row>
    <row r="68" ht="17.25" customHeight="1">
      <c r="A68" s="409"/>
      <c r="B68" s="409"/>
      <c r="C68" s="410">
        <v>67.0</v>
      </c>
      <c r="D68" s="452"/>
      <c r="E68" s="96"/>
      <c r="F68" s="452"/>
      <c r="G68" s="463"/>
      <c r="H68" s="452"/>
      <c r="I68" s="454"/>
      <c r="J68" s="464">
        <v>59.0</v>
      </c>
      <c r="K68" s="413"/>
      <c r="L68" s="413"/>
      <c r="M68" s="413"/>
      <c r="N68" s="412" t="s">
        <v>1248</v>
      </c>
      <c r="O68" s="430"/>
      <c r="P68" s="455">
        <v>3.0</v>
      </c>
      <c r="Q68" s="430">
        <v>0.0</v>
      </c>
      <c r="R68" s="430">
        <v>0.0</v>
      </c>
      <c r="S68" s="430">
        <v>0.0</v>
      </c>
      <c r="T68" s="96"/>
      <c r="U68" s="96"/>
      <c r="V68" s="96"/>
    </row>
    <row r="69" ht="17.25" customHeight="1">
      <c r="A69" s="416"/>
      <c r="B69" s="416"/>
      <c r="C69" s="417">
        <v>68.0</v>
      </c>
      <c r="D69" s="458"/>
      <c r="E69" s="419"/>
      <c r="F69" s="458"/>
      <c r="G69" s="459"/>
      <c r="H69" s="458"/>
      <c r="I69" s="460"/>
      <c r="J69" s="461">
        <v>30.0</v>
      </c>
      <c r="K69" s="421"/>
      <c r="L69" s="421"/>
      <c r="M69" s="421"/>
      <c r="N69" s="420"/>
      <c r="O69" s="436"/>
      <c r="P69" s="462">
        <v>0.0</v>
      </c>
      <c r="Q69" s="436">
        <v>0.0</v>
      </c>
      <c r="R69" s="436">
        <v>0.0</v>
      </c>
      <c r="S69" s="436">
        <v>0.0</v>
      </c>
      <c r="T69" s="419"/>
      <c r="U69" s="419"/>
      <c r="V69" s="419"/>
    </row>
    <row r="70" ht="17.25" customHeight="1">
      <c r="A70" s="409"/>
      <c r="B70" s="409"/>
      <c r="C70" s="410">
        <v>69.0</v>
      </c>
      <c r="D70" s="452"/>
      <c r="E70" s="96"/>
      <c r="F70" s="452"/>
      <c r="G70" s="463"/>
      <c r="H70" s="452"/>
      <c r="I70" s="454"/>
      <c r="J70" s="464">
        <v>20.0</v>
      </c>
      <c r="K70" s="413"/>
      <c r="L70" s="413"/>
      <c r="M70" s="413"/>
      <c r="N70" s="412" t="s">
        <v>1248</v>
      </c>
      <c r="O70" s="430"/>
      <c r="P70" s="455">
        <v>1.0</v>
      </c>
      <c r="Q70" s="430">
        <v>0.0</v>
      </c>
      <c r="R70" s="430">
        <v>0.0</v>
      </c>
      <c r="S70" s="430">
        <v>0.0</v>
      </c>
      <c r="T70" s="96"/>
      <c r="U70" s="96"/>
      <c r="V70" s="96"/>
    </row>
    <row r="71" ht="17.25" customHeight="1">
      <c r="A71" s="416"/>
      <c r="B71" s="416"/>
      <c r="C71" s="417">
        <v>70.0</v>
      </c>
      <c r="D71" s="443"/>
      <c r="E71" s="419"/>
      <c r="F71" s="443"/>
      <c r="G71" s="432"/>
      <c r="H71" s="467"/>
      <c r="I71" s="434"/>
      <c r="J71" s="461">
        <v>43.0</v>
      </c>
      <c r="K71" s="421"/>
      <c r="L71" s="421"/>
      <c r="M71" s="421"/>
      <c r="N71" s="420" t="s">
        <v>1251</v>
      </c>
      <c r="O71" s="436"/>
      <c r="P71" s="462">
        <v>0.0</v>
      </c>
      <c r="Q71" s="436">
        <v>2.0</v>
      </c>
      <c r="R71" s="436">
        <v>0.0</v>
      </c>
      <c r="S71" s="436">
        <v>0.0</v>
      </c>
      <c r="T71" s="419"/>
      <c r="U71" s="419"/>
      <c r="V71" s="419"/>
    </row>
    <row r="72" ht="17.25" customHeight="1">
      <c r="A72" s="409"/>
      <c r="B72" s="409"/>
      <c r="C72" s="410">
        <v>71.0</v>
      </c>
      <c r="D72" s="452"/>
      <c r="E72" s="96"/>
      <c r="F72" s="452"/>
      <c r="G72" s="463"/>
      <c r="H72" s="452"/>
      <c r="I72" s="454"/>
      <c r="J72" s="464">
        <v>70.0</v>
      </c>
      <c r="K72" s="413"/>
      <c r="L72" s="413"/>
      <c r="M72" s="413"/>
      <c r="N72" s="412" t="s">
        <v>1248</v>
      </c>
      <c r="O72" s="465"/>
      <c r="P72" s="455">
        <v>3.0</v>
      </c>
      <c r="Q72" s="431">
        <v>0.0</v>
      </c>
      <c r="R72" s="431">
        <v>0.0</v>
      </c>
      <c r="S72" s="431">
        <v>0.0</v>
      </c>
      <c r="T72" s="96"/>
      <c r="U72" s="96"/>
      <c r="V72" s="96"/>
    </row>
    <row r="73" ht="17.25" customHeight="1">
      <c r="A73" s="416"/>
      <c r="B73" s="416"/>
      <c r="C73" s="417">
        <v>72.0</v>
      </c>
      <c r="D73" s="458"/>
      <c r="E73" s="419"/>
      <c r="F73" s="458"/>
      <c r="G73" s="459"/>
      <c r="H73" s="458"/>
      <c r="I73" s="460"/>
      <c r="J73" s="461">
        <v>20.0</v>
      </c>
      <c r="K73" s="421"/>
      <c r="L73" s="421"/>
      <c r="M73" s="421"/>
      <c r="N73" s="420" t="s">
        <v>1248</v>
      </c>
      <c r="O73" s="436"/>
      <c r="P73" s="462">
        <v>1.0</v>
      </c>
      <c r="Q73" s="436">
        <v>0.0</v>
      </c>
      <c r="R73" s="436">
        <v>0.0</v>
      </c>
      <c r="S73" s="436">
        <v>0.0</v>
      </c>
      <c r="T73" s="419"/>
      <c r="U73" s="419"/>
      <c r="V73" s="419"/>
    </row>
    <row r="74" ht="17.25" customHeight="1">
      <c r="A74" s="409"/>
      <c r="B74" s="409"/>
      <c r="C74" s="410">
        <v>73.0</v>
      </c>
      <c r="D74" s="452"/>
      <c r="E74" s="96"/>
      <c r="F74" s="452"/>
      <c r="G74" s="463"/>
      <c r="H74" s="452"/>
      <c r="I74" s="454"/>
      <c r="J74" s="464">
        <v>25.0</v>
      </c>
      <c r="K74" s="413"/>
      <c r="L74" s="413"/>
      <c r="M74" s="413"/>
      <c r="N74" s="412" t="s">
        <v>1389</v>
      </c>
      <c r="O74" s="430"/>
      <c r="P74" s="455">
        <v>1.0</v>
      </c>
      <c r="Q74" s="430">
        <v>0.0</v>
      </c>
      <c r="R74" s="430">
        <v>0.0</v>
      </c>
      <c r="S74" s="430">
        <v>0.0</v>
      </c>
      <c r="T74" s="96"/>
      <c r="U74" s="96"/>
      <c r="V74" s="96"/>
    </row>
    <row r="75" ht="17.25" customHeight="1">
      <c r="A75" s="416"/>
      <c r="B75" s="416"/>
      <c r="C75" s="417">
        <v>74.0</v>
      </c>
      <c r="D75" s="468"/>
      <c r="E75" s="419"/>
      <c r="F75" s="468"/>
      <c r="G75" s="469"/>
      <c r="H75" s="468"/>
      <c r="I75" s="470"/>
      <c r="J75" s="471">
        <v>100.0</v>
      </c>
      <c r="K75" s="421">
        <v>0.0</v>
      </c>
      <c r="L75" s="421">
        <v>0.0</v>
      </c>
      <c r="M75" s="421">
        <v>0.0</v>
      </c>
      <c r="N75" s="420" t="s">
        <v>1248</v>
      </c>
      <c r="O75" s="436"/>
      <c r="P75" s="462"/>
      <c r="Q75" s="436"/>
      <c r="R75" s="436"/>
      <c r="S75" s="436"/>
      <c r="T75" s="419"/>
      <c r="U75" s="419"/>
      <c r="V75" s="419"/>
    </row>
    <row r="76" ht="17.25" customHeight="1">
      <c r="A76" s="472"/>
      <c r="B76" s="473"/>
      <c r="C76" s="410">
        <v>75.0</v>
      </c>
      <c r="D76" s="474"/>
      <c r="E76" s="474"/>
      <c r="F76" s="474"/>
      <c r="G76" s="474"/>
      <c r="H76" s="474"/>
      <c r="I76" s="475"/>
      <c r="J76" s="476">
        <v>41.0</v>
      </c>
      <c r="K76" s="413">
        <v>0.0</v>
      </c>
      <c r="L76" s="413">
        <v>0.0</v>
      </c>
      <c r="M76" s="413">
        <v>0.0</v>
      </c>
      <c r="N76" s="55" t="s">
        <v>1273</v>
      </c>
      <c r="O76" s="477"/>
      <c r="P76" s="455"/>
      <c r="Q76" s="430"/>
      <c r="R76" s="430"/>
      <c r="S76" s="430"/>
      <c r="T76" s="96"/>
      <c r="U76" s="96"/>
      <c r="V76" s="96"/>
    </row>
    <row r="77" ht="17.25" customHeight="1">
      <c r="A77" s="478"/>
      <c r="B77" s="479"/>
      <c r="C77" s="417">
        <v>76.0</v>
      </c>
      <c r="D77" s="480"/>
      <c r="E77" s="480"/>
      <c r="F77" s="480"/>
      <c r="G77" s="480"/>
      <c r="H77" s="480"/>
      <c r="I77" s="481"/>
      <c r="J77" s="482">
        <v>20.0</v>
      </c>
      <c r="K77" s="421">
        <v>0.0</v>
      </c>
      <c r="L77" s="421">
        <v>0.0</v>
      </c>
      <c r="M77" s="421">
        <v>0.0</v>
      </c>
      <c r="N77" s="483" t="s">
        <v>1248</v>
      </c>
      <c r="O77" s="484"/>
      <c r="P77" s="462"/>
      <c r="Q77" s="436"/>
      <c r="R77" s="436"/>
      <c r="S77" s="436"/>
      <c r="T77" s="419"/>
      <c r="U77" s="419"/>
      <c r="V77" s="419"/>
    </row>
    <row r="78" ht="17.25" customHeight="1">
      <c r="A78" s="472"/>
      <c r="B78" s="473"/>
      <c r="C78" s="410">
        <v>77.0</v>
      </c>
      <c r="D78" s="474"/>
      <c r="E78" s="474"/>
      <c r="F78" s="474"/>
      <c r="G78" s="474"/>
      <c r="H78" s="474"/>
      <c r="I78" s="475"/>
      <c r="J78" s="476">
        <v>82.0</v>
      </c>
      <c r="K78" s="413">
        <v>0.0</v>
      </c>
      <c r="L78" s="413">
        <v>0.0</v>
      </c>
      <c r="M78" s="413">
        <v>0.0</v>
      </c>
      <c r="N78" s="55" t="s">
        <v>1251</v>
      </c>
      <c r="O78" s="477"/>
      <c r="P78" s="455"/>
      <c r="Q78" s="430"/>
      <c r="R78" s="430"/>
      <c r="S78" s="430"/>
      <c r="T78" s="96"/>
      <c r="U78" s="96"/>
      <c r="V78" s="96"/>
    </row>
    <row r="79" ht="17.25" customHeight="1">
      <c r="A79" s="478"/>
      <c r="B79" s="479"/>
      <c r="C79" s="417">
        <v>78.0</v>
      </c>
      <c r="D79" s="480"/>
      <c r="E79" s="480"/>
      <c r="F79" s="480"/>
      <c r="G79" s="480"/>
      <c r="H79" s="480"/>
      <c r="I79" s="481"/>
      <c r="J79" s="482">
        <v>31.0</v>
      </c>
      <c r="K79" s="421">
        <v>0.0</v>
      </c>
      <c r="L79" s="421">
        <v>0.0</v>
      </c>
      <c r="M79" s="421">
        <v>0.0</v>
      </c>
      <c r="N79" s="483" t="s">
        <v>1251</v>
      </c>
      <c r="O79" s="480"/>
      <c r="P79" s="462"/>
      <c r="Q79" s="436"/>
      <c r="R79" s="436"/>
      <c r="S79" s="436"/>
      <c r="T79" s="419"/>
      <c r="U79" s="419"/>
      <c r="V79" s="419"/>
    </row>
    <row r="80" ht="17.25" customHeight="1">
      <c r="A80" s="472"/>
      <c r="B80" s="473"/>
      <c r="C80" s="410">
        <v>79.0</v>
      </c>
      <c r="D80" s="474"/>
      <c r="E80" s="474"/>
      <c r="F80" s="474"/>
      <c r="G80" s="474"/>
      <c r="H80" s="474"/>
      <c r="I80" s="475"/>
      <c r="J80" s="476">
        <v>35.0</v>
      </c>
      <c r="K80" s="413">
        <v>0.0</v>
      </c>
      <c r="L80" s="413">
        <v>0.0</v>
      </c>
      <c r="M80" s="413">
        <v>0.0</v>
      </c>
      <c r="N80" s="55" t="s">
        <v>1248</v>
      </c>
      <c r="O80" s="477"/>
      <c r="P80" s="455"/>
      <c r="Q80" s="430"/>
      <c r="R80" s="430"/>
      <c r="S80" s="430"/>
      <c r="T80" s="96"/>
      <c r="U80" s="96"/>
      <c r="V80" s="96"/>
    </row>
    <row r="81" ht="17.25" customHeight="1">
      <c r="A81" s="478"/>
      <c r="B81" s="479"/>
      <c r="C81" s="417">
        <v>80.0</v>
      </c>
      <c r="D81" s="480"/>
      <c r="E81" s="480"/>
      <c r="F81" s="480"/>
      <c r="G81" s="480"/>
      <c r="H81" s="480"/>
      <c r="I81" s="481"/>
      <c r="J81" s="482">
        <v>60.0</v>
      </c>
      <c r="K81" s="421">
        <v>0.0</v>
      </c>
      <c r="L81" s="421">
        <v>0.0</v>
      </c>
      <c r="M81" s="421">
        <v>0.0</v>
      </c>
      <c r="N81" s="420" t="s">
        <v>1251</v>
      </c>
      <c r="O81" s="480"/>
      <c r="P81" s="462"/>
      <c r="Q81" s="436"/>
      <c r="R81" s="436"/>
      <c r="S81" s="436"/>
      <c r="T81" s="419"/>
      <c r="U81" s="419"/>
      <c r="V81" s="419"/>
    </row>
    <row r="82" ht="17.25" customHeight="1">
      <c r="A82" s="472"/>
      <c r="B82" s="473"/>
      <c r="C82" s="410">
        <v>81.0</v>
      </c>
      <c r="D82" s="474"/>
      <c r="E82" s="474"/>
      <c r="F82" s="474"/>
      <c r="G82" s="474"/>
      <c r="H82" s="474"/>
      <c r="I82" s="475"/>
      <c r="J82" s="476">
        <v>22.0</v>
      </c>
      <c r="K82" s="413">
        <v>0.0</v>
      </c>
      <c r="L82" s="413">
        <v>0.0</v>
      </c>
      <c r="M82" s="413">
        <v>0.0</v>
      </c>
      <c r="N82" s="412" t="s">
        <v>1248</v>
      </c>
      <c r="O82" s="477"/>
      <c r="P82" s="455"/>
      <c r="Q82" s="430"/>
      <c r="R82" s="430"/>
      <c r="S82" s="430"/>
      <c r="T82" s="96"/>
      <c r="U82" s="96"/>
      <c r="V82" s="96"/>
    </row>
    <row r="83" ht="17.25" customHeight="1">
      <c r="A83" s="478"/>
      <c r="B83" s="479"/>
      <c r="C83" s="417">
        <v>82.0</v>
      </c>
      <c r="D83" s="480"/>
      <c r="E83" s="480"/>
      <c r="F83" s="480"/>
      <c r="G83" s="480"/>
      <c r="H83" s="480"/>
      <c r="I83" s="481"/>
      <c r="J83" s="482">
        <v>20.0</v>
      </c>
      <c r="K83" s="421">
        <v>0.0</v>
      </c>
      <c r="L83" s="421">
        <v>0.0</v>
      </c>
      <c r="M83" s="421">
        <v>0.0</v>
      </c>
      <c r="N83" s="420" t="s">
        <v>1248</v>
      </c>
      <c r="O83" s="480"/>
      <c r="P83" s="462"/>
      <c r="Q83" s="436"/>
      <c r="R83" s="436"/>
      <c r="S83" s="436"/>
      <c r="T83" s="419"/>
      <c r="U83" s="419"/>
      <c r="V83" s="419"/>
    </row>
    <row r="84" ht="17.25" customHeight="1">
      <c r="A84" s="472"/>
      <c r="B84" s="473"/>
      <c r="C84" s="410">
        <v>83.0</v>
      </c>
      <c r="D84" s="474"/>
      <c r="E84" s="474"/>
      <c r="F84" s="474"/>
      <c r="G84" s="474"/>
      <c r="H84" s="474"/>
      <c r="I84" s="475"/>
      <c r="J84" s="476">
        <v>40.0</v>
      </c>
      <c r="K84" s="413">
        <v>0.0</v>
      </c>
      <c r="L84" s="413">
        <v>0.0</v>
      </c>
      <c r="M84" s="413">
        <v>0.0</v>
      </c>
      <c r="N84" s="412"/>
      <c r="O84" s="477"/>
      <c r="P84" s="455"/>
      <c r="Q84" s="430"/>
      <c r="R84" s="430"/>
      <c r="S84" s="430"/>
      <c r="T84" s="96"/>
      <c r="U84" s="96"/>
      <c r="V84" s="96"/>
    </row>
    <row r="85" ht="17.25" customHeight="1">
      <c r="A85" s="478"/>
      <c r="B85" s="479"/>
      <c r="C85" s="417">
        <v>84.0</v>
      </c>
      <c r="D85" s="480"/>
      <c r="E85" s="480"/>
      <c r="F85" s="480"/>
      <c r="G85" s="480"/>
      <c r="H85" s="480"/>
      <c r="I85" s="481"/>
      <c r="J85" s="482">
        <v>20.0</v>
      </c>
      <c r="K85" s="421">
        <v>0.0</v>
      </c>
      <c r="L85" s="421">
        <v>0.0</v>
      </c>
      <c r="M85" s="421">
        <v>0.0</v>
      </c>
      <c r="N85" s="420" t="s">
        <v>1248</v>
      </c>
      <c r="O85" s="484"/>
      <c r="P85" s="462"/>
      <c r="Q85" s="436"/>
      <c r="R85" s="436"/>
      <c r="S85" s="436"/>
      <c r="T85" s="419"/>
      <c r="U85" s="419"/>
      <c r="V85" s="419"/>
    </row>
    <row r="86" ht="17.25" customHeight="1">
      <c r="A86" s="472"/>
      <c r="B86" s="473"/>
      <c r="C86" s="410">
        <v>85.0</v>
      </c>
      <c r="D86" s="474"/>
      <c r="E86" s="474"/>
      <c r="F86" s="474"/>
      <c r="G86" s="474"/>
      <c r="H86" s="474"/>
      <c r="I86" s="475"/>
      <c r="J86" s="476">
        <v>112.0</v>
      </c>
      <c r="K86" s="413">
        <v>0.0</v>
      </c>
      <c r="L86" s="413">
        <v>0.0</v>
      </c>
      <c r="M86" s="413">
        <v>0.0</v>
      </c>
      <c r="N86" s="412" t="s">
        <v>1386</v>
      </c>
      <c r="O86" s="477"/>
      <c r="P86" s="455"/>
      <c r="Q86" s="430"/>
      <c r="R86" s="430"/>
      <c r="S86" s="430"/>
      <c r="T86" s="96"/>
      <c r="U86" s="96"/>
      <c r="V86" s="96"/>
    </row>
    <row r="87" ht="17.25" customHeight="1">
      <c r="A87" s="478"/>
      <c r="B87" s="479"/>
      <c r="C87" s="417">
        <v>86.0</v>
      </c>
      <c r="D87" s="480"/>
      <c r="E87" s="480"/>
      <c r="F87" s="480"/>
      <c r="G87" s="480"/>
      <c r="H87" s="480"/>
      <c r="I87" s="481"/>
      <c r="J87" s="482">
        <v>10.0</v>
      </c>
      <c r="K87" s="421">
        <v>0.0</v>
      </c>
      <c r="L87" s="421">
        <v>0.0</v>
      </c>
      <c r="M87" s="421">
        <v>0.0</v>
      </c>
      <c r="N87" s="420" t="s">
        <v>1248</v>
      </c>
      <c r="O87" s="480"/>
      <c r="P87" s="462"/>
      <c r="Q87" s="436"/>
      <c r="R87" s="436"/>
      <c r="S87" s="436"/>
      <c r="T87" s="419"/>
      <c r="U87" s="419"/>
      <c r="V87" s="419"/>
    </row>
    <row r="88" ht="17.25" customHeight="1">
      <c r="A88" s="472"/>
      <c r="B88" s="473"/>
      <c r="C88" s="410">
        <v>87.0</v>
      </c>
      <c r="D88" s="474"/>
      <c r="E88" s="474"/>
      <c r="F88" s="474"/>
      <c r="G88" s="474"/>
      <c r="H88" s="474"/>
      <c r="I88" s="475"/>
      <c r="J88" s="476">
        <v>30.0</v>
      </c>
      <c r="K88" s="413">
        <v>0.0</v>
      </c>
      <c r="L88" s="413">
        <v>0.0</v>
      </c>
      <c r="M88" s="413">
        <v>0.0</v>
      </c>
      <c r="N88" s="412" t="s">
        <v>1248</v>
      </c>
      <c r="O88" s="474"/>
      <c r="P88" s="455"/>
      <c r="Q88" s="430"/>
      <c r="R88" s="430"/>
      <c r="S88" s="430"/>
      <c r="T88" s="96"/>
      <c r="U88" s="96"/>
      <c r="V88" s="96"/>
    </row>
    <row r="89" ht="17.25" customHeight="1">
      <c r="A89" s="478"/>
      <c r="B89" s="479"/>
      <c r="C89" s="417">
        <v>88.0</v>
      </c>
      <c r="D89" s="480"/>
      <c r="E89" s="480"/>
      <c r="F89" s="480"/>
      <c r="G89" s="480"/>
      <c r="H89" s="480"/>
      <c r="I89" s="481"/>
      <c r="J89" s="482"/>
      <c r="K89" s="421">
        <v>0.0</v>
      </c>
      <c r="L89" s="421">
        <v>0.0</v>
      </c>
      <c r="M89" s="421">
        <v>0.0</v>
      </c>
      <c r="N89" s="420" t="s">
        <v>1251</v>
      </c>
      <c r="O89" s="480"/>
      <c r="P89" s="462"/>
      <c r="Q89" s="436"/>
      <c r="R89" s="436"/>
      <c r="S89" s="436"/>
      <c r="T89" s="419"/>
      <c r="U89" s="419"/>
      <c r="V89" s="419"/>
    </row>
    <row r="90" ht="17.25" customHeight="1">
      <c r="A90" s="472"/>
      <c r="B90" s="473"/>
      <c r="C90" s="410">
        <v>89.0</v>
      </c>
      <c r="D90" s="474"/>
      <c r="E90" s="474"/>
      <c r="F90" s="474"/>
      <c r="G90" s="474"/>
      <c r="H90" s="474"/>
      <c r="I90" s="475"/>
      <c r="J90" s="476">
        <v>30.0</v>
      </c>
      <c r="K90" s="413">
        <v>0.0</v>
      </c>
      <c r="L90" s="413">
        <v>0.0</v>
      </c>
      <c r="M90" s="413">
        <v>0.0</v>
      </c>
      <c r="N90" s="412" t="s">
        <v>1273</v>
      </c>
      <c r="O90" s="477"/>
      <c r="P90" s="455"/>
      <c r="Q90" s="430"/>
      <c r="R90" s="430"/>
      <c r="S90" s="430"/>
      <c r="T90" s="96"/>
      <c r="U90" s="96"/>
      <c r="V90" s="96"/>
    </row>
    <row r="91" ht="17.25" customHeight="1">
      <c r="A91" s="485"/>
      <c r="B91" s="486"/>
      <c r="C91" s="417">
        <v>90.0</v>
      </c>
      <c r="D91" s="487"/>
      <c r="E91" s="487"/>
      <c r="F91" s="487"/>
      <c r="G91" s="487"/>
      <c r="H91" s="487"/>
      <c r="I91" s="488"/>
      <c r="J91" s="489" t="s">
        <v>1390</v>
      </c>
      <c r="K91" s="421">
        <v>0.0</v>
      </c>
      <c r="L91" s="421">
        <v>0.0</v>
      </c>
      <c r="M91" s="421">
        <v>0.0</v>
      </c>
      <c r="N91" s="420" t="s">
        <v>1248</v>
      </c>
      <c r="O91" s="487"/>
      <c r="P91" s="462"/>
      <c r="Q91" s="436"/>
      <c r="R91" s="436"/>
      <c r="S91" s="436"/>
      <c r="T91" s="419"/>
      <c r="U91" s="419"/>
      <c r="V91" s="419"/>
    </row>
    <row r="92" ht="17.25" customHeight="1">
      <c r="A92" s="490"/>
      <c r="B92" s="491"/>
      <c r="C92" s="410">
        <v>91.0</v>
      </c>
      <c r="D92" s="492"/>
      <c r="E92" s="492"/>
      <c r="F92" s="492"/>
      <c r="G92" s="492"/>
      <c r="H92" s="492"/>
      <c r="I92" s="493"/>
      <c r="J92" s="494">
        <v>100.0</v>
      </c>
      <c r="K92" s="413">
        <v>0.0</v>
      </c>
      <c r="L92" s="413">
        <v>25.0</v>
      </c>
      <c r="M92" s="413">
        <v>100.0</v>
      </c>
      <c r="N92" s="412" t="s">
        <v>1248</v>
      </c>
      <c r="O92" s="492"/>
      <c r="P92" s="455"/>
      <c r="Q92" s="430"/>
      <c r="R92" s="430"/>
      <c r="S92" s="430"/>
      <c r="T92" s="96"/>
      <c r="U92" s="96"/>
      <c r="V92" s="96"/>
    </row>
    <row r="93" ht="17.25" customHeight="1">
      <c r="A93" s="485"/>
      <c r="B93" s="486"/>
      <c r="C93" s="417">
        <v>92.0</v>
      </c>
      <c r="D93" s="487"/>
      <c r="E93" s="487"/>
      <c r="F93" s="487"/>
      <c r="G93" s="487"/>
      <c r="H93" s="487"/>
      <c r="I93" s="488"/>
      <c r="J93" s="489">
        <v>25.0</v>
      </c>
      <c r="K93" s="421">
        <v>0.0</v>
      </c>
      <c r="L93" s="421">
        <v>0.0</v>
      </c>
      <c r="M93" s="421">
        <v>0.0</v>
      </c>
      <c r="N93" s="420" t="s">
        <v>1248</v>
      </c>
      <c r="O93" s="487"/>
      <c r="P93" s="462"/>
      <c r="Q93" s="436"/>
      <c r="R93" s="436"/>
      <c r="S93" s="436"/>
      <c r="T93" s="419"/>
      <c r="U93" s="419"/>
      <c r="V93" s="419"/>
    </row>
    <row r="94" ht="17.25" customHeight="1">
      <c r="A94" s="495"/>
      <c r="B94" s="496"/>
      <c r="C94" s="410">
        <v>93.0</v>
      </c>
      <c r="D94" s="492"/>
      <c r="E94" s="492"/>
      <c r="F94" s="492"/>
      <c r="G94" s="492"/>
      <c r="H94" s="492"/>
      <c r="I94" s="493"/>
      <c r="J94" s="494">
        <v>25.0</v>
      </c>
      <c r="K94" s="413">
        <v>0.0</v>
      </c>
      <c r="L94" s="413">
        <v>0.0</v>
      </c>
      <c r="M94" s="413">
        <v>0.0</v>
      </c>
      <c r="N94" s="412" t="s">
        <v>1391</v>
      </c>
      <c r="O94" s="492"/>
      <c r="P94" s="455"/>
      <c r="Q94" s="430"/>
      <c r="R94" s="430"/>
      <c r="S94" s="430"/>
      <c r="T94" s="96"/>
      <c r="U94" s="96"/>
      <c r="V94" s="96"/>
    </row>
    <row r="95" ht="17.25" customHeight="1">
      <c r="A95" s="497"/>
      <c r="B95" s="498"/>
      <c r="C95" s="417">
        <v>94.0</v>
      </c>
      <c r="D95" s="487"/>
      <c r="E95" s="487"/>
      <c r="F95" s="487"/>
      <c r="G95" s="487"/>
      <c r="H95" s="487"/>
      <c r="I95" s="488"/>
      <c r="J95" s="489">
        <v>50.0</v>
      </c>
      <c r="K95" s="421">
        <v>0.0</v>
      </c>
      <c r="L95" s="421">
        <v>0.0</v>
      </c>
      <c r="M95" s="421">
        <v>0.0</v>
      </c>
      <c r="N95" s="420" t="s">
        <v>1392</v>
      </c>
      <c r="O95" s="499"/>
      <c r="P95" s="462"/>
      <c r="Q95" s="436"/>
      <c r="R95" s="436"/>
      <c r="S95" s="436"/>
      <c r="T95" s="419"/>
      <c r="U95" s="419"/>
      <c r="V95" s="419"/>
    </row>
    <row r="96" ht="17.25" customHeight="1">
      <c r="A96" s="495"/>
      <c r="B96" s="496"/>
      <c r="C96" s="410">
        <v>95.0</v>
      </c>
      <c r="D96" s="492"/>
      <c r="E96" s="492"/>
      <c r="F96" s="492"/>
      <c r="G96" s="492"/>
      <c r="H96" s="492"/>
      <c r="I96" s="493"/>
      <c r="J96" s="494">
        <v>100.0</v>
      </c>
      <c r="K96" s="413">
        <v>0.0</v>
      </c>
      <c r="L96" s="413">
        <v>0.0</v>
      </c>
      <c r="M96" s="413">
        <v>0.0</v>
      </c>
      <c r="N96" s="412" t="s">
        <v>1248</v>
      </c>
      <c r="O96" s="500"/>
      <c r="P96" s="455"/>
      <c r="Q96" s="430"/>
      <c r="R96" s="430"/>
      <c r="S96" s="430"/>
      <c r="T96" s="96"/>
      <c r="U96" s="96"/>
      <c r="V96" s="96"/>
    </row>
    <row r="97" ht="17.25" customHeight="1">
      <c r="A97" s="497"/>
      <c r="B97" s="498"/>
      <c r="C97" s="417">
        <v>96.0</v>
      </c>
      <c r="D97" s="487"/>
      <c r="E97" s="487"/>
      <c r="F97" s="487"/>
      <c r="G97" s="487"/>
      <c r="H97" s="487"/>
      <c r="I97" s="488"/>
      <c r="J97" s="489">
        <v>25.0</v>
      </c>
      <c r="K97" s="421">
        <v>0.0</v>
      </c>
      <c r="L97" s="421">
        <v>0.0</v>
      </c>
      <c r="M97" s="421">
        <v>25.0</v>
      </c>
      <c r="N97" s="420" t="s">
        <v>1248</v>
      </c>
      <c r="O97" s="487"/>
      <c r="P97" s="462"/>
      <c r="Q97" s="436"/>
      <c r="R97" s="436"/>
      <c r="S97" s="436"/>
      <c r="T97" s="419"/>
      <c r="U97" s="419"/>
      <c r="V97" s="419"/>
    </row>
    <row r="98" ht="17.25" customHeight="1">
      <c r="A98" s="495"/>
      <c r="B98" s="496"/>
      <c r="C98" s="410">
        <v>97.0</v>
      </c>
      <c r="D98" s="492"/>
      <c r="E98" s="492"/>
      <c r="F98" s="492"/>
      <c r="G98" s="492"/>
      <c r="H98" s="492"/>
      <c r="I98" s="493"/>
      <c r="J98" s="494">
        <v>50.0</v>
      </c>
      <c r="K98" s="413">
        <v>0.0</v>
      </c>
      <c r="L98" s="413">
        <v>0.0</v>
      </c>
      <c r="M98" s="413">
        <v>0.0</v>
      </c>
      <c r="N98" s="412" t="s">
        <v>1248</v>
      </c>
      <c r="O98" s="492"/>
      <c r="P98" s="455"/>
      <c r="Q98" s="430"/>
      <c r="R98" s="430"/>
      <c r="S98" s="430"/>
      <c r="T98" s="96"/>
      <c r="U98" s="96"/>
      <c r="V98" s="96"/>
    </row>
    <row r="99" ht="17.25" customHeight="1">
      <c r="A99" s="497"/>
      <c r="B99" s="498"/>
      <c r="C99" s="417">
        <v>98.0</v>
      </c>
      <c r="D99" s="487"/>
      <c r="E99" s="487"/>
      <c r="F99" s="487"/>
      <c r="G99" s="487"/>
      <c r="H99" s="487"/>
      <c r="I99" s="488"/>
      <c r="J99" s="489" t="s">
        <v>1390</v>
      </c>
      <c r="K99" s="421">
        <v>0.0</v>
      </c>
      <c r="L99" s="421">
        <v>0.0</v>
      </c>
      <c r="M99" s="421">
        <v>0.0</v>
      </c>
      <c r="N99" s="420" t="s">
        <v>1248</v>
      </c>
      <c r="O99" s="487"/>
      <c r="P99" s="462"/>
      <c r="Q99" s="436"/>
      <c r="R99" s="436"/>
      <c r="S99" s="436"/>
      <c r="T99" s="419"/>
      <c r="U99" s="419"/>
      <c r="V99" s="419"/>
    </row>
    <row r="100" ht="17.25" customHeight="1">
      <c r="A100" s="495"/>
      <c r="B100" s="496"/>
      <c r="C100" s="410">
        <v>99.0</v>
      </c>
      <c r="D100" s="492"/>
      <c r="E100" s="492"/>
      <c r="F100" s="492"/>
      <c r="G100" s="492"/>
      <c r="H100" s="492"/>
      <c r="I100" s="493"/>
      <c r="J100" s="494">
        <v>25.0</v>
      </c>
      <c r="K100" s="413">
        <v>0.0</v>
      </c>
      <c r="L100" s="413">
        <v>0.0</v>
      </c>
      <c r="M100" s="413">
        <v>0.0</v>
      </c>
      <c r="N100" s="412" t="s">
        <v>1391</v>
      </c>
      <c r="O100" s="500"/>
      <c r="P100" s="455"/>
      <c r="Q100" s="430"/>
      <c r="R100" s="430"/>
      <c r="S100" s="430"/>
      <c r="T100" s="96"/>
      <c r="U100" s="96"/>
      <c r="V100" s="96"/>
    </row>
    <row r="101" ht="17.25" customHeight="1">
      <c r="A101" s="497"/>
      <c r="B101" s="498"/>
      <c r="C101" s="417">
        <v>100.0</v>
      </c>
      <c r="D101" s="487"/>
      <c r="E101" s="487"/>
      <c r="F101" s="487"/>
      <c r="G101" s="487"/>
      <c r="H101" s="487"/>
      <c r="I101" s="488"/>
      <c r="J101" s="489" t="s">
        <v>1390</v>
      </c>
      <c r="K101" s="421">
        <v>0.0</v>
      </c>
      <c r="L101" s="421">
        <v>0.0</v>
      </c>
      <c r="M101" s="421">
        <v>0.0</v>
      </c>
      <c r="N101" s="420" t="s">
        <v>1393</v>
      </c>
      <c r="O101" s="487"/>
      <c r="P101" s="462"/>
      <c r="Q101" s="436"/>
      <c r="R101" s="436"/>
      <c r="S101" s="436"/>
      <c r="T101" s="419"/>
      <c r="U101" s="419"/>
      <c r="V101" s="419"/>
    </row>
    <row r="102" ht="17.25" customHeight="1">
      <c r="A102" s="495"/>
      <c r="B102" s="496"/>
      <c r="C102" s="410">
        <v>101.0</v>
      </c>
      <c r="D102" s="492"/>
      <c r="E102" s="492"/>
      <c r="F102" s="492"/>
      <c r="G102" s="492"/>
      <c r="H102" s="492"/>
      <c r="I102" s="493"/>
      <c r="J102" s="494">
        <v>25.0</v>
      </c>
      <c r="K102" s="413">
        <v>0.0</v>
      </c>
      <c r="L102" s="413">
        <v>0.0</v>
      </c>
      <c r="M102" s="413">
        <v>0.0</v>
      </c>
      <c r="N102" s="412" t="s">
        <v>1394</v>
      </c>
      <c r="O102" s="500"/>
      <c r="P102" s="455"/>
      <c r="Q102" s="430"/>
      <c r="R102" s="430"/>
      <c r="S102" s="430"/>
      <c r="T102" s="96"/>
      <c r="U102" s="96"/>
      <c r="V102" s="96"/>
    </row>
    <row r="103" ht="17.25" customHeight="1">
      <c r="A103" s="497"/>
      <c r="B103" s="498"/>
      <c r="C103" s="417">
        <v>102.0</v>
      </c>
      <c r="D103" s="487"/>
      <c r="E103" s="487"/>
      <c r="F103" s="487"/>
      <c r="G103" s="487"/>
      <c r="H103" s="487"/>
      <c r="I103" s="488"/>
      <c r="J103" s="489">
        <v>25.0</v>
      </c>
      <c r="K103" s="421">
        <v>0.0</v>
      </c>
      <c r="L103" s="421">
        <v>0.0</v>
      </c>
      <c r="M103" s="421">
        <v>25.0</v>
      </c>
      <c r="N103" s="420" t="s">
        <v>1248</v>
      </c>
      <c r="O103" s="499"/>
      <c r="P103" s="462"/>
      <c r="Q103" s="436"/>
      <c r="R103" s="436"/>
      <c r="S103" s="436"/>
      <c r="T103" s="419"/>
      <c r="U103" s="419"/>
      <c r="V103" s="419"/>
    </row>
    <row r="104" ht="17.25" customHeight="1">
      <c r="A104" s="495"/>
      <c r="B104" s="496"/>
      <c r="C104" s="410">
        <v>103.0</v>
      </c>
      <c r="D104" s="492"/>
      <c r="E104" s="492"/>
      <c r="F104" s="492"/>
      <c r="G104" s="492"/>
      <c r="H104" s="492"/>
      <c r="I104" s="493"/>
      <c r="J104" s="494">
        <v>25.0</v>
      </c>
      <c r="K104" s="413">
        <v>0.0</v>
      </c>
      <c r="L104" s="413">
        <v>0.0</v>
      </c>
      <c r="M104" s="413">
        <v>0.0</v>
      </c>
      <c r="N104" s="412" t="s">
        <v>1248</v>
      </c>
      <c r="O104" s="500"/>
      <c r="P104" s="455"/>
      <c r="Q104" s="430"/>
      <c r="R104" s="430"/>
      <c r="S104" s="430"/>
      <c r="T104" s="96"/>
      <c r="U104" s="96"/>
      <c r="V104" s="96"/>
    </row>
    <row r="105" ht="17.25" customHeight="1">
      <c r="A105" s="497"/>
      <c r="B105" s="498"/>
      <c r="C105" s="417">
        <v>104.0</v>
      </c>
      <c r="D105" s="487"/>
      <c r="E105" s="487"/>
      <c r="F105" s="487"/>
      <c r="G105" s="487"/>
      <c r="H105" s="487"/>
      <c r="I105" s="488"/>
      <c r="J105" s="489">
        <v>50.0</v>
      </c>
      <c r="K105" s="421">
        <v>0.0</v>
      </c>
      <c r="L105" s="421">
        <v>0.0</v>
      </c>
      <c r="M105" s="421">
        <v>0.0</v>
      </c>
      <c r="N105" s="420" t="s">
        <v>1248</v>
      </c>
      <c r="O105" s="499"/>
      <c r="P105" s="462"/>
      <c r="Q105" s="436"/>
      <c r="R105" s="436"/>
      <c r="S105" s="436"/>
      <c r="T105" s="419"/>
      <c r="U105" s="419"/>
      <c r="V105" s="419"/>
    </row>
    <row r="106" ht="17.25" customHeight="1">
      <c r="A106" s="495"/>
      <c r="B106" s="496"/>
      <c r="C106" s="410">
        <v>105.0</v>
      </c>
      <c r="D106" s="492"/>
      <c r="E106" s="492"/>
      <c r="F106" s="492"/>
      <c r="G106" s="492"/>
      <c r="H106" s="492"/>
      <c r="I106" s="493"/>
      <c r="J106" s="494">
        <v>0.0</v>
      </c>
      <c r="K106" s="413">
        <v>0.0</v>
      </c>
      <c r="L106" s="413">
        <v>25.0</v>
      </c>
      <c r="M106" s="413">
        <v>0.0</v>
      </c>
      <c r="N106" s="412" t="s">
        <v>1263</v>
      </c>
      <c r="O106" s="492"/>
      <c r="P106" s="455"/>
      <c r="Q106" s="430"/>
      <c r="R106" s="430"/>
      <c r="S106" s="430"/>
      <c r="T106" s="96"/>
      <c r="U106" s="96"/>
      <c r="V106" s="96"/>
    </row>
    <row r="107" ht="17.25" customHeight="1">
      <c r="A107" s="497"/>
      <c r="B107" s="498"/>
      <c r="C107" s="417">
        <v>106.0</v>
      </c>
      <c r="D107" s="487"/>
      <c r="E107" s="487"/>
      <c r="F107" s="487"/>
      <c r="G107" s="487"/>
      <c r="H107" s="487"/>
      <c r="I107" s="488"/>
      <c r="J107" s="489">
        <v>25.0</v>
      </c>
      <c r="K107" s="421">
        <v>0.0</v>
      </c>
      <c r="L107" s="421">
        <v>0.0</v>
      </c>
      <c r="M107" s="421">
        <v>0.0</v>
      </c>
      <c r="N107" s="420" t="s">
        <v>1248</v>
      </c>
      <c r="O107" s="487"/>
      <c r="P107" s="462"/>
      <c r="Q107" s="436"/>
      <c r="R107" s="436"/>
      <c r="S107" s="436"/>
      <c r="T107" s="419"/>
      <c r="U107" s="419"/>
      <c r="V107" s="419"/>
    </row>
    <row r="108" ht="17.25" customHeight="1">
      <c r="A108" s="495"/>
      <c r="B108" s="496"/>
      <c r="C108" s="410">
        <v>107.0</v>
      </c>
      <c r="D108" s="492"/>
      <c r="E108" s="492"/>
      <c r="F108" s="492"/>
      <c r="G108" s="492"/>
      <c r="H108" s="492"/>
      <c r="I108" s="493"/>
      <c r="J108" s="494">
        <v>100.0</v>
      </c>
      <c r="K108" s="413">
        <v>0.0</v>
      </c>
      <c r="L108" s="413">
        <v>0.0</v>
      </c>
      <c r="M108" s="413">
        <v>0.0</v>
      </c>
      <c r="N108" s="412" t="s">
        <v>1248</v>
      </c>
      <c r="O108" s="492"/>
      <c r="P108" s="455"/>
      <c r="Q108" s="430"/>
      <c r="R108" s="430"/>
      <c r="S108" s="430"/>
      <c r="T108" s="96"/>
      <c r="U108" s="96"/>
      <c r="V108" s="96"/>
    </row>
    <row r="109" ht="17.25" customHeight="1">
      <c r="A109" s="497"/>
      <c r="B109" s="498"/>
      <c r="C109" s="417">
        <v>108.0</v>
      </c>
      <c r="D109" s="487"/>
      <c r="E109" s="487"/>
      <c r="F109" s="487"/>
      <c r="G109" s="487"/>
      <c r="H109" s="487"/>
      <c r="I109" s="488"/>
      <c r="J109" s="489"/>
      <c r="K109" s="421">
        <v>0.0</v>
      </c>
      <c r="L109" s="421">
        <v>0.0</v>
      </c>
      <c r="M109" s="421">
        <v>0.0</v>
      </c>
      <c r="N109" s="420" t="s">
        <v>1251</v>
      </c>
      <c r="O109" s="499"/>
      <c r="P109" s="462"/>
      <c r="Q109" s="436"/>
      <c r="R109" s="436"/>
      <c r="S109" s="436"/>
      <c r="T109" s="419"/>
      <c r="U109" s="419"/>
      <c r="V109" s="419"/>
    </row>
    <row r="110" ht="17.25" customHeight="1">
      <c r="A110" s="495"/>
      <c r="B110" s="496"/>
      <c r="C110" s="410">
        <v>109.0</v>
      </c>
      <c r="D110" s="492"/>
      <c r="E110" s="492"/>
      <c r="F110" s="492"/>
      <c r="G110" s="492"/>
      <c r="H110" s="492"/>
      <c r="I110" s="493"/>
      <c r="J110" s="494">
        <v>50.0</v>
      </c>
      <c r="K110" s="413">
        <v>0.0</v>
      </c>
      <c r="L110" s="413">
        <v>0.0</v>
      </c>
      <c r="M110" s="413">
        <v>0.0</v>
      </c>
      <c r="N110" s="412" t="s">
        <v>1248</v>
      </c>
      <c r="O110" s="492"/>
      <c r="P110" s="455"/>
      <c r="Q110" s="430"/>
      <c r="R110" s="430"/>
      <c r="S110" s="430"/>
      <c r="T110" s="96"/>
      <c r="U110" s="96"/>
      <c r="V110" s="96"/>
    </row>
    <row r="111" ht="17.25" customHeight="1">
      <c r="A111" s="497"/>
      <c r="B111" s="498"/>
      <c r="C111" s="417">
        <v>110.0</v>
      </c>
      <c r="D111" s="487"/>
      <c r="E111" s="487"/>
      <c r="F111" s="487"/>
      <c r="G111" s="487"/>
      <c r="H111" s="487"/>
      <c r="I111" s="488"/>
      <c r="J111" s="489">
        <v>50.0</v>
      </c>
      <c r="K111" s="421">
        <v>0.0</v>
      </c>
      <c r="L111" s="421">
        <v>0.0</v>
      </c>
      <c r="M111" s="421">
        <v>0.0</v>
      </c>
      <c r="N111" s="420" t="s">
        <v>1248</v>
      </c>
      <c r="O111" s="499"/>
      <c r="P111" s="462"/>
      <c r="Q111" s="436"/>
      <c r="R111" s="436"/>
      <c r="S111" s="436"/>
      <c r="T111" s="419"/>
      <c r="U111" s="419"/>
      <c r="V111" s="419"/>
    </row>
    <row r="112" ht="17.25" customHeight="1">
      <c r="A112" s="495"/>
      <c r="B112" s="496"/>
      <c r="C112" s="410">
        <v>111.0</v>
      </c>
      <c r="D112" s="492"/>
      <c r="E112" s="492"/>
      <c r="F112" s="492"/>
      <c r="G112" s="492"/>
      <c r="H112" s="492"/>
      <c r="I112" s="493"/>
      <c r="J112" s="494">
        <v>25.0</v>
      </c>
      <c r="K112" s="413">
        <v>0.0</v>
      </c>
      <c r="L112" s="413">
        <v>0.0</v>
      </c>
      <c r="M112" s="413">
        <v>0.0</v>
      </c>
      <c r="N112" s="412" t="s">
        <v>1248</v>
      </c>
      <c r="O112" s="500"/>
      <c r="P112" s="455"/>
      <c r="Q112" s="430"/>
      <c r="R112" s="430"/>
      <c r="S112" s="430"/>
      <c r="T112" s="96"/>
      <c r="U112" s="96"/>
      <c r="V112" s="96"/>
    </row>
    <row r="113" ht="17.25" customHeight="1">
      <c r="A113" s="485"/>
      <c r="B113" s="486"/>
      <c r="C113" s="417">
        <v>112.0</v>
      </c>
      <c r="D113" s="480"/>
      <c r="E113" s="480"/>
      <c r="F113" s="480"/>
      <c r="G113" s="480"/>
      <c r="H113" s="480"/>
      <c r="I113" s="481"/>
      <c r="J113" s="482">
        <v>25.0</v>
      </c>
      <c r="K113" s="421">
        <v>0.0</v>
      </c>
      <c r="L113" s="421">
        <v>0.0</v>
      </c>
      <c r="M113" s="421">
        <v>0.0</v>
      </c>
      <c r="N113" s="484" t="s">
        <v>1248</v>
      </c>
      <c r="O113" s="480"/>
      <c r="P113" s="462"/>
      <c r="Q113" s="436"/>
      <c r="R113" s="436"/>
      <c r="S113" s="436"/>
      <c r="T113" s="419"/>
      <c r="U113" s="419"/>
      <c r="V113" s="419"/>
    </row>
    <row r="114" ht="17.25" customHeight="1">
      <c r="A114" s="490"/>
      <c r="B114" s="491"/>
      <c r="C114" s="410">
        <v>113.0</v>
      </c>
      <c r="D114" s="474"/>
      <c r="E114" s="474"/>
      <c r="F114" s="492"/>
      <c r="G114" s="474"/>
      <c r="H114" s="474"/>
      <c r="I114" s="475"/>
      <c r="J114" s="476">
        <v>25.0</v>
      </c>
      <c r="K114" s="413">
        <v>0.0</v>
      </c>
      <c r="L114" s="413">
        <v>0.0</v>
      </c>
      <c r="M114" s="413">
        <v>0.0</v>
      </c>
      <c r="N114" s="477" t="s">
        <v>1248</v>
      </c>
      <c r="O114" s="477"/>
      <c r="P114" s="455"/>
      <c r="Q114" s="430"/>
      <c r="R114" s="430"/>
      <c r="S114" s="430"/>
      <c r="T114" s="96"/>
      <c r="U114" s="96"/>
      <c r="V114" s="96"/>
    </row>
    <row r="115" ht="17.25" customHeight="1">
      <c r="A115" s="497"/>
      <c r="B115" s="498"/>
      <c r="C115" s="417">
        <v>114.0</v>
      </c>
      <c r="D115" s="487"/>
      <c r="E115" s="487"/>
      <c r="F115" s="487"/>
      <c r="G115" s="487"/>
      <c r="H115" s="487"/>
      <c r="I115" s="488"/>
      <c r="J115" s="489">
        <v>100.0</v>
      </c>
      <c r="K115" s="421">
        <v>0.0</v>
      </c>
      <c r="L115" s="421">
        <v>0.0</v>
      </c>
      <c r="M115" s="421">
        <v>0.0</v>
      </c>
      <c r="N115" s="499" t="s">
        <v>1395</v>
      </c>
      <c r="O115" s="487"/>
      <c r="P115" s="462"/>
      <c r="Q115" s="436"/>
      <c r="R115" s="436"/>
      <c r="S115" s="436"/>
      <c r="T115" s="419"/>
      <c r="U115" s="419"/>
      <c r="V115" s="419"/>
    </row>
    <row r="116" ht="17.25" customHeight="1">
      <c r="A116" s="495"/>
      <c r="B116" s="496"/>
      <c r="C116" s="410">
        <v>115.0</v>
      </c>
      <c r="D116" s="492"/>
      <c r="E116" s="492"/>
      <c r="F116" s="492"/>
      <c r="G116" s="492"/>
      <c r="H116" s="492"/>
      <c r="I116" s="493"/>
      <c r="J116" s="494">
        <v>25.0</v>
      </c>
      <c r="K116" s="413">
        <v>0.0</v>
      </c>
      <c r="L116" s="413">
        <v>0.0</v>
      </c>
      <c r="M116" s="413">
        <v>0.0</v>
      </c>
      <c r="N116" s="500" t="s">
        <v>1248</v>
      </c>
      <c r="O116" s="500"/>
      <c r="P116" s="455"/>
      <c r="Q116" s="430"/>
      <c r="R116" s="430"/>
      <c r="S116" s="430"/>
      <c r="T116" s="96"/>
      <c r="U116" s="96"/>
      <c r="V116" s="96"/>
    </row>
    <row r="117" ht="17.25" customHeight="1">
      <c r="A117" s="497"/>
      <c r="B117" s="498"/>
      <c r="C117" s="417">
        <v>116.0</v>
      </c>
      <c r="D117" s="487"/>
      <c r="E117" s="487"/>
      <c r="F117" s="487"/>
      <c r="G117" s="487"/>
      <c r="H117" s="487"/>
      <c r="I117" s="488"/>
      <c r="J117" s="489">
        <v>0.0</v>
      </c>
      <c r="K117" s="421">
        <v>25.0</v>
      </c>
      <c r="L117" s="421">
        <v>25.0</v>
      </c>
      <c r="M117" s="421">
        <v>0.0</v>
      </c>
      <c r="N117" s="499" t="s">
        <v>1248</v>
      </c>
      <c r="O117" s="499"/>
      <c r="P117" s="462"/>
      <c r="Q117" s="436"/>
      <c r="R117" s="436"/>
      <c r="S117" s="436"/>
      <c r="T117" s="419"/>
      <c r="U117" s="419"/>
      <c r="V117" s="419"/>
    </row>
    <row r="118" ht="17.25" customHeight="1">
      <c r="A118" s="495"/>
      <c r="B118" s="496"/>
      <c r="C118" s="410">
        <v>117.0</v>
      </c>
      <c r="D118" s="492"/>
      <c r="E118" s="492"/>
      <c r="F118" s="492"/>
      <c r="G118" s="492"/>
      <c r="H118" s="492"/>
      <c r="I118" s="493"/>
      <c r="J118" s="494">
        <v>25.0</v>
      </c>
      <c r="K118" s="413">
        <v>0.0</v>
      </c>
      <c r="L118" s="413">
        <v>0.0</v>
      </c>
      <c r="M118" s="413">
        <v>0.0</v>
      </c>
      <c r="N118" s="500" t="s">
        <v>1248</v>
      </c>
      <c r="O118" s="492"/>
      <c r="P118" s="455"/>
      <c r="Q118" s="430"/>
      <c r="R118" s="430"/>
      <c r="S118" s="430"/>
      <c r="T118" s="96"/>
      <c r="U118" s="96"/>
      <c r="V118" s="96"/>
    </row>
    <row r="119" ht="17.25" customHeight="1">
      <c r="A119" s="497"/>
      <c r="B119" s="498"/>
      <c r="C119" s="417">
        <v>118.0</v>
      </c>
      <c r="D119" s="487"/>
      <c r="E119" s="487"/>
      <c r="F119" s="487"/>
      <c r="G119" s="487"/>
      <c r="H119" s="487"/>
      <c r="I119" s="488"/>
      <c r="J119" s="489">
        <v>25.0</v>
      </c>
      <c r="K119" s="421">
        <v>0.0</v>
      </c>
      <c r="L119" s="421">
        <v>0.0</v>
      </c>
      <c r="M119" s="421">
        <v>25.0</v>
      </c>
      <c r="N119" s="499" t="s">
        <v>1251</v>
      </c>
      <c r="O119" s="487"/>
      <c r="P119" s="462"/>
      <c r="Q119" s="436"/>
      <c r="R119" s="436"/>
      <c r="S119" s="436"/>
      <c r="T119" s="419"/>
      <c r="U119" s="419"/>
      <c r="V119" s="419"/>
    </row>
    <row r="120" ht="17.25" customHeight="1">
      <c r="A120" s="495"/>
      <c r="B120" s="496"/>
      <c r="C120" s="410">
        <v>119.0</v>
      </c>
      <c r="D120" s="492"/>
      <c r="E120" s="492"/>
      <c r="F120" s="492"/>
      <c r="G120" s="492"/>
      <c r="H120" s="492"/>
      <c r="I120" s="493"/>
      <c r="J120" s="494">
        <v>50.0</v>
      </c>
      <c r="K120" s="413">
        <v>0.0</v>
      </c>
      <c r="L120" s="413">
        <v>0.0</v>
      </c>
      <c r="M120" s="413">
        <v>0.0</v>
      </c>
      <c r="N120" s="500" t="s">
        <v>1248</v>
      </c>
      <c r="O120" s="492"/>
      <c r="P120" s="455"/>
      <c r="Q120" s="430"/>
      <c r="R120" s="430"/>
      <c r="S120" s="430"/>
      <c r="T120" s="96"/>
      <c r="U120" s="96"/>
      <c r="V120" s="96"/>
    </row>
    <row r="121" ht="17.25" customHeight="1">
      <c r="A121" s="497"/>
      <c r="B121" s="498"/>
      <c r="C121" s="417">
        <v>120.0</v>
      </c>
      <c r="D121" s="487"/>
      <c r="E121" s="487"/>
      <c r="F121" s="487"/>
      <c r="G121" s="487"/>
      <c r="H121" s="487"/>
      <c r="I121" s="488"/>
      <c r="J121" s="489">
        <v>25.0</v>
      </c>
      <c r="K121" s="421">
        <v>0.0</v>
      </c>
      <c r="L121" s="421">
        <v>0.0</v>
      </c>
      <c r="M121" s="421">
        <v>0.0</v>
      </c>
      <c r="N121" s="499" t="s">
        <v>1248</v>
      </c>
      <c r="O121" s="499"/>
      <c r="P121" s="462"/>
      <c r="Q121" s="436"/>
      <c r="R121" s="436"/>
      <c r="S121" s="436"/>
      <c r="T121" s="419"/>
      <c r="U121" s="419"/>
      <c r="V121" s="419"/>
    </row>
    <row r="122" ht="17.25" customHeight="1">
      <c r="A122" s="495"/>
      <c r="B122" s="496"/>
      <c r="C122" s="410">
        <v>121.0</v>
      </c>
      <c r="D122" s="492"/>
      <c r="E122" s="492"/>
      <c r="F122" s="492"/>
      <c r="G122" s="492"/>
      <c r="H122" s="492"/>
      <c r="I122" s="493"/>
      <c r="J122" s="494">
        <v>25.0</v>
      </c>
      <c r="K122" s="413">
        <v>0.0</v>
      </c>
      <c r="L122" s="413">
        <v>0.0</v>
      </c>
      <c r="M122" s="413">
        <v>0.0</v>
      </c>
      <c r="N122" s="500" t="s">
        <v>1248</v>
      </c>
      <c r="O122" s="500"/>
      <c r="P122" s="455"/>
      <c r="Q122" s="430"/>
      <c r="R122" s="430"/>
      <c r="S122" s="430"/>
      <c r="T122" s="96"/>
      <c r="U122" s="96"/>
      <c r="V122" s="96"/>
    </row>
    <row r="123" ht="17.25" customHeight="1">
      <c r="A123" s="497"/>
      <c r="B123" s="498"/>
      <c r="C123" s="417">
        <v>122.0</v>
      </c>
      <c r="D123" s="487"/>
      <c r="E123" s="487"/>
      <c r="F123" s="487"/>
      <c r="G123" s="487"/>
      <c r="H123" s="487"/>
      <c r="I123" s="488"/>
      <c r="J123" s="489">
        <v>25.0</v>
      </c>
      <c r="K123" s="421">
        <v>0.0</v>
      </c>
      <c r="L123" s="421">
        <v>0.0</v>
      </c>
      <c r="M123" s="421">
        <v>0.0</v>
      </c>
      <c r="N123" s="499" t="s">
        <v>1248</v>
      </c>
      <c r="O123" s="499"/>
      <c r="P123" s="462"/>
      <c r="Q123" s="436"/>
      <c r="R123" s="436"/>
      <c r="S123" s="436"/>
      <c r="T123" s="419"/>
      <c r="U123" s="419"/>
      <c r="V123" s="419"/>
    </row>
    <row r="124" ht="17.25" customHeight="1">
      <c r="A124" s="493"/>
      <c r="B124" s="501"/>
      <c r="C124" s="410">
        <v>123.0</v>
      </c>
      <c r="D124" s="492"/>
      <c r="E124" s="492"/>
      <c r="F124" s="492"/>
      <c r="G124" s="492"/>
      <c r="H124" s="492"/>
      <c r="I124" s="493"/>
      <c r="J124" s="494">
        <v>25.0</v>
      </c>
      <c r="K124" s="413">
        <v>0.0</v>
      </c>
      <c r="L124" s="413">
        <v>0.0</v>
      </c>
      <c r="M124" s="413">
        <v>0.0</v>
      </c>
      <c r="N124" s="500" t="s">
        <v>1248</v>
      </c>
      <c r="O124" s="500"/>
      <c r="P124" s="455"/>
      <c r="Q124" s="430"/>
      <c r="R124" s="430"/>
      <c r="S124" s="430"/>
      <c r="T124" s="96"/>
      <c r="U124" s="96"/>
      <c r="V124" s="96"/>
    </row>
    <row r="125" ht="17.25" customHeight="1">
      <c r="A125" s="488"/>
      <c r="B125" s="502"/>
      <c r="C125" s="417">
        <v>124.0</v>
      </c>
      <c r="D125" s="487"/>
      <c r="E125" s="487"/>
      <c r="F125" s="487"/>
      <c r="G125" s="487"/>
      <c r="H125" s="487"/>
      <c r="I125" s="488"/>
      <c r="J125" s="489">
        <v>50.0</v>
      </c>
      <c r="K125" s="421">
        <v>0.0</v>
      </c>
      <c r="L125" s="421">
        <v>0.0</v>
      </c>
      <c r="M125" s="421">
        <v>0.0</v>
      </c>
      <c r="N125" s="499" t="s">
        <v>1396</v>
      </c>
      <c r="O125" s="487"/>
      <c r="P125" s="462"/>
      <c r="Q125" s="436"/>
      <c r="R125" s="436"/>
      <c r="S125" s="436"/>
      <c r="T125" s="419"/>
      <c r="U125" s="419"/>
      <c r="V125" s="419"/>
    </row>
    <row r="126" ht="17.25" customHeight="1">
      <c r="A126" s="493"/>
      <c r="B126" s="501"/>
      <c r="C126" s="410">
        <v>125.0</v>
      </c>
      <c r="D126" s="492"/>
      <c r="E126" s="492"/>
      <c r="F126" s="492"/>
      <c r="G126" s="492"/>
      <c r="H126" s="492"/>
      <c r="I126" s="493"/>
      <c r="J126" s="494">
        <v>25.0</v>
      </c>
      <c r="K126" s="413">
        <v>0.0</v>
      </c>
      <c r="L126" s="413">
        <v>0.0</v>
      </c>
      <c r="M126" s="413">
        <v>0.0</v>
      </c>
      <c r="N126" s="500" t="s">
        <v>1263</v>
      </c>
      <c r="O126" s="492"/>
      <c r="P126" s="455"/>
      <c r="Q126" s="430"/>
      <c r="R126" s="430"/>
      <c r="S126" s="430"/>
      <c r="T126" s="96"/>
      <c r="U126" s="96"/>
      <c r="V126" s="96"/>
    </row>
    <row r="127" ht="17.25" customHeight="1">
      <c r="A127" s="488"/>
      <c r="B127" s="502"/>
      <c r="C127" s="417">
        <v>126.0</v>
      </c>
      <c r="D127" s="487"/>
      <c r="E127" s="487"/>
      <c r="F127" s="487"/>
      <c r="G127" s="487"/>
      <c r="H127" s="487"/>
      <c r="I127" s="488"/>
      <c r="J127" s="489">
        <v>25.0</v>
      </c>
      <c r="K127" s="421">
        <v>0.0</v>
      </c>
      <c r="L127" s="421">
        <v>0.0</v>
      </c>
      <c r="M127" s="421">
        <v>0.0</v>
      </c>
      <c r="N127" s="499" t="s">
        <v>1391</v>
      </c>
      <c r="O127" s="499"/>
      <c r="P127" s="462"/>
      <c r="Q127" s="436"/>
      <c r="R127" s="436"/>
      <c r="S127" s="436"/>
      <c r="T127" s="419"/>
      <c r="U127" s="419"/>
      <c r="V127" s="419"/>
    </row>
    <row r="128" ht="17.25" customHeight="1">
      <c r="A128" s="493"/>
      <c r="B128" s="501"/>
      <c r="C128" s="410">
        <v>127.0</v>
      </c>
      <c r="D128" s="492"/>
      <c r="E128" s="492"/>
      <c r="F128" s="492"/>
      <c r="G128" s="492"/>
      <c r="H128" s="492"/>
      <c r="I128" s="493"/>
      <c r="J128" s="494">
        <v>25.0</v>
      </c>
      <c r="K128" s="413">
        <v>0.0</v>
      </c>
      <c r="L128" s="413">
        <v>0.0</v>
      </c>
      <c r="M128" s="413">
        <v>25.0</v>
      </c>
      <c r="N128" s="500" t="s">
        <v>1251</v>
      </c>
      <c r="O128" s="492"/>
      <c r="P128" s="455"/>
      <c r="Q128" s="430"/>
      <c r="R128" s="430"/>
      <c r="S128" s="430"/>
      <c r="T128" s="96"/>
      <c r="U128" s="96"/>
      <c r="V128" s="96"/>
    </row>
    <row r="129" ht="17.25" customHeight="1">
      <c r="A129" s="488"/>
      <c r="B129" s="502"/>
      <c r="C129" s="417">
        <v>128.0</v>
      </c>
      <c r="D129" s="487"/>
      <c r="E129" s="487"/>
      <c r="F129" s="487"/>
      <c r="G129" s="487"/>
      <c r="H129" s="487"/>
      <c r="I129" s="488"/>
      <c r="J129" s="489">
        <v>25.0</v>
      </c>
      <c r="K129" s="421">
        <v>0.0</v>
      </c>
      <c r="L129" s="421">
        <v>0.0</v>
      </c>
      <c r="M129" s="421">
        <v>0.0</v>
      </c>
      <c r="N129" s="499" t="s">
        <v>1254</v>
      </c>
      <c r="O129" s="499"/>
      <c r="P129" s="462"/>
      <c r="Q129" s="436"/>
      <c r="R129" s="436"/>
      <c r="S129" s="436"/>
      <c r="T129" s="419"/>
      <c r="U129" s="419"/>
      <c r="V129" s="419"/>
    </row>
    <row r="130" ht="17.25" customHeight="1">
      <c r="A130" s="493"/>
      <c r="B130" s="501"/>
      <c r="C130" s="410">
        <v>129.0</v>
      </c>
      <c r="D130" s="492"/>
      <c r="E130" s="492"/>
      <c r="F130" s="492"/>
      <c r="G130" s="492"/>
      <c r="H130" s="492"/>
      <c r="I130" s="493"/>
      <c r="J130" s="494">
        <v>50.0</v>
      </c>
      <c r="K130" s="413">
        <v>0.0</v>
      </c>
      <c r="L130" s="413">
        <v>0.0</v>
      </c>
      <c r="M130" s="413">
        <v>0.0</v>
      </c>
      <c r="N130" s="500" t="s">
        <v>1254</v>
      </c>
      <c r="O130" s="500"/>
      <c r="P130" s="455"/>
      <c r="Q130" s="430"/>
      <c r="R130" s="430"/>
      <c r="S130" s="430"/>
      <c r="T130" s="96"/>
      <c r="U130" s="96"/>
      <c r="V130" s="96"/>
    </row>
    <row r="131" ht="17.25" customHeight="1">
      <c r="A131" s="488"/>
      <c r="B131" s="502"/>
      <c r="C131" s="417">
        <v>130.0</v>
      </c>
      <c r="D131" s="487"/>
      <c r="E131" s="487"/>
      <c r="F131" s="487"/>
      <c r="G131" s="487"/>
      <c r="H131" s="487"/>
      <c r="I131" s="488"/>
      <c r="J131" s="489">
        <v>25.0</v>
      </c>
      <c r="K131" s="421">
        <v>0.0</v>
      </c>
      <c r="L131" s="421">
        <v>0.0</v>
      </c>
      <c r="M131" s="421">
        <v>0.0</v>
      </c>
      <c r="N131" s="499" t="s">
        <v>1248</v>
      </c>
      <c r="O131" s="499"/>
      <c r="P131" s="462"/>
      <c r="Q131" s="436"/>
      <c r="R131" s="436"/>
      <c r="S131" s="436"/>
      <c r="T131" s="419"/>
      <c r="U131" s="419"/>
      <c r="V131" s="419"/>
    </row>
    <row r="132" ht="17.25" customHeight="1">
      <c r="A132" s="493"/>
      <c r="B132" s="501"/>
      <c r="C132" s="410">
        <v>131.0</v>
      </c>
      <c r="D132" s="492"/>
      <c r="E132" s="492"/>
      <c r="F132" s="492"/>
      <c r="G132" s="492"/>
      <c r="H132" s="492"/>
      <c r="I132" s="493"/>
      <c r="J132" s="494">
        <v>25.0</v>
      </c>
      <c r="K132" s="413">
        <v>0.0</v>
      </c>
      <c r="L132" s="413">
        <v>0.0</v>
      </c>
      <c r="M132" s="413">
        <v>0.0</v>
      </c>
      <c r="N132" s="500" t="s">
        <v>1248</v>
      </c>
      <c r="O132" s="492"/>
      <c r="P132" s="455"/>
      <c r="Q132" s="430"/>
      <c r="R132" s="430"/>
      <c r="S132" s="430"/>
      <c r="T132" s="96"/>
      <c r="U132" s="96"/>
      <c r="V132" s="96"/>
    </row>
    <row r="133" ht="17.25" customHeight="1">
      <c r="A133" s="488"/>
      <c r="B133" s="502"/>
      <c r="C133" s="417">
        <v>132.0</v>
      </c>
      <c r="D133" s="487"/>
      <c r="E133" s="487"/>
      <c r="F133" s="487"/>
      <c r="G133" s="487"/>
      <c r="H133" s="487"/>
      <c r="I133" s="488"/>
      <c r="J133" s="489">
        <v>100.0</v>
      </c>
      <c r="K133" s="421">
        <v>0.0</v>
      </c>
      <c r="L133" s="421">
        <v>0.0</v>
      </c>
      <c r="M133" s="421">
        <v>0.0</v>
      </c>
      <c r="N133" s="499" t="s">
        <v>1248</v>
      </c>
      <c r="O133" s="499"/>
      <c r="P133" s="462"/>
      <c r="Q133" s="436"/>
      <c r="R133" s="436"/>
      <c r="S133" s="436"/>
      <c r="T133" s="419"/>
      <c r="U133" s="419"/>
      <c r="V133" s="419"/>
    </row>
    <row r="134" ht="17.25" customHeight="1">
      <c r="A134" s="493"/>
      <c r="B134" s="501"/>
      <c r="C134" s="410">
        <v>133.0</v>
      </c>
      <c r="D134" s="492"/>
      <c r="E134" s="492"/>
      <c r="F134" s="492"/>
      <c r="G134" s="492"/>
      <c r="H134" s="492"/>
      <c r="I134" s="493"/>
      <c r="J134" s="494">
        <v>50.0</v>
      </c>
      <c r="K134" s="413">
        <v>0.0</v>
      </c>
      <c r="L134" s="413">
        <v>0.0</v>
      </c>
      <c r="M134" s="413">
        <v>0.0</v>
      </c>
      <c r="N134" s="500" t="s">
        <v>1248</v>
      </c>
      <c r="O134" s="500"/>
      <c r="P134" s="455"/>
      <c r="Q134" s="430"/>
      <c r="R134" s="430"/>
      <c r="S134" s="430"/>
      <c r="T134" s="96"/>
      <c r="U134" s="96"/>
      <c r="V134" s="96"/>
    </row>
    <row r="135" ht="17.25" customHeight="1">
      <c r="A135" s="488"/>
      <c r="B135" s="502"/>
      <c r="C135" s="417">
        <v>134.0</v>
      </c>
      <c r="D135" s="487"/>
      <c r="E135" s="487"/>
      <c r="F135" s="487"/>
      <c r="G135" s="487"/>
      <c r="H135" s="487"/>
      <c r="I135" s="488"/>
      <c r="J135" s="489">
        <v>25.0</v>
      </c>
      <c r="K135" s="421">
        <v>0.0</v>
      </c>
      <c r="L135" s="421">
        <v>0.0</v>
      </c>
      <c r="M135" s="421">
        <v>0.0</v>
      </c>
      <c r="N135" s="499" t="s">
        <v>1397</v>
      </c>
      <c r="O135" s="487"/>
      <c r="P135" s="462"/>
      <c r="Q135" s="436"/>
      <c r="R135" s="436"/>
      <c r="S135" s="436"/>
      <c r="T135" s="419"/>
      <c r="U135" s="419"/>
      <c r="V135" s="419"/>
    </row>
    <row r="136" ht="17.25" customHeight="1">
      <c r="A136" s="493"/>
      <c r="B136" s="501"/>
      <c r="C136" s="410">
        <v>135.0</v>
      </c>
      <c r="D136" s="492"/>
      <c r="E136" s="492"/>
      <c r="F136" s="492"/>
      <c r="G136" s="492"/>
      <c r="H136" s="492"/>
      <c r="I136" s="493"/>
      <c r="J136" s="494">
        <v>25.0</v>
      </c>
      <c r="K136" s="413">
        <v>0.0</v>
      </c>
      <c r="L136" s="413">
        <v>0.0</v>
      </c>
      <c r="M136" s="413">
        <v>50.0</v>
      </c>
      <c r="N136" s="500" t="s">
        <v>1254</v>
      </c>
      <c r="O136" s="492"/>
      <c r="P136" s="455"/>
      <c r="Q136" s="430"/>
      <c r="R136" s="430"/>
      <c r="S136" s="430"/>
      <c r="T136" s="96"/>
      <c r="U136" s="96"/>
      <c r="V136" s="96"/>
    </row>
    <row r="137" ht="17.25" customHeight="1">
      <c r="A137" s="488"/>
      <c r="B137" s="502"/>
      <c r="C137" s="417">
        <v>136.0</v>
      </c>
      <c r="D137" s="487"/>
      <c r="E137" s="487"/>
      <c r="F137" s="487"/>
      <c r="G137" s="487"/>
      <c r="H137" s="487"/>
      <c r="I137" s="488"/>
      <c r="J137" s="489">
        <v>50.0</v>
      </c>
      <c r="K137" s="421">
        <v>0.0</v>
      </c>
      <c r="L137" s="421">
        <v>0.0</v>
      </c>
      <c r="M137" s="421">
        <v>0.0</v>
      </c>
      <c r="N137" s="499" t="s">
        <v>1273</v>
      </c>
      <c r="O137" s="487"/>
      <c r="P137" s="462"/>
      <c r="Q137" s="436"/>
      <c r="R137" s="436"/>
      <c r="S137" s="436"/>
      <c r="T137" s="419"/>
      <c r="U137" s="419"/>
      <c r="V137" s="419"/>
    </row>
  </sheetData>
  <autoFilter ref="$A$1:$V$137"/>
  <drawing r:id="rId2"/>
  <legacyDrawing r:id="rId3"/>
</worksheet>
</file>