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ÇÕES" sheetId="1" r:id="rId4"/>
    <sheet state="visible" name="Hospitais_BD" sheetId="2" r:id="rId5"/>
    <sheet state="visible" name="Entregas_BD" sheetId="3" r:id="rId6"/>
    <sheet state="visible" name="Resumo_InfraestruturaEntrega_Ho" sheetId="4" r:id="rId7"/>
    <sheet state="visible" name="Resumo_DemandaEntrega_Hospitais" sheetId="5" r:id="rId8"/>
    <sheet state="visible" name="Lista_Unidades_Atendidas" sheetId="6" r:id="rId9"/>
    <sheet state="visible" name="Makers_BD" sheetId="7" r:id="rId10"/>
    <sheet state="visible" name="Coletas_BD" sheetId="8" r:id="rId11"/>
  </sheets>
  <definedNames>
    <definedName hidden="1" localSheetId="1" name="_xlnm._FilterDatabase">Hospitais_BD!$A$1:$AI$433</definedName>
    <definedName hidden="1" localSheetId="2" name="_xlnm._FilterDatabase">Entregas_BD!$A$1:$AM$330</definedName>
    <definedName hidden="1" localSheetId="5" name="_xlnm._FilterDatabase">Lista_Unidades_Atendidas!$A$1:$AJ$237</definedName>
    <definedName hidden="1" localSheetId="7" name="_xlnm._FilterDatabase">Coletas_BD!$A$1:$V$137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80">
      <text>
        <t xml:space="preserve">Responder updated this value.</t>
      </text>
    </comment>
    <comment authorId="0" ref="O8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<sst xmlns="http://schemas.openxmlformats.org/spreadsheetml/2006/main" count="4063" uniqueCount="1286">
  <si>
    <t xml:space="preserve">AS INFORMAÇÕES INDISPONÍVEIS FORAM RETIRADAS POR MOTIVO DE PRIVACIDADE. ESTE PLANLOG É SOMENTE UM EXPOSITOR, COM O INTUITO DE MOSTRAR </t>
  </si>
  <si>
    <t>AS QUERYS REALIZADAS, BEM COMO OS CÓDIGOS RODANDO POR TRÁS. ESSES CÓDIGOS ERAM ACIONADOS POR TRIGGERS.</t>
  </si>
  <si>
    <t>Data</t>
  </si>
  <si>
    <t>Hora</t>
  </si>
  <si>
    <t>Hospital nº</t>
  </si>
  <si>
    <t>Hospital</t>
  </si>
  <si>
    <t>Regiao</t>
  </si>
  <si>
    <t>Municipio</t>
  </si>
  <si>
    <t>Bairro</t>
  </si>
  <si>
    <t>Nivel</t>
  </si>
  <si>
    <t>Tipo</t>
  </si>
  <si>
    <t>Observacoes</t>
  </si>
  <si>
    <t>Nome contato</t>
  </si>
  <si>
    <t>Telefone contato</t>
  </si>
  <si>
    <t>E-mail</t>
  </si>
  <si>
    <t>Demanda 
Face Shields</t>
  </si>
  <si>
    <t>Demanda
N-95</t>
  </si>
  <si>
    <t>Demanda
Suporte</t>
  </si>
  <si>
    <t xml:space="preserve">Demanda
Oculos </t>
  </si>
  <si>
    <t>Demanda 
Alcool Gel(L)</t>
  </si>
  <si>
    <t>Demanda
Alcool Líq(L)</t>
  </si>
  <si>
    <t>Entregues
Face Shields</t>
  </si>
  <si>
    <t>Entregues
N-95</t>
  </si>
  <si>
    <t>Entregues
Suporte</t>
  </si>
  <si>
    <t>Entregues
Oculos</t>
  </si>
  <si>
    <t>Entrega 
Alcool Líq</t>
  </si>
  <si>
    <t>Entrega 
Alcool Líq.</t>
  </si>
  <si>
    <t>Falta
Face Shields</t>
  </si>
  <si>
    <t>Falta
N-95</t>
  </si>
  <si>
    <t>Falta
Suporte</t>
  </si>
  <si>
    <t>Falta
Oculos</t>
  </si>
  <si>
    <t>Falta Alcool
Gel(L)</t>
  </si>
  <si>
    <t>Falta Alcool
Líq.(L)</t>
  </si>
  <si>
    <t>LAT/LON</t>
  </si>
  <si>
    <t>Numero 
de Casos</t>
  </si>
  <si>
    <t>Leitos 
de Uti</t>
  </si>
  <si>
    <t>Leitos de 
Campanha</t>
  </si>
  <si>
    <t>ALINE MAINO</t>
  </si>
  <si>
    <t>REGIAO DOS LAGOS</t>
  </si>
  <si>
    <t>Sao Pedro da Aldeia</t>
  </si>
  <si>
    <t>Referência - ALTA COMPLEXIDADE</t>
  </si>
  <si>
    <t>Público</t>
  </si>
  <si>
    <t>-22.8433599,-42.1030012</t>
  </si>
  <si>
    <t>Ama Assistencia Medica</t>
  </si>
  <si>
    <t>ZONA OESTE</t>
  </si>
  <si>
    <t>Rio de Janeiro</t>
  </si>
  <si>
    <t>Bangu</t>
  </si>
  <si>
    <t>Privado</t>
  </si>
  <si>
    <t>-22.8816973,-43.4674602</t>
  </si>
  <si>
    <t>Americas Oftalmocenter</t>
  </si>
  <si>
    <t>Barra da tijuca e Tijuca</t>
  </si>
  <si>
    <t>Unidade básica - BAIXA COMPLEXIDADE</t>
  </si>
  <si>
    <t>-23.0036081,-43.3208106</t>
  </si>
  <si>
    <t>Casa de Saúde São José</t>
  </si>
  <si>
    <t>ZONA SUL</t>
  </si>
  <si>
    <t>Humaita</t>
  </si>
  <si>
    <t>-22.957929,-43.1983377</t>
  </si>
  <si>
    <t>CEMO (centro medico oftalmologico)</t>
  </si>
  <si>
    <t>ZONA NORTE</t>
  </si>
  <si>
    <t>Tijuca</t>
  </si>
  <si>
    <t>-22.926458,-43.2342962</t>
  </si>
  <si>
    <t>Centro Medico Oftalmologico</t>
  </si>
  <si>
    <t>Centro Ortopedico Sao Lucas Ltda</t>
  </si>
  <si>
    <t>REGIAO METROPOLITANA</t>
  </si>
  <si>
    <t>Niteroi</t>
  </si>
  <si>
    <t>Icarai</t>
  </si>
  <si>
    <t>-22.9008821,-43.1088571</t>
  </si>
  <si>
    <t>CER Leblon</t>
  </si>
  <si>
    <t>Leblon</t>
  </si>
  <si>
    <t>Grande emergência - MÉDIA COMPLEXIDADE</t>
  </si>
  <si>
    <t>-22.9771638,-43.2235966</t>
  </si>
  <si>
    <t>CF Fernando Antonio Braga Lopes</t>
  </si>
  <si>
    <t>CENTRO</t>
  </si>
  <si>
    <t>CAJU</t>
  </si>
  <si>
    <t>-22.8761299,-43.2220883</t>
  </si>
  <si>
    <t>CLIMES - Clinica Medica Especializada Ltda</t>
  </si>
  <si>
    <t>Lapa</t>
  </si>
  <si>
    <t>-22.9140025,-43.1815194</t>
  </si>
  <si>
    <t>Clinica da Familia</t>
  </si>
  <si>
    <t>Caju</t>
  </si>
  <si>
    <t>-22.8656766,-43.23928069999999</t>
  </si>
  <si>
    <t>Clinica da Familia Cypriano das Chagas Medeiros</t>
  </si>
  <si>
    <t>Coelho Neto</t>
  </si>
  <si>
    <t>-22.8364402,-43.348602</t>
  </si>
  <si>
    <t>Clinica da Familia Estacio de Sa</t>
  </si>
  <si>
    <t>RIO COMPRIDO</t>
  </si>
  <si>
    <t>-22.9255891,-43.2148496</t>
  </si>
  <si>
    <t>Clinica da Familia Felippe Cardoso</t>
  </si>
  <si>
    <t>Penha</t>
  </si>
  <si>
    <t>-22.8427552,-43.2789656</t>
  </si>
  <si>
    <t>Clínica Da família João Batista Chagas</t>
  </si>
  <si>
    <t>Paciência proximo a Santa Cruz</t>
  </si>
  <si>
    <t>-22.9328133,-43.6368045</t>
  </si>
  <si>
    <t>Clínica da Família Mário Dias de Alencar</t>
  </si>
  <si>
    <t>Senador Camara</t>
  </si>
  <si>
    <t>-22.8942385,-43.4884003</t>
  </si>
  <si>
    <t>Clínica da Família Nélio de Oliveira</t>
  </si>
  <si>
    <t>Gamboa</t>
  </si>
  <si>
    <t>-22.8974365,-43.1961145</t>
  </si>
  <si>
    <t>Clinica da Gavea</t>
  </si>
  <si>
    <t>Gavea</t>
  </si>
  <si>
    <t>-22.9847262,-43.2447409</t>
  </si>
  <si>
    <t>Clinica Especializada Endoview</t>
  </si>
  <si>
    <t>Tijuca / barra /leblon /caxias</t>
  </si>
  <si>
    <t>-22.9256442,-43.2343027</t>
  </si>
  <si>
    <t>Clinica Taccola Niedermeier EPP</t>
  </si>
  <si>
    <t>IPANEMA</t>
  </si>
  <si>
    <t>-22.984138,-43.211567</t>
  </si>
  <si>
    <t>CMS Albert Sabin</t>
  </si>
  <si>
    <t>Rocinha</t>
  </si>
  <si>
    <t>-22.9858747,-43.2452175</t>
  </si>
  <si>
    <t>CMS Alice Toledo Tibiriçá</t>
  </si>
  <si>
    <t>Iraja</t>
  </si>
  <si>
    <t>-22.8304095,-43.32879</t>
  </si>
  <si>
    <t>CMS Alvaro Ramos</t>
  </si>
  <si>
    <t>Taquara Colônia Jacarepagua</t>
  </si>
  <si>
    <t>-22.9408463,-43.3934528</t>
  </si>
  <si>
    <t>CMS Cecília Donnangelo</t>
  </si>
  <si>
    <t>Vargem grande</t>
  </si>
  <si>
    <t>-22.986818,-43.477035</t>
  </si>
  <si>
    <t>CMS Harvey Ribeiro de Souza Filho</t>
  </si>
  <si>
    <t>Recreio dos Bandeirantes</t>
  </si>
  <si>
    <t>-23.0201619,-43.4826765</t>
  </si>
  <si>
    <t>CMS Jose Breves dos Santos</t>
  </si>
  <si>
    <t>Cordovil</t>
  </si>
  <si>
    <t>-22.8170123,-43.2895397</t>
  </si>
  <si>
    <t>CMS Manoel José Ferreira</t>
  </si>
  <si>
    <t>Catete</t>
  </si>
  <si>
    <t>-22.9260359,-43.1786045</t>
  </si>
  <si>
    <t xml:space="preserve">CMS Padre Miguel </t>
  </si>
  <si>
    <t>Padre Miguel</t>
  </si>
  <si>
    <t>-22.8729377,-43.4486948</t>
  </si>
  <si>
    <t>CMS PINDARO DE CARVALHO RODRIGUES</t>
  </si>
  <si>
    <t>GAVEA</t>
  </si>
  <si>
    <t>-22.9796829,-43.2295469</t>
  </si>
  <si>
    <t>CMS Salles Netto</t>
  </si>
  <si>
    <t>Rio Comprido</t>
  </si>
  <si>
    <t>-22.9249739,-43.2089467</t>
  </si>
  <si>
    <t>Consultorio dentario</t>
  </si>
  <si>
    <t>Niterói</t>
  </si>
  <si>
    <t>-22.9083473,-43.1095185</t>
  </si>
  <si>
    <t>Consultoriobde Acupuntura + Consultorio Odontologico</t>
  </si>
  <si>
    <t>Oeste</t>
  </si>
  <si>
    <t>-22.9068637,-43.1773108</t>
  </si>
  <si>
    <t>Coordenaçao de Emergencia Regional do Leblon</t>
  </si>
  <si>
    <t>-22.9777327,-43.2246005</t>
  </si>
  <si>
    <t>Corpo de Bombeiros - DSE</t>
  </si>
  <si>
    <t>-22.9337418,-43.1798339</t>
  </si>
  <si>
    <t>Cruz Vermelha Brasileira</t>
  </si>
  <si>
    <t>Centro</t>
  </si>
  <si>
    <t>-22.9114807,-43.1879897</t>
  </si>
  <si>
    <t>Cruz Vermelha Brasileira Filial Rio de Janeiro</t>
  </si>
  <si>
    <t>CS Mangueiras</t>
  </si>
  <si>
    <t>OUTROS ESTADOS</t>
  </si>
  <si>
    <t>Belo Horizonte-MG</t>
  </si>
  <si>
    <t>Barreiro</t>
  </si>
  <si>
    <t>-20.0136505,-44.0307989</t>
  </si>
  <si>
    <t>Fundaçao Hemocentro de Ribeirao Preto</t>
  </si>
  <si>
    <t>Monte Alegre</t>
  </si>
  <si>
    <t>Apoio - MÉDIA COMPLEXIDADE</t>
  </si>
  <si>
    <t>-21.1617734,-47.84897309999999</t>
  </si>
  <si>
    <t>Grupo Safety Serviços Medicos Especializados</t>
  </si>
  <si>
    <t>Todo estado do Riod de Janeiro</t>
  </si>
  <si>
    <t>-22.9102528,-43.4181344</t>
  </si>
  <si>
    <t>Guarda Municipal</t>
  </si>
  <si>
    <t>Engenho novo</t>
  </si>
  <si>
    <t>-22.902951,-43.213048</t>
  </si>
  <si>
    <t>H.do Rocio</t>
  </si>
  <si>
    <t>Campo Largo PR</t>
  </si>
  <si>
    <t>Campo Largo</t>
  </si>
  <si>
    <t>-25.4448065,-49.5359596</t>
  </si>
  <si>
    <t>Hemorio</t>
  </si>
  <si>
    <t>-22.90891,-43.189642</t>
  </si>
  <si>
    <t>Hospital Federal de Bonsucesso</t>
  </si>
  <si>
    <t>Bonsucesso</t>
  </si>
  <si>
    <t>-22.8671366,-43.2483857</t>
  </si>
  <si>
    <t>Hospital Barra Dor</t>
  </si>
  <si>
    <t>Barra da Tijuca</t>
  </si>
  <si>
    <t>-22.9833714,-43.3664302</t>
  </si>
  <si>
    <t>Hospital Central Aristarcho Pessoa</t>
  </si>
  <si>
    <t>-22.931474,-43.2097388</t>
  </si>
  <si>
    <t>Hospital Central da Polícia Militar do Estado do Rio de Janeiro</t>
  </si>
  <si>
    <t>Estacio</t>
  </si>
  <si>
    <t>-22.9130065,-43.2038426</t>
  </si>
  <si>
    <t>Hospital Centro De Sao Goncalo</t>
  </si>
  <si>
    <t>São Gonçalo</t>
  </si>
  <si>
    <t>-22.8347869,-43.034675</t>
  </si>
  <si>
    <t>Hospital Clinerp</t>
  </si>
  <si>
    <t>Cabo Frio</t>
  </si>
  <si>
    <t>Centro de Cabo Frio</t>
  </si>
  <si>
    <t>-22.8776344,-42.0142561</t>
  </si>
  <si>
    <t>Hospital da Força Aerea do Galeao</t>
  </si>
  <si>
    <t>Ilha do governador</t>
  </si>
  <si>
    <t>-22.8124121,-43.2169223</t>
  </si>
  <si>
    <t>Hospital da Gamboa</t>
  </si>
  <si>
    <t>-22.8959723,-43.20011340000001</t>
  </si>
  <si>
    <t>Hospital da Mulher Heloneida Studart</t>
  </si>
  <si>
    <t>BAIXADA FLUMINENSE</t>
  </si>
  <si>
    <t>Sao Joao de Meriti</t>
  </si>
  <si>
    <t>Villar dos Telles</t>
  </si>
  <si>
    <t>-22.7894166,-43.36487169999999</t>
  </si>
  <si>
    <t>Hospital da Mulher Mariska Ribeiro</t>
  </si>
  <si>
    <t>-22.876212,-43.472908</t>
  </si>
  <si>
    <t>Hospital da Policia Militar de Niteroi</t>
  </si>
  <si>
    <t>Santa Rosa</t>
  </si>
  <si>
    <t>-22.89845,-43.092113</t>
  </si>
  <si>
    <t>Hospital de Clinica da Universidade Federal do Parana</t>
  </si>
  <si>
    <t>Em Curitiva-PR</t>
  </si>
  <si>
    <t>-25.4241606,-49.26194779999999</t>
  </si>
  <si>
    <t>Hospital do Amparo Feminino</t>
  </si>
  <si>
    <t>-22.9253873,-43.2062024</t>
  </si>
  <si>
    <t>Hospital do Câncer 1 - INCA</t>
  </si>
  <si>
    <t>centro</t>
  </si>
  <si>
    <t>-22.9123649,-43.1885825</t>
  </si>
  <si>
    <t>Hospital do Câncer 2 - INCA</t>
  </si>
  <si>
    <t>Santo Cristo</t>
  </si>
  <si>
    <t>-22.899855,-43.2079464</t>
  </si>
  <si>
    <t>Hospital do Câncer 3 - INCA</t>
  </si>
  <si>
    <t>Vila Isabel</t>
  </si>
  <si>
    <t>-22.9162572,-43.2581724</t>
  </si>
  <si>
    <t>Hospital do Câncer 4 - INCA</t>
  </si>
  <si>
    <t>-22.9166827,-43.2584564</t>
  </si>
  <si>
    <t>Hospital do Câncer de Muriae</t>
  </si>
  <si>
    <t>Muriae - MG</t>
  </si>
  <si>
    <t>Bairro Universitario</t>
  </si>
  <si>
    <t>-21.1114574,-42.3833046</t>
  </si>
  <si>
    <t>Hospital Dr Adib Jaetene - HRS</t>
  </si>
  <si>
    <t>Sorocaba SP</t>
  </si>
  <si>
    <t>sorocaba</t>
  </si>
  <si>
    <t>-23.5268433,-47.5181614</t>
  </si>
  <si>
    <t>HOSPITAL E MATERNIDADE TEREZINHA DE JESUS</t>
  </si>
  <si>
    <t>JUIZ DE FORA</t>
  </si>
  <si>
    <t>SAO MATEUS</t>
  </si>
  <si>
    <t>-21.7778305,-43.3592873</t>
  </si>
  <si>
    <t>Hospital Escola de Valença</t>
  </si>
  <si>
    <t>REGIAO MEDIO PARAIBA</t>
  </si>
  <si>
    <t>Valença</t>
  </si>
  <si>
    <t xml:space="preserve">Centro </t>
  </si>
  <si>
    <t>-22.2441538,-43.7091485</t>
  </si>
  <si>
    <t>Hospital Escola São Francisco de Assis</t>
  </si>
  <si>
    <t>Cidade Nova</t>
  </si>
  <si>
    <t>-22.9090453,-43.2013757</t>
  </si>
  <si>
    <t>Hospital Estadual Adão Pereira Nunes</t>
  </si>
  <si>
    <t>Duque de Caxias</t>
  </si>
  <si>
    <t>Jardim Primavera</t>
  </si>
  <si>
    <t>-22.6732322,-43.2833074</t>
  </si>
  <si>
    <t>Hospital Estadual Alberto Torres</t>
  </si>
  <si>
    <t>Colunbandê</t>
  </si>
  <si>
    <t>-22.8384025,-43.0183652</t>
  </si>
  <si>
    <t>Hospital Estadual Azevedo Lima</t>
  </si>
  <si>
    <t>Fonseca</t>
  </si>
  <si>
    <t>-22.8810446,-43.0789078</t>
  </si>
  <si>
    <t>Hospital Estadual Carlos Chagas</t>
  </si>
  <si>
    <t>Marechal Hermes</t>
  </si>
  <si>
    <t>-22.8652078,-43.3746504</t>
  </si>
  <si>
    <t>Hospital Estadual da Criança</t>
  </si>
  <si>
    <t>Vila valqueire</t>
  </si>
  <si>
    <t>-22.8851109,-43.3660894</t>
  </si>
  <si>
    <t>Hospital Estadual Getúlio Vargas</t>
  </si>
  <si>
    <t>PENHA</t>
  </si>
  <si>
    <t>-22.8389844,-43.284978</t>
  </si>
  <si>
    <t>Hospital Estadual Santa Maria</t>
  </si>
  <si>
    <t>Jacarepagua</t>
  </si>
  <si>
    <t>-22.9135377,-43.419114</t>
  </si>
  <si>
    <t>Hospital Federal Cardoso Fontes</t>
  </si>
  <si>
    <t>Freguesia - RJ</t>
  </si>
  <si>
    <t>-22.9258421,-43.3163108</t>
  </si>
  <si>
    <t>Hospital Federal da Lagoa</t>
  </si>
  <si>
    <t>Jardim Botanico</t>
  </si>
  <si>
    <t>-22.9636854,-43.2155559</t>
  </si>
  <si>
    <t>Hospital Federal de Ipanema</t>
  </si>
  <si>
    <t>Ipanema</t>
  </si>
  <si>
    <t>-22.9839749,-43.1958259</t>
  </si>
  <si>
    <t>Hospital Federal dos Servidores do Estado</t>
  </si>
  <si>
    <t>-22.8965466,-43.1882366</t>
  </si>
  <si>
    <t>Hospital Geral de Arraial do Cabo</t>
  </si>
  <si>
    <t>Arraial do Cabo</t>
  </si>
  <si>
    <t>-22.9758547,-42.0281234</t>
  </si>
  <si>
    <t>Hospital Geral de Goiânia</t>
  </si>
  <si>
    <t>Goiânia</t>
  </si>
  <si>
    <t>Setor Oeste Goiania</t>
  </si>
  <si>
    <t>-16.6791391,-49.271032</t>
  </si>
  <si>
    <t>Hospital Geral de Itaguai</t>
  </si>
  <si>
    <t>Itaguaí</t>
  </si>
  <si>
    <t>-22.8717701,-43.7811295</t>
  </si>
  <si>
    <t>Hospital Getulio Vargas</t>
  </si>
  <si>
    <t>Hospital Icarai</t>
  </si>
  <si>
    <t>-22.8942861,-43.1127841</t>
  </si>
  <si>
    <t>Hospital Ilha do Governador</t>
  </si>
  <si>
    <t>ILHA DO GOVERNADOR</t>
  </si>
  <si>
    <t>-22.7973675,-43.1898968</t>
  </si>
  <si>
    <t>Hospital Israelita Albert Sabin</t>
  </si>
  <si>
    <t>Maracana</t>
  </si>
  <si>
    <t>-22.9151254,-43.2238948</t>
  </si>
  <si>
    <t>Hospital Mário Kroeff</t>
  </si>
  <si>
    <t>-22.83382,-43.2869254</t>
  </si>
  <si>
    <t>Hospital Maternidade Fernando Magalhaes</t>
  </si>
  <si>
    <t>São Cristovão</t>
  </si>
  <si>
    <t>-22.8951508,-43.22576919999999</t>
  </si>
  <si>
    <t>Hospital Municipal Albert Schweitzer</t>
  </si>
  <si>
    <t>Realengo</t>
  </si>
  <si>
    <t>-22.8667425,-43.4419453</t>
  </si>
  <si>
    <t>Hospital Municipal Angela Maria Simões Menezes</t>
  </si>
  <si>
    <t>Casimiro de Abreu</t>
  </si>
  <si>
    <t>Santa Ely</t>
  </si>
  <si>
    <t>-22.4919821,-42.2009137</t>
  </si>
  <si>
    <t>Hospital Municipal Barata Ribeiro</t>
  </si>
  <si>
    <t>Mangueira</t>
  </si>
  <si>
    <t>-22.9000936,-43.240323</t>
  </si>
  <si>
    <t>HOSPITAL RAIMUNDO CELIO RODRIGUES</t>
  </si>
  <si>
    <t>Pacatuba - CE</t>
  </si>
  <si>
    <t>-3.9824484,-38.619293</t>
  </si>
  <si>
    <t>Hospital Municipal da Piedade</t>
  </si>
  <si>
    <t>Piedade</t>
  </si>
  <si>
    <t>-22.8918083,-43.3097393</t>
  </si>
  <si>
    <t>Hospital Municipal de Mage</t>
  </si>
  <si>
    <t>Magé</t>
  </si>
  <si>
    <t>-22.6541093,-43.0372882</t>
  </si>
  <si>
    <t>Hospital Municipal Desembargador Leal Jr</t>
  </si>
  <si>
    <t>Itaborai</t>
  </si>
  <si>
    <t>Nancilandia</t>
  </si>
  <si>
    <t>-22.7378139,-42.8489946</t>
  </si>
  <si>
    <t>Hospital Municipal Desembargador Leal Junior</t>
  </si>
  <si>
    <t>Hospital Municipal Doutor Nelson de Sá</t>
  </si>
  <si>
    <t>REGIAO SERRANA</t>
  </si>
  <si>
    <t>Petropólis</t>
  </si>
  <si>
    <t>-22.5076607,-43.1922903</t>
  </si>
  <si>
    <t>Hospital Municipal Dr Fernando Pereira da Silva</t>
  </si>
  <si>
    <t>Macaé</t>
  </si>
  <si>
    <t>Virgem Santa</t>
  </si>
  <si>
    <t>-22.3563134,-41.8076348</t>
  </si>
  <si>
    <t>Hospital Municipal e Maternidade prof Mario degni</t>
  </si>
  <si>
    <t>SP</t>
  </si>
  <si>
    <t>Rio pequeno</t>
  </si>
  <si>
    <t>-23.5782744,-46.7646913</t>
  </si>
  <si>
    <t>Hospital Municipal Francisco da Silva Telles</t>
  </si>
  <si>
    <t>-22.8308433,-43.3280767</t>
  </si>
  <si>
    <t>Hospital Municipal Jesus</t>
  </si>
  <si>
    <t>-22.9116044,-43.243544</t>
  </si>
  <si>
    <t>Hospital Municipal José Rabello de Mello</t>
  </si>
  <si>
    <t>Guapimirim serrana</t>
  </si>
  <si>
    <t>Bananal</t>
  </si>
  <si>
    <t>-22.5364661,-42.9823512</t>
  </si>
  <si>
    <t>Hospital Municipal Lourenco Jorge</t>
  </si>
  <si>
    <t>-22.9949934,-43.3637553</t>
  </si>
  <si>
    <t>Hospital Municipal Lourenço Jorge</t>
  </si>
  <si>
    <t>Hospital Municipal Miguel Couto</t>
  </si>
  <si>
    <t>Leblon/Gavea</t>
  </si>
  <si>
    <t>-22.9775844,-43.2240119</t>
  </si>
  <si>
    <t>Hospital Municipal Moacyr do Carmo</t>
  </si>
  <si>
    <t>Vila sao luiz</t>
  </si>
  <si>
    <t>-22.7837575,-43.284084</t>
  </si>
  <si>
    <t>Hospital Municipal Nossa Senhora do Loreto</t>
  </si>
  <si>
    <t>Ilha do Governador</t>
  </si>
  <si>
    <t>-22.8147195,-43.2254599</t>
  </si>
  <si>
    <t>Hospital Municipal Pedro II</t>
  </si>
  <si>
    <t>Santa Cruz</t>
  </si>
  <si>
    <t>-22.912833,-43.6878325</t>
  </si>
  <si>
    <t>Hospital Municipal Raphael de Paula Souza</t>
  </si>
  <si>
    <t>Curicica</t>
  </si>
  <si>
    <t>-22.9542357,-43.3919094</t>
  </si>
  <si>
    <t>Hospital Municipal Rocha Faria</t>
  </si>
  <si>
    <t>Campo Grande</t>
  </si>
  <si>
    <t>-22.9082574,-43.5623842</t>
  </si>
  <si>
    <t>Hospital Municipal Ronaldo Gazola</t>
  </si>
  <si>
    <t>Acari</t>
  </si>
  <si>
    <t>-22.825339,-43.347584</t>
  </si>
  <si>
    <t>Hospital Municipal Ronaldo Gazolla</t>
  </si>
  <si>
    <t>Hospital Municipal Salgado Filho</t>
  </si>
  <si>
    <t>MEIER</t>
  </si>
  <si>
    <t>-22.9008949,-43.2782108</t>
  </si>
  <si>
    <t>Meier</t>
  </si>
  <si>
    <t>Hospital Municipal São Francisco Xavier</t>
  </si>
  <si>
    <t>Itaguai</t>
  </si>
  <si>
    <t>-22.8694531,-43.7773475</t>
  </si>
  <si>
    <t>Hospital Municipal Souza Aguiar</t>
  </si>
  <si>
    <t>-22.908552,-43.1901875</t>
  </si>
  <si>
    <t>Hospital Naval Marcílio Dias</t>
  </si>
  <si>
    <t>Lins de Vasconcelos</t>
  </si>
  <si>
    <t>-22.9139074,-43.2833747</t>
  </si>
  <si>
    <t>Hospital Nossa Senhora da Conceiçao</t>
  </si>
  <si>
    <t>Fortaleza</t>
  </si>
  <si>
    <t>Conjunto Ceara ii</t>
  </si>
  <si>
    <t>-3.7704822,-38.6161906</t>
  </si>
  <si>
    <t>Hospital Psiquiatrico de Jurujuba</t>
  </si>
  <si>
    <t>Charitas</t>
  </si>
  <si>
    <t>-22.9324847,-43.09773089999999</t>
  </si>
  <si>
    <t>Hospital Santa Izabel</t>
  </si>
  <si>
    <t>-22.8774433,-42.0129776</t>
  </si>
  <si>
    <t>Hospital santa martha</t>
  </si>
  <si>
    <t>-22.903304,-43.089135</t>
  </si>
  <si>
    <t>Hospital Santa Martha - Niteroi</t>
  </si>
  <si>
    <t>Santa rosa</t>
  </si>
  <si>
    <t>-22.903349,-43.0891179</t>
  </si>
  <si>
    <t>Hospital Sao Francisco</t>
  </si>
  <si>
    <t>-22.9399,-43.248224</t>
  </si>
  <si>
    <t>Hospital Sao Francisco de Assis na Providencia de Deus (Antiga Ordem Terceira)</t>
  </si>
  <si>
    <t>Hospital Sao Joao Batista de Macae</t>
  </si>
  <si>
    <t>-22.3780511,-41.7755733</t>
  </si>
  <si>
    <t>Hospital Sao Matheus</t>
  </si>
  <si>
    <t>-22.8818535,-43.4632601</t>
  </si>
  <si>
    <t>Hospital Sao Paulo / UNIFESP</t>
  </si>
  <si>
    <t>Vila Clementino</t>
  </si>
  <si>
    <t>-23.5975138,-46.643593</t>
  </si>
  <si>
    <t>Hospital Sao Vicente de Paulo</t>
  </si>
  <si>
    <t>-22.9159138,-43.2150202</t>
  </si>
  <si>
    <t>Hospital Semiu</t>
  </si>
  <si>
    <t>Vila da Penha</t>
  </si>
  <si>
    <t>-22.8470021,-43.3054424</t>
  </si>
  <si>
    <t>Hospital Tijutrauma</t>
  </si>
  <si>
    <t>-22.9285876,-43.2394033</t>
  </si>
  <si>
    <t>Hospital Unimed</t>
  </si>
  <si>
    <t>-22.9890195,-43.36400740000001</t>
  </si>
  <si>
    <t>Hospital Unimed Petropolis/ Hospital de Ensino Alcides Carneiro</t>
  </si>
  <si>
    <t>Petrópolis</t>
  </si>
  <si>
    <t>Corrêas e Bingen</t>
  </si>
  <si>
    <t>-22.4502407,-43.1402099</t>
  </si>
  <si>
    <t>Hospital Unimed Rio</t>
  </si>
  <si>
    <t>barra da tijuca</t>
  </si>
  <si>
    <t>Hospital Universitário Clementino Fraga Filho</t>
  </si>
  <si>
    <t>Ilha do Fundão</t>
  </si>
  <si>
    <t>-22.8425002,-43.2376557</t>
  </si>
  <si>
    <t>Hospital Universitário Gaffrée e Guinle</t>
  </si>
  <si>
    <t>-22.9161967,-43.2208276</t>
  </si>
  <si>
    <t>Hospital Universitário Pedro Ernesto</t>
  </si>
  <si>
    <t>-22.9146836,-43.2371026</t>
  </si>
  <si>
    <t>Hospitalde Saude Mental Professor Frota Pinto</t>
  </si>
  <si>
    <t>Messejana</t>
  </si>
  <si>
    <t>-3.8254491,-38.4843979</t>
  </si>
  <si>
    <t>IFF/FIOCRUZ</t>
  </si>
  <si>
    <t>Flamengo</t>
  </si>
  <si>
    <t>-22.9422869,-43.1742243</t>
  </si>
  <si>
    <t>Infantil de Vitoria ES</t>
  </si>
  <si>
    <t>Vitoria ES</t>
  </si>
  <si>
    <t>Vitirab-ES</t>
  </si>
  <si>
    <t>-20.2976178,-40.2957768</t>
  </si>
  <si>
    <t>Innova care</t>
  </si>
  <si>
    <t>Sao cristovao</t>
  </si>
  <si>
    <t>-22.9044065,-43.2130366</t>
  </si>
  <si>
    <t>Instituto de Neurologia Deolindo Couto</t>
  </si>
  <si>
    <t>Botafogo</t>
  </si>
  <si>
    <t>-22.9542543,-43.1766203</t>
  </si>
  <si>
    <t>Instituto de Psiquiatria da UFRJ</t>
  </si>
  <si>
    <t>-22.9538742,-43.1752637</t>
  </si>
  <si>
    <t>Instituto de Puericultura e Pediatria Martagao Gesteira</t>
  </si>
  <si>
    <t>-22.8411499,-43.2390769</t>
  </si>
  <si>
    <t>Instituto Estadual de Cardiologia Aloysio de Castro</t>
  </si>
  <si>
    <t>-22.9543288,-43.1982065</t>
  </si>
  <si>
    <t>INSTITUTO ESTADUAL DE DERMATOLOGIA SANITÁRIA</t>
  </si>
  <si>
    <t>TANQUE</t>
  </si>
  <si>
    <t>-22.9138466,-43.3643215</t>
  </si>
  <si>
    <t>Instituto Estadual de Diabetes e Endocrinologia Luiz Capriglione</t>
  </si>
  <si>
    <t>Central do Brasil</t>
  </si>
  <si>
    <t>-22.9092569,-43.1924888</t>
  </si>
  <si>
    <t>Instituto Estadual de Doenças do Tórax Ary Parreiras</t>
  </si>
  <si>
    <t>Barreto</t>
  </si>
  <si>
    <t>-22.8648411,-43.0993415</t>
  </si>
  <si>
    <t>Instituto Estadual do Cérebro Paulo Niemeyer</t>
  </si>
  <si>
    <t>-22.913457,-43.1876578</t>
  </si>
  <si>
    <t>Instituto Evandro Chagas</t>
  </si>
  <si>
    <t>Ananindeua PA</t>
  </si>
  <si>
    <t>Ananindeua</t>
  </si>
  <si>
    <t>-1.3747232,-48.3854668</t>
  </si>
  <si>
    <t>Instituto Federal do Rio de Janeiro (OBS.: nao e um hospital, mas uma instituiçao de educaçao ciencia e tecnologia)</t>
  </si>
  <si>
    <t>REGIAO CENTRO-SUL</t>
  </si>
  <si>
    <t>VOLTA REDONDA</t>
  </si>
  <si>
    <t>Volta Redonda e Realengo</t>
  </si>
  <si>
    <t>-22.8929869,-43.0538601</t>
  </si>
  <si>
    <t>Instituto Fernandes Figueira</t>
  </si>
  <si>
    <t>Instituto Nacional de Cardiologia</t>
  </si>
  <si>
    <t>Laranjeiras</t>
  </si>
  <si>
    <t>-22.936735,-43.1904732</t>
  </si>
  <si>
    <t>Instituto Nacional de Saude da Mulher, da Criança e do Adolescente Fernandes Figueira (IFF/Fiocruz)</t>
  </si>
  <si>
    <t>Faculdade Estacio de Sa</t>
  </si>
  <si>
    <t>Irmandade da Santa casa de misericordia de sao Paulo</t>
  </si>
  <si>
    <t>Sao Paulo</t>
  </si>
  <si>
    <t>Santa Cecilia</t>
  </si>
  <si>
    <t>LACEN - LABORAToRIO CENTRAL NOEL NUTTELS</t>
  </si>
  <si>
    <t>LAMOGLIA A ARTE DO CUIDAR</t>
  </si>
  <si>
    <t>REGIAO NORTE</t>
  </si>
  <si>
    <t>Porto da Aldeia</t>
  </si>
  <si>
    <t>LEONARDO COUTINHO CERQUEIRA</t>
  </si>
  <si>
    <t>Leve saude clinica medica</t>
  </si>
  <si>
    <t>LMSZ CLINICA ODONTOLOGICA LTDA</t>
  </si>
  <si>
    <t>MARCELLE CAMPOS ARAUJO</t>
  </si>
  <si>
    <t>Marcos FERNANDES DA ROSA</t>
  </si>
  <si>
    <t>MT</t>
  </si>
  <si>
    <t>MARIANA de Ascençao Peixoto</t>
  </si>
  <si>
    <t>Marilia resende de</t>
  </si>
  <si>
    <t>Clinica</t>
  </si>
  <si>
    <t>Maternidade Municipal Drº Mario Niajar</t>
  </si>
  <si>
    <t>Alcântara</t>
  </si>
  <si>
    <t>Alcantara</t>
  </si>
  <si>
    <t>Neovida Centro Infantil</t>
  </si>
  <si>
    <t>Nova Iguaçu</t>
  </si>
  <si>
    <t>Centro - Nova Iguaçu</t>
  </si>
  <si>
    <t>Notre care</t>
  </si>
  <si>
    <t>Andarai</t>
  </si>
  <si>
    <t>Otomed Otorrinolaringologia</t>
  </si>
  <si>
    <t>Copacabana</t>
  </si>
  <si>
    <t>POLICLÍNICA NEWTON ALVES CARDOSO</t>
  </si>
  <si>
    <t>Cocotá</t>
  </si>
  <si>
    <t>Policlinica Piquet Carneiro</t>
  </si>
  <si>
    <t>Posto Regional de Policia Técnico Científica de São Gonçalo</t>
  </si>
  <si>
    <t>Tribobó</t>
  </si>
  <si>
    <t>Prefeitura municipal de Araucaria</t>
  </si>
  <si>
    <t>Araucareia /PR</t>
  </si>
  <si>
    <t>Araucaria PR</t>
  </si>
  <si>
    <t>Projeto Brasil sem Alergia</t>
  </si>
  <si>
    <t>Jardim Vinte e Cinco de Agosto</t>
  </si>
  <si>
    <t>Rede Municipaldo Rio de Janeiro</t>
  </si>
  <si>
    <t>diversos bairros</t>
  </si>
  <si>
    <t>Renalvida</t>
  </si>
  <si>
    <t>Rio Homecare</t>
  </si>
  <si>
    <t>SAMU de Duque de Caxias</t>
  </si>
  <si>
    <t>Parque Beira Mar</t>
  </si>
  <si>
    <t>SAMU do Município de São João de Meriti</t>
  </si>
  <si>
    <t>Jardim Meriti</t>
  </si>
  <si>
    <t>Santa Casa de Misericordia de Guaçui</t>
  </si>
  <si>
    <t>Guaçui ES</t>
  </si>
  <si>
    <t>Quincas Machado- Guaçui</t>
  </si>
  <si>
    <t>Santa casa de misericordia de Sāo Bento do Sapucai</t>
  </si>
  <si>
    <t>Estafo de Sao paulo</t>
  </si>
  <si>
    <t>Sao Gonçalo Clinica de Olhos</t>
  </si>
  <si>
    <t>Sao Gonçalo</t>
  </si>
  <si>
    <t>Sao Jose dos Pinhais</t>
  </si>
  <si>
    <t>Curitiba PR</t>
  </si>
  <si>
    <t>Savior Medical Service</t>
  </si>
  <si>
    <t>Sede em Sao Cristovao mas atuamos no Rio e em SP</t>
  </si>
  <si>
    <t>Secretaria Municipal de Saude do Rio de Janeiro</t>
  </si>
  <si>
    <t>meier</t>
  </si>
  <si>
    <t>Trabalhamos com higienizaçao hospitar, estamos em todos os hospitais publicos de Niteroi e no Into Rio de Janeiro</t>
  </si>
  <si>
    <t>UBS Otacilio da Silva</t>
  </si>
  <si>
    <t>Olavo Bilac</t>
  </si>
  <si>
    <t>UBS VITalino Fonseca Matozinhos /MG</t>
  </si>
  <si>
    <t>Minas, MG</t>
  </si>
  <si>
    <t>Floresta</t>
  </si>
  <si>
    <t>Unidade de pronto atendimento upa bangu 24 horas</t>
  </si>
  <si>
    <t>Hospital UNIMED BARRA</t>
  </si>
  <si>
    <t>UPA 24h Dr. Mário Monteiro</t>
  </si>
  <si>
    <t>Regiao oceanica</t>
  </si>
  <si>
    <t>UPA 24h Manguinhos</t>
  </si>
  <si>
    <t>Benfica</t>
  </si>
  <si>
    <t>UPA Ângela Maria Brito</t>
  </si>
  <si>
    <t>Centro / Silva Jardim</t>
  </si>
  <si>
    <t>Upa Campo Grande 2</t>
  </si>
  <si>
    <t>UPA Copacabana</t>
  </si>
  <si>
    <t>Upa do Engenho de Dentro</t>
  </si>
  <si>
    <t>Engenho de Dentro</t>
  </si>
  <si>
    <t>Upa do engenhode dentro</t>
  </si>
  <si>
    <t>Engenho de dentro</t>
  </si>
  <si>
    <t>Upa engenho de dentro</t>
  </si>
  <si>
    <t>UPA Irajá</t>
  </si>
  <si>
    <t>UPA Jardim Iris- Sao Joao de Meriti</t>
  </si>
  <si>
    <t>Jardim Iris</t>
  </si>
  <si>
    <t>Upa penha</t>
  </si>
  <si>
    <t>Upa Rocinha</t>
  </si>
  <si>
    <t>UPA Tijuca</t>
  </si>
  <si>
    <t>Upa tijuca rj</t>
  </si>
  <si>
    <t>Upa Tijuca- Rio de janeiro</t>
  </si>
  <si>
    <t>TIJUCA</t>
  </si>
  <si>
    <t>Viellas Odontologia LTDA</t>
  </si>
  <si>
    <t>Vitoria Apart hospital</t>
  </si>
  <si>
    <t>Serra, ES</t>
  </si>
  <si>
    <t>Boa vista 2</t>
  </si>
  <si>
    <t>HOSPITAL UNIVERSITÁRIO DE VASSOURAS - HUV</t>
  </si>
  <si>
    <t>VASSOURAS</t>
  </si>
  <si>
    <t>MADRUGA</t>
  </si>
  <si>
    <t>UPA Cabuçu</t>
  </si>
  <si>
    <t>Cabuçu</t>
  </si>
  <si>
    <t>CENTRO DE SAuDE ESCOLA GERMANO SINVAL FARIA</t>
  </si>
  <si>
    <t>RIO DE JANEIRO</t>
  </si>
  <si>
    <t>MANGUINHOS</t>
  </si>
  <si>
    <t>Upa Copacabana</t>
  </si>
  <si>
    <t>Organizacao comunitaria de frente das favelas de Babilonia e Chapeu Mangueira</t>
  </si>
  <si>
    <t>LEME</t>
  </si>
  <si>
    <t>Upa tamoios</t>
  </si>
  <si>
    <t>Cabo frio</t>
  </si>
  <si>
    <t>Tamoios</t>
  </si>
  <si>
    <t>Hospital Geral de Guarus</t>
  </si>
  <si>
    <t>Campos dos Goytacazes</t>
  </si>
  <si>
    <t>Guarus</t>
  </si>
  <si>
    <t>Esf Maria Cristina</t>
  </si>
  <si>
    <t>Mesquita</t>
  </si>
  <si>
    <t>Rocha Sobrinho</t>
  </si>
  <si>
    <t>UPA 24hs Barra de Macae RJ</t>
  </si>
  <si>
    <t>Macae</t>
  </si>
  <si>
    <t>Barra de Macae</t>
  </si>
  <si>
    <t xml:space="preserve">Santa casa de São João da Barra </t>
  </si>
  <si>
    <t>Sao Joao da Barra</t>
  </si>
  <si>
    <t>Hospital Municipal Angela Maria Simoes Menezes</t>
  </si>
  <si>
    <t>Hospital de Tratamento em Dependência Química Roberto Medeiros</t>
  </si>
  <si>
    <t>Gericino</t>
  </si>
  <si>
    <t xml:space="preserve">Hospital de Apoio - MÉDIA COMPLEXIDADE
</t>
  </si>
  <si>
    <t>Hospital Estadual Eduardo Rabello</t>
  </si>
  <si>
    <t>Senador Vasconcelos</t>
  </si>
  <si>
    <t>Testagem Covid-19 e Vacinacao</t>
  </si>
  <si>
    <t>rio de janeiro</t>
  </si>
  <si>
    <t>Cidade Universitaria</t>
  </si>
  <si>
    <t>Instituto Oswaldo Cruz-IOC/FIOCRUZ</t>
  </si>
  <si>
    <t>Manguinhos</t>
  </si>
  <si>
    <t>Intituição de pesquisa avançasda</t>
  </si>
  <si>
    <t>Escola de Enfermagem Anna Nery</t>
  </si>
  <si>
    <t>Maternidade Escola da UFRJ</t>
  </si>
  <si>
    <t>UPA 24H Copacabana</t>
  </si>
  <si>
    <t>Coordenacao de atencao primaria a saude - cap 52</t>
  </si>
  <si>
    <t>Inhoaiba</t>
  </si>
  <si>
    <t>Hospital Ferreira Machado</t>
  </si>
  <si>
    <t>IML</t>
  </si>
  <si>
    <t>SaO GONÇALO</t>
  </si>
  <si>
    <t>TRIBBOBo</t>
  </si>
  <si>
    <t>MEDICINA LEGAL E PERÍCIA CRIMINAL</t>
  </si>
  <si>
    <t>Centro Municipal de saude Harvey Ribeiro de Souza Filho</t>
  </si>
  <si>
    <t>Hospital municipal Jesus</t>
  </si>
  <si>
    <t>Vila isabel</t>
  </si>
  <si>
    <t>Hospital Municipal Fernando Magalhaes</t>
  </si>
  <si>
    <t>Sao Cristovao</t>
  </si>
  <si>
    <t xml:space="preserve">Hospital de Referência - ALTA COMPLEXIDADE
</t>
  </si>
  <si>
    <t>Hospital Federal Cardoso Fontes, IEDS</t>
  </si>
  <si>
    <t>Freguesia</t>
  </si>
  <si>
    <t>UPA Jacarepagua</t>
  </si>
  <si>
    <t>Taquara -Jacarepagua</t>
  </si>
  <si>
    <t xml:space="preserve">Grande emergência - MÉDIA COMPLEXIDADE
</t>
  </si>
  <si>
    <t>HOSPITAL MUNICIPAL DR MUNR RAFFUL</t>
  </si>
  <si>
    <t>Volta Redonda</t>
  </si>
  <si>
    <t>Retiro</t>
  </si>
  <si>
    <t>Clinica Otoalergica</t>
  </si>
  <si>
    <t>Jardim 25 de agosto</t>
  </si>
  <si>
    <t xml:space="preserve">Pronto atendimento de otorrinolaringologia
</t>
  </si>
  <si>
    <t>Hospital Municipal Rocha Maia</t>
  </si>
  <si>
    <t>Estrategia Saude da familia Parque Esperança</t>
  </si>
  <si>
    <t>Sao Bento</t>
  </si>
  <si>
    <t xml:space="preserve">Unidade básica de saúde - BAIXA COMPLEXIDADE
</t>
  </si>
  <si>
    <t>USF TAQUARA</t>
  </si>
  <si>
    <t>Taquara</t>
  </si>
  <si>
    <t>Hospital Central de Emergência de Cabo Frio</t>
  </si>
  <si>
    <t>Psf vila maria helena</t>
  </si>
  <si>
    <t>Vila maria Helena</t>
  </si>
  <si>
    <t>centro municipal de saude cesar pernetta</t>
  </si>
  <si>
    <t>Faculdade de Odontologia da UFRJ</t>
  </si>
  <si>
    <t>Ilha do Fundao - Cidade Universitaria</t>
  </si>
  <si>
    <t xml:space="preserve">Unidade de atendimento publico odontológico
</t>
  </si>
  <si>
    <t>UPH PILAR</t>
  </si>
  <si>
    <t>Pilar</t>
  </si>
  <si>
    <t>Clinica da Família Dr Moacyr A de Carvalho</t>
  </si>
  <si>
    <t>Austim</t>
  </si>
  <si>
    <t>Hospital Municipal Dr Adalberto da Graça</t>
  </si>
  <si>
    <t>Paracambi</t>
  </si>
  <si>
    <t>Lages</t>
  </si>
  <si>
    <t>HFSE</t>
  </si>
  <si>
    <t>Saude</t>
  </si>
  <si>
    <t>UBS Santa Lucia</t>
  </si>
  <si>
    <t>Santa Lucia</t>
  </si>
  <si>
    <t>USF MANGUEIRINHA</t>
  </si>
  <si>
    <t>Centenario</t>
  </si>
  <si>
    <t>UBS Alayde Cunha</t>
  </si>
  <si>
    <t>USF JARDIM GRAMACHO I, II, III, V</t>
  </si>
  <si>
    <t>DUQUE DE CAXIAS</t>
  </si>
  <si>
    <t>JARDIM GRAMACHO</t>
  </si>
  <si>
    <t>Jardim Gramacho IV</t>
  </si>
  <si>
    <t>Jardim Gramacho</t>
  </si>
  <si>
    <t>USF Trevo das Missões</t>
  </si>
  <si>
    <t>Trevo das Missoes</t>
  </si>
  <si>
    <t>USF Beira Mar</t>
  </si>
  <si>
    <t>USF Parque Felicidade</t>
  </si>
  <si>
    <t>Parque Felicidade</t>
  </si>
  <si>
    <t>USF Gramacho</t>
  </si>
  <si>
    <t>Gramacho</t>
  </si>
  <si>
    <t>SERVICO DE ATENCAO DOMICILIAR - SAD</t>
  </si>
  <si>
    <t xml:space="preserve">SERVIÇO DE ATENÇÃO DOMICILIAR - ATENÇÃO ESPECIALIZADA
</t>
  </si>
  <si>
    <t>USF Dois Irmaos</t>
  </si>
  <si>
    <t>Parque Dois Irmaos</t>
  </si>
  <si>
    <t>Posto Odontologico Professor Jose Herdy</t>
  </si>
  <si>
    <t>Parque Felicidade/ Vila Operaria</t>
  </si>
  <si>
    <t>CMS PROF. MARIO VITOR DE ASSIS PACHECO</t>
  </si>
  <si>
    <t>CAMPO GRANDE</t>
  </si>
  <si>
    <t>Ceo centro de especialidades odontologica II imbarie</t>
  </si>
  <si>
    <t>Duque de caxias</t>
  </si>
  <si>
    <t>Imbarie</t>
  </si>
  <si>
    <t xml:space="preserve">Centro especialidade  odontológica media complexidade 
</t>
  </si>
  <si>
    <t>UMPA - UNIDADE MUNICIPAL DE PRONTO ATENDIMENTO</t>
  </si>
  <si>
    <t>PACHECO</t>
  </si>
  <si>
    <t xml:space="preserve">UNIDADE MNICIPAL DE PRONTO ATENDIMENTO 24H
</t>
  </si>
  <si>
    <t>Centro de especialidades Odontologica</t>
  </si>
  <si>
    <t>Imbariê</t>
  </si>
  <si>
    <t>CMS Joao Candido</t>
  </si>
  <si>
    <t>Penha Circular</t>
  </si>
  <si>
    <t>Centro de especialidades odontologicas</t>
  </si>
  <si>
    <t>Posto de Policia Tecnica Cientifica de Duque de Caxias</t>
  </si>
  <si>
    <t>Vinte e Cinco de Agosto</t>
  </si>
  <si>
    <t xml:space="preserve">Atendimento ao Público para Exames de Corpo de Delito e Necropsias . 
</t>
  </si>
  <si>
    <t>Iml Araruama.Prptc Araruama</t>
  </si>
  <si>
    <t>Araruama</t>
  </si>
  <si>
    <t xml:space="preserve">IML
</t>
  </si>
  <si>
    <t>Posto Regional de Policia Tecnica e Cientifica de Campos</t>
  </si>
  <si>
    <t xml:space="preserve">Policia Civil
</t>
  </si>
  <si>
    <t>Instituto de Criminalistica Carlos eboli</t>
  </si>
  <si>
    <t xml:space="preserve">Instituto de Criminalistica 
</t>
  </si>
  <si>
    <t>USF Sarapui</t>
  </si>
  <si>
    <t>Sarapui</t>
  </si>
  <si>
    <t>USF Vila Sao Luiz</t>
  </si>
  <si>
    <t>Vila Sao Luiz</t>
  </si>
  <si>
    <t>USF Cidade dos Meninos</t>
  </si>
  <si>
    <t>USF Nelson Chaves</t>
  </si>
  <si>
    <t>USF Parque Chuno</t>
  </si>
  <si>
    <t>USF Parque Comercial</t>
  </si>
  <si>
    <t>USF Parque Esperança</t>
  </si>
  <si>
    <t>Jardim Vila Nova</t>
  </si>
  <si>
    <t>UPA CIDADE DE DEUS</t>
  </si>
  <si>
    <t>CIDADE DE DEUS</t>
  </si>
  <si>
    <t xml:space="preserve">UPA - UNIDADE DE PRONTO ATENDIMENTO - MEDIA COMPLEXIDADE
</t>
  </si>
  <si>
    <t>USF Nova Campinas</t>
  </si>
  <si>
    <t>Nova Campinas</t>
  </si>
  <si>
    <t>USF Parada Angelica</t>
  </si>
  <si>
    <t>Parada Angelica</t>
  </si>
  <si>
    <t>Posto de saude 24 Queimados</t>
  </si>
  <si>
    <t>Queimados</t>
  </si>
  <si>
    <t>Fachem</t>
  </si>
  <si>
    <t>USF Parque Eldorado</t>
  </si>
  <si>
    <t>Parque Eldorado</t>
  </si>
  <si>
    <t>USF Centenario</t>
  </si>
  <si>
    <t>USF Parada Morabi</t>
  </si>
  <si>
    <t>Parada Morabi</t>
  </si>
  <si>
    <t>PRPTC MACAE - IML</t>
  </si>
  <si>
    <t>MACAE</t>
  </si>
  <si>
    <t>NOVO CAVALEIROS</t>
  </si>
  <si>
    <t xml:space="preserve">INSTITUTO MEDICO LEGAL
</t>
  </si>
  <si>
    <t>clinica da familia alice de jesus rego</t>
  </si>
  <si>
    <t>Rio de JANEIRO</t>
  </si>
  <si>
    <t>santa cruz</t>
  </si>
  <si>
    <t>CF MARIA DE AZEVEDO RODRIGUES PEREIRA</t>
  </si>
  <si>
    <t>Anchieta</t>
  </si>
  <si>
    <t>UBS Sao Pedro da Serra</t>
  </si>
  <si>
    <t>Nova Friburgo</t>
  </si>
  <si>
    <t>Sao Pedro da Serra</t>
  </si>
  <si>
    <t>Clinica da Familia Zilda Arns</t>
  </si>
  <si>
    <t>Complexo do Alemao</t>
  </si>
  <si>
    <t>Clinica da Familia Medalhista Olimpico Ricardo Lucarelli</t>
  </si>
  <si>
    <t>CMS Edgard Magalhaes Gomes</t>
  </si>
  <si>
    <t>Instituto Fernandes Figueira (IFF/Fiocruz)</t>
  </si>
  <si>
    <t>CMS PROF. SAVIO ANTUNES</t>
  </si>
  <si>
    <t>SANTA CRUZ (ANTARES)</t>
  </si>
  <si>
    <t>Clinica da Família Pastor Rosalvo Dantas</t>
  </si>
  <si>
    <t>Valdariosa</t>
  </si>
  <si>
    <t>DEGASE</t>
  </si>
  <si>
    <t>Galeao</t>
  </si>
  <si>
    <t xml:space="preserve">Departamento Geral de Ações Socioeducativas
</t>
  </si>
  <si>
    <t>Clinica da Familia Armando Palhares Aguinaga</t>
  </si>
  <si>
    <t>Consultorio na rua</t>
  </si>
  <si>
    <t>Maricá</t>
  </si>
  <si>
    <t xml:space="preserve">Estamos em atendimento na rua e hospital 
</t>
  </si>
  <si>
    <t>Secretaria Municipal de Saude</t>
  </si>
  <si>
    <t>COORDENADORIA DE ATENCaO PROGRAMaTICA</t>
  </si>
  <si>
    <t>Hospital do olho julio candido de brito</t>
  </si>
  <si>
    <t>Dr laureano</t>
  </si>
  <si>
    <t xml:space="preserve">Oftalmologico
</t>
  </si>
  <si>
    <t>USF rodilandia</t>
  </si>
  <si>
    <t>Rodilandia</t>
  </si>
  <si>
    <t>CMS Iraci Lopes</t>
  </si>
  <si>
    <t>Vigario Geral</t>
  </si>
  <si>
    <t>HOSPITAL Municipal maternidade Carmela Dutra</t>
  </si>
  <si>
    <t>INTO</t>
  </si>
  <si>
    <t>HOSPITAL ESTADUAL DE TRAUMATOLOGIA VEREADOR MELCHIADES CALAZANS</t>
  </si>
  <si>
    <t>Nilópolis</t>
  </si>
  <si>
    <t>CABUIS</t>
  </si>
  <si>
    <t>Superintendencia de Vigilancia em Saude</t>
  </si>
  <si>
    <t>UPA MARÉ</t>
  </si>
  <si>
    <t>BONSUCESSO</t>
  </si>
  <si>
    <t>HOSPITAL MUNICIPAL DR. ADALBERTO DA GRAÇA</t>
  </si>
  <si>
    <t>Abraço Campeão</t>
  </si>
  <si>
    <t>Outra Instituição</t>
  </si>
  <si>
    <t>Ação Social do Grajaú</t>
  </si>
  <si>
    <t>Grajau</t>
  </si>
  <si>
    <t>Hospital Samaritano</t>
  </si>
  <si>
    <t>Hospital Samaritano - Botafogo</t>
  </si>
  <si>
    <t>REferência - ALTA COMPLEXIDADE</t>
  </si>
  <si>
    <t>IPPMG - UFRJ</t>
  </si>
  <si>
    <t>Jacarezinho contra o Coronavírus</t>
  </si>
  <si>
    <t>Jacarezinho</t>
  </si>
  <si>
    <t>LAR DE IDOSOS - FROIEN FARAIN</t>
  </si>
  <si>
    <t>Maternidade Leila Diniz</t>
  </si>
  <si>
    <t>OAF - FUNERÁRIA</t>
  </si>
  <si>
    <t>Projeto Primeira Chance</t>
  </si>
  <si>
    <t>Pita</t>
  </si>
  <si>
    <t>UFRJ CCS - TESTAGEM</t>
  </si>
  <si>
    <t>UPA Bangu 24H</t>
  </si>
  <si>
    <t>UPA Complexo do Alemão</t>
  </si>
  <si>
    <t>UPA Rocinha</t>
  </si>
  <si>
    <t>EDUCAP - Complexo do Alemão</t>
  </si>
  <si>
    <t>CMS Família do Jacarezinho</t>
  </si>
  <si>
    <t>Dra. Renata (Minas Gerais)</t>
  </si>
  <si>
    <t>Minas Gerais</t>
  </si>
  <si>
    <t>Hospital Central da PMERJ</t>
  </si>
  <si>
    <t>Divisão de Engenharia - HUCCF</t>
  </si>
  <si>
    <t>Hospital Federal Bonsucesso</t>
  </si>
  <si>
    <t>Clinica da Familia Victor Valla</t>
  </si>
  <si>
    <t>Maternidade Municipal Drº Mario Niajar (Alcântara)</t>
  </si>
  <si>
    <t>UBSF Herbet de Souza</t>
  </si>
  <si>
    <t>Clínica da Família Fernando Antônio Braga Lopes</t>
  </si>
  <si>
    <t>Hospital Municipal da Serra e Posto de Saúde Sana</t>
  </si>
  <si>
    <t>Arrial do Sana</t>
  </si>
  <si>
    <t>Hospital Federal do Andaraí</t>
  </si>
  <si>
    <t>Andaraí</t>
  </si>
  <si>
    <t>USF Mangueirinha</t>
  </si>
  <si>
    <t>USF Barro Branco</t>
  </si>
  <si>
    <t>Barro Branco</t>
  </si>
  <si>
    <t>USF Cristovao Colombo</t>
  </si>
  <si>
    <t>USF Jardim Anhanga</t>
  </si>
  <si>
    <t>Jardim Anhanga</t>
  </si>
  <si>
    <t>USF Taquara</t>
  </si>
  <si>
    <t>USF Jardim Olimpo</t>
  </si>
  <si>
    <t>Jardim Olimpo</t>
  </si>
  <si>
    <t>USF Santo Antonio da Serra</t>
  </si>
  <si>
    <t>Santo Antonio da Serra</t>
  </si>
  <si>
    <t>USF Santa Rosa</t>
  </si>
  <si>
    <t>UBS Jose de Freitas</t>
  </si>
  <si>
    <t>Vila Operaria</t>
  </si>
  <si>
    <t>CENTRO DE APOIO A SAUDE DA FAMILIA VEREADOR MANOEL BARCELOS</t>
  </si>
  <si>
    <t>Fundação Oswaldo Cruz</t>
  </si>
  <si>
    <t>Hospital Geral de Nova Iguaçu</t>
  </si>
  <si>
    <t>Posse</t>
  </si>
  <si>
    <t>CMS OSWALDO CRUZ</t>
  </si>
  <si>
    <t>Delegacia de Policia</t>
  </si>
  <si>
    <t>Campinho</t>
  </si>
  <si>
    <t xml:space="preserve">Delegacia de Polícia 
</t>
  </si>
  <si>
    <t>Clínica Veterinaria Fliper</t>
  </si>
  <si>
    <t xml:space="preserve">Clínica Veterinária
</t>
  </si>
  <si>
    <t>Clinica de Nefrologia e Dialise Bragança Paulista - Santa Barbara D´Oeste- SP</t>
  </si>
  <si>
    <t>Santa Barbara D´ Oeste</t>
  </si>
  <si>
    <t>Vila Pires</t>
  </si>
  <si>
    <t xml:space="preserve">Hemodiálise 
</t>
  </si>
  <si>
    <t>Upa Austin</t>
  </si>
  <si>
    <t>Austin</t>
  </si>
  <si>
    <t>USB Jose Camilo</t>
  </si>
  <si>
    <t>Hospital Municipal Evandro Freire</t>
  </si>
  <si>
    <t>Portuguesa</t>
  </si>
  <si>
    <t>UPA 24h Botafogo</t>
  </si>
  <si>
    <t>Hemonucleo Costa Verde</t>
  </si>
  <si>
    <t>REGIAO CENTRO SUL</t>
  </si>
  <si>
    <t>Angra Dos Reis</t>
  </si>
  <si>
    <t>Japuiba</t>
  </si>
  <si>
    <t>Serviço de hemoterapia</t>
  </si>
  <si>
    <t>Upa Mesquita</t>
  </si>
  <si>
    <t>Edson Passos</t>
  </si>
  <si>
    <t>Hospital Universitario Gaffree e Guinle e</t>
  </si>
  <si>
    <t>Hospital de Referência - ALTA COMPLEXIDADE</t>
  </si>
  <si>
    <t>UBS America do Sul</t>
  </si>
  <si>
    <t>Sapucaia do Sul - RS</t>
  </si>
  <si>
    <t>Pacheco</t>
  </si>
  <si>
    <t>Unidade básica de saúde - BAIXA COMPLEXIDADE</t>
  </si>
  <si>
    <t>Rio de janeiro</t>
  </si>
  <si>
    <t>Clinica da Familia Maria Cristina</t>
  </si>
  <si>
    <t>Ramos</t>
  </si>
  <si>
    <t>Clinica da Familia Kelly Cristina de Sá Lacerda e Silva</t>
  </si>
  <si>
    <t>Senador Camará</t>
  </si>
  <si>
    <t>Autonoma</t>
  </si>
  <si>
    <t>Sao Carlos, SP</t>
  </si>
  <si>
    <t>Jardim Paraiso</t>
  </si>
  <si>
    <t>UBS Meudom</t>
  </si>
  <si>
    <t>Teresopolis</t>
  </si>
  <si>
    <t>Meudom</t>
  </si>
  <si>
    <t>Clínica da Família Km 32</t>
  </si>
  <si>
    <t>NOVA IGUAÇU RJ</t>
  </si>
  <si>
    <t>SÃO FRANCISCO DE PAULA</t>
  </si>
  <si>
    <t>MTA SERVIÇOS MÉDICOS LTDA</t>
  </si>
  <si>
    <t>IPANEMA,LEBLON,BARRA E TIJUCA.</t>
  </si>
  <si>
    <t>Maternidade Mario Niajar</t>
  </si>
  <si>
    <t>Sao Goncalo</t>
  </si>
  <si>
    <t>Hospital de Referencia - ALTA COMPLEXIDADE</t>
  </si>
  <si>
    <t>USF Jardim Leal DC</t>
  </si>
  <si>
    <t>Jardim Leal</t>
  </si>
  <si>
    <t>Hospital municipal Darcy sarmanha Vargas filho</t>
  </si>
  <si>
    <t>Sao goncalo</t>
  </si>
  <si>
    <t>Ze garoto</t>
  </si>
  <si>
    <t>HOSPITAL MUNICIPAL ALVARO RAMOS</t>
  </si>
  <si>
    <t>JACAREPAGUA</t>
  </si>
  <si>
    <t>SECRETARIA SE ESTADO DE ADMINISTRACAO PENITENCIARIA</t>
  </si>
  <si>
    <t>CEO Centro de Especialidades Odontologicas</t>
  </si>
  <si>
    <t>Pq Lafayete</t>
  </si>
  <si>
    <t>Coletivo Nós</t>
  </si>
  <si>
    <t>Hospital Universitario Pedro Ernesto- Gastro</t>
  </si>
  <si>
    <t>Enseg</t>
  </si>
  <si>
    <t>Guadalupe</t>
  </si>
  <si>
    <t>Rodovia</t>
  </si>
  <si>
    <t>Clínicas da Família - Superintendência</t>
  </si>
  <si>
    <t>Fiocruz - Laboratório</t>
  </si>
  <si>
    <t>Unidade de Pesquisa</t>
  </si>
  <si>
    <t>Hospital Estadual Prefeito Jõao Batista Caffaro</t>
  </si>
  <si>
    <t>Itaboraí</t>
  </si>
  <si>
    <t>Manilha</t>
  </si>
  <si>
    <t xml:space="preserve">Hospital Municipal Álvaro Ramos </t>
  </si>
  <si>
    <t xml:space="preserve">Hospital Municipal Barata Ribeiro </t>
  </si>
  <si>
    <t xml:space="preserve">Hospital Municipal Desembargador Leal Jr. </t>
  </si>
  <si>
    <t>Nancilândia</t>
  </si>
  <si>
    <t>INCA/CPQ</t>
  </si>
  <si>
    <t xml:space="preserve">Clinica da Família Victor Valla </t>
  </si>
  <si>
    <t>Clinica da Familia - Centro de Testagem COVID-19</t>
  </si>
  <si>
    <t>Santa Terezinha</t>
  </si>
  <si>
    <t>DASA - SÃO PAULO</t>
  </si>
  <si>
    <t>Central da Polícia Civil</t>
  </si>
  <si>
    <t>(DIRECIONAMENO DA PUC )</t>
  </si>
  <si>
    <t>Gávea</t>
  </si>
  <si>
    <t>Frente CDD</t>
  </si>
  <si>
    <t>Cidade de Deus</t>
  </si>
  <si>
    <t>CMS Maria Cristina Roma</t>
  </si>
  <si>
    <t>UPA da João XXII</t>
  </si>
  <si>
    <t>Hospital da Força Aérea do Galeão</t>
  </si>
  <si>
    <t>Médico Sem Fronteira - Rio de Janeiro</t>
  </si>
  <si>
    <t>Redes Maré</t>
  </si>
  <si>
    <t>Maré</t>
  </si>
  <si>
    <t>DCE UFRJ</t>
  </si>
  <si>
    <t>Hospital Municipal Alcides Carneiro</t>
  </si>
  <si>
    <t>Côrreas</t>
  </si>
  <si>
    <t>Dr. Alexandre</t>
  </si>
  <si>
    <t>Movimento “Profissionais da Saúde eu me importo”</t>
  </si>
  <si>
    <t xml:space="preserve">CONSELHO TUTELAR </t>
  </si>
  <si>
    <t>Secretaria Municipal de Saúde de Teresópolis</t>
  </si>
  <si>
    <t>Teresópolis</t>
  </si>
  <si>
    <t>UPA Parque Lafaiete</t>
  </si>
  <si>
    <t>Parque Lafaiete</t>
  </si>
  <si>
    <t>Unidade de emergência de figueira</t>
  </si>
  <si>
    <t>Figueira</t>
  </si>
  <si>
    <t>CMS CATIRI</t>
  </si>
  <si>
    <t>CMS Waldir Franco</t>
  </si>
  <si>
    <t>CMS Dr Eithel Pinheiro de Oliveira Lima</t>
  </si>
  <si>
    <t xml:space="preserve">Clinica Brasil sem Alergia </t>
  </si>
  <si>
    <t>Clínica da Família Maestro Celestino</t>
  </si>
  <si>
    <t>Clinica da Familia Rosino Baccarini</t>
  </si>
  <si>
    <t>Clínica da Família Olimia Esteves</t>
  </si>
  <si>
    <t>Clinica da Familia Wilson Mello Santos</t>
  </si>
  <si>
    <t>Vila Kennedy</t>
  </si>
  <si>
    <t>Clinica da Família Kelly Cristina de Sá Lacerda</t>
  </si>
  <si>
    <t>Clínica da Família Cypriano das Chagas Medeiros</t>
  </si>
  <si>
    <t>Hospital Sanatório Penal</t>
  </si>
  <si>
    <t>Complexo de Gericinó</t>
  </si>
  <si>
    <t>Hospital de Campanha do Rio Centro</t>
  </si>
  <si>
    <t>Rio Centro</t>
  </si>
  <si>
    <t>UPA Penha</t>
  </si>
  <si>
    <t xml:space="preserve">UPA Campo Grande I </t>
  </si>
  <si>
    <t>UPA São Gonçalo II</t>
  </si>
  <si>
    <t>Jardim Catarina</t>
  </si>
  <si>
    <t>UPA Itaboraí</t>
  </si>
  <si>
    <t>Clínica da Família Estácio de Sá</t>
  </si>
  <si>
    <t>Estácio</t>
  </si>
  <si>
    <t>UPA Engenho Novo</t>
  </si>
  <si>
    <t>Engenho Novo</t>
  </si>
  <si>
    <t>Distribuidores da Alegria CDD</t>
  </si>
  <si>
    <t>Abrigo Dr Sérgio Fernandes</t>
  </si>
  <si>
    <t>Movimento Favela Vertical</t>
  </si>
  <si>
    <t>Gardênia Azul</t>
  </si>
  <si>
    <t>Comunidade Pentecostal Renascer (Movimento Voluntário)</t>
  </si>
  <si>
    <t>Complexo do Alemão</t>
  </si>
  <si>
    <t>Associação Médicos da Floresta</t>
  </si>
  <si>
    <t xml:space="preserve">OUTRO ESTADO </t>
  </si>
  <si>
    <t>Roraima</t>
  </si>
  <si>
    <t>Instituto de Macromoléculas Professora Eloisa Mano</t>
  </si>
  <si>
    <t>Hospital Municipal Antenor Abreu</t>
  </si>
  <si>
    <t>Maranhão</t>
  </si>
  <si>
    <t>Pinheiro</t>
  </si>
  <si>
    <t>Hospital Materno Infantil</t>
  </si>
  <si>
    <t xml:space="preserve">Maranhão </t>
  </si>
  <si>
    <t>Hospital Estadual Dr. Jackson Lago</t>
  </si>
  <si>
    <t>Associação de Caridade São João Nepomuceno - Hospital São João</t>
  </si>
  <si>
    <t>OUTRO ESTADO</t>
  </si>
  <si>
    <t>São João Nepomuceno</t>
  </si>
  <si>
    <t xml:space="preserve">Secretaria de Saúde do Ceará </t>
  </si>
  <si>
    <t>Ceará</t>
  </si>
  <si>
    <t>Entrega nº</t>
  </si>
  <si>
    <t>Unidade de Saúde</t>
  </si>
  <si>
    <t>CNPJ</t>
  </si>
  <si>
    <t>Telefone
da Unidade</t>
  </si>
  <si>
    <t># protetores</t>
  </si>
  <si>
    <t># máscaras</t>
  </si>
  <si>
    <t># suportes</t>
  </si>
  <si>
    <t># óculos</t>
  </si>
  <si>
    <t>Álcool 
Gel(L)</t>
  </si>
  <si>
    <t>Álcool 
Líquido(L)</t>
  </si>
  <si>
    <t>Região</t>
  </si>
  <si>
    <t>Município</t>
  </si>
  <si>
    <t>Endereço</t>
  </si>
  <si>
    <t>Nível</t>
  </si>
  <si>
    <t>Outras Necessidades</t>
  </si>
  <si>
    <t>Observações</t>
  </si>
  <si>
    <t>Nº Leitos UTI</t>
  </si>
  <si>
    <t>Nº Leitos de
ISOLAMENTO</t>
  </si>
  <si>
    <t>Nº casos COVID-19</t>
  </si>
  <si>
    <t>Nome
 Responsável</t>
  </si>
  <si>
    <t>Telefone 
Responsável</t>
  </si>
  <si>
    <t>Telefone
Chefe</t>
  </si>
  <si>
    <t>Email
 Responsável</t>
  </si>
  <si>
    <t>Cargo 
Ocupado</t>
  </si>
  <si>
    <t>CPF</t>
  </si>
  <si>
    <t>Registro
Profissional</t>
  </si>
  <si>
    <t>Telefone do 
operador</t>
  </si>
  <si>
    <t>Operador</t>
  </si>
  <si>
    <t># protetores 
entregues</t>
  </si>
  <si>
    <t># máscaras
entregues</t>
  </si>
  <si>
    <t># suportes
entregues</t>
  </si>
  <si>
    <t># óculos 
entregues</t>
  </si>
  <si>
    <t>Álcool Gel
 Entregue(L)</t>
  </si>
  <si>
    <t>Álcool Líq.
Entregue(L)</t>
  </si>
  <si>
    <t>Estágio</t>
  </si>
  <si>
    <t>Entregue</t>
  </si>
  <si>
    <t>Hospital Municipal de Magé</t>
  </si>
  <si>
    <t>Publico</t>
  </si>
  <si>
    <t>CENTRO DE SAÚDE ESCOLA GERMANO SINVAL FARIA</t>
  </si>
  <si>
    <t>Pendente</t>
  </si>
  <si>
    <t>Cancelado</t>
  </si>
  <si>
    <t>ho TRAT EM DEPEND QUIMICA ROBERTO MEDEIROS</t>
  </si>
  <si>
    <t>Rua Professor Rodolpho Paulo Rocco, 325
Cidade Universitária
Rio de Janeiro - RJ
CEP 21.941-617 Brasil</t>
  </si>
  <si>
    <t>Avenida Automóvel Club km 56</t>
  </si>
  <si>
    <t xml:space="preserve">Rua da Mina S/N - Duque de Caxias - Centenário/ Mangueirinha - CEP: 25070-360, 25030-365 ou 25030-370 </t>
  </si>
  <si>
    <t>Rua Castro Alves S/N</t>
  </si>
  <si>
    <t>Avenida Pistóia s/n</t>
  </si>
  <si>
    <t>Rua Jundiaí S/N</t>
  </si>
  <si>
    <t>Rua 04 s/n</t>
  </si>
  <si>
    <t>Rua Francisco Alves s/n</t>
  </si>
  <si>
    <t>Rua Albino Imparato, 675</t>
  </si>
  <si>
    <t>Rua Entre Rios s/n</t>
  </si>
  <si>
    <t>Rua da Assembléia s/n</t>
  </si>
  <si>
    <t>rua Sacadura Cabral 178</t>
  </si>
  <si>
    <t>Rua moncorvo filho 90 - centro -rj</t>
  </si>
  <si>
    <t>AVENIDA CESÁRIO DE MELO, 5580 CAMPO GRANDE, RJ</t>
  </si>
  <si>
    <t>Rua venceslau braz s/ n°  bairro.imbarie -duque de caxias</t>
  </si>
  <si>
    <t>Rua Alcino Guanabara s/n - Parque Felicidade  - Vila Operária  - Quadra do Cruzeiro - Duque de Caxias  - RJ</t>
  </si>
  <si>
    <t>Avenida venancia- terminal rodoviário xerem duque de caxias</t>
  </si>
  <si>
    <t>-</t>
  </si>
  <si>
    <t>ESTRADA DO PACHECO S/N - PACHECO/SG</t>
  </si>
  <si>
    <t>Avenida Lobo Junior, 83 Penha Circular</t>
  </si>
  <si>
    <t>Avenida Pelotas s/n</t>
  </si>
  <si>
    <t>Avenida Brasil s/n</t>
  </si>
  <si>
    <t>Avenida Darcy Vargas s/n</t>
  </si>
  <si>
    <t>Rua Nossa Senhora Aparecida s/n</t>
  </si>
  <si>
    <t>Rua Agostinho de Oliveira, 615</t>
  </si>
  <si>
    <t>Rua Magé, 326 - Penha Circular</t>
  </si>
  <si>
    <t>Rua João Raimundo Lote 72 Quadra 2</t>
  </si>
  <si>
    <t>Rua Edgard Werneck, s/n - Cidade de Deus, Rio de Janeiro - RJ, 22763-011</t>
  </si>
  <si>
    <t>Rua Maria Andrade, 1</t>
  </si>
  <si>
    <t>Rua Seis, s/n</t>
  </si>
  <si>
    <t>Rua Evaristo de Moraes, 187</t>
  </si>
  <si>
    <t>Rua Vanisia, 01</t>
  </si>
  <si>
    <t>Rua João Ribeiro, s/n</t>
  </si>
  <si>
    <t>Avenida Anhangá s/n</t>
  </si>
  <si>
    <t>Av lobo Júnior 2293 Penha circular</t>
  </si>
  <si>
    <t>Rua Rodrigues Alves, 73 São Pedro da Serra, Nova Friburgo- RJ CEP 28616-155</t>
  </si>
  <si>
    <t>AVENIDA HERMINIO AURELIO SAMPAIO N. 105 CEP 23590050 - SANTA CRUZ (ANTARES) RJ</t>
  </si>
  <si>
    <t>Rua Moncorvo Filho 90</t>
  </si>
  <si>
    <t>Rua Juno s/n lote 1, Valdariosa, Queimados, CEP 26315609</t>
  </si>
  <si>
    <t>Rua da Mina S/N</t>
  </si>
  <si>
    <t>Rua Rodolpho Paulo Rocco, 255 Cidade Universitária</t>
  </si>
  <si>
    <t>Avenida Herminio Sampaio n.105 santa cruz</t>
  </si>
  <si>
    <t>Av. nossa senhora da Penha, 42</t>
  </si>
  <si>
    <t>rua ana barbosa 21</t>
  </si>
  <si>
    <t>av santa cruz sem numero- realengo ( prox do guanabara de realengo)</t>
  </si>
  <si>
    <t xml:space="preserve">Rua André Rocha n 20 Taquara, Jacarepaguá </t>
  </si>
  <si>
    <t>Rua  Antônio Parreiras  67</t>
  </si>
  <si>
    <t>Rua Afonso Cavalcante 455 - sala 809 - Cidade nova</t>
  </si>
  <si>
    <t>Av. Jonas Leal, 17 - Lajes, Paracambi - RJ, 26600-000</t>
  </si>
  <si>
    <t>AV DOM HELDER CAMARA 1390 FUNDOS, MANGUINHOS</t>
  </si>
  <si>
    <t>Rua da Mina, s/n</t>
  </si>
  <si>
    <t>Avenida Pedro Alvares Cabral Quadra 1 Lote 15</t>
  </si>
  <si>
    <t>Rua Zumbi dos Palmares, s/n</t>
  </si>
  <si>
    <t>Rua Pacoty, 20</t>
  </si>
  <si>
    <t>Estrada Cachoeira das Dores s/n</t>
  </si>
  <si>
    <t>Rua Polineia, 317</t>
  </si>
  <si>
    <t>Rua Panthio, 9</t>
  </si>
  <si>
    <t>Rodovia Washington Luiz, Km 96,5</t>
  </si>
  <si>
    <t>Praça José de Jesus s/ número</t>
  </si>
  <si>
    <t xml:space="preserve">Albino Imparato, 675 - Parque Felicidade </t>
  </si>
  <si>
    <t>Rua Joaquim Gomes s/n</t>
  </si>
  <si>
    <t>Rua Sacadura Cabral,  bairro saude , RJ</t>
  </si>
  <si>
    <t>Avenida Cipriano Barata s/nº Anchieta- RJ</t>
  </si>
  <si>
    <t>Rua Prof. Rodolpho Paulo Rocco 325 (ao lado do HUCFF)</t>
  </si>
  <si>
    <t xml:space="preserve">Rua governador Valadares 22, Sao Cristóvão .Cabo frio. </t>
  </si>
  <si>
    <t>Rua General Severiano, 91</t>
  </si>
  <si>
    <t>Fundacao Oswaldo Cruz</t>
  </si>
  <si>
    <t>Rua Leopoldo Bulhões, 1480</t>
  </si>
  <si>
    <t>praça da cruz vermelha, 23 - centro</t>
  </si>
  <si>
    <t>Rua Japoranga 1700, Japuíba, Angra dos Reis, RJ</t>
  </si>
  <si>
    <t>rua arquias cordeiro 842</t>
  </si>
  <si>
    <t>ESTRADA DO GALEÃO Nº2920 - ILHA DO GOVERNADOR</t>
  </si>
  <si>
    <t>Rua Antônio Parreiras 67/69</t>
  </si>
  <si>
    <t>Rua coronel monteiro de Barros, 783, Austin, Nova Iguaçu</t>
  </si>
  <si>
    <t>Rua Bernardo Vasconcelos 755</t>
  </si>
  <si>
    <t>Av Henrique Duque Estrada Mayer, 953 - Posse, Nova Iguaçu - RJ, 26041-061</t>
  </si>
  <si>
    <t>rua jose custodio soares, 55, centro, cep 24900735, maricá, rj</t>
  </si>
  <si>
    <t>Rua Sacadura Cabral, 178</t>
  </si>
  <si>
    <t>Avenida Presidente Costa E Silva S/N</t>
  </si>
  <si>
    <t>RUA BERNARDO, S/N - ENGENHO DE DENTRO</t>
  </si>
  <si>
    <t>Rua Presidente Kennedy, 207</t>
  </si>
  <si>
    <t>Rua São Clemente s/n Botafogo</t>
  </si>
  <si>
    <t>Estrada do Campinho, nº2899 - Campo Grande - Rio de Janeiro - RJ | CEP: 23070-220</t>
  </si>
  <si>
    <t>Av Brasil, 4.880 - Bonsucesso - Rio de Janeiro</t>
  </si>
  <si>
    <t>Rua César Zama 185</t>
  </si>
  <si>
    <t>Avenida Henrique Valadares 151 Centro</t>
  </si>
  <si>
    <t>Dom Jaime Camara 170  Bairro Santa Terezinha- Mesquita Rio de Janeiro</t>
  </si>
  <si>
    <t>Rua Antonio Mendes 02</t>
  </si>
  <si>
    <t>Rua João de Castro, 1250</t>
  </si>
  <si>
    <t>GRUPO</t>
  </si>
  <si>
    <t>QUANTOS HOSPITAIS</t>
  </si>
  <si>
    <t>CASOS</t>
  </si>
  <si>
    <t>LEITOS 
DE UTI</t>
  </si>
  <si>
    <t>LEITOS DE 
CAMPANHA</t>
  </si>
  <si>
    <t>ENTREGA</t>
  </si>
  <si>
    <t>TOTAL</t>
  </si>
  <si>
    <t>FACE SHIELDS</t>
  </si>
  <si>
    <t>MÁSCARAS N-95</t>
  </si>
  <si>
    <t>SUPORTE DE MÁSCAS N-95</t>
  </si>
  <si>
    <t>ÓCULOS DE PROTEÇÃO</t>
  </si>
  <si>
    <t>ÁLCOOL GEL</t>
  </si>
  <si>
    <t>ÁLCOOL LÍQUIDO</t>
  </si>
  <si>
    <t>DEMANDA ATUAL</t>
  </si>
  <si>
    <t>FALTAM</t>
  </si>
  <si>
    <t>TOTAL ESTADO</t>
  </si>
  <si>
    <t>MUNICÍPIO DO RIO DE JANEIRO</t>
  </si>
  <si>
    <t>ESTADO DO RIO DE JANEIRO</t>
  </si>
  <si>
    <t>REGIAO NOROESTE</t>
  </si>
  <si>
    <t># Entregas</t>
  </si>
  <si>
    <t xml:space="preserve">Maker nº </t>
  </si>
  <si>
    <t>Maker</t>
  </si>
  <si>
    <t>Telefone</t>
  </si>
  <si>
    <t>Nº de máquinas</t>
  </si>
  <si>
    <t>Modelo das máquinas</t>
  </si>
  <si>
    <t>Materiais - Impressão</t>
  </si>
  <si>
    <t>País</t>
  </si>
  <si>
    <t>Estado</t>
  </si>
  <si>
    <t>Cidade</t>
  </si>
  <si>
    <t>CEP</t>
  </si>
  <si>
    <t># Protetores</t>
  </si>
  <si>
    <t># Máscaras</t>
  </si>
  <si>
    <t># Suportes</t>
  </si>
  <si>
    <t># Óculos</t>
  </si>
  <si>
    <t>#  PLA</t>
  </si>
  <si>
    <t># ABS</t>
  </si>
  <si>
    <t># PETG</t>
  </si>
  <si>
    <t># ACETATO</t>
  </si>
  <si>
    <t>PLA</t>
  </si>
  <si>
    <t>Produção 12 máscaras por dia (1 impressora Prusa MK3S funcionando 24 horas)! Produção começou segunda 23 às 21:00</t>
  </si>
  <si>
    <t>Estou desenvolvendo outro modelo mais rápido enquanto espero a impressora imprimir</t>
  </si>
  <si>
    <t>ABS</t>
  </si>
  <si>
    <t>PLA, ABS, PETG</t>
  </si>
  <si>
    <t>Meu projeto não é o prusa. Fiz a partir de um stl que recebi de médicos aqui do rio. E preciso dos visores 30x30cm com 4 furos 0,5cm distantes 6,2cm entre eixos.</t>
  </si>
  <si>
    <t>PLA, ABS</t>
  </si>
  <si>
    <t>Estou iniciando a produção, mas pretendo fazer o quanto puder e meus filamentos permitirem.</t>
  </si>
  <si>
    <t>Ok</t>
  </si>
  <si>
    <t>abs</t>
  </si>
  <si>
    <t>Vamos iniciar a produção hoje, dia 26/03/2020, apartir do modelo desenvolvido pela UFRJ e parceiros.</t>
  </si>
  <si>
    <t>Estou imprimindo ainda, provavelmente na segunda terao mais de 10</t>
  </si>
  <si>
    <t>Não produzi nenhuma ainda. Gostaria de saber se ainda há necessidade de produção.</t>
  </si>
  <si>
    <t>Ender 3</t>
  </si>
  <si>
    <t>Creality</t>
  </si>
  <si>
    <t>PLA, PETG</t>
  </si>
  <si>
    <t>Prusa MK3S</t>
  </si>
  <si>
    <t>Sovol SV01</t>
  </si>
  <si>
    <t>Ender 3 Pro</t>
  </si>
  <si>
    <t>Cliever CL2 Pro, Flexprinter 2025, Prusa i3</t>
  </si>
  <si>
    <t>Somente podemos disponibilizar no momento os suportes, o visor em acetato ainda não conseguimos produzir.</t>
  </si>
  <si>
    <t>PRUSA MK3 E ENDER 3 PRO</t>
  </si>
  <si>
    <t>CR10s</t>
  </si>
  <si>
    <t>Obrigado pela oportunidade de ajudar:)</t>
  </si>
  <si>
    <t>Grabber i3</t>
  </si>
  <si>
    <t>PETG</t>
  </si>
  <si>
    <t>Tevo, ZoneStar, TronXY e Fabricação própria</t>
  </si>
  <si>
    <t>observFilamento 3 mm</t>
  </si>
  <si>
    <t>Reprap</t>
  </si>
  <si>
    <t xml:space="preserve">Filamento 3 mm
</t>
  </si>
  <si>
    <t xml:space="preserve">Ñ possuo impressora. Estou produzindo a partir de folhas de acetato e corte com estilete.mascaradeacetato@gmail.com
</t>
  </si>
  <si>
    <t>Cora A3 - GTMax</t>
  </si>
  <si>
    <t xml:space="preserve">atelierecul@gmail.com
</t>
  </si>
  <si>
    <t>Creality CR10 e Arrillery Evnovo Sidewinder X1</t>
  </si>
  <si>
    <t xml:space="preserve">Já era cadastradolucassaldanha@gmail.com
</t>
  </si>
  <si>
    <t xml:space="preserve">ABS, PLA, PET, Flexível </t>
  </si>
  <si>
    <t>Ultimaker 3</t>
  </si>
  <si>
    <t>PLA; ABS...</t>
  </si>
  <si>
    <t>Dlp - anycubic photon s / ezy3d</t>
  </si>
  <si>
    <t>Não tenho de filamento, mas se precisar imprimir peças para respirador, me disponibilizo</t>
  </si>
  <si>
    <t>Impressora 3D Gtmax Core A3v2 300mm X300mm X 300mm, Laser CO2, 1000mm X 800mm</t>
  </si>
  <si>
    <t>GTMax Core A3</t>
  </si>
  <si>
    <t>Graber i3</t>
  </si>
  <si>
    <t>Anet A8</t>
  </si>
  <si>
    <t>Pla</t>
  </si>
  <si>
    <t>Router CNC - Brawel - RME100.200</t>
  </si>
  <si>
    <t>01</t>
  </si>
  <si>
    <t xml:space="preserve">ZMorph VX </t>
  </si>
  <si>
    <t>Principalmente PLA</t>
  </si>
  <si>
    <t>Uma ender 5 e duas CRX (creality)</t>
  </si>
  <si>
    <t>Qualquer um, o que tenho de momento é PLA</t>
  </si>
  <si>
    <t>Creality CR 10</t>
  </si>
  <si>
    <t>Gtmax h5 300x300 mm</t>
  </si>
  <si>
    <t xml:space="preserve">ABS </t>
  </si>
  <si>
    <t>Prusa Mk3</t>
  </si>
  <si>
    <t>PLA/ABS/PETG</t>
  </si>
  <si>
    <t>Ender 3 Pró</t>
  </si>
  <si>
    <t>Sethi S3</t>
  </si>
  <si>
    <t>É uma makerbot replicator</t>
  </si>
  <si>
    <t>Eu não entendo muito, a máquina foi presente e nunca foi usada</t>
  </si>
  <si>
    <t>Creality Ender 3 Pro</t>
  </si>
  <si>
    <t>Gtmax A2</t>
  </si>
  <si>
    <t>PLA e ABS</t>
  </si>
  <si>
    <t xml:space="preserve">Tevo Tornado </t>
  </si>
  <si>
    <t>ABS, PLA</t>
  </si>
  <si>
    <t>Moonray</t>
  </si>
  <si>
    <t>Não é de filamento</t>
  </si>
  <si>
    <t>Snapmaker 3-in-1 1.0</t>
  </si>
  <si>
    <t>ABS e PLA (a impressora pode, a priori, usar a maioria dos tipos de filamentos disponíveis)</t>
  </si>
  <si>
    <t xml:space="preserve">2 Cetus 3D e 1Anet A8 </t>
  </si>
  <si>
    <t>Prusa i3</t>
  </si>
  <si>
    <t>ender 3</t>
  </si>
  <si>
    <t>Criality e GTMax</t>
  </si>
  <si>
    <t>3. ABS, PLA e PETG</t>
  </si>
  <si>
    <t>FlashForge Finder</t>
  </si>
  <si>
    <t>GTMax A2</t>
  </si>
  <si>
    <t>Reprap graber</t>
  </si>
  <si>
    <t>Petg preferencialmente, mas pla e abs também</t>
  </si>
  <si>
    <t>CR-10</t>
  </si>
  <si>
    <t>PLA ou ABS</t>
  </si>
  <si>
    <t>GT Max 3D H5</t>
  </si>
  <si>
    <t>ABS, Triton</t>
  </si>
  <si>
    <t>Anet a8</t>
  </si>
  <si>
    <t>PLA/ ABS</t>
  </si>
  <si>
    <t>Longer LK4 e TEVO Tarântula Pro</t>
  </si>
  <si>
    <t>PETG, ABS e PLA</t>
  </si>
  <si>
    <t>02</t>
  </si>
  <si>
    <t>01 Laser 40x60 50W e uma 3D Hobby mesa de 18x18cm</t>
  </si>
  <si>
    <t>02 Dimension 1200es e 1 Fortus 450</t>
  </si>
  <si>
    <t>ABS, ASA, Ultem 1010, Ultem 9085 e Nylon com fibra de carbono</t>
  </si>
  <si>
    <t>GTmax core A1 dual, Anycubic Chiron.</t>
  </si>
  <si>
    <t>ABS, PLA, PETG.</t>
  </si>
  <si>
    <t>creality ender 3</t>
  </si>
  <si>
    <t>PLA principalmente, ABS é mais difícil</t>
  </si>
  <si>
    <t>Corte Laser 500w Impressora 3D Prusa Anet A8</t>
  </si>
  <si>
    <t>ABS - PETG</t>
  </si>
  <si>
    <t>Creality Ender-3</t>
  </si>
  <si>
    <t>Voolt 3D</t>
  </si>
  <si>
    <t xml:space="preserve">Ultimaker 2, Ultimaker 2+ extended </t>
  </si>
  <si>
    <t xml:space="preserve">PLA e ABS </t>
  </si>
  <si>
    <t xml:space="preserve">gtmax </t>
  </si>
  <si>
    <t>pla / abs</t>
  </si>
  <si>
    <t>Flashforge Creator Pro</t>
  </si>
  <si>
    <t>PLA / ABS / PET-G</t>
  </si>
  <si>
    <t>GTMAX CORE A3</t>
  </si>
  <si>
    <t>Fortus 450 e Dimension 1200</t>
  </si>
  <si>
    <t>ABS, ASA, Ultem 1010, Ultem 9085, Nylon com fibra de carbono</t>
  </si>
  <si>
    <t>Sethi AiP A3</t>
  </si>
  <si>
    <t>ABS, PLA (já fiz) Flexível, PETG (não usei, mas a printer suporta)</t>
  </si>
  <si>
    <t>Stella 2 e Ender 3</t>
  </si>
  <si>
    <t>ABS e PLA</t>
  </si>
  <si>
    <t>Core x y com área de 200 x 200 x 200</t>
  </si>
  <si>
    <t>PLA  / ABS / PETG</t>
  </si>
  <si>
    <t>gaber e hipercube</t>
  </si>
  <si>
    <t>IMPRESSORA 3D GI3 VOOLT 3D  estrutura: MDF branco com extruso</t>
  </si>
  <si>
    <t>pla</t>
  </si>
  <si>
    <t>Prussa i3 mk3s</t>
  </si>
  <si>
    <t>petg</t>
  </si>
  <si>
    <t>Sethi aip a3</t>
  </si>
  <si>
    <t xml:space="preserve">isabellamurakami@gmail.com
</t>
  </si>
  <si>
    <t xml:space="preserve">Flash forge </t>
  </si>
  <si>
    <t xml:space="preserve">marcus.ffilipe@gmail.com
</t>
  </si>
  <si>
    <t>Felix Printer 3.0</t>
  </si>
  <si>
    <t xml:space="preserve">Estou em nome do Centro Nacional de Biologia Estrutural e Bioimagem - CENABIO/UFRJ
Já fiz entrega mas estou refazendo o cadastro.hcveiga1@gmail.com
</t>
  </si>
  <si>
    <t xml:space="preserve">ranggeel@gmail.com
</t>
  </si>
  <si>
    <t>Anycubic Mega S</t>
  </si>
  <si>
    <t xml:space="preserve">mafa@globo.com
</t>
  </si>
  <si>
    <t>Prusa I3 Mk3</t>
  </si>
  <si>
    <t xml:space="preserve">liousantos@gmail.com
</t>
  </si>
  <si>
    <t>Ultimaker 2, Artillery X1, Ender 3 Pro e Bean /Kudo 3D</t>
  </si>
  <si>
    <t>Gostaria de usar o PP, petg ou PLA. ABS me enviaram errado e pretendo devolver pra quem puder usar, tenho 4 rolos extras</t>
  </si>
  <si>
    <t>Coleta nº</t>
  </si>
  <si>
    <t>#Face Shields</t>
  </si>
  <si>
    <t>Material de reposição</t>
  </si>
  <si>
    <t># PLA</t>
  </si>
  <si>
    <t>Operador logístico</t>
  </si>
  <si>
    <t>Telefone do operador</t>
  </si>
  <si>
    <t>Feito</t>
  </si>
  <si>
    <t>PLA,PETG</t>
  </si>
  <si>
    <t>PLA,ABS</t>
  </si>
  <si>
    <t>ACETATO</t>
  </si>
  <si>
    <t>PLA,</t>
  </si>
  <si>
    <t>Outros</t>
  </si>
  <si>
    <t>Não preciso</t>
  </si>
  <si>
    <t xml:space="preserve">PLA, 2 máscaras de PETG </t>
  </si>
  <si>
    <t>ABS, PETG</t>
  </si>
  <si>
    <t>PETG, favor trazer 3 rolos de PETG</t>
  </si>
  <si>
    <t>PLA, Acetato</t>
  </si>
  <si>
    <t>PLA, Acetato, 2 acetatos que não vieram na ultima busca</t>
  </si>
  <si>
    <t>PLA, PETG, 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</si>
</sst>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m&quot;/&quot;dd&quot;/&quot;yyyy"/>
    <numFmt numFmtId="165" formatCode="m/d/yyyy h:mm:ss"/>
    <numFmt numFmtId="166" formatCode="m/d/yyyy"/>
    <numFmt numFmtId="167" formatCode="hh:mm:ss"/>
    <numFmt numFmtId="168" formatCode="d/m/yyyy"/>
    <numFmt numFmtId="169" formatCode="h&quot;:&quot;mm&quot;:&quot;ss"/>
    <numFmt numFmtId="170" formatCode="dd&quot;/&quot;mm&quot;/&quot;yyyy"/>
    <numFmt numFmtId="171" formatCode="dd/mm/yyyy"/>
    <numFmt numFmtId="172" formatCode="M/d/yyyy"/>
  </numFmts>
  <fonts count="34">
    <font>
      <sz val="10.0"/>
      <color rgb="FF000000"/>
      <name val="Arial"/>
    </font>
    <font>
      <sz val="14.0"/>
      <color theme="1"/>
      <name val="Arial"/>
    </font>
    <font>
      <sz val="14.0"/>
      <color rgb="FF000000"/>
      <name val="Arial"/>
    </font>
    <font>
      <b/>
      <sz val="10.0"/>
      <color rgb="FFFFFFFF"/>
      <name val="Arial"/>
    </font>
    <font>
      <sz val="11.0"/>
      <color rgb="FFFFFFFF"/>
      <name val="Arial"/>
    </font>
    <font>
      <sz val="11.0"/>
      <color rgb="FF000000"/>
      <name val="Arial"/>
    </font>
    <font>
      <sz val="10.0"/>
      <color theme="1"/>
      <name val="Arial"/>
    </font>
    <font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000000"/>
      <name val="Calibri"/>
    </font>
    <font>
      <sz val="12.0"/>
      <color theme="1"/>
      <name val="Arial"/>
    </font>
    <font>
      <sz val="10.0"/>
      <color rgb="FFFFFFFF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000000"/>
      <name val="Arial"/>
    </font>
    <font>
      <u/>
      <sz val="10.0"/>
      <color rgb="FF0563C1"/>
      <name val="Arial"/>
    </font>
    <font>
      <u/>
      <sz val="10.0"/>
      <color rgb="FF0563C1"/>
      <name val="Arial"/>
    </font>
    <font>
      <u/>
      <sz val="10.0"/>
      <color rgb="FF000000"/>
      <name val="Arial"/>
    </font>
    <font>
      <b/>
      <sz val="10.0"/>
      <color theme="1"/>
      <name val="Arial"/>
    </font>
    <font>
      <b/>
      <sz val="11.0"/>
      <color rgb="FFFFFFFF"/>
      <name val="Arial"/>
    </font>
    <font/>
    <font>
      <b/>
      <color rgb="FFFFFFFF"/>
      <name val="Arial"/>
    </font>
    <font>
      <b/>
      <sz val="11.0"/>
      <color rgb="FFFFFFFF"/>
      <name val="Calibri"/>
    </font>
    <font>
      <u/>
      <sz val="11.0"/>
      <color rgb="FF0563C1"/>
      <name val="Calibri"/>
    </font>
    <font>
      <sz val="11.0"/>
      <color theme="1"/>
      <name val="Calibri"/>
    </font>
    <font>
      <sz val="11.0"/>
      <color rgb="FF000000"/>
      <name val="Docs-Calibri"/>
    </font>
    <font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6A69A"/>
        <bgColor rgb="FF26A69A"/>
      </patternFill>
    </fill>
    <fill>
      <patternFill patternType="solid">
        <fgColor rgb="FFDDF2F0"/>
        <bgColor rgb="FFDDF2F0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37164E"/>
        <bgColor rgb="FF37164E"/>
      </patternFill>
    </fill>
    <fill>
      <patternFill patternType="solid">
        <fgColor rgb="FFF3F3F3"/>
        <bgColor rgb="FFF3F3F3"/>
      </patternFill>
    </fill>
    <fill>
      <patternFill patternType="solid">
        <fgColor rgb="FFEBEFF1"/>
        <bgColor rgb="FFEBEFF1"/>
      </patternFill>
    </fill>
    <fill>
      <patternFill patternType="solid">
        <fgColor rgb="FFFDDCE8"/>
        <bgColor rgb="FFFDDCE8"/>
      </patternFill>
    </fill>
    <fill>
      <patternFill patternType="solid">
        <fgColor rgb="FFE91D63"/>
        <bgColor rgb="FFE91D63"/>
      </patternFill>
    </fill>
    <fill>
      <patternFill patternType="solid">
        <fgColor rgb="FFA64D79"/>
        <bgColor rgb="FFA64D79"/>
      </patternFill>
    </fill>
  </fills>
  <borders count="6">
    <border/>
    <border>
      <right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164" xfId="0" applyAlignment="1" applyFill="1" applyFont="1" applyNumberFormat="1">
      <alignment horizontal="right" readingOrder="0" shrinkToFit="0" wrapText="0"/>
    </xf>
    <xf borderId="0" fillId="3" fontId="3" numFmtId="0" xfId="0" applyAlignment="1" applyFont="1">
      <alignment horizontal="right" readingOrder="0" shrinkToFit="0" wrapText="0"/>
    </xf>
    <xf borderId="0" fillId="3" fontId="3" numFmtId="0" xfId="0" applyAlignment="1" applyFont="1">
      <alignment horizontal="left" readingOrder="0" shrinkToFit="0" wrapText="0"/>
    </xf>
    <xf borderId="0" fillId="3" fontId="4" numFmtId="0" xfId="0" applyAlignment="1" applyFont="1">
      <alignment readingOrder="0"/>
    </xf>
    <xf borderId="0" fillId="2" fontId="0" numFmtId="164" xfId="0" applyAlignment="1" applyFont="1" applyNumberFormat="1">
      <alignment horizontal="right" vertical="bottom"/>
    </xf>
    <xf borderId="0" fillId="2" fontId="0" numFmtId="21" xfId="0" applyAlignment="1" applyFont="1" applyNumberFormat="1">
      <alignment horizontal="right" vertical="bottom"/>
    </xf>
    <xf borderId="0" fillId="2" fontId="0" numFmtId="0" xfId="0" applyAlignment="1" applyFont="1">
      <alignment vertical="bottom"/>
    </xf>
    <xf borderId="0" fillId="2" fontId="0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2" fontId="6" numFmtId="165" xfId="0" applyAlignment="1" applyFont="1" applyNumberFormat="1">
      <alignment vertical="bottom"/>
    </xf>
    <xf borderId="0" fillId="2" fontId="6" numFmtId="0" xfId="0" applyAlignment="1" applyFont="1">
      <alignment shrinkToFit="0" vertical="bottom" wrapText="1"/>
    </xf>
    <xf borderId="0" fillId="2" fontId="6" numFmtId="0" xfId="0" applyAlignment="1" applyFont="1">
      <alignment readingOrder="0" shrinkToFit="0" vertical="bottom" wrapText="1"/>
    </xf>
    <xf borderId="0" fillId="4" fontId="6" numFmtId="164" xfId="0" applyAlignment="1" applyFill="1" applyFont="1" applyNumberFormat="1">
      <alignment horizontal="right" vertical="bottom"/>
    </xf>
    <xf borderId="0" fillId="4" fontId="6" numFmtId="21" xfId="0" applyAlignment="1" applyFont="1" applyNumberFormat="1">
      <alignment horizontal="right" vertical="bottom"/>
    </xf>
    <xf borderId="0" fillId="4" fontId="0" numFmtId="0" xfId="0" applyAlignment="1" applyFont="1">
      <alignment vertical="bottom"/>
    </xf>
    <xf borderId="0" fillId="4" fontId="0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6" numFmtId="0" xfId="0" applyAlignment="1" applyFont="1">
      <alignment vertical="bottom"/>
    </xf>
    <xf borderId="0" fillId="4" fontId="6" numFmtId="0" xfId="0" applyAlignment="1" applyFont="1">
      <alignment horizontal="right" vertical="bottom"/>
    </xf>
    <xf borderId="0" fillId="4" fontId="6" numFmtId="0" xfId="0" applyAlignment="1" applyFont="1">
      <alignment shrinkToFit="0" vertical="bottom" wrapText="1"/>
    </xf>
    <xf borderId="0" fillId="4" fontId="6" numFmtId="0" xfId="0" applyAlignment="1" applyFont="1">
      <alignment readingOrder="0" vertical="bottom"/>
    </xf>
    <xf borderId="0" fillId="2" fontId="6" numFmtId="164" xfId="0" applyAlignment="1" applyFont="1" applyNumberFormat="1">
      <alignment horizontal="right" vertical="bottom"/>
    </xf>
    <xf borderId="0" fillId="2" fontId="6" numFmtId="21" xfId="0" applyAlignment="1" applyFont="1" applyNumberFormat="1">
      <alignment horizontal="right" vertical="bottom"/>
    </xf>
    <xf borderId="0" fillId="4" fontId="0" numFmtId="164" xfId="0" applyAlignment="1" applyFont="1" applyNumberFormat="1">
      <alignment horizontal="right" vertical="bottom"/>
    </xf>
    <xf borderId="0" fillId="4" fontId="0" numFmtId="21" xfId="0" applyAlignment="1" applyFont="1" applyNumberFormat="1">
      <alignment horizontal="right" vertical="bottom"/>
    </xf>
    <xf borderId="0" fillId="4" fontId="0" numFmtId="0" xfId="0" applyFont="1"/>
    <xf borderId="0" fillId="4" fontId="6" numFmtId="0" xfId="0" applyAlignment="1" applyFont="1">
      <alignment readingOrder="0" shrinkToFit="0" vertical="bottom" wrapText="1"/>
    </xf>
    <xf borderId="0" fillId="2" fontId="6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2" fontId="0" numFmtId="0" xfId="0" applyFont="1"/>
    <xf borderId="0" fillId="4" fontId="6" numFmtId="165" xfId="0" applyAlignment="1" applyFont="1" applyNumberFormat="1">
      <alignment vertical="bottom"/>
    </xf>
    <xf borderId="0" fillId="2" fontId="0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4" fontId="6" numFmtId="3" xfId="0" applyAlignment="1" applyFont="1" applyNumberFormat="1">
      <alignment horizontal="right" vertical="bottom"/>
    </xf>
    <xf borderId="0" fillId="4" fontId="6" numFmtId="11" xfId="0" applyAlignment="1" applyFont="1" applyNumberFormat="1">
      <alignment vertical="bottom"/>
    </xf>
    <xf borderId="0" fillId="2" fontId="7" numFmtId="0" xfId="0" applyAlignment="1" applyFont="1">
      <alignment vertical="bottom"/>
    </xf>
    <xf borderId="0" fillId="4" fontId="0" numFmtId="0" xfId="0" applyFont="1"/>
    <xf borderId="0" fillId="2" fontId="0" numFmtId="0" xfId="0" applyAlignment="1" applyFont="1">
      <alignment horizontal="left" readingOrder="0"/>
    </xf>
    <xf borderId="0" fillId="2" fontId="6" numFmtId="0" xfId="0" applyAlignment="1" applyFont="1">
      <alignment shrinkToFit="0" vertical="bottom" wrapText="0"/>
    </xf>
    <xf borderId="0" fillId="2" fontId="8" numFmtId="0" xfId="0" applyAlignment="1" applyFont="1">
      <alignment readingOrder="0"/>
    </xf>
    <xf borderId="0" fillId="4" fontId="6" numFmtId="0" xfId="0" applyAlignment="1" applyFont="1">
      <alignment vertical="bottom"/>
    </xf>
    <xf borderId="0" fillId="2" fontId="0" numFmtId="0" xfId="0" applyAlignment="1" applyFont="1">
      <alignment horizontal="right" vertical="bottom"/>
    </xf>
    <xf borderId="0" fillId="4" fontId="0" numFmtId="0" xfId="0" applyAlignment="1" applyFont="1">
      <alignment horizontal="right" vertical="bottom"/>
    </xf>
    <xf borderId="0" fillId="4" fontId="0" numFmtId="0" xfId="0" applyAlignment="1" applyFont="1">
      <alignment horizontal="left" readingOrder="0" shrinkToFit="0" wrapText="0"/>
    </xf>
    <xf borderId="0" fillId="2" fontId="6" numFmtId="0" xfId="0" applyAlignment="1" applyFont="1">
      <alignment shrinkToFit="0" vertical="bottom" wrapText="0"/>
    </xf>
    <xf borderId="0" fillId="4" fontId="6" numFmtId="0" xfId="0" applyAlignment="1" applyFont="1">
      <alignment shrinkToFit="0" vertical="bottom" wrapText="0"/>
    </xf>
    <xf borderId="0" fillId="2" fontId="9" numFmtId="0" xfId="0" applyAlignment="1" applyFont="1">
      <alignment vertical="bottom"/>
    </xf>
    <xf borderId="0" fillId="2" fontId="0" numFmtId="166" xfId="0" applyAlignment="1" applyFont="1" applyNumberFormat="1">
      <alignment horizontal="right" vertical="bottom"/>
    </xf>
    <xf borderId="0" fillId="4" fontId="0" numFmtId="166" xfId="0" applyAlignment="1" applyFont="1" applyNumberFormat="1">
      <alignment horizontal="right" vertical="bottom"/>
    </xf>
    <xf borderId="0" fillId="4" fontId="6" numFmtId="0" xfId="0" applyAlignment="1" applyFont="1">
      <alignment shrinkToFit="0" vertical="bottom" wrapText="0"/>
    </xf>
    <xf borderId="0" fillId="4" fontId="7" numFmtId="0" xfId="0" applyAlignment="1" applyFont="1">
      <alignment readingOrder="0" shrinkToFit="0" vertical="bottom" wrapText="0"/>
    </xf>
    <xf borderId="0" fillId="4" fontId="10" numFmtId="0" xfId="0" applyAlignment="1" applyFont="1">
      <alignment horizontal="left" readingOrder="0" shrinkToFit="0" vertical="bottom" wrapText="0"/>
    </xf>
    <xf borderId="0" fillId="4" fontId="10" numFmtId="0" xfId="0" applyAlignment="1" applyFont="1">
      <alignment readingOrder="0" shrinkToFit="0" vertical="bottom" wrapText="0"/>
    </xf>
    <xf borderId="0" fillId="2" fontId="0" numFmtId="0" xfId="0" applyFont="1"/>
    <xf borderId="0" fillId="4" fontId="0" numFmtId="0" xfId="0" applyAlignment="1" applyFont="1">
      <alignment horizontal="left" readingOrder="0"/>
    </xf>
    <xf borderId="0" fillId="4" fontId="0" numFmtId="0" xfId="0" applyAlignment="1" applyFont="1">
      <alignment readingOrder="0" vertical="bottom"/>
    </xf>
    <xf borderId="0" fillId="2" fontId="10" numFmtId="0" xfId="0" applyAlignment="1" applyFont="1">
      <alignment horizontal="left" readingOrder="0" shrinkToFit="0" wrapText="0"/>
    </xf>
    <xf borderId="0" fillId="2" fontId="6" numFmtId="166" xfId="0" applyAlignment="1" applyFont="1" applyNumberFormat="1">
      <alignment horizontal="right" vertical="bottom"/>
    </xf>
    <xf borderId="0" fillId="4" fontId="6" numFmtId="166" xfId="0" applyAlignment="1" applyFont="1" applyNumberFormat="1">
      <alignment horizontal="right" vertical="bottom"/>
    </xf>
    <xf borderId="0" fillId="2" fontId="6" numFmtId="0" xfId="0" applyAlignment="1" applyFont="1">
      <alignment horizontal="right" readingOrder="0" vertical="bottom"/>
    </xf>
    <xf borderId="0" fillId="2" fontId="6" numFmtId="21" xfId="0" applyAlignment="1" applyFont="1" applyNumberFormat="1">
      <alignment horizontal="right" readingOrder="0" vertical="bottom"/>
    </xf>
    <xf borderId="0" fillId="4" fontId="0" numFmtId="0" xfId="0" applyAlignment="1" applyFont="1">
      <alignment readingOrder="0" shrinkToFit="0" vertical="bottom" wrapText="0"/>
    </xf>
    <xf borderId="0" fillId="4" fontId="6" numFmtId="0" xfId="0" applyAlignment="1" applyFont="1">
      <alignment horizontal="right" readingOrder="0" vertical="bottom"/>
    </xf>
    <xf borderId="0" fillId="4" fontId="6" numFmtId="167" xfId="0" applyAlignment="1" applyFont="1" applyNumberFormat="1">
      <alignment horizontal="right" readingOrder="0" vertical="bottom"/>
    </xf>
    <xf borderId="0" fillId="2" fontId="6" numFmtId="167" xfId="0" applyAlignment="1" applyFont="1" applyNumberFormat="1">
      <alignment horizontal="right" readingOrder="0" vertical="bottom"/>
    </xf>
    <xf borderId="0" fillId="2" fontId="6" numFmtId="168" xfId="0" applyAlignment="1" applyFont="1" applyNumberFormat="1">
      <alignment horizontal="right" readingOrder="0" vertical="bottom"/>
    </xf>
    <xf borderId="0" fillId="4" fontId="6" numFmtId="168" xfId="0" applyAlignment="1" applyFont="1" applyNumberFormat="1">
      <alignment horizontal="right" readingOrder="0" vertical="bottom"/>
    </xf>
    <xf borderId="0" fillId="4" fontId="0" numFmtId="0" xfId="0" applyAlignment="1" applyFont="1">
      <alignment shrinkToFit="0" vertical="bottom" wrapText="1"/>
    </xf>
    <xf borderId="0" fillId="4" fontId="6" numFmtId="0" xfId="0" applyAlignment="1" applyFont="1">
      <alignment readingOrder="0"/>
    </xf>
    <xf borderId="0" fillId="4" fontId="6" numFmtId="0" xfId="0" applyFont="1"/>
    <xf borderId="0" fillId="4" fontId="10" numFmtId="0" xfId="0" applyAlignment="1" applyFont="1">
      <alignment horizontal="left" readingOrder="0" shrinkToFit="0" wrapText="0"/>
    </xf>
    <xf borderId="0" fillId="2" fontId="10" numFmtId="0" xfId="0" applyAlignment="1" applyFont="1">
      <alignment horizontal="left" readingOrder="0" shrinkToFit="0" vertical="bottom" wrapText="0"/>
    </xf>
    <xf borderId="0" fillId="2" fontId="11" numFmtId="0" xfId="0" applyAlignment="1" applyFont="1">
      <alignment vertical="bottom"/>
    </xf>
    <xf borderId="0" fillId="4" fontId="11" numFmtId="0" xfId="0" applyAlignment="1" applyFont="1">
      <alignment readingOrder="0" vertical="bottom"/>
    </xf>
    <xf borderId="0" fillId="4" fontId="8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0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center" wrapText="0"/>
    </xf>
    <xf borderId="0" fillId="4" fontId="5" numFmtId="0" xfId="0" applyAlignment="1" applyFont="1">
      <alignment readingOrder="0" shrinkToFit="0" vertical="center" wrapText="0"/>
    </xf>
    <xf borderId="0" fillId="4" fontId="9" numFmtId="0" xfId="0" applyAlignment="1" applyFont="1">
      <alignment vertical="center"/>
    </xf>
    <xf borderId="0" fillId="2" fontId="5" numFmtId="0" xfId="0" applyAlignment="1" applyFont="1">
      <alignment readingOrder="0" vertical="center"/>
    </xf>
    <xf borderId="0" fillId="4" fontId="5" numFmtId="0" xfId="0" applyAlignment="1" applyFont="1">
      <alignment readingOrder="0" vertical="center"/>
    </xf>
    <xf borderId="0" fillId="2" fontId="9" numFmtId="0" xfId="0" applyAlignment="1" applyFont="1">
      <alignment readingOrder="0" vertical="bottom"/>
    </xf>
    <xf borderId="0" fillId="4" fontId="9" numFmtId="0" xfId="0" applyAlignment="1" applyFont="1">
      <alignment vertical="bottom"/>
    </xf>
    <xf borderId="0" fillId="2" fontId="0" numFmtId="0" xfId="0" applyAlignment="1" applyFont="1">
      <alignment readingOrder="0" vertical="bottom"/>
    </xf>
    <xf borderId="0" fillId="4" fontId="9" numFmtId="0" xfId="0" applyAlignment="1" applyFont="1">
      <alignment readingOrder="0" vertical="bottom"/>
    </xf>
    <xf borderId="1" fillId="4" fontId="7" numFmtId="0" xfId="0" applyAlignment="1" applyBorder="1" applyFont="1">
      <alignment shrinkToFit="0" vertical="bottom" wrapText="0"/>
    </xf>
    <xf borderId="0" fillId="3" fontId="3" numFmtId="0" xfId="0" applyAlignment="1" applyFont="1">
      <alignment horizontal="center" readingOrder="0" shrinkToFit="0" wrapText="0"/>
    </xf>
    <xf borderId="0" fillId="3" fontId="3" numFmtId="169" xfId="0" applyAlignment="1" applyFont="1" applyNumberFormat="1">
      <alignment horizontal="right" readingOrder="0" shrinkToFit="0" wrapText="0"/>
    </xf>
    <xf borderId="0" fillId="3" fontId="3" numFmtId="0" xfId="0" applyAlignment="1" applyFont="1">
      <alignment horizontal="center" readingOrder="0"/>
    </xf>
    <xf borderId="0" fillId="3" fontId="12" numFmtId="0" xfId="0" applyAlignment="1" applyFont="1">
      <alignment horizontal="left" readingOrder="0"/>
    </xf>
    <xf borderId="0" fillId="3" fontId="12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right" readingOrder="0"/>
    </xf>
    <xf borderId="0" fillId="2" fontId="0" numFmtId="170" xfId="0" applyAlignment="1" applyFont="1" applyNumberFormat="1">
      <alignment horizontal="center" readingOrder="0" shrinkToFit="0" wrapText="0"/>
    </xf>
    <xf borderId="0" fillId="2" fontId="6" numFmtId="169" xfId="0" applyAlignment="1" applyFont="1" applyNumberFormat="1">
      <alignment horizontal="right" readingOrder="0"/>
    </xf>
    <xf borderId="0" fillId="2" fontId="6" numFmtId="0" xfId="0" applyFont="1"/>
    <xf borderId="0" fillId="2" fontId="0" numFmtId="0" xfId="0" applyAlignment="1" applyFont="1">
      <alignment horizontal="right" readingOrder="0" shrinkToFit="0" wrapText="0"/>
    </xf>
    <xf borderId="0" fillId="2" fontId="0" numFmtId="0" xfId="0" applyAlignment="1" applyFont="1">
      <alignment horizontal="left"/>
    </xf>
    <xf borderId="0" fillId="2" fontId="0" numFmtId="0" xfId="0" applyAlignment="1" applyFont="1">
      <alignment horizontal="left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center"/>
    </xf>
    <xf borderId="0" fillId="2" fontId="13" numFmtId="0" xfId="0" applyAlignment="1" applyFont="1">
      <alignment shrinkToFit="0" wrapText="0"/>
    </xf>
    <xf borderId="0" fillId="2" fontId="6" numFmtId="0" xfId="0" applyAlignment="1" applyFont="1">
      <alignment horizontal="right" readingOrder="0"/>
    </xf>
    <xf borderId="0" fillId="2" fontId="0" numFmtId="0" xfId="0" applyAlignment="1" applyFont="1">
      <alignment horizontal="right"/>
    </xf>
    <xf borderId="0" fillId="2" fontId="6" numFmtId="0" xfId="0" applyAlignment="1" applyFont="1">
      <alignment horizontal="center" readingOrder="0"/>
    </xf>
    <xf borderId="0" fillId="4" fontId="0" numFmtId="170" xfId="0" applyAlignment="1" applyFont="1" applyNumberFormat="1">
      <alignment horizontal="center" readingOrder="0" shrinkToFit="0" wrapText="0"/>
    </xf>
    <xf borderId="0" fillId="4" fontId="6" numFmtId="169" xfId="0" applyAlignment="1" applyFont="1" applyNumberFormat="1">
      <alignment horizontal="right" readingOrder="0"/>
    </xf>
    <xf borderId="0" fillId="4" fontId="0" numFmtId="0" xfId="0" applyAlignment="1" applyFont="1">
      <alignment horizontal="right" readingOrder="0" shrinkToFit="0" wrapText="0"/>
    </xf>
    <xf borderId="0" fillId="4" fontId="0" numFmtId="0" xfId="0" applyAlignment="1" applyFont="1">
      <alignment horizontal="left"/>
    </xf>
    <xf borderId="0" fillId="4" fontId="0" numFmtId="0" xfId="0" applyAlignment="1" applyFont="1">
      <alignment horizontal="left"/>
    </xf>
    <xf borderId="0" fillId="4" fontId="6" numFmtId="0" xfId="0" applyAlignment="1" applyFont="1">
      <alignment horizontal="left"/>
    </xf>
    <xf borderId="0" fillId="4" fontId="6" numFmtId="0" xfId="0" applyAlignment="1" applyFont="1">
      <alignment horizontal="center"/>
    </xf>
    <xf borderId="0" fillId="4" fontId="0" numFmtId="0" xfId="0" applyAlignment="1" applyFont="1">
      <alignment shrinkToFit="0" wrapText="1"/>
    </xf>
    <xf borderId="0" fillId="4" fontId="14" numFmtId="0" xfId="0" applyAlignment="1" applyFont="1">
      <alignment shrinkToFit="0" vertical="bottom" wrapText="0"/>
    </xf>
    <xf borderId="0" fillId="4" fontId="0" numFmtId="0" xfId="0" applyAlignment="1" applyFont="1">
      <alignment horizontal="right"/>
    </xf>
    <xf borderId="0" fillId="4" fontId="0" numFmtId="1" xfId="0" applyAlignment="1" applyFont="1" applyNumberFormat="1">
      <alignment horizontal="right"/>
    </xf>
    <xf borderId="0" fillId="4" fontId="6" numFmtId="0" xfId="0" applyAlignment="1" applyFont="1">
      <alignment horizontal="right" readingOrder="0"/>
    </xf>
    <xf borderId="0" fillId="4" fontId="6" numFmtId="0" xfId="0" applyAlignment="1" applyFont="1">
      <alignment horizontal="center" readingOrder="0"/>
    </xf>
    <xf borderId="0" fillId="2" fontId="0" numFmtId="0" xfId="0" applyAlignment="1" applyFont="1">
      <alignment shrinkToFit="0" wrapText="1"/>
    </xf>
    <xf borderId="0" fillId="2" fontId="15" numFmtId="0" xfId="0" applyAlignment="1" applyFont="1">
      <alignment vertical="bottom"/>
    </xf>
    <xf borderId="0" fillId="2" fontId="0" numFmtId="1" xfId="0" applyAlignment="1" applyFont="1" applyNumberFormat="1">
      <alignment horizontal="right"/>
    </xf>
    <xf borderId="0" fillId="4" fontId="6" numFmtId="0" xfId="0" applyAlignment="1" applyFont="1">
      <alignment shrinkToFit="0" wrapText="0"/>
    </xf>
    <xf borderId="0" fillId="2" fontId="6" numFmtId="0" xfId="0" applyAlignment="1" applyFont="1">
      <alignment shrinkToFit="0" wrapText="0"/>
    </xf>
    <xf borderId="0" fillId="4" fontId="0" numFmtId="0" xfId="0" applyAlignment="1" applyFont="1">
      <alignment shrinkToFit="0" vertical="bottom" wrapText="0"/>
    </xf>
    <xf borderId="0" fillId="4" fontId="16" numFmtId="0" xfId="0" applyAlignment="1" applyFont="1">
      <alignment shrinkToFit="0" wrapText="0"/>
    </xf>
    <xf borderId="0" fillId="4" fontId="6" numFmtId="0" xfId="0" applyAlignment="1" applyFont="1">
      <alignment horizontal="right"/>
    </xf>
    <xf borderId="0" fillId="2" fontId="0" numFmtId="0" xfId="0" applyAlignment="1" applyFont="1">
      <alignment shrinkToFit="0" vertical="bottom" wrapText="0"/>
    </xf>
    <xf borderId="0" fillId="4" fontId="0" numFmtId="1" xfId="0" applyAlignment="1" applyFont="1" applyNumberFormat="1">
      <alignment horizontal="right" readingOrder="0"/>
    </xf>
    <xf borderId="0" fillId="2" fontId="6" numFmtId="0" xfId="0" applyAlignment="1" applyFont="1">
      <alignment horizontal="right"/>
    </xf>
    <xf borderId="0" fillId="2" fontId="17" numFmtId="0" xfId="0" applyAlignment="1" applyFont="1">
      <alignment shrinkToFit="0" vertical="bottom" wrapText="0"/>
    </xf>
    <xf borderId="0" fillId="4" fontId="18" numFmtId="0" xfId="0" applyFont="1"/>
    <xf borderId="0" fillId="2" fontId="19" numFmtId="0" xfId="0" applyAlignment="1" applyFont="1">
      <alignment shrinkToFit="0" vertical="top" wrapText="0"/>
    </xf>
    <xf borderId="0" fillId="2" fontId="0" numFmtId="1" xfId="0" applyAlignment="1" applyFont="1" applyNumberFormat="1">
      <alignment horizontal="right" readingOrder="0"/>
    </xf>
    <xf borderId="0" fillId="4" fontId="20" numFmtId="0" xfId="0" applyAlignment="1" applyFont="1">
      <alignment vertical="bottom"/>
    </xf>
    <xf borderId="0" fillId="2" fontId="21" numFmtId="0" xfId="0" applyFont="1"/>
    <xf borderId="0" fillId="2" fontId="6" numFmtId="0" xfId="0" applyAlignment="1" applyFont="1">
      <alignment vertical="bottom"/>
    </xf>
    <xf borderId="0" fillId="2" fontId="0" numFmtId="169" xfId="0" applyAlignment="1" applyFont="1" applyNumberFormat="1">
      <alignment horizontal="right" readingOrder="0"/>
    </xf>
    <xf borderId="0" fillId="2" fontId="0" numFmtId="0" xfId="0" applyAlignment="1" applyFont="1">
      <alignment horizontal="center"/>
    </xf>
    <xf borderId="0" fillId="2" fontId="22" numFmtId="0" xfId="0" applyAlignment="1" applyFont="1">
      <alignment shrinkToFit="0" vertical="bottom" wrapText="0"/>
    </xf>
    <xf borderId="0" fillId="2" fontId="0" numFmtId="0" xfId="0" applyAlignment="1" applyFont="1">
      <alignment horizontal="right" readingOrder="0"/>
    </xf>
    <xf borderId="0" fillId="2" fontId="0" numFmtId="0" xfId="0" applyAlignment="1" applyFont="1">
      <alignment horizontal="center" readingOrder="0"/>
    </xf>
    <xf borderId="0" fillId="4" fontId="0" numFmtId="0" xfId="0" applyAlignment="1" applyFont="1">
      <alignment readingOrder="0" shrinkToFit="0" wrapText="1"/>
    </xf>
    <xf borderId="0" fillId="2" fontId="6" numFmtId="0" xfId="0" applyAlignment="1" applyFont="1">
      <alignment horizontal="right" vertical="bottom"/>
    </xf>
    <xf borderId="0" fillId="2" fontId="0" numFmtId="170" xfId="0" applyAlignment="1" applyFont="1" applyNumberFormat="1">
      <alignment horizontal="center" readingOrder="0" shrinkToFit="0" vertical="bottom" wrapText="0"/>
    </xf>
    <xf borderId="0" fillId="2" fontId="0" numFmtId="169" xfId="0" applyAlignment="1" applyFont="1" applyNumberFormat="1">
      <alignment horizontal="right" readingOrder="0" shrinkToFit="0" vertical="bottom" wrapText="0"/>
    </xf>
    <xf borderId="0" fillId="2" fontId="0" numFmtId="0" xfId="0" applyAlignment="1" applyFont="1">
      <alignment horizontal="right" readingOrder="0" shrinkToFit="0" vertical="bottom" wrapText="0"/>
    </xf>
    <xf borderId="0" fillId="2" fontId="0" numFmtId="0" xfId="0" applyAlignment="1" applyFont="1">
      <alignment horizontal="left" readingOrder="0" shrinkToFit="0" vertical="bottom" wrapText="0"/>
    </xf>
    <xf borderId="0" fillId="2" fontId="0" numFmtId="0" xfId="0" applyAlignment="1" applyFont="1">
      <alignment horizontal="center" readingOrder="0" shrinkToFit="0" vertical="bottom" wrapText="0"/>
    </xf>
    <xf borderId="0" fillId="4" fontId="0" numFmtId="170" xfId="0" applyAlignment="1" applyFont="1" applyNumberFormat="1">
      <alignment horizontal="center" readingOrder="0" shrinkToFit="0" vertical="bottom" wrapText="0"/>
    </xf>
    <xf borderId="0" fillId="4" fontId="0" numFmtId="169" xfId="0" applyAlignment="1" applyFont="1" applyNumberFormat="1">
      <alignment horizontal="right" readingOrder="0" shrinkToFit="0" vertical="bottom" wrapText="0"/>
    </xf>
    <xf borderId="0" fillId="4" fontId="0" numFmtId="0" xfId="0" applyAlignment="1" applyFont="1">
      <alignment horizontal="right" readingOrder="0" shrinkToFit="0" vertical="bottom" wrapText="0"/>
    </xf>
    <xf borderId="0" fillId="4" fontId="0" numFmtId="0" xfId="0" applyAlignment="1" applyFont="1">
      <alignment horizontal="left" readingOrder="0" shrinkToFit="0" vertical="bottom" wrapText="0"/>
    </xf>
    <xf borderId="0" fillId="4" fontId="0" numFmtId="0" xfId="0" applyAlignment="1" applyFont="1">
      <alignment horizontal="center" readingOrder="0" shrinkToFit="0" vertical="bottom" wrapText="0"/>
    </xf>
    <xf borderId="0" fillId="2" fontId="0" numFmtId="0" xfId="0" applyAlignment="1" applyFont="1">
      <alignment shrinkToFit="0" vertical="bottom" wrapText="0"/>
    </xf>
    <xf borderId="0" fillId="2" fontId="0" numFmtId="0" xfId="0" applyAlignment="1" applyFont="1">
      <alignment horizontal="center" shrinkToFit="0" vertical="bottom" wrapText="0"/>
    </xf>
    <xf borderId="0" fillId="2" fontId="0" numFmtId="0" xfId="0" applyAlignment="1" applyFont="1">
      <alignment horizontal="left" readingOrder="0" shrinkToFit="0" wrapText="0"/>
    </xf>
    <xf borderId="0" fillId="4" fontId="6" numFmtId="166" xfId="0" applyAlignment="1" applyFont="1" applyNumberFormat="1">
      <alignment horizontal="center" readingOrder="0" vertical="bottom"/>
    </xf>
    <xf borderId="0" fillId="4" fontId="6" numFmtId="21" xfId="0" applyAlignment="1" applyFont="1" applyNumberFormat="1">
      <alignment horizontal="right" readingOrder="0" vertical="bottom"/>
    </xf>
    <xf borderId="0" fillId="4" fontId="6" numFmtId="0" xfId="0" applyAlignment="1" applyFont="1">
      <alignment horizontal="left" readingOrder="0"/>
    </xf>
    <xf borderId="0" fillId="2" fontId="6" numFmtId="166" xfId="0" applyAlignment="1" applyFont="1" applyNumberFormat="1">
      <alignment horizontal="center" readingOrder="0" vertical="bottom"/>
    </xf>
    <xf borderId="0" fillId="2" fontId="6" numFmtId="0" xfId="0" applyAlignment="1" applyFont="1">
      <alignment horizontal="left" readingOrder="0"/>
    </xf>
    <xf borderId="0" fillId="4" fontId="0" numFmtId="1" xfId="0" applyAlignment="1" applyFont="1" applyNumberFormat="1">
      <alignment horizontal="right" vertical="bottom"/>
    </xf>
    <xf borderId="0" fillId="2" fontId="0" numFmtId="1" xfId="0" applyAlignment="1" applyFont="1" applyNumberFormat="1">
      <alignment horizontal="right" vertical="bottom"/>
    </xf>
    <xf borderId="0" fillId="2" fontId="8" numFmtId="0" xfId="0" applyFont="1"/>
    <xf borderId="0" fillId="4" fontId="6" numFmtId="0" xfId="0" applyAlignment="1" applyFont="1">
      <alignment horizontal="center" readingOrder="0" vertical="bottom"/>
    </xf>
    <xf borderId="0" fillId="2" fontId="6" numFmtId="0" xfId="0" applyAlignment="1" applyFont="1">
      <alignment horizontal="center" readingOrder="0" vertical="bottom"/>
    </xf>
    <xf borderId="0" fillId="4" fontId="6" numFmtId="0" xfId="0" applyFont="1"/>
    <xf borderId="0" fillId="2" fontId="6" numFmtId="166" xfId="0" applyAlignment="1" applyFont="1" applyNumberFormat="1">
      <alignment horizontal="center" vertical="bottom"/>
    </xf>
    <xf borderId="0" fillId="2" fontId="6" numFmtId="0" xfId="0" applyAlignment="1" applyFont="1">
      <alignment horizontal="left" vertical="bottom"/>
    </xf>
    <xf borderId="0" fillId="2" fontId="6" numFmtId="0" xfId="0" applyAlignment="1" applyFont="1">
      <alignment horizontal="center" vertical="bottom"/>
    </xf>
    <xf borderId="0" fillId="4" fontId="6" numFmtId="166" xfId="0" applyAlignment="1" applyFont="1" applyNumberFormat="1">
      <alignment horizontal="center" vertical="bottom"/>
    </xf>
    <xf borderId="0" fillId="4" fontId="6" numFmtId="0" xfId="0" applyAlignment="1" applyFont="1">
      <alignment horizontal="left" vertical="bottom"/>
    </xf>
    <xf borderId="0" fillId="4" fontId="6" numFmtId="0" xfId="0" applyAlignment="1" applyFont="1">
      <alignment horizontal="center" vertical="bottom"/>
    </xf>
    <xf borderId="0" fillId="4" fontId="6" numFmtId="0" xfId="0" applyAlignment="1" applyFont="1">
      <alignment horizontal="right" vertical="bottom"/>
    </xf>
    <xf borderId="0" fillId="4" fontId="6" numFmtId="0" xfId="0" applyAlignment="1" applyFont="1">
      <alignment horizontal="left" readingOrder="0" vertical="bottom"/>
    </xf>
    <xf borderId="0" fillId="2" fontId="6" numFmtId="0" xfId="0" applyAlignment="1" applyFont="1">
      <alignment horizontal="left" readingOrder="0" vertical="bottom"/>
    </xf>
    <xf borderId="0" fillId="2" fontId="0" numFmtId="166" xfId="0" applyAlignment="1" applyFont="1" applyNumberFormat="1">
      <alignment horizontal="center" readingOrder="0" vertical="bottom"/>
    </xf>
    <xf borderId="0" fillId="2" fontId="0" numFmtId="21" xfId="0" applyAlignment="1" applyFont="1" applyNumberFormat="1">
      <alignment horizontal="right" readingOrder="0" vertical="bottom"/>
    </xf>
    <xf borderId="0" fillId="2" fontId="0" numFmtId="0" xfId="0" applyAlignment="1" applyFont="1">
      <alignment horizontal="right" readingOrder="0" vertical="bottom"/>
    </xf>
    <xf borderId="0" fillId="2" fontId="0" numFmtId="0" xfId="0" applyAlignment="1" applyFont="1">
      <alignment horizontal="left" readingOrder="0" vertical="bottom"/>
    </xf>
    <xf borderId="0" fillId="2" fontId="0" numFmtId="0" xfId="0" applyAlignment="1" applyFont="1">
      <alignment horizontal="center" readingOrder="0" vertical="bottom"/>
    </xf>
    <xf borderId="2" fillId="4" fontId="10" numFmtId="0" xfId="0" applyAlignment="1" applyBorder="1" applyFont="1">
      <alignment readingOrder="0" shrinkToFit="0" vertical="bottom" wrapText="0"/>
    </xf>
    <xf borderId="2" fillId="4" fontId="7" numFmtId="0" xfId="0" applyAlignment="1" applyBorder="1" applyFont="1">
      <alignment horizontal="center" readingOrder="0" shrinkToFit="0" vertical="bottom" wrapText="0"/>
    </xf>
    <xf borderId="0" fillId="2" fontId="6" numFmtId="171" xfId="0" applyAlignment="1" applyFont="1" applyNumberFormat="1">
      <alignment horizontal="center" readingOrder="0" vertical="bottom"/>
    </xf>
    <xf borderId="0" fillId="4" fontId="6" numFmtId="171" xfId="0" applyAlignment="1" applyFont="1" applyNumberFormat="1">
      <alignment horizontal="center" readingOrder="0" vertical="bottom"/>
    </xf>
    <xf borderId="0" fillId="2" fontId="10" numFmtId="0" xfId="0" applyAlignment="1" applyFont="1">
      <alignment readingOrder="0" shrinkToFit="0" vertical="bottom" wrapText="0"/>
    </xf>
    <xf borderId="0" fillId="2" fontId="6" numFmtId="3" xfId="0" applyAlignment="1" applyFont="1" applyNumberFormat="1">
      <alignment horizontal="right" readingOrder="0" vertical="bottom"/>
    </xf>
    <xf borderId="0" fillId="4" fontId="11" numFmtId="0" xfId="0" applyAlignment="1" applyFont="1">
      <alignment vertical="bottom"/>
    </xf>
    <xf borderId="0" fillId="2" fontId="11" numFmtId="0" xfId="0" applyAlignment="1" applyFont="1">
      <alignment readingOrder="0" vertical="bottom"/>
    </xf>
    <xf borderId="0" fillId="4" fontId="6" numFmtId="171" xfId="0" applyAlignment="1" applyFont="1" applyNumberFormat="1">
      <alignment horizontal="center" readingOrder="0"/>
    </xf>
    <xf borderId="0" fillId="2" fontId="6" numFmtId="171" xfId="0" applyAlignment="1" applyFont="1" applyNumberFormat="1">
      <alignment horizontal="center" readingOrder="0"/>
    </xf>
    <xf borderId="0" fillId="4" fontId="7" numFmtId="0" xfId="0" applyAlignment="1" applyFont="1">
      <alignment vertical="bottom"/>
    </xf>
    <xf borderId="0" fillId="4" fontId="6" numFmtId="171" xfId="0" applyAlignment="1" applyFont="1" applyNumberFormat="1">
      <alignment horizontal="center" readingOrder="0" vertical="center"/>
    </xf>
    <xf borderId="0" fillId="2" fontId="6" numFmtId="171" xfId="0" applyAlignment="1" applyFont="1" applyNumberFormat="1">
      <alignment horizontal="center" readingOrder="0" vertical="center"/>
    </xf>
    <xf borderId="0" fillId="2" fontId="0" numFmtId="171" xfId="0" applyAlignment="1" applyFont="1" applyNumberFormat="1">
      <alignment horizontal="center" readingOrder="0" shrinkToFit="0" wrapText="0"/>
    </xf>
    <xf borderId="0" fillId="4" fontId="0" numFmtId="171" xfId="0" applyAlignment="1" applyFont="1" applyNumberFormat="1">
      <alignment horizontal="center" readingOrder="0" shrinkToFit="0" wrapText="0"/>
    </xf>
    <xf borderId="0" fillId="4" fontId="8" numFmtId="0" xfId="0" applyAlignment="1" applyFont="1">
      <alignment vertical="bottom"/>
    </xf>
    <xf borderId="0" fillId="0" fontId="6" numFmtId="0" xfId="0" applyAlignment="1" applyFont="1">
      <alignment horizontal="left" vertical="bottom"/>
    </xf>
    <xf borderId="0" fillId="5" fontId="6" numFmtId="1" xfId="0" applyAlignment="1" applyFill="1" applyFont="1" applyNumberFormat="1">
      <alignment horizontal="left" shrinkToFit="0" vertical="bottom" wrapText="1"/>
    </xf>
    <xf borderId="0" fillId="5" fontId="6" numFmtId="1" xfId="0" applyAlignment="1" applyFont="1" applyNumberFormat="1">
      <alignment horizontal="left" vertical="bottom"/>
    </xf>
    <xf borderId="0" fillId="6" fontId="6" numFmtId="1" xfId="0" applyAlignment="1" applyFill="1" applyFont="1" applyNumberFormat="1">
      <alignment horizontal="center" readingOrder="0" shrinkToFit="0" vertical="bottom" wrapText="1"/>
    </xf>
    <xf borderId="0" fillId="6" fontId="6" numFmtId="1" xfId="0" applyAlignment="1" applyFont="1" applyNumberFormat="1">
      <alignment horizontal="center" vertical="bottom"/>
    </xf>
    <xf borderId="0" fillId="7" fontId="6" numFmtId="1" xfId="0" applyAlignment="1" applyFill="1" applyFont="1" applyNumberFormat="1">
      <alignment horizontal="center" readingOrder="0" vertical="bottom"/>
    </xf>
    <xf borderId="0" fillId="7" fontId="6" numFmtId="1" xfId="0" applyAlignment="1" applyFont="1" applyNumberFormat="1">
      <alignment horizontal="center" vertical="bottom"/>
    </xf>
    <xf borderId="0" fillId="8" fontId="6" numFmtId="1" xfId="0" applyAlignment="1" applyFill="1" applyFont="1" applyNumberFormat="1">
      <alignment horizontal="center" readingOrder="0" vertical="bottom"/>
    </xf>
    <xf borderId="0" fillId="0" fontId="23" numFmtId="0" xfId="0" applyAlignment="1" applyFont="1">
      <alignment horizontal="left" readingOrder="0" vertical="bottom"/>
    </xf>
    <xf borderId="0" fillId="9" fontId="3" numFmtId="1" xfId="0" applyAlignment="1" applyFill="1" applyFont="1" applyNumberFormat="1">
      <alignment horizontal="left" vertical="bottom"/>
    </xf>
    <xf borderId="0" fillId="10" fontId="3" numFmtId="1" xfId="0" applyAlignment="1" applyFill="1" applyFont="1" applyNumberFormat="1">
      <alignment horizontal="left" vertical="bottom"/>
    </xf>
    <xf borderId="0" fillId="11" fontId="3" numFmtId="1" xfId="0" applyAlignment="1" applyFill="1" applyFont="1" applyNumberFormat="1">
      <alignment horizontal="left" vertical="bottom"/>
    </xf>
    <xf borderId="0" fillId="12" fontId="3" numFmtId="1" xfId="0" applyAlignment="1" applyFill="1" applyFont="1" applyNumberFormat="1">
      <alignment horizontal="left" vertical="bottom"/>
    </xf>
    <xf borderId="0" fillId="0" fontId="9" numFmtId="0" xfId="0" applyFont="1"/>
    <xf borderId="0" fillId="13" fontId="9" numFmtId="1" xfId="0" applyAlignment="1" applyFill="1" applyFont="1" applyNumberFormat="1">
      <alignment horizontal="left"/>
    </xf>
    <xf borderId="0" fillId="14" fontId="9" numFmtId="1" xfId="0" applyAlignment="1" applyFill="1" applyFont="1" applyNumberFormat="1">
      <alignment horizontal="right"/>
    </xf>
    <xf borderId="0" fillId="15" fontId="9" numFmtId="1" xfId="0" applyAlignment="1" applyFill="1" applyFont="1" applyNumberFormat="1">
      <alignment horizontal="right"/>
    </xf>
    <xf borderId="0" fillId="14" fontId="24" numFmtId="1" xfId="0" applyAlignment="1" applyFont="1" applyNumberFormat="1">
      <alignment horizontal="right" vertical="bottom"/>
    </xf>
    <xf borderId="0" fillId="16" fontId="24" numFmtId="1" xfId="0" applyAlignment="1" applyFill="1" applyFont="1" applyNumberFormat="1">
      <alignment horizontal="right" vertical="bottom"/>
    </xf>
    <xf borderId="0" fillId="0" fontId="5" numFmtId="0" xfId="0" applyAlignment="1" applyFont="1">
      <alignment readingOrder="0" shrinkToFit="0" vertical="bottom" wrapText="0"/>
    </xf>
    <xf borderId="0" fillId="13" fontId="9" numFmtId="1" xfId="0" applyAlignment="1" applyFont="1" applyNumberFormat="1">
      <alignment horizontal="left" vertical="bottom"/>
    </xf>
    <xf borderId="0" fillId="13" fontId="5" numFmtId="1" xfId="0" applyAlignment="1" applyFont="1" applyNumberFormat="1">
      <alignment horizontal="left"/>
    </xf>
    <xf borderId="0" fillId="14" fontId="9" numFmtId="1" xfId="0" applyAlignment="1" applyFont="1" applyNumberFormat="1">
      <alignment horizontal="right" vertical="bottom"/>
    </xf>
    <xf borderId="0" fillId="15" fontId="9" numFmtId="1" xfId="0" applyAlignment="1" applyFont="1" applyNumberFormat="1">
      <alignment horizontal="right" vertical="bottom"/>
    </xf>
    <xf borderId="0" fillId="14" fontId="5" numFmtId="1" xfId="0" applyAlignment="1" applyFont="1" applyNumberFormat="1">
      <alignment horizontal="right" vertical="bottom"/>
    </xf>
    <xf borderId="0" fillId="16" fontId="5" numFmtId="1" xfId="0" applyAlignment="1" applyFont="1" applyNumberFormat="1">
      <alignment horizontal="right" vertical="bottom"/>
    </xf>
    <xf borderId="0" fillId="2" fontId="5" numFmtId="0" xfId="0" applyAlignment="1" applyFont="1">
      <alignment horizontal="left" readingOrder="0" shrinkToFit="0" wrapText="0"/>
    </xf>
    <xf borderId="0" fillId="2" fontId="23" numFmtId="1" xfId="0" applyAlignment="1" applyFont="1" applyNumberFormat="1">
      <alignment horizontal="center" readingOrder="0" shrinkToFit="0" vertical="bottom" wrapText="1"/>
    </xf>
    <xf borderId="3" fillId="2" fontId="23" numFmtId="1" xfId="0" applyAlignment="1" applyBorder="1" applyFont="1" applyNumberFormat="1">
      <alignment horizontal="center" readingOrder="0" shrinkToFit="0" vertical="bottom" wrapText="1"/>
    </xf>
    <xf borderId="4" fillId="0" fontId="25" numFmtId="0" xfId="0" applyBorder="1" applyFont="1"/>
    <xf borderId="5" fillId="0" fontId="25" numFmtId="0" xfId="0" applyBorder="1" applyFont="1"/>
    <xf borderId="0" fillId="0" fontId="6" numFmtId="0" xfId="0" applyFont="1"/>
    <xf borderId="0" fillId="11" fontId="6" numFmtId="1" xfId="0" applyAlignment="1" applyFont="1" applyNumberFormat="1">
      <alignment horizontal="center" vertical="bottom"/>
    </xf>
    <xf borderId="0" fillId="2" fontId="6" numFmtId="1" xfId="0" applyAlignment="1" applyFont="1" applyNumberFormat="1">
      <alignment horizontal="center" vertical="bottom"/>
    </xf>
    <xf borderId="0" fillId="10" fontId="3" numFmtId="1" xfId="0" applyAlignment="1" applyFont="1" applyNumberFormat="1">
      <alignment horizontal="right" vertical="bottom"/>
    </xf>
    <xf borderId="0" fillId="11" fontId="3" numFmtId="1" xfId="0" applyAlignment="1" applyFont="1" applyNumberFormat="1">
      <alignment horizontal="right" vertical="bottom"/>
    </xf>
    <xf borderId="0" fillId="2" fontId="3" numFmtId="1" xfId="0" applyAlignment="1" applyFont="1" applyNumberFormat="1">
      <alignment horizontal="right" vertical="bottom"/>
    </xf>
    <xf borderId="0" fillId="0" fontId="6" numFmtId="0" xfId="0" applyAlignment="1" applyFont="1">
      <alignment horizontal="left"/>
    </xf>
    <xf borderId="0" fillId="13" fontId="6" numFmtId="1" xfId="0" applyAlignment="1" applyFont="1" applyNumberFormat="1">
      <alignment horizontal="left"/>
    </xf>
    <xf borderId="0" fillId="14" fontId="6" numFmtId="1" xfId="0" applyAlignment="1" applyFont="1" applyNumberFormat="1">
      <alignment horizontal="left"/>
    </xf>
    <xf borderId="0" fillId="15" fontId="6" numFmtId="1" xfId="0" applyAlignment="1" applyFont="1" applyNumberFormat="1">
      <alignment horizontal="left"/>
    </xf>
    <xf borderId="0" fillId="14" fontId="3" numFmtId="1" xfId="0" applyAlignment="1" applyFont="1" applyNumberFormat="1">
      <alignment horizontal="left" vertical="bottom"/>
    </xf>
    <xf borderId="0" fillId="2" fontId="3" numFmtId="1" xfId="0" applyAlignment="1" applyFont="1" applyNumberFormat="1">
      <alignment horizontal="left" vertical="bottom"/>
    </xf>
    <xf borderId="0" fillId="9" fontId="6" numFmtId="1" xfId="0" applyAlignment="1" applyFont="1" applyNumberFormat="1">
      <alignment horizontal="left" vertical="bottom"/>
    </xf>
    <xf borderId="0" fillId="10" fontId="6" numFmtId="1" xfId="0" applyAlignment="1" applyFont="1" applyNumberFormat="1">
      <alignment horizontal="left" vertical="bottom"/>
    </xf>
    <xf borderId="0" fillId="11" fontId="6" numFmtId="1" xfId="0" applyAlignment="1" applyFont="1" applyNumberFormat="1">
      <alignment horizontal="left" vertical="bottom"/>
    </xf>
    <xf borderId="0" fillId="10" fontId="0" numFmtId="1" xfId="0" applyAlignment="1" applyFont="1" applyNumberFormat="1">
      <alignment horizontal="left" vertical="bottom"/>
    </xf>
    <xf borderId="0" fillId="2" fontId="0" numFmtId="1" xfId="0" applyAlignment="1" applyFont="1" applyNumberFormat="1">
      <alignment horizontal="left" vertical="bottom"/>
    </xf>
    <xf borderId="0" fillId="13" fontId="23" numFmtId="1" xfId="0" applyAlignment="1" applyFont="1" applyNumberFormat="1">
      <alignment horizontal="left" vertical="bottom"/>
    </xf>
    <xf borderId="0" fillId="14" fontId="23" numFmtId="1" xfId="0" applyAlignment="1" applyFont="1" applyNumberFormat="1">
      <alignment horizontal="left" vertical="bottom"/>
    </xf>
    <xf borderId="0" fillId="15" fontId="23" numFmtId="1" xfId="0" applyAlignment="1" applyFont="1" applyNumberFormat="1">
      <alignment horizontal="left" vertical="bottom"/>
    </xf>
    <xf borderId="0" fillId="14" fontId="0" numFmtId="1" xfId="0" applyAlignment="1" applyFont="1" applyNumberForma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13" fontId="0" numFmtId="1" xfId="0" applyAlignment="1" applyFont="1" applyNumberFormat="1">
      <alignment horizontal="left"/>
    </xf>
    <xf borderId="0" fillId="14" fontId="6" numFmtId="1" xfId="0" applyAlignment="1" applyFont="1" applyNumberFormat="1">
      <alignment horizontal="left" vertical="bottom"/>
    </xf>
    <xf borderId="0" fillId="14" fontId="0" numFmtId="1" xfId="0" applyAlignment="1" applyFont="1" applyNumberFormat="1">
      <alignment horizontal="left"/>
    </xf>
    <xf borderId="0" fillId="15" fontId="6" numFmtId="1" xfId="0" applyAlignment="1" applyFont="1" applyNumberFormat="1">
      <alignment horizontal="left" vertical="bottom"/>
    </xf>
    <xf borderId="0" fillId="13" fontId="6" numFmtId="1" xfId="0" applyAlignment="1" applyFont="1" applyNumberFormat="1">
      <alignment horizontal="left" vertical="bottom"/>
    </xf>
    <xf borderId="0" fillId="9" fontId="0" numFmtId="1" xfId="0" applyAlignment="1" applyFont="1" applyNumberFormat="1">
      <alignment horizontal="left"/>
    </xf>
    <xf borderId="0" fillId="0" fontId="6" numFmtId="0" xfId="0" applyAlignment="1" applyFont="1">
      <alignment horizontal="left" vertical="bottom"/>
    </xf>
    <xf borderId="0" fillId="13" fontId="0" numFmtId="1" xfId="0" applyAlignment="1" applyFont="1" applyNumberForma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3" fontId="26" numFmtId="0" xfId="0" applyFont="1"/>
    <xf borderId="0" fillId="3" fontId="26" numFmtId="0" xfId="0" applyAlignment="1" applyFont="1">
      <alignment readingOrder="0"/>
    </xf>
    <xf borderId="0" fillId="4" fontId="8" numFmtId="0" xfId="0" applyFont="1"/>
    <xf borderId="0" fillId="4" fontId="5" numFmtId="0" xfId="0" applyAlignment="1" applyFont="1">
      <alignment shrinkToFit="0" vertical="bottom" wrapText="0"/>
    </xf>
    <xf borderId="0" fillId="2" fontId="8" numFmtId="0" xfId="0" applyAlignment="1" applyFont="1">
      <alignment shrinkToFit="0" vertical="bottom" wrapText="0"/>
    </xf>
    <xf borderId="0" fillId="4" fontId="8" numFmtId="0" xfId="0" applyAlignment="1" applyFont="1">
      <alignment vertical="bottom"/>
    </xf>
    <xf borderId="0" fillId="4" fontId="8" numFmtId="0" xfId="0" applyAlignment="1" applyFont="1">
      <alignment shrinkToFit="0" vertical="bottom" wrapText="0"/>
    </xf>
    <xf borderId="0" fillId="17" fontId="24" numFmtId="172" xfId="0" applyAlignment="1" applyFill="1" applyFont="1" applyNumberFormat="1">
      <alignment readingOrder="0" shrinkToFit="0" vertical="bottom" wrapText="0"/>
    </xf>
    <xf borderId="0" fillId="17" fontId="24" numFmtId="0" xfId="0" applyAlignment="1" applyFont="1">
      <alignment readingOrder="0" shrinkToFit="0" vertical="bottom" wrapText="0"/>
    </xf>
    <xf borderId="0" fillId="17" fontId="24" numFmtId="0" xfId="0" applyAlignment="1" applyFont="1">
      <alignment horizontal="left" readingOrder="0"/>
    </xf>
    <xf borderId="0" fillId="17" fontId="24" numFmtId="0" xfId="0" applyAlignment="1" applyFont="1">
      <alignment horizontal="right" readingOrder="0" shrinkToFit="0" vertical="bottom" wrapText="0"/>
    </xf>
    <xf borderId="0" fillId="2" fontId="5" numFmtId="172" xfId="0" applyAlignment="1" applyFont="1" applyNumberFormat="1">
      <alignment horizontal="right" vertical="bottom"/>
    </xf>
    <xf borderId="0" fillId="2" fontId="5" numFmtId="21" xfId="0" applyAlignment="1" applyFont="1" applyNumberFormat="1">
      <alignment horizontal="right" vertical="bottom"/>
    </xf>
    <xf borderId="0" fillId="2" fontId="5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vertical="top"/>
    </xf>
    <xf borderId="0" fillId="0" fontId="8" numFmtId="0" xfId="0" applyAlignment="1" applyFont="1">
      <alignment horizontal="right" shrinkToFit="0" wrapText="1"/>
    </xf>
    <xf borderId="0" fillId="2" fontId="5" numFmtId="0" xfId="0" applyAlignment="1" applyFont="1">
      <alignment horizontal="left"/>
    </xf>
    <xf borderId="0" fillId="2" fontId="8" numFmtId="0" xfId="0" applyAlignment="1" applyFont="1">
      <alignment horizontal="center" readingOrder="0" shrinkToFit="0" wrapText="1"/>
    </xf>
    <xf borderId="0" fillId="18" fontId="7" numFmtId="0" xfId="0" applyAlignment="1" applyFill="1" applyFont="1">
      <alignment shrinkToFit="0" vertical="top" wrapText="1"/>
    </xf>
    <xf borderId="0" fillId="18" fontId="8" numFmtId="0" xfId="0" applyAlignment="1" applyFont="1">
      <alignment shrinkToFit="0" vertical="top" wrapText="1"/>
    </xf>
    <xf borderId="0" fillId="18" fontId="8" numFmtId="0" xfId="0" applyAlignment="1" applyFont="1">
      <alignment vertical="top"/>
    </xf>
    <xf borderId="0" fillId="18" fontId="8" numFmtId="0" xfId="0" applyAlignment="1" applyFont="1">
      <alignment horizontal="right"/>
    </xf>
    <xf borderId="0" fillId="19" fontId="8" numFmtId="0" xfId="0" applyAlignment="1" applyFill="1" applyFont="1">
      <alignment horizontal="center" readingOrder="0" shrinkToFit="0" wrapText="1"/>
    </xf>
    <xf borderId="0" fillId="19" fontId="8" numFmtId="0" xfId="0" applyAlignment="1" applyFont="1">
      <alignment horizontal="center" shrinkToFit="0" wrapText="1"/>
    </xf>
    <xf borderId="0" fillId="0" fontId="7" numFmtId="0" xfId="0" applyAlignment="1" applyFont="1">
      <alignment readingOrder="0" shrinkToFit="0" vertical="top" wrapText="1"/>
    </xf>
    <xf borderId="0" fillId="0" fontId="7" numFmtId="0" xfId="0" applyAlignment="1" applyFont="1">
      <alignment horizontal="right" shrinkToFit="0" vertical="top" wrapText="1"/>
    </xf>
    <xf borderId="0" fillId="0" fontId="8" numFmtId="0" xfId="0" applyFont="1"/>
    <xf borderId="0" fillId="2" fontId="8" numFmtId="0" xfId="0" applyAlignment="1" applyFont="1">
      <alignment horizontal="center" shrinkToFit="0" wrapText="1"/>
    </xf>
    <xf borderId="0" fillId="0" fontId="8" numFmtId="0" xfId="0" applyAlignment="1" applyFont="1">
      <alignment horizontal="right" shrinkToFit="0" vertical="top" wrapText="1"/>
    </xf>
    <xf borderId="0" fillId="2" fontId="8" numFmtId="0" xfId="0" applyAlignment="1" applyFont="1">
      <alignment readingOrder="0"/>
    </xf>
    <xf borderId="0" fillId="18" fontId="8" numFmtId="0" xfId="0" applyAlignment="1" applyFont="1">
      <alignment horizontal="right" shrinkToFit="0" vertical="top" wrapText="1"/>
    </xf>
    <xf borderId="0" fillId="2" fontId="5" numFmtId="172" xfId="0" applyAlignment="1" applyFont="1" applyNumberFormat="1">
      <alignment horizontal="center" vertical="bottom"/>
    </xf>
    <xf borderId="0" fillId="2" fontId="8" numFmtId="21" xfId="0" applyAlignment="1" applyFont="1" applyNumberForma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7" numFmtId="0" xfId="0" applyAlignment="1" applyFont="1">
      <alignment horizontal="right" shrinkToFit="0" vertical="bottom" wrapText="1"/>
    </xf>
    <xf borderId="0" fillId="0" fontId="8" numFmtId="0" xfId="0" applyAlignment="1" applyFont="1">
      <alignment vertical="bottom"/>
    </xf>
    <xf borderId="0" fillId="18" fontId="7" numFmtId="0" xfId="0" applyAlignment="1" applyFont="1">
      <alignment shrinkToFit="0" vertical="bottom" wrapText="1"/>
    </xf>
    <xf borderId="0" fillId="18" fontId="8" numFmtId="0" xfId="0" applyAlignment="1" applyFont="1">
      <alignment shrinkToFit="0" vertical="bottom" wrapText="1"/>
    </xf>
    <xf borderId="0" fillId="18" fontId="8" numFmtId="0" xfId="0" applyAlignment="1" applyFont="1">
      <alignment vertical="bottom"/>
    </xf>
    <xf borderId="0" fillId="2" fontId="8" numFmtId="0" xfId="0" applyFont="1"/>
    <xf borderId="0" fillId="18" fontId="8" numFmtId="0" xfId="0" applyAlignment="1" applyFont="1">
      <alignment horizontal="right" shrinkToFit="0" vertical="bottom" wrapText="1"/>
    </xf>
    <xf borderId="0" fillId="18" fontId="8" numFmtId="0" xfId="0" applyAlignment="1" applyFont="1">
      <alignment horizontal="center" shrinkToFit="0" wrapText="1"/>
    </xf>
    <xf borderId="0" fillId="0" fontId="8" numFmtId="0" xfId="0" applyAlignment="1" applyFont="1">
      <alignment horizontal="right" shrinkToFit="0" vertical="bottom" wrapText="1"/>
    </xf>
    <xf borderId="0" fillId="0" fontId="8" numFmtId="0" xfId="0" applyAlignment="1" applyFont="1">
      <alignment horizontal="right" vertical="bottom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2" fontId="7" numFmtId="0" xfId="0" applyAlignment="1" applyFont="1">
      <alignment readingOrder="0" vertical="bottom"/>
    </xf>
    <xf borderId="0" fillId="18" fontId="7" numFmtId="0" xfId="0" applyAlignment="1" applyFont="1">
      <alignment readingOrder="0" shrinkToFit="0" vertical="bottom" wrapText="1"/>
    </xf>
    <xf borderId="0" fillId="2" fontId="7" numFmtId="0" xfId="0" applyAlignment="1" applyFont="1">
      <alignment readingOrder="0" shrinkToFit="0" vertical="bottom" wrapText="0"/>
    </xf>
    <xf borderId="0" fillId="20" fontId="7" numFmtId="0" xfId="0" applyAlignment="1" applyFill="1" applyFont="1">
      <alignment horizontal="left" readingOrder="0"/>
    </xf>
    <xf borderId="0" fillId="2" fontId="7" numFmtId="172" xfId="0" applyAlignment="1" applyFont="1" applyNumberFormat="1">
      <alignment horizontal="right" readingOrder="0"/>
    </xf>
    <xf borderId="0" fillId="2" fontId="8" numFmtId="21" xfId="0" applyAlignment="1" applyFont="1" applyNumberFormat="1">
      <alignment readingOrder="0" vertical="bottom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vertical="bottom"/>
    </xf>
    <xf borderId="0" fillId="2" fontId="5" numFmtId="172" xfId="0" applyAlignment="1" applyFont="1" applyNumberFormat="1">
      <alignment horizontal="right" readingOrder="0" vertical="bottom"/>
    </xf>
    <xf borderId="0" fillId="2" fontId="5" numFmtId="21" xfId="0" applyAlignment="1" applyFont="1" applyNumberFormat="1">
      <alignment horizontal="right" readingOrder="0" vertical="bottom"/>
    </xf>
    <xf borderId="0" fillId="0" fontId="8" numFmtId="0" xfId="0" applyAlignment="1" applyFont="1">
      <alignment horizontal="right" vertical="bottom"/>
    </xf>
    <xf borderId="0" fillId="2" fontId="5" numFmtId="166" xfId="0" applyAlignment="1" applyFont="1" applyNumberFormat="1">
      <alignment horizontal="right" readingOrder="0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quotePrefix="1" borderId="0" fillId="0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2" fontId="5" numFmtId="0" xfId="0" applyAlignment="1" applyFont="1">
      <alignment horizontal="right" readingOrder="0" vertical="bottom"/>
    </xf>
    <xf borderId="0" fillId="2" fontId="5" numFmtId="167" xfId="0" applyAlignment="1" applyFont="1" applyNumberFormat="1">
      <alignment horizontal="right" readingOrder="0" vertical="bottom"/>
    </xf>
    <xf borderId="0" fillId="21" fontId="27" numFmtId="170" xfId="0" applyAlignment="1" applyFill="1" applyFont="1" applyNumberFormat="1">
      <alignment horizontal="left" readingOrder="0" shrinkToFit="0" vertical="bottom" wrapText="0"/>
    </xf>
    <xf borderId="0" fillId="21" fontId="27" numFmtId="46" xfId="0" applyAlignment="1" applyFont="1" applyNumberFormat="1">
      <alignment horizontal="left" readingOrder="0" shrinkToFit="0" vertical="bottom" wrapText="0"/>
    </xf>
    <xf borderId="0" fillId="21" fontId="27" numFmtId="0" xfId="0" applyAlignment="1" applyFont="1">
      <alignment horizontal="right" readingOrder="0" shrinkToFit="0" vertical="bottom" wrapText="0"/>
    </xf>
    <xf borderId="0" fillId="21" fontId="27" numFmtId="0" xfId="0" applyAlignment="1" applyFont="1">
      <alignment horizontal="left" readingOrder="0" shrinkToFit="0" vertical="bottom" wrapText="0"/>
    </xf>
    <xf borderId="0" fillId="21" fontId="27" numFmtId="0" xfId="0" applyAlignment="1" applyFont="1">
      <alignment horizontal="center" readingOrder="0" shrinkToFit="0" vertical="bottom" wrapText="0"/>
    </xf>
    <xf borderId="0" fillId="22" fontId="27" numFmtId="0" xfId="0" applyAlignment="1" applyFill="1" applyFont="1">
      <alignment horizontal="left" readingOrder="0" shrinkToFit="0" vertical="bottom" wrapText="0"/>
    </xf>
    <xf borderId="0" fillId="2" fontId="10" numFmtId="172" xfId="0" applyAlignment="1" applyFont="1" applyNumberFormat="1">
      <alignment horizontal="left" vertical="bottom"/>
    </xf>
    <xf borderId="0" fillId="2" fontId="10" numFmtId="21" xfId="0" applyAlignment="1" applyFont="1" applyNumberFormat="1">
      <alignment horizontal="left" vertical="bottom"/>
    </xf>
    <xf borderId="0" fillId="2" fontId="10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horizontal="left" readingOrder="0" shrinkToFit="0" vertical="bottom" wrapText="0"/>
    </xf>
    <xf borderId="0" fillId="2" fontId="7" numFmtId="0" xfId="0" applyAlignment="1" applyFont="1">
      <alignment horizontal="left" readingOrder="0" shrinkToFit="0" vertical="bottom" wrapText="0"/>
    </xf>
    <xf borderId="0" fillId="2" fontId="7" numFmtId="0" xfId="0" applyAlignment="1" applyFont="1">
      <alignment horizontal="right" readingOrder="0" shrinkToFit="0" vertical="bottom" wrapText="0"/>
    </xf>
    <xf borderId="0" fillId="2" fontId="7" numFmtId="0" xfId="0" applyAlignment="1" applyFont="1">
      <alignment horizontal="left" shrinkToFit="0" vertical="bottom" wrapText="0"/>
    </xf>
    <xf borderId="0" fillId="20" fontId="10" numFmtId="172" xfId="0" applyAlignment="1" applyFont="1" applyNumberFormat="1">
      <alignment horizontal="left" vertical="bottom"/>
    </xf>
    <xf borderId="0" fillId="20" fontId="10" numFmtId="21" xfId="0" applyAlignment="1" applyFont="1" applyNumberFormat="1">
      <alignment horizontal="left" vertical="bottom"/>
    </xf>
    <xf borderId="0" fillId="20" fontId="10" numFmtId="0" xfId="0" applyAlignment="1" applyFont="1">
      <alignment horizontal="right" readingOrder="0" shrinkToFit="0" vertical="bottom" wrapText="0"/>
    </xf>
    <xf borderId="0" fillId="20" fontId="7" numFmtId="0" xfId="0" applyAlignment="1" applyFont="1">
      <alignment horizontal="left" readingOrder="0" shrinkToFit="0" vertical="bottom" wrapText="0"/>
    </xf>
    <xf borderId="0" fillId="20" fontId="10" numFmtId="0" xfId="0" applyAlignment="1" applyFont="1">
      <alignment horizontal="left" readingOrder="0" shrinkToFit="0" vertical="bottom" wrapText="0"/>
    </xf>
    <xf borderId="0" fillId="20" fontId="7" numFmtId="0" xfId="0" applyAlignment="1" applyFont="1">
      <alignment horizontal="left" readingOrder="0" shrinkToFit="0" vertical="bottom" wrapText="0"/>
    </xf>
    <xf borderId="0" fillId="20" fontId="7" numFmtId="0" xfId="0" applyAlignment="1" applyFont="1">
      <alignment horizontal="right" readingOrder="0" shrinkToFit="0" vertical="bottom" wrapText="0"/>
    </xf>
    <xf borderId="0" fillId="20" fontId="7" numFmtId="0" xfId="0" applyAlignment="1" applyFont="1">
      <alignment horizontal="left" shrinkToFit="0" vertical="bottom" wrapText="0"/>
    </xf>
    <xf borderId="0" fillId="20" fontId="8" numFmtId="21" xfId="0" applyAlignment="1" applyFont="1" applyNumberFormat="1">
      <alignment horizontal="left" vertical="bottom"/>
    </xf>
    <xf borderId="0" fillId="2" fontId="8" numFmtId="21" xfId="0" applyAlignment="1" applyFont="1" applyNumberFormat="1">
      <alignment horizontal="left" vertical="bottom"/>
    </xf>
    <xf borderId="0" fillId="2" fontId="10" numFmtId="0" xfId="0" applyAlignment="1" applyFont="1">
      <alignment horizontal="left" shrinkToFit="0" wrapText="1"/>
    </xf>
    <xf borderId="0" fillId="2" fontId="10" numFmtId="0" xfId="0" applyAlignment="1" applyFont="1">
      <alignment horizontal="left" readingOrder="0" shrinkToFit="0" wrapText="1"/>
    </xf>
    <xf borderId="0" fillId="2" fontId="28" numFmtId="0" xfId="0" applyAlignment="1" applyFont="1">
      <alignment horizontal="left" shrinkToFit="0" wrapText="1"/>
    </xf>
    <xf borderId="0" fillId="2" fontId="10" numFmtId="0" xfId="0" applyAlignment="1" applyFont="1">
      <alignment horizontal="right" shrinkToFit="0" wrapText="1"/>
    </xf>
    <xf borderId="0" fillId="2" fontId="10" numFmtId="1" xfId="0" applyAlignment="1" applyFont="1" applyNumberFormat="1">
      <alignment horizontal="right" shrinkToFit="0" wrapText="1"/>
    </xf>
    <xf borderId="0" fillId="2" fontId="29" numFmtId="0" xfId="0" applyAlignment="1" applyFont="1">
      <alignment horizontal="left" vertical="bottom"/>
    </xf>
    <xf borderId="0" fillId="2" fontId="30" numFmtId="0" xfId="0" applyAlignment="1" applyFont="1">
      <alignment horizontal="left" readingOrder="0"/>
    </xf>
    <xf borderId="0" fillId="20" fontId="10" numFmtId="0" xfId="0" applyAlignment="1" applyFont="1">
      <alignment horizontal="left" shrinkToFit="0" wrapText="1"/>
    </xf>
    <xf borderId="0" fillId="20" fontId="10" numFmtId="0" xfId="0" applyAlignment="1" applyFont="1">
      <alignment horizontal="left" readingOrder="0" shrinkToFit="0" wrapText="1"/>
    </xf>
    <xf borderId="0" fillId="20" fontId="10" numFmtId="0" xfId="0" applyAlignment="1" applyFont="1">
      <alignment horizontal="right" shrinkToFit="0" wrapText="1"/>
    </xf>
    <xf borderId="0" fillId="20" fontId="10" numFmtId="1" xfId="0" applyAlignment="1" applyFont="1" applyNumberFormat="1">
      <alignment horizontal="right" shrinkToFit="0" wrapText="1"/>
    </xf>
    <xf borderId="0" fillId="20" fontId="29" numFmtId="0" xfId="0" applyAlignment="1" applyFont="1">
      <alignment horizontal="left" vertical="bottom"/>
    </xf>
    <xf borderId="0" fillId="20" fontId="30" numFmtId="0" xfId="0" applyAlignment="1" applyFont="1">
      <alignment horizontal="left" readingOrder="0"/>
    </xf>
    <xf borderId="0" fillId="2" fontId="29" numFmtId="0" xfId="0" applyAlignment="1" applyFont="1">
      <alignment horizontal="left"/>
    </xf>
    <xf borderId="0" fillId="20" fontId="29" numFmtId="0" xfId="0" applyAlignment="1" applyFont="1">
      <alignment horizontal="left"/>
    </xf>
    <xf borderId="0" fillId="2" fontId="29" numFmtId="0" xfId="0" applyAlignment="1" applyFont="1">
      <alignment horizontal="left" readingOrder="0"/>
    </xf>
    <xf borderId="0" fillId="20" fontId="2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0" fontId="10" numFmtId="0" xfId="0" applyAlignment="1" applyFont="1">
      <alignment horizontal="left"/>
    </xf>
    <xf borderId="0" fillId="20" fontId="10" numFmtId="1" xfId="0" applyAlignment="1" applyFont="1" applyNumberFormat="1">
      <alignment horizontal="right"/>
    </xf>
    <xf borderId="0" fillId="2" fontId="10" numFmtId="1" xfId="0" applyAlignment="1" applyFont="1" applyNumberFormat="1">
      <alignment horizontal="right"/>
    </xf>
    <xf borderId="0" fillId="20" fontId="31" numFmtId="0" xfId="0" applyAlignment="1" applyFont="1">
      <alignment horizontal="left" shrinkToFit="0" wrapText="1"/>
    </xf>
    <xf borderId="0" fillId="2" fontId="10" numFmtId="0" xfId="0" applyAlignment="1" applyFont="1">
      <alignment horizontal="left"/>
    </xf>
    <xf borderId="0" fillId="2" fontId="31" numFmtId="0" xfId="0" applyAlignment="1" applyFont="1">
      <alignment horizontal="left" shrinkToFit="0" wrapText="1"/>
    </xf>
    <xf borderId="0" fillId="20" fontId="10" numFmtId="0" xfId="0" applyAlignment="1" applyFont="1">
      <alignment horizontal="left" readingOrder="0"/>
    </xf>
    <xf borderId="0" fillId="20" fontId="10" numFmtId="0" xfId="0" applyAlignment="1" applyFont="1">
      <alignment horizontal="right"/>
    </xf>
    <xf borderId="0" fillId="2" fontId="10" numFmtId="0" xfId="0" applyAlignment="1" applyFont="1">
      <alignment horizontal="right"/>
    </xf>
    <xf borderId="0" fillId="2" fontId="32" numFmtId="0" xfId="0" applyAlignment="1" applyFont="1">
      <alignment horizontal="left" vertical="bottom"/>
    </xf>
    <xf borderId="0" fillId="2" fontId="29" numFmtId="0" xfId="0" applyAlignment="1" applyFont="1">
      <alignment horizontal="right" vertical="bottom"/>
    </xf>
    <xf borderId="0" fillId="2" fontId="29" numFmtId="0" xfId="0" applyAlignment="1" applyFont="1">
      <alignment horizontal="left" readingOrder="0" vertical="bottom"/>
    </xf>
    <xf borderId="0" fillId="20" fontId="8" numFmtId="172" xfId="0" applyAlignment="1" applyFont="1" applyNumberFormat="1">
      <alignment horizontal="right" vertical="bottom"/>
    </xf>
    <xf borderId="0" fillId="20" fontId="8" numFmtId="169" xfId="0" applyAlignment="1" applyFont="1" applyNumberFormat="1">
      <alignment horizontal="right" vertical="bottom"/>
    </xf>
    <xf borderId="0" fillId="20" fontId="29" numFmtId="0" xfId="0" applyAlignment="1" applyFont="1">
      <alignment horizontal="left" shrinkToFit="0" vertical="bottom" wrapText="1"/>
    </xf>
    <xf borderId="0" fillId="20" fontId="29" numFmtId="0" xfId="0" applyAlignment="1" applyFont="1">
      <alignment horizontal="right" vertical="bottom"/>
    </xf>
    <xf borderId="0" fillId="20" fontId="29" numFmtId="1" xfId="0" applyAlignment="1" applyFont="1" applyNumberFormat="1">
      <alignment horizontal="right" vertical="bottom"/>
    </xf>
    <xf borderId="0" fillId="20" fontId="29" numFmtId="0" xfId="0" applyAlignment="1" applyFont="1">
      <alignment horizontal="left" readingOrder="0" vertical="bottom"/>
    </xf>
    <xf borderId="0" fillId="2" fontId="29" numFmtId="0" xfId="0" applyAlignment="1" applyFont="1">
      <alignment horizontal="left" shrinkToFit="0" vertical="bottom" wrapText="1"/>
    </xf>
    <xf borderId="0" fillId="2" fontId="29" numFmtId="1" xfId="0" applyAlignment="1" applyFont="1" applyNumberFormat="1">
      <alignment horizontal="right" vertical="bottom"/>
    </xf>
    <xf borderId="0" fillId="2" fontId="29" numFmtId="0" xfId="0" applyAlignment="1" applyFont="1">
      <alignment horizontal="left" shrinkToFit="0" vertical="bottom" wrapText="0"/>
    </xf>
    <xf borderId="0" fillId="20" fontId="33" numFmtId="0" xfId="0" applyAlignment="1" applyFont="1">
      <alignment horizontal="left" vertical="bottom"/>
    </xf>
    <xf borderId="0" fillId="20" fontId="29" numFmtId="0" xfId="0" applyAlignment="1" applyFont="1">
      <alignment horizontal="left" readingOrder="0" shrinkToFit="0" vertical="bottom" wrapText="1"/>
    </xf>
    <xf borderId="0" fillId="20" fontId="29" numFmtId="0" xfId="0" applyAlignment="1" applyFont="1">
      <alignment horizontal="right" readingOrder="0" vertical="bottom"/>
    </xf>
    <xf borderId="0" fillId="2" fontId="8" numFmtId="172" xfId="0" applyAlignment="1" applyFont="1" applyNumberFormat="1">
      <alignment horizontal="right" vertical="bottom"/>
    </xf>
    <xf borderId="0" fillId="2" fontId="8" numFmtId="169" xfId="0" applyAlignment="1" applyFont="1" applyNumberFormat="1">
      <alignment horizontal="right" vertical="bottom"/>
    </xf>
    <xf borderId="0" fillId="2" fontId="8" numFmtId="0" xfId="0" applyAlignment="1" applyFont="1">
      <alignment vertical="bottom"/>
    </xf>
    <xf borderId="0" fillId="2" fontId="8" numFmtId="0" xfId="0" applyAlignment="1" applyFont="1">
      <alignment horizontal="right" vertical="bottom"/>
    </xf>
    <xf borderId="0" fillId="20" fontId="8" numFmtId="0" xfId="0" applyAlignment="1" applyFont="1">
      <alignment vertical="bottom"/>
    </xf>
    <xf borderId="0" fillId="20" fontId="8" numFmtId="0" xfId="0" applyAlignment="1" applyFont="1">
      <alignment horizontal="right" vertical="bottom"/>
    </xf>
    <xf borderId="0" fillId="20" fontId="8" numFmtId="0" xfId="0" applyAlignment="1" applyFont="1">
      <alignment readingOrder="0"/>
    </xf>
    <xf borderId="0" fillId="20" fontId="8" numFmtId="166" xfId="0" applyAlignment="1" applyFont="1" applyNumberFormat="1">
      <alignment horizontal="right" vertical="bottom"/>
    </xf>
    <xf borderId="0" fillId="20" fontId="8" numFmtId="21" xfId="0" applyAlignment="1" applyFont="1" applyNumberFormat="1">
      <alignment horizontal="right" vertical="bottom"/>
    </xf>
    <xf borderId="0" fillId="20" fontId="8" numFmtId="0" xfId="0" applyAlignment="1" applyFont="1">
      <alignment readingOrder="0" vertical="bottom"/>
    </xf>
    <xf borderId="0" fillId="20" fontId="8" numFmtId="0" xfId="0" applyAlignment="1" applyFont="1">
      <alignment horizontal="right" readingOrder="0" vertical="bottom"/>
    </xf>
    <xf borderId="0" fillId="2" fontId="8" numFmtId="166" xfId="0" applyAlignment="1" applyFont="1" applyNumberFormat="1">
      <alignment horizontal="right" vertical="bottom"/>
    </xf>
    <xf borderId="0" fillId="2" fontId="8" numFmtId="21" xfId="0" applyAlignment="1" applyFont="1" applyNumberFormat="1">
      <alignment horizontal="right" vertical="bottom"/>
    </xf>
    <xf borderId="0" fillId="2" fontId="8" numFmtId="0" xfId="0" applyAlignment="1" applyFont="1">
      <alignment readingOrder="0" vertical="bottom"/>
    </xf>
    <xf borderId="0" fillId="2" fontId="8" numFmtId="0" xfId="0" applyAlignment="1" applyFont="1">
      <alignment horizontal="right" readingOrder="0" vertical="bottom"/>
    </xf>
    <xf borderId="0" fillId="2" fontId="8" numFmtId="166" xfId="0" applyAlignment="1" applyFont="1" applyNumberFormat="1">
      <alignment horizontal="right" readingOrder="0" vertical="bottom"/>
    </xf>
    <xf borderId="0" fillId="2" fontId="8" numFmtId="21" xfId="0" applyAlignment="1" applyFont="1" applyNumberFormat="1">
      <alignment horizontal="right" readingOrder="0" vertical="bottom"/>
    </xf>
    <xf borderId="0" fillId="20" fontId="8" numFmtId="166" xfId="0" applyAlignment="1" applyFont="1" applyNumberFormat="1">
      <alignment horizontal="right" readingOrder="0" vertical="bottom"/>
    </xf>
    <xf borderId="0" fillId="20" fontId="8" numFmtId="21" xfId="0" applyAlignment="1" applyFont="1" applyNumberFormat="1">
      <alignment horizontal="right" readingOrder="0" vertical="bottom"/>
    </xf>
    <xf borderId="0" fillId="2" fontId="8" numFmtId="167" xfId="0" applyAlignment="1" applyFont="1" applyNumberFormat="1">
      <alignment horizontal="right" readingOrder="0" vertical="bottom"/>
    </xf>
    <xf borderId="0" fillId="20" fontId="8" numFmtId="167" xfId="0" applyAlignment="1" applyFont="1" applyNumberFormat="1">
      <alignment horizontal="right" readingOrder="0" vertical="bottom"/>
    </xf>
  </cellXfs>
  <cellStyles count="1">
    <cellStyle xfId="0" name="Normal" builtinId="0"/>
  </cellStyles>
  <dxfs count="7">
    <dxf>
      <font/>
      <fill>
        <patternFill patternType="solid">
          <fgColor rgb="FF00B050"/>
          <bgColor rgb="FF00B05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">
    <tableStyle count="3" pivot="0" name="Makers_BD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60" displayName="Table_1" id="1">
  <tableColumns count="26">
    <tableColumn name="Data" id="1"/>
    <tableColumn name="Hora" id="2"/>
    <tableColumn name="Maker nº " id="3"/>
    <tableColumn name="Maker" id="4"/>
    <tableColumn name="E-mail" id="5"/>
    <tableColumn name="Telefone" id="6"/>
    <tableColumn name="Nº de máquinas" id="7"/>
    <tableColumn name="Modelo das máquinas" id="8"/>
    <tableColumn name="Observações" id="9"/>
    <tableColumn name="Materiais - Impressão" id="10"/>
    <tableColumn name="País" id="11"/>
    <tableColumn name="Estado" id="12"/>
    <tableColumn name="Região" id="13"/>
    <tableColumn name="Cidade" id="14"/>
    <tableColumn name="Bairro" id="15"/>
    <tableColumn name="Endereço" id="16"/>
    <tableColumn name="CEP" id="17"/>
    <tableColumn name="# Protetores" id="18"/>
    <tableColumn name="# Máscaras" id="19"/>
    <tableColumn name="# Suportes" id="20"/>
    <tableColumn name="# Óculos" id="21"/>
    <tableColumn name="#  PLA" id="22"/>
    <tableColumn name="# ABS" id="23"/>
    <tableColumn name="# PETG" id="24"/>
    <tableColumn name="# ACETATO" id="25"/>
    <tableColumn name="LAT/LON" id="26"/>
  </tableColumns>
  <tableStyleInfo name="Makers_B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1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39.0" customHeight="1">
      <c r="A1" s="1" t="s">
        <v>0</v>
      </c>
    </row>
    <row r="2" ht="39.0" customHeight="1">
      <c r="A2" s="2" t="s">
        <v>1</v>
      </c>
    </row>
    <row r="3" ht="39.0" customHeight="1"/>
    <row r="4" ht="39.0" customHeight="1"/>
    <row r="5" ht="39.0" customHeight="1"/>
    <row r="6" ht="39.0" customHeight="1"/>
    <row r="7" ht="39.0" customHeight="1"/>
    <row r="8" ht="39.0" customHeight="1"/>
    <row r="9" ht="39.0" customHeight="1"/>
    <row r="10" ht="39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3.86"/>
    <col customWidth="1" min="4" max="4" width="49.29"/>
    <col customWidth="1" min="5" max="5" width="23.43"/>
    <col customWidth="1" min="6" max="6" width="16.43"/>
    <col customWidth="1" min="7" max="7" width="22.0"/>
    <col customWidth="1" min="8" max="8" width="31.14"/>
    <col customWidth="1" min="9" max="9" width="11.0"/>
    <col customWidth="1" min="12" max="12" width="21.0"/>
    <col customWidth="1" min="13" max="13" width="31.29"/>
    <col customWidth="1" min="14" max="31" width="9.43"/>
    <col customWidth="1" min="32" max="32" width="29.86"/>
    <col customWidth="1" min="33" max="35" width="11.71"/>
  </cols>
  <sheetData>
    <row r="1" ht="27.0" customHeight="1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6" t="s">
        <v>10</v>
      </c>
      <c r="J1" s="5" t="s">
        <v>11</v>
      </c>
      <c r="K1" s="5" t="s">
        <v>12</v>
      </c>
      <c r="L1" s="4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</row>
    <row r="2" ht="19.5" customHeight="1">
      <c r="A2" s="7"/>
      <c r="B2" s="8"/>
      <c r="C2" s="9">
        <f t="array" ref="C2:C433">ROW(A2:A433)-1</f>
        <v>1</v>
      </c>
      <c r="D2" s="10" t="s">
        <v>37</v>
      </c>
      <c r="E2" s="10" t="s">
        <v>38</v>
      </c>
      <c r="F2" s="10" t="s">
        <v>39</v>
      </c>
      <c r="G2" s="10" t="s">
        <v>39</v>
      </c>
      <c r="H2" s="9" t="s">
        <v>40</v>
      </c>
      <c r="I2" s="11" t="s">
        <v>41</v>
      </c>
      <c r="J2" s="12"/>
      <c r="K2" s="12"/>
      <c r="L2" s="13"/>
      <c r="M2" s="14"/>
      <c r="N2" s="9">
        <f>IFERROR(__xludf.DUMMYFUNCTION("SUM(QUERY(Entregas_BD!D:L,""select G where D='""&amp;D2&amp;""'"",1))"),0.0)</f>
        <v>0</v>
      </c>
      <c r="O2" s="9">
        <f>IFERROR(__xludf.DUMMYFUNCTION("SUM(QUERY(Entregas_BD!D:L,""select H where D='""&amp;D2&amp;""'"",1))"),0.0)</f>
        <v>0</v>
      </c>
      <c r="P2" s="9">
        <f>IFERROR(__xludf.DUMMYFUNCTION("SUM(QUERY(Entregas_BD!D:L,""select I where D='""&amp;D2&amp;""'"",1))"),0.0)</f>
        <v>0</v>
      </c>
      <c r="Q2" s="9">
        <f>IFERROR(__xludf.DUMMYFUNCTION("SUM(QUERY(Entregas_BD!D:L,""select J where D='""&amp;D2&amp;""'"",1))"),0.0)</f>
        <v>0</v>
      </c>
      <c r="R2" s="15">
        <f>IFERROR(__xludf.DUMMYFUNCTION("SUM(QUERY(Entregas_BD!D:L,""select K where D='""&amp;D2&amp;""'"",1))"),0.0)</f>
        <v>0</v>
      </c>
      <c r="S2" s="15">
        <f>IFERROR(__xludf.DUMMYFUNCTION("SUM(QUERY(Entregas_BD!D:L,""select L where D='""&amp;D2&amp;""'"",1))"),0.0)</f>
        <v>0</v>
      </c>
      <c r="T2" s="9">
        <f>IFERROR(__xludf.DUMMYFUNCTION("SUM(QUERY(Entregas_BD!D:AL,""select AG where D='""&amp;D2&amp;""'"",1))"),0.0)</f>
        <v>0</v>
      </c>
      <c r="U2" s="9">
        <f>IFERROR(__xludf.DUMMYFUNCTION("SUM(QUERY(Entregas_BD!D:AL,""select AH where D='""&amp;D2&amp;""'"",1))"),0.0)</f>
        <v>0</v>
      </c>
      <c r="V2" s="9">
        <f>IFERROR(__xludf.DUMMYFUNCTION("SUM(QUERY(Entregas_BD!D:AL,""select AI where D='""&amp;D2&amp;""'"",1))"),0.0)</f>
        <v>0</v>
      </c>
      <c r="W2" s="9">
        <f>IFERROR(__xludf.DUMMYFUNCTION("SUM(QUERY(Entregas_BD!D:AL,""select AJ where D='""&amp;D2&amp;""'"",1))"),0.0)</f>
        <v>0</v>
      </c>
      <c r="X2" s="9">
        <f>IFERROR(__xludf.DUMMYFUNCTION("SUM(QUERY(Entregas_BD!D:AL,""select AL where D='""&amp;D2&amp;""'"",1))"),0.0)</f>
        <v>0</v>
      </c>
      <c r="Y2" s="9">
        <f>IFERROR(__xludf.DUMMYFUNCTION("SUM(QUERY(Entregas_BD!D:AL,""select AK where D='""&amp;D2&amp;""'"",1))"),0.0)</f>
        <v>0</v>
      </c>
      <c r="Z2" s="9">
        <f t="array" ref="Z2:Z433">N2:N433-T2:T433</f>
        <v>0</v>
      </c>
      <c r="AA2" s="9">
        <f t="array" ref="AA2:AA433">O2:O433-U2:U433</f>
        <v>0</v>
      </c>
      <c r="AB2" s="9">
        <f t="array" ref="AB2:AB433">P2:P433-V2:V433</f>
        <v>0</v>
      </c>
      <c r="AC2" s="9">
        <f t="array" ref="AC2:AC433">Q2:Q433-W2:W433</f>
        <v>0</v>
      </c>
      <c r="AD2" s="9">
        <f t="array" ref="AD2:AD433">R2:R433-Y2:Y433</f>
        <v>0</v>
      </c>
      <c r="AE2" s="9">
        <f t="array" ref="AE2:AE433">S2:S433-X2:X433</f>
        <v>0</v>
      </c>
      <c r="AF2" s="16" t="s">
        <v>42</v>
      </c>
      <c r="AG2" s="15">
        <f>IFERROR(__xludf.DUMMYFUNCTION("SUM(QUERY(Entregas_BD!D:W,""select U where D='""&amp;D2&amp;""'"",1))"),0.0)</f>
        <v>0</v>
      </c>
      <c r="AH2" s="15">
        <f>IFERROR(__xludf.DUMMYFUNCTION("SUM(QUERY(Entregas_BD!D:W,""select S where D='""&amp;D2&amp;""'"",1))"),0.0)</f>
        <v>0</v>
      </c>
      <c r="AI2" s="15">
        <f>IFERROR(__xludf.DUMMYFUNCTION("SUM(QUERY(Entregas_BD!D:W,""select T where D='""&amp;D2&amp;""'"",1))"),0.0)</f>
        <v>0</v>
      </c>
    </row>
    <row r="3" ht="19.5" customHeight="1">
      <c r="A3" s="17"/>
      <c r="B3" s="18"/>
      <c r="C3" s="19">
        <v>2.0</v>
      </c>
      <c r="D3" s="20" t="s">
        <v>43</v>
      </c>
      <c r="E3" s="20" t="s">
        <v>44</v>
      </c>
      <c r="F3" s="20" t="s">
        <v>45</v>
      </c>
      <c r="G3" s="20" t="s">
        <v>46</v>
      </c>
      <c r="H3" s="19" t="s">
        <v>40</v>
      </c>
      <c r="I3" s="21" t="s">
        <v>47</v>
      </c>
      <c r="J3" s="19"/>
      <c r="K3" s="22"/>
      <c r="L3" s="23"/>
      <c r="M3" s="22"/>
      <c r="N3" s="19">
        <f>IFERROR(__xludf.DUMMYFUNCTION("SUM(QUERY(Entregas_BD!D:L,""select G where D='""&amp;D3&amp;""'"",1))"),0.0)</f>
        <v>0</v>
      </c>
      <c r="O3" s="19">
        <f>IFERROR(__xludf.DUMMYFUNCTION("SUM(QUERY(Entregas_BD!D:L,""select H where D='""&amp;D3&amp;""'"",1))"),0.0)</f>
        <v>0</v>
      </c>
      <c r="P3" s="19">
        <f>IFERROR(__xludf.DUMMYFUNCTION("SUM(QUERY(Entregas_BD!D:L,""select I where D='""&amp;D3&amp;""'"",1))"),0.0)</f>
        <v>0</v>
      </c>
      <c r="Q3" s="19">
        <f>IFERROR(__xludf.DUMMYFUNCTION("SUM(QUERY(Entregas_BD!D:L,""select J where D='""&amp;D3&amp;""'"",1))"),0.0)</f>
        <v>0</v>
      </c>
      <c r="R3" s="24">
        <f>IFERROR(__xludf.DUMMYFUNCTION("SUM(QUERY(Entregas_BD!D:L,""select K where D='""&amp;D3&amp;""'"",1))"),0.0)</f>
        <v>0</v>
      </c>
      <c r="S3" s="24">
        <f>IFERROR(__xludf.DUMMYFUNCTION("SUM(QUERY(Entregas_BD!D:L,""select L where D='""&amp;D3&amp;""'"",1))"),0.0)</f>
        <v>0</v>
      </c>
      <c r="T3" s="19">
        <f>IFERROR(__xludf.DUMMYFUNCTION("SUM(QUERY(Entregas_BD!D:AL,""select AG where D='""&amp;D3&amp;""'"",1))"),0.0)</f>
        <v>0</v>
      </c>
      <c r="U3" s="19">
        <f>IFERROR(__xludf.DUMMYFUNCTION("SUM(QUERY(Entregas_BD!D:AL,""select AH where D='""&amp;D3&amp;""'"",1))"),0.0)</f>
        <v>0</v>
      </c>
      <c r="V3" s="19">
        <f>IFERROR(__xludf.DUMMYFUNCTION("SUM(QUERY(Entregas_BD!D:AL,""select AI where D='""&amp;D3&amp;""'"",1))"),0.0)</f>
        <v>0</v>
      </c>
      <c r="W3" s="19">
        <f>IFERROR(__xludf.DUMMYFUNCTION("SUM(QUERY(Entregas_BD!D:AL,""select AJ where D='""&amp;D3&amp;""'"",1))"),0.0)</f>
        <v>0</v>
      </c>
      <c r="X3" s="19">
        <f>IFERROR(__xludf.DUMMYFUNCTION("SUM(QUERY(Entregas_BD!D:AL,""select AL where D='""&amp;D3&amp;""'"",1))"),0.0)</f>
        <v>0</v>
      </c>
      <c r="Y3" s="19">
        <f>IFERROR(__xludf.DUMMYFUNCTION("SUM(QUERY(Entregas_BD!D:AL,""select AK where D='""&amp;D3&amp;""'"",1))"),0.0)</f>
        <v>0</v>
      </c>
      <c r="Z3" s="19">
        <v>0.0</v>
      </c>
      <c r="AA3" s="19">
        <v>0.0</v>
      </c>
      <c r="AB3" s="19">
        <v>0.0</v>
      </c>
      <c r="AC3" s="19">
        <v>0.0</v>
      </c>
      <c r="AD3" s="19">
        <v>0.0</v>
      </c>
      <c r="AE3" s="19">
        <v>0.0</v>
      </c>
      <c r="AF3" s="25" t="s">
        <v>48</v>
      </c>
      <c r="AG3" s="24">
        <f>IFERROR(__xludf.DUMMYFUNCTION("SUM(QUERY(Entregas_BD!D:W,""select U where D='""&amp;D3&amp;""'"",1))"),0.0)</f>
        <v>0</v>
      </c>
      <c r="AH3" s="24">
        <f>IFERROR(__xludf.DUMMYFUNCTION("SUM(QUERY(Entregas_BD!D:W,""select S where D='""&amp;D3&amp;""'"",1))"),0.0)</f>
        <v>0</v>
      </c>
      <c r="AI3" s="24">
        <f>IFERROR(__xludf.DUMMYFUNCTION("SUM(QUERY(Entregas_BD!D:W,""select T where D='""&amp;D3&amp;""'"",1))"),0.0)</f>
        <v>0</v>
      </c>
    </row>
    <row r="4" ht="19.5" customHeight="1">
      <c r="A4" s="26"/>
      <c r="B4" s="27"/>
      <c r="C4" s="9">
        <v>3.0</v>
      </c>
      <c r="D4" s="10" t="s">
        <v>49</v>
      </c>
      <c r="E4" s="10" t="s">
        <v>44</v>
      </c>
      <c r="F4" s="10" t="s">
        <v>45</v>
      </c>
      <c r="G4" s="10" t="s">
        <v>50</v>
      </c>
      <c r="H4" s="9" t="s">
        <v>51</v>
      </c>
      <c r="I4" s="11" t="s">
        <v>47</v>
      </c>
      <c r="J4" s="9"/>
      <c r="K4" s="12"/>
      <c r="L4" s="13"/>
      <c r="M4" s="12"/>
      <c r="N4" s="9">
        <f>IFERROR(__xludf.DUMMYFUNCTION("SUM(QUERY(Entregas_BD!D:L,""select G where D='""&amp;D4&amp;""'"",1))"),0.0)</f>
        <v>0</v>
      </c>
      <c r="O4" s="9">
        <f>IFERROR(__xludf.DUMMYFUNCTION("SUM(QUERY(Entregas_BD!D:L,""select H where D='""&amp;D4&amp;""'"",1))"),0.0)</f>
        <v>0</v>
      </c>
      <c r="P4" s="9">
        <f>IFERROR(__xludf.DUMMYFUNCTION("SUM(QUERY(Entregas_BD!D:L,""select I where D='""&amp;D4&amp;""'"",1))"),0.0)</f>
        <v>0</v>
      </c>
      <c r="Q4" s="9">
        <f>IFERROR(__xludf.DUMMYFUNCTION("SUM(QUERY(Entregas_BD!D:L,""select J where D='""&amp;D4&amp;""'"",1))"),0.0)</f>
        <v>0</v>
      </c>
      <c r="R4" s="15">
        <f>IFERROR(__xludf.DUMMYFUNCTION("SUM(QUERY(Entregas_BD!D:L,""select K where D='""&amp;D4&amp;""'"",1))"),0.0)</f>
        <v>0</v>
      </c>
      <c r="S4" s="15">
        <f>IFERROR(__xludf.DUMMYFUNCTION("SUM(QUERY(Entregas_BD!D:L,""select L where D='""&amp;D4&amp;""'"",1))"),0.0)</f>
        <v>0</v>
      </c>
      <c r="T4" s="9">
        <f>IFERROR(__xludf.DUMMYFUNCTION("SUM(QUERY(Entregas_BD!D:AL,""select AG where D='""&amp;D4&amp;""'"",1))"),0.0)</f>
        <v>0</v>
      </c>
      <c r="U4" s="9">
        <f>IFERROR(__xludf.DUMMYFUNCTION("SUM(QUERY(Entregas_BD!D:AL,""select AH where D='""&amp;D4&amp;""'"",1))"),0.0)</f>
        <v>0</v>
      </c>
      <c r="V4" s="9">
        <f>IFERROR(__xludf.DUMMYFUNCTION("SUM(QUERY(Entregas_BD!D:AL,""select AI where D='""&amp;D4&amp;""'"",1))"),0.0)</f>
        <v>0</v>
      </c>
      <c r="W4" s="9">
        <f>IFERROR(__xludf.DUMMYFUNCTION("SUM(QUERY(Entregas_BD!D:AL,""select AJ where D='""&amp;D4&amp;""'"",1))"),0.0)</f>
        <v>0</v>
      </c>
      <c r="X4" s="9">
        <f>IFERROR(__xludf.DUMMYFUNCTION("SUM(QUERY(Entregas_BD!D:AL,""select AL where D='""&amp;D4&amp;""'"",1))"),0.0)</f>
        <v>0</v>
      </c>
      <c r="Y4" s="9">
        <f>IFERROR(__xludf.DUMMYFUNCTION("SUM(QUERY(Entregas_BD!D:AL,""select AK where D='""&amp;D4&amp;""'"",1))"),0.0)</f>
        <v>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16" t="s">
        <v>52</v>
      </c>
      <c r="AG4" s="15">
        <f>IFERROR(__xludf.DUMMYFUNCTION("SUM(QUERY(Entregas_BD!D:W,""select U where D='""&amp;D4&amp;""'"",1))"),0.0)</f>
        <v>0</v>
      </c>
      <c r="AH4" s="15">
        <f>IFERROR(__xludf.DUMMYFUNCTION("SUM(QUERY(Entregas_BD!D:W,""select S where D='""&amp;D4&amp;""'"",1))"),0.0)</f>
        <v>0</v>
      </c>
      <c r="AI4" s="15">
        <f>IFERROR(__xludf.DUMMYFUNCTION("SUM(QUERY(Entregas_BD!D:W,""select T where D='""&amp;D4&amp;""'"",1))"),0.0)</f>
        <v>0</v>
      </c>
    </row>
    <row r="5" ht="19.5" customHeight="1">
      <c r="A5" s="28"/>
      <c r="B5" s="29"/>
      <c r="C5" s="19">
        <v>4.0</v>
      </c>
      <c r="D5" s="30" t="s">
        <v>53</v>
      </c>
      <c r="E5" s="20" t="s">
        <v>54</v>
      </c>
      <c r="F5" s="20" t="s">
        <v>45</v>
      </c>
      <c r="G5" s="20" t="s">
        <v>55</v>
      </c>
      <c r="H5" s="19" t="s">
        <v>51</v>
      </c>
      <c r="I5" s="21" t="s">
        <v>47</v>
      </c>
      <c r="J5" s="22"/>
      <c r="K5" s="22"/>
      <c r="L5" s="23"/>
      <c r="M5" s="22"/>
      <c r="N5" s="19">
        <f>IFERROR(__xludf.DUMMYFUNCTION("SUM(QUERY(Entregas_BD!D:L,""select G where D='""&amp;D5&amp;""'"",1))"),0.0)</f>
        <v>0</v>
      </c>
      <c r="O5" s="19">
        <f>IFERROR(__xludf.DUMMYFUNCTION("SUM(QUERY(Entregas_BD!D:L,""select H where D='""&amp;D5&amp;""'"",1))"),0.0)</f>
        <v>0</v>
      </c>
      <c r="P5" s="19">
        <f>IFERROR(__xludf.DUMMYFUNCTION("SUM(QUERY(Entregas_BD!D:L,""select I where D='""&amp;D5&amp;""'"",1))"),0.0)</f>
        <v>0</v>
      </c>
      <c r="Q5" s="19">
        <f>IFERROR(__xludf.DUMMYFUNCTION("SUM(QUERY(Entregas_BD!D:L,""select J where D='""&amp;D5&amp;""'"",1))"),0.0)</f>
        <v>0</v>
      </c>
      <c r="R5" s="24">
        <f>IFERROR(__xludf.DUMMYFUNCTION("SUM(QUERY(Entregas_BD!D:L,""select K where D='""&amp;D5&amp;""'"",1))"),0.0)</f>
        <v>0</v>
      </c>
      <c r="S5" s="24">
        <f>IFERROR(__xludf.DUMMYFUNCTION("SUM(QUERY(Entregas_BD!D:L,""select L where D='""&amp;D5&amp;""'"",1))"),0.0)</f>
        <v>0</v>
      </c>
      <c r="T5" s="19">
        <f>IFERROR(__xludf.DUMMYFUNCTION("SUM(QUERY(Entregas_BD!D:AL,""select AG where D='""&amp;D5&amp;""'"",1))"),20.0)</f>
        <v>20</v>
      </c>
      <c r="U5" s="19">
        <f>IFERROR(__xludf.DUMMYFUNCTION("SUM(QUERY(Entregas_BD!D:AL,""select AH where D='""&amp;D5&amp;""'"",1))"),0.0)</f>
        <v>0</v>
      </c>
      <c r="V5" s="19">
        <f>IFERROR(__xludf.DUMMYFUNCTION("SUM(QUERY(Entregas_BD!D:AL,""select AI where D='""&amp;D5&amp;""'"",1))"),0.0)</f>
        <v>0</v>
      </c>
      <c r="W5" s="19">
        <f>IFERROR(__xludf.DUMMYFUNCTION("SUM(QUERY(Entregas_BD!D:AL,""select AJ where D='""&amp;D5&amp;""'"",1))"),0.0)</f>
        <v>0</v>
      </c>
      <c r="X5" s="19">
        <f>IFERROR(__xludf.DUMMYFUNCTION("SUM(QUERY(Entregas_BD!D:AL,""select AL where D='""&amp;D5&amp;""'"",1))"),0.0)</f>
        <v>0</v>
      </c>
      <c r="Y5" s="19">
        <f>IFERROR(__xludf.DUMMYFUNCTION("SUM(QUERY(Entregas_BD!D:AL,""select AK where D='""&amp;D5&amp;""'"",1))"),0.0)</f>
        <v>0</v>
      </c>
      <c r="Z5" s="19">
        <v>-20.0</v>
      </c>
      <c r="AA5" s="19">
        <v>0.0</v>
      </c>
      <c r="AB5" s="19">
        <v>0.0</v>
      </c>
      <c r="AC5" s="19">
        <v>0.0</v>
      </c>
      <c r="AD5" s="19">
        <v>0.0</v>
      </c>
      <c r="AE5" s="19">
        <v>0.0</v>
      </c>
      <c r="AF5" s="31" t="s">
        <v>56</v>
      </c>
      <c r="AG5" s="24">
        <f>IFERROR(__xludf.DUMMYFUNCTION("SUM(QUERY(Entregas_BD!D:W,""select U where D='""&amp;D5&amp;""'"",1))"),0.0)</f>
        <v>0</v>
      </c>
      <c r="AH5" s="24">
        <f>IFERROR(__xludf.DUMMYFUNCTION("SUM(QUERY(Entregas_BD!D:W,""select S where D='""&amp;D5&amp;""'"",1))"),0.0)</f>
        <v>0</v>
      </c>
      <c r="AI5" s="24">
        <f>IFERROR(__xludf.DUMMYFUNCTION("SUM(QUERY(Entregas_BD!D:W,""select T where D='""&amp;D5&amp;""'"",1))"),0.0)</f>
        <v>0</v>
      </c>
    </row>
    <row r="6" ht="19.5" customHeight="1">
      <c r="A6" s="7"/>
      <c r="B6" s="8"/>
      <c r="C6" s="9">
        <v>5.0</v>
      </c>
      <c r="D6" s="10" t="s">
        <v>57</v>
      </c>
      <c r="E6" s="10" t="s">
        <v>58</v>
      </c>
      <c r="F6" s="10" t="s">
        <v>45</v>
      </c>
      <c r="G6" s="10" t="s">
        <v>59</v>
      </c>
      <c r="H6" s="9" t="s">
        <v>51</v>
      </c>
      <c r="I6" s="11" t="s">
        <v>47</v>
      </c>
      <c r="J6" s="9"/>
      <c r="K6" s="12"/>
      <c r="L6" s="13"/>
      <c r="M6" s="12"/>
      <c r="N6" s="9">
        <f>IFERROR(__xludf.DUMMYFUNCTION("SUM(QUERY(Entregas_BD!D:L,""select G where D='""&amp;D6&amp;""'"",1))"),0.0)</f>
        <v>0</v>
      </c>
      <c r="O6" s="9">
        <f>IFERROR(__xludf.DUMMYFUNCTION("SUM(QUERY(Entregas_BD!D:L,""select H where D='""&amp;D6&amp;""'"",1))"),0.0)</f>
        <v>0</v>
      </c>
      <c r="P6" s="9">
        <f>IFERROR(__xludf.DUMMYFUNCTION("SUM(QUERY(Entregas_BD!D:L,""select I where D='""&amp;D6&amp;""'"",1))"),0.0)</f>
        <v>0</v>
      </c>
      <c r="Q6" s="9">
        <f>IFERROR(__xludf.DUMMYFUNCTION("SUM(QUERY(Entregas_BD!D:L,""select J where D='""&amp;D6&amp;""'"",1))"),0.0)</f>
        <v>0</v>
      </c>
      <c r="R6" s="15">
        <f>IFERROR(__xludf.DUMMYFUNCTION("SUM(QUERY(Entregas_BD!D:L,""select K where D='""&amp;D6&amp;""'"",1))"),0.0)</f>
        <v>0</v>
      </c>
      <c r="S6" s="15">
        <f>IFERROR(__xludf.DUMMYFUNCTION("SUM(QUERY(Entregas_BD!D:L,""select L where D='""&amp;D6&amp;""'"",1))"),0.0)</f>
        <v>0</v>
      </c>
      <c r="T6" s="9">
        <f>IFERROR(__xludf.DUMMYFUNCTION("SUM(QUERY(Entregas_BD!D:AL,""select AG where D='""&amp;D6&amp;""'"",1))"),0.0)</f>
        <v>0</v>
      </c>
      <c r="U6" s="9">
        <f>IFERROR(__xludf.DUMMYFUNCTION("SUM(QUERY(Entregas_BD!D:AL,""select AH where D='""&amp;D6&amp;""'"",1))"),0.0)</f>
        <v>0</v>
      </c>
      <c r="V6" s="9">
        <f>IFERROR(__xludf.DUMMYFUNCTION("SUM(QUERY(Entregas_BD!D:AL,""select AI where D='""&amp;D6&amp;""'"",1))"),0.0)</f>
        <v>0</v>
      </c>
      <c r="W6" s="9">
        <f>IFERROR(__xludf.DUMMYFUNCTION("SUM(QUERY(Entregas_BD!D:AL,""select AJ where D='""&amp;D6&amp;""'"",1))"),0.0)</f>
        <v>0</v>
      </c>
      <c r="X6" s="9">
        <f>IFERROR(__xludf.DUMMYFUNCTION("SUM(QUERY(Entregas_BD!D:AL,""select AL where D='""&amp;D6&amp;""'"",1))"),0.0)</f>
        <v>0</v>
      </c>
      <c r="Y6" s="9">
        <f>IFERROR(__xludf.DUMMYFUNCTION("SUM(QUERY(Entregas_BD!D:AL,""select AK where D='""&amp;D6&amp;""'"",1))"),0.0)</f>
        <v>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16" t="s">
        <v>60</v>
      </c>
      <c r="AG6" s="15">
        <f>IFERROR(__xludf.DUMMYFUNCTION("SUM(QUERY(Entregas_BD!D:W,""select U where D='""&amp;D6&amp;""'"",1))"),0.0)</f>
        <v>0</v>
      </c>
      <c r="AH6" s="15">
        <f>IFERROR(__xludf.DUMMYFUNCTION("SUM(QUERY(Entregas_BD!D:W,""select S where D='""&amp;D6&amp;""'"",1))"),0.0)</f>
        <v>0</v>
      </c>
      <c r="AI6" s="15">
        <f>IFERROR(__xludf.DUMMYFUNCTION("SUM(QUERY(Entregas_BD!D:W,""select T where D='""&amp;D6&amp;""'"",1))"),0.0)</f>
        <v>0</v>
      </c>
    </row>
    <row r="7" ht="19.5" customHeight="1">
      <c r="A7" s="28"/>
      <c r="B7" s="29"/>
      <c r="C7" s="19">
        <v>6.0</v>
      </c>
      <c r="D7" s="20" t="s">
        <v>61</v>
      </c>
      <c r="E7" s="20" t="s">
        <v>58</v>
      </c>
      <c r="F7" s="20" t="s">
        <v>45</v>
      </c>
      <c r="G7" s="20" t="s">
        <v>59</v>
      </c>
      <c r="H7" s="19" t="s">
        <v>51</v>
      </c>
      <c r="I7" s="21" t="s">
        <v>47</v>
      </c>
      <c r="J7" s="19"/>
      <c r="K7" s="22"/>
      <c r="L7" s="23"/>
      <c r="M7" s="22"/>
      <c r="N7" s="19">
        <f>IFERROR(__xludf.DUMMYFUNCTION("SUM(QUERY(Entregas_BD!D:L,""select G where D='""&amp;D7&amp;""'"",1))"),0.0)</f>
        <v>0</v>
      </c>
      <c r="O7" s="19">
        <f>IFERROR(__xludf.DUMMYFUNCTION("SUM(QUERY(Entregas_BD!D:L,""select H where D='""&amp;D7&amp;""'"",1))"),0.0)</f>
        <v>0</v>
      </c>
      <c r="P7" s="19">
        <f>IFERROR(__xludf.DUMMYFUNCTION("SUM(QUERY(Entregas_BD!D:L,""select I where D='""&amp;D7&amp;""'"",1))"),0.0)</f>
        <v>0</v>
      </c>
      <c r="Q7" s="19">
        <f>IFERROR(__xludf.DUMMYFUNCTION("SUM(QUERY(Entregas_BD!D:L,""select J where D='""&amp;D7&amp;""'"",1))"),0.0)</f>
        <v>0</v>
      </c>
      <c r="R7" s="24">
        <f>IFERROR(__xludf.DUMMYFUNCTION("SUM(QUERY(Entregas_BD!D:L,""select K where D='""&amp;D7&amp;""'"",1))"),0.0)</f>
        <v>0</v>
      </c>
      <c r="S7" s="24">
        <f>IFERROR(__xludf.DUMMYFUNCTION("SUM(QUERY(Entregas_BD!D:L,""select L where D='""&amp;D7&amp;""'"",1))"),0.0)</f>
        <v>0</v>
      </c>
      <c r="T7" s="19">
        <f>IFERROR(__xludf.DUMMYFUNCTION("SUM(QUERY(Entregas_BD!D:AL,""select AG where D='""&amp;D7&amp;""'"",1))"),0.0)</f>
        <v>0</v>
      </c>
      <c r="U7" s="19">
        <f>IFERROR(__xludf.DUMMYFUNCTION("SUM(QUERY(Entregas_BD!D:AL,""select AH where D='""&amp;D7&amp;""'"",1))"),0.0)</f>
        <v>0</v>
      </c>
      <c r="V7" s="19">
        <f>IFERROR(__xludf.DUMMYFUNCTION("SUM(QUERY(Entregas_BD!D:AL,""select AI where D='""&amp;D7&amp;""'"",1))"),0.0)</f>
        <v>0</v>
      </c>
      <c r="W7" s="19">
        <f>IFERROR(__xludf.DUMMYFUNCTION("SUM(QUERY(Entregas_BD!D:AL,""select AJ where D='""&amp;D7&amp;""'"",1))"),0.0)</f>
        <v>0</v>
      </c>
      <c r="X7" s="19">
        <f>IFERROR(__xludf.DUMMYFUNCTION("SUM(QUERY(Entregas_BD!D:AL,""select AL where D='""&amp;D7&amp;""'"",1))"),0.0)</f>
        <v>0</v>
      </c>
      <c r="Y7" s="19">
        <f>IFERROR(__xludf.DUMMYFUNCTION("SUM(QUERY(Entregas_BD!D:AL,""select AK where D='""&amp;D7&amp;""'"",1))"),0.0)</f>
        <v>0</v>
      </c>
      <c r="Z7" s="19">
        <v>0.0</v>
      </c>
      <c r="AA7" s="19">
        <v>0.0</v>
      </c>
      <c r="AB7" s="19">
        <v>0.0</v>
      </c>
      <c r="AC7" s="19">
        <v>0.0</v>
      </c>
      <c r="AD7" s="19">
        <v>0.0</v>
      </c>
      <c r="AE7" s="19">
        <v>0.0</v>
      </c>
      <c r="AF7" s="31" t="s">
        <v>60</v>
      </c>
      <c r="AG7" s="24">
        <f>IFERROR(__xludf.DUMMYFUNCTION("SUM(QUERY(Entregas_BD!D:W,""select U where D='""&amp;D7&amp;""'"",1))"),0.0)</f>
        <v>0</v>
      </c>
      <c r="AH7" s="24">
        <f>IFERROR(__xludf.DUMMYFUNCTION("SUM(QUERY(Entregas_BD!D:W,""select S where D='""&amp;D7&amp;""'"",1))"),0.0)</f>
        <v>0</v>
      </c>
      <c r="AI7" s="24">
        <f>IFERROR(__xludf.DUMMYFUNCTION("SUM(QUERY(Entregas_BD!D:W,""select T where D='""&amp;D7&amp;""'"",1))"),0.0)</f>
        <v>0</v>
      </c>
    </row>
    <row r="8" ht="19.5" customHeight="1">
      <c r="A8" s="7"/>
      <c r="B8" s="8"/>
      <c r="C8" s="9">
        <v>7.0</v>
      </c>
      <c r="D8" s="10" t="s">
        <v>62</v>
      </c>
      <c r="E8" s="10" t="s">
        <v>63</v>
      </c>
      <c r="F8" s="10" t="s">
        <v>64</v>
      </c>
      <c r="G8" s="10" t="s">
        <v>65</v>
      </c>
      <c r="H8" s="9" t="s">
        <v>51</v>
      </c>
      <c r="I8" s="11" t="s">
        <v>47</v>
      </c>
      <c r="J8" s="12"/>
      <c r="K8" s="12"/>
      <c r="L8" s="13"/>
      <c r="M8" s="14"/>
      <c r="N8" s="9">
        <f>IFERROR(__xludf.DUMMYFUNCTION("SUM(QUERY(Entregas_BD!D:L,""select G where D='""&amp;D8&amp;""'"",1))"),0.0)</f>
        <v>0</v>
      </c>
      <c r="O8" s="9">
        <f>IFERROR(__xludf.DUMMYFUNCTION("SUM(QUERY(Entregas_BD!D:L,""select H where D='""&amp;D8&amp;""'"",1))"),0.0)</f>
        <v>0</v>
      </c>
      <c r="P8" s="9">
        <f>IFERROR(__xludf.DUMMYFUNCTION("SUM(QUERY(Entregas_BD!D:L,""select I where D='""&amp;D8&amp;""'"",1))"),0.0)</f>
        <v>0</v>
      </c>
      <c r="Q8" s="9">
        <f>IFERROR(__xludf.DUMMYFUNCTION("SUM(QUERY(Entregas_BD!D:L,""select J where D='""&amp;D8&amp;""'"",1))"),0.0)</f>
        <v>0</v>
      </c>
      <c r="R8" s="15">
        <f>IFERROR(__xludf.DUMMYFUNCTION("SUM(QUERY(Entregas_BD!D:L,""select K where D='""&amp;D8&amp;""'"",1))"),0.0)</f>
        <v>0</v>
      </c>
      <c r="S8" s="15">
        <f>IFERROR(__xludf.DUMMYFUNCTION("SUM(QUERY(Entregas_BD!D:L,""select L where D='""&amp;D8&amp;""'"",1))"),0.0)</f>
        <v>0</v>
      </c>
      <c r="T8" s="9">
        <f>IFERROR(__xludf.DUMMYFUNCTION("SUM(QUERY(Entregas_BD!D:AL,""select AG where D='""&amp;D8&amp;""'"",1))"),0.0)</f>
        <v>0</v>
      </c>
      <c r="U8" s="9">
        <f>IFERROR(__xludf.DUMMYFUNCTION("SUM(QUERY(Entregas_BD!D:AL,""select AH where D='""&amp;D8&amp;""'"",1))"),0.0)</f>
        <v>0</v>
      </c>
      <c r="V8" s="9">
        <f>IFERROR(__xludf.DUMMYFUNCTION("SUM(QUERY(Entregas_BD!D:AL,""select AI where D='""&amp;D8&amp;""'"",1))"),0.0)</f>
        <v>0</v>
      </c>
      <c r="W8" s="9">
        <f>IFERROR(__xludf.DUMMYFUNCTION("SUM(QUERY(Entregas_BD!D:AL,""select AJ where D='""&amp;D8&amp;""'"",1))"),0.0)</f>
        <v>0</v>
      </c>
      <c r="X8" s="9">
        <f>IFERROR(__xludf.DUMMYFUNCTION("SUM(QUERY(Entregas_BD!D:AL,""select AL where D='""&amp;D8&amp;""'"",1))"),0.0)</f>
        <v>0</v>
      </c>
      <c r="Y8" s="9">
        <f>IFERROR(__xludf.DUMMYFUNCTION("SUM(QUERY(Entregas_BD!D:AL,""select AK where D='""&amp;D8&amp;""'"",1))"),0.0)</f>
        <v>0</v>
      </c>
      <c r="Z8" s="9">
        <v>0.0</v>
      </c>
      <c r="AA8" s="9">
        <v>0.0</v>
      </c>
      <c r="AB8" s="9">
        <v>0.0</v>
      </c>
      <c r="AC8" s="9">
        <v>0.0</v>
      </c>
      <c r="AD8" s="9">
        <v>0.0</v>
      </c>
      <c r="AE8" s="9">
        <v>0.0</v>
      </c>
      <c r="AF8" s="32" t="s">
        <v>66</v>
      </c>
      <c r="AG8" s="15">
        <f>IFERROR(__xludf.DUMMYFUNCTION("SUM(QUERY(Entregas_BD!D:W,""select U where D='""&amp;D8&amp;""'"",1))"),0.0)</f>
        <v>0</v>
      </c>
      <c r="AH8" s="15">
        <f>IFERROR(__xludf.DUMMYFUNCTION("SUM(QUERY(Entregas_BD!D:W,""select S where D='""&amp;D8&amp;""'"",1))"),0.0)</f>
        <v>0</v>
      </c>
      <c r="AI8" s="15">
        <f>IFERROR(__xludf.DUMMYFUNCTION("SUM(QUERY(Entregas_BD!D:W,""select T where D='""&amp;D8&amp;""'"",1))"),0.0)</f>
        <v>0</v>
      </c>
    </row>
    <row r="9" ht="19.5" customHeight="1">
      <c r="A9" s="28"/>
      <c r="B9" s="29"/>
      <c r="C9" s="19">
        <v>8.0</v>
      </c>
      <c r="D9" s="20" t="s">
        <v>67</v>
      </c>
      <c r="E9" s="20" t="s">
        <v>54</v>
      </c>
      <c r="F9" s="20" t="s">
        <v>45</v>
      </c>
      <c r="G9" s="20" t="s">
        <v>68</v>
      </c>
      <c r="H9" s="19" t="s">
        <v>69</v>
      </c>
      <c r="I9" s="21" t="s">
        <v>41</v>
      </c>
      <c r="J9" s="22"/>
      <c r="K9" s="22"/>
      <c r="L9" s="23"/>
      <c r="M9" s="22"/>
      <c r="N9" s="19">
        <f>IFERROR(__xludf.DUMMYFUNCTION("SUM(QUERY(Entregas_BD!D:L,""select G where D='""&amp;D9&amp;""'"",1))"),0.0)</f>
        <v>0</v>
      </c>
      <c r="O9" s="19">
        <f>IFERROR(__xludf.DUMMYFUNCTION("SUM(QUERY(Entregas_BD!D:L,""select H where D='""&amp;D9&amp;""'"",1))"),0.0)</f>
        <v>0</v>
      </c>
      <c r="P9" s="19">
        <f>IFERROR(__xludf.DUMMYFUNCTION("SUM(QUERY(Entregas_BD!D:L,""select I where D='""&amp;D9&amp;""'"",1))"),0.0)</f>
        <v>0</v>
      </c>
      <c r="Q9" s="19">
        <f>IFERROR(__xludf.DUMMYFUNCTION("SUM(QUERY(Entregas_BD!D:L,""select J where D='""&amp;D9&amp;""'"",1))"),0.0)</f>
        <v>0</v>
      </c>
      <c r="R9" s="24">
        <f>IFERROR(__xludf.DUMMYFUNCTION("SUM(QUERY(Entregas_BD!D:L,""select K where D='""&amp;D9&amp;""'"",1))"),0.0)</f>
        <v>0</v>
      </c>
      <c r="S9" s="24">
        <f>IFERROR(__xludf.DUMMYFUNCTION("SUM(QUERY(Entregas_BD!D:L,""select L where D='""&amp;D9&amp;""'"",1))"),0.0)</f>
        <v>0</v>
      </c>
      <c r="T9" s="19">
        <f>IFERROR(__xludf.DUMMYFUNCTION("SUM(QUERY(Entregas_BD!D:AL,""select AG where D='""&amp;D9&amp;""'"",1))"),250.0)</f>
        <v>250</v>
      </c>
      <c r="U9" s="19">
        <f>IFERROR(__xludf.DUMMYFUNCTION("SUM(QUERY(Entregas_BD!D:AL,""select AH where D='""&amp;D9&amp;""'"",1))"),0.0)</f>
        <v>0</v>
      </c>
      <c r="V9" s="19">
        <f>IFERROR(__xludf.DUMMYFUNCTION("SUM(QUERY(Entregas_BD!D:AL,""select AI where D='""&amp;D9&amp;""'"",1))"),0.0)</f>
        <v>0</v>
      </c>
      <c r="W9" s="19">
        <f>IFERROR(__xludf.DUMMYFUNCTION("SUM(QUERY(Entregas_BD!D:AL,""select AJ where D='""&amp;D9&amp;""'"",1))"),0.0)</f>
        <v>0</v>
      </c>
      <c r="X9" s="19">
        <f>IFERROR(__xludf.DUMMYFUNCTION("SUM(QUERY(Entregas_BD!D:AL,""select AL where D='""&amp;D9&amp;""'"",1))"),0.0)</f>
        <v>0</v>
      </c>
      <c r="Y9" s="19">
        <f>IFERROR(__xludf.DUMMYFUNCTION("SUM(QUERY(Entregas_BD!D:AL,""select AK where D='""&amp;D9&amp;""'"",1))"),0.0)</f>
        <v>0</v>
      </c>
      <c r="Z9" s="19">
        <v>-250.0</v>
      </c>
      <c r="AA9" s="19">
        <v>0.0</v>
      </c>
      <c r="AB9" s="19">
        <v>0.0</v>
      </c>
      <c r="AC9" s="19">
        <v>0.0</v>
      </c>
      <c r="AD9" s="19">
        <v>0.0</v>
      </c>
      <c r="AE9" s="19">
        <v>0.0</v>
      </c>
      <c r="AF9" s="31" t="s">
        <v>70</v>
      </c>
      <c r="AG9" s="24">
        <f>IFERROR(__xludf.DUMMYFUNCTION("SUM(QUERY(Entregas_BD!D:W,""select U where D='""&amp;D9&amp;""'"",1))"),0.0)</f>
        <v>0</v>
      </c>
      <c r="AH9" s="24">
        <f>IFERROR(__xludf.DUMMYFUNCTION("SUM(QUERY(Entregas_BD!D:W,""select S where D='""&amp;D9&amp;""'"",1))"),0.0)</f>
        <v>0</v>
      </c>
      <c r="AI9" s="24">
        <f>IFERROR(__xludf.DUMMYFUNCTION("SUM(QUERY(Entregas_BD!D:W,""select T where D='""&amp;D9&amp;""'"",1))"),0.0)</f>
        <v>0</v>
      </c>
    </row>
    <row r="10" ht="19.5" customHeight="1">
      <c r="A10" s="7"/>
      <c r="B10" s="8"/>
      <c r="C10" s="9">
        <v>9.0</v>
      </c>
      <c r="D10" s="10" t="s">
        <v>71</v>
      </c>
      <c r="E10" s="10" t="s">
        <v>72</v>
      </c>
      <c r="F10" s="10" t="s">
        <v>45</v>
      </c>
      <c r="G10" s="10" t="s">
        <v>73</v>
      </c>
      <c r="H10" s="9" t="s">
        <v>51</v>
      </c>
      <c r="I10" s="11" t="s">
        <v>41</v>
      </c>
      <c r="J10" s="12"/>
      <c r="K10" s="12"/>
      <c r="L10" s="13"/>
      <c r="M10" s="12"/>
      <c r="N10" s="9">
        <f>IFERROR(__xludf.DUMMYFUNCTION("SUM(QUERY(Entregas_BD!D:L,""select G where D='""&amp;D10&amp;""'"",1))"),0.0)</f>
        <v>0</v>
      </c>
      <c r="O10" s="9">
        <f>IFERROR(__xludf.DUMMYFUNCTION("SUM(QUERY(Entregas_BD!D:L,""select H where D='""&amp;D10&amp;""'"",1))"),0.0)</f>
        <v>0</v>
      </c>
      <c r="P10" s="9">
        <f>IFERROR(__xludf.DUMMYFUNCTION("SUM(QUERY(Entregas_BD!D:L,""select I where D='""&amp;D10&amp;""'"",1))"),0.0)</f>
        <v>0</v>
      </c>
      <c r="Q10" s="9">
        <f>IFERROR(__xludf.DUMMYFUNCTION("SUM(QUERY(Entregas_BD!D:L,""select J where D='""&amp;D10&amp;""'"",1))"),0.0)</f>
        <v>0</v>
      </c>
      <c r="R10" s="15">
        <f>IFERROR(__xludf.DUMMYFUNCTION("SUM(QUERY(Entregas_BD!D:L,""select K where D='""&amp;D10&amp;""'"",1))"),0.0)</f>
        <v>0</v>
      </c>
      <c r="S10" s="15">
        <f>IFERROR(__xludf.DUMMYFUNCTION("SUM(QUERY(Entregas_BD!D:L,""select L where D='""&amp;D10&amp;""'"",1))"),0.0)</f>
        <v>0</v>
      </c>
      <c r="T10" s="9">
        <f>IFERROR(__xludf.DUMMYFUNCTION("SUM(QUERY(Entregas_BD!D:AL,""select AG where D='""&amp;D10&amp;""'"",1))"),0.0)</f>
        <v>0</v>
      </c>
      <c r="U10" s="9">
        <f>IFERROR(__xludf.DUMMYFUNCTION("SUM(QUERY(Entregas_BD!D:AL,""select AH where D='""&amp;D10&amp;""'"",1))"),0.0)</f>
        <v>0</v>
      </c>
      <c r="V10" s="9">
        <f>IFERROR(__xludf.DUMMYFUNCTION("SUM(QUERY(Entregas_BD!D:AL,""select AI where D='""&amp;D10&amp;""'"",1))"),0.0)</f>
        <v>0</v>
      </c>
      <c r="W10" s="9">
        <f>IFERROR(__xludf.DUMMYFUNCTION("SUM(QUERY(Entregas_BD!D:AL,""select AJ where D='""&amp;D10&amp;""'"",1))"),0.0)</f>
        <v>0</v>
      </c>
      <c r="X10" s="9">
        <f>IFERROR(__xludf.DUMMYFUNCTION("SUM(QUERY(Entregas_BD!D:AL,""select AL where D='""&amp;D10&amp;""'"",1))"),0.0)</f>
        <v>0</v>
      </c>
      <c r="Y10" s="9">
        <f>IFERROR(__xludf.DUMMYFUNCTION("SUM(QUERY(Entregas_BD!D:AL,""select AK where D='""&amp;D10&amp;""'"",1))"),0.0)</f>
        <v>0</v>
      </c>
      <c r="Z10" s="9">
        <v>0.0</v>
      </c>
      <c r="AA10" s="9">
        <v>0.0</v>
      </c>
      <c r="AB10" s="9">
        <v>0.0</v>
      </c>
      <c r="AC10" s="9">
        <v>0.0</v>
      </c>
      <c r="AD10" s="9">
        <v>0.0</v>
      </c>
      <c r="AE10" s="9">
        <v>0.0</v>
      </c>
      <c r="AF10" s="16" t="s">
        <v>74</v>
      </c>
      <c r="AG10" s="15">
        <f>IFERROR(__xludf.DUMMYFUNCTION("SUM(QUERY(Entregas_BD!D:W,""select U where D='""&amp;D10&amp;""'"",1))"),0.0)</f>
        <v>0</v>
      </c>
      <c r="AH10" s="15">
        <f>IFERROR(__xludf.DUMMYFUNCTION("SUM(QUERY(Entregas_BD!D:W,""select S where D='""&amp;D10&amp;""'"",1))"),0.0)</f>
        <v>0</v>
      </c>
      <c r="AI10" s="15">
        <f>IFERROR(__xludf.DUMMYFUNCTION("SUM(QUERY(Entregas_BD!D:W,""select T where D='""&amp;D10&amp;""'"",1))"),0.0)</f>
        <v>0</v>
      </c>
    </row>
    <row r="11" ht="19.5" customHeight="1">
      <c r="A11" s="28"/>
      <c r="B11" s="29"/>
      <c r="C11" s="19">
        <v>10.0</v>
      </c>
      <c r="D11" s="20" t="s">
        <v>75</v>
      </c>
      <c r="E11" s="20" t="s">
        <v>72</v>
      </c>
      <c r="F11" s="20" t="s">
        <v>45</v>
      </c>
      <c r="G11" s="20" t="s">
        <v>76</v>
      </c>
      <c r="H11" s="19" t="s">
        <v>51</v>
      </c>
      <c r="I11" s="21" t="s">
        <v>47</v>
      </c>
      <c r="J11" s="22"/>
      <c r="K11" s="22"/>
      <c r="L11" s="23"/>
      <c r="M11" s="22"/>
      <c r="N11" s="19">
        <f>IFERROR(__xludf.DUMMYFUNCTION("SUM(QUERY(Entregas_BD!D:L,""select G where D='""&amp;D11&amp;""'"",1))"),0.0)</f>
        <v>0</v>
      </c>
      <c r="O11" s="19">
        <f>IFERROR(__xludf.DUMMYFUNCTION("SUM(QUERY(Entregas_BD!D:L,""select H where D='""&amp;D11&amp;""'"",1))"),0.0)</f>
        <v>0</v>
      </c>
      <c r="P11" s="19">
        <f>IFERROR(__xludf.DUMMYFUNCTION("SUM(QUERY(Entregas_BD!D:L,""select I where D='""&amp;D11&amp;""'"",1))"),0.0)</f>
        <v>0</v>
      </c>
      <c r="Q11" s="19">
        <f>IFERROR(__xludf.DUMMYFUNCTION("SUM(QUERY(Entregas_BD!D:L,""select J where D='""&amp;D11&amp;""'"",1))"),0.0)</f>
        <v>0</v>
      </c>
      <c r="R11" s="24">
        <f>IFERROR(__xludf.DUMMYFUNCTION("SUM(QUERY(Entregas_BD!D:L,""select K where D='""&amp;D11&amp;""'"",1))"),0.0)</f>
        <v>0</v>
      </c>
      <c r="S11" s="24">
        <f>IFERROR(__xludf.DUMMYFUNCTION("SUM(QUERY(Entregas_BD!D:L,""select L where D='""&amp;D11&amp;""'"",1))"),0.0)</f>
        <v>0</v>
      </c>
      <c r="T11" s="19">
        <f>IFERROR(__xludf.DUMMYFUNCTION("SUM(QUERY(Entregas_BD!D:AL,""select AG where D='""&amp;D11&amp;""'"",1))"),0.0)</f>
        <v>0</v>
      </c>
      <c r="U11" s="19">
        <f>IFERROR(__xludf.DUMMYFUNCTION("SUM(QUERY(Entregas_BD!D:AL,""select AH where D='""&amp;D11&amp;""'"",1))"),0.0)</f>
        <v>0</v>
      </c>
      <c r="V11" s="19">
        <f>IFERROR(__xludf.DUMMYFUNCTION("SUM(QUERY(Entregas_BD!D:AL,""select AI where D='""&amp;D11&amp;""'"",1))"),0.0)</f>
        <v>0</v>
      </c>
      <c r="W11" s="19">
        <f>IFERROR(__xludf.DUMMYFUNCTION("SUM(QUERY(Entregas_BD!D:AL,""select AJ where D='""&amp;D11&amp;""'"",1))"),0.0)</f>
        <v>0</v>
      </c>
      <c r="X11" s="19">
        <f>IFERROR(__xludf.DUMMYFUNCTION("SUM(QUERY(Entregas_BD!D:AL,""select AL where D='""&amp;D11&amp;""'"",1))"),0.0)</f>
        <v>0</v>
      </c>
      <c r="Y11" s="19">
        <f>IFERROR(__xludf.DUMMYFUNCTION("SUM(QUERY(Entregas_BD!D:AL,""select AK where D='""&amp;D11&amp;""'"",1))"),0.0)</f>
        <v>0</v>
      </c>
      <c r="Z11" s="19">
        <v>0.0</v>
      </c>
      <c r="AA11" s="19">
        <v>0.0</v>
      </c>
      <c r="AB11" s="19">
        <v>0.0</v>
      </c>
      <c r="AC11" s="19">
        <v>0.0</v>
      </c>
      <c r="AD11" s="19">
        <v>0.0</v>
      </c>
      <c r="AE11" s="19">
        <v>0.0</v>
      </c>
      <c r="AF11" s="31" t="s">
        <v>77</v>
      </c>
      <c r="AG11" s="24">
        <f>IFERROR(__xludf.DUMMYFUNCTION("SUM(QUERY(Entregas_BD!D:W,""select U where D='""&amp;D11&amp;""'"",1))"),0.0)</f>
        <v>0</v>
      </c>
      <c r="AH11" s="24">
        <f>IFERROR(__xludf.DUMMYFUNCTION("SUM(QUERY(Entregas_BD!D:W,""select S where D='""&amp;D11&amp;""'"",1))"),0.0)</f>
        <v>0</v>
      </c>
      <c r="AI11" s="24">
        <f>IFERROR(__xludf.DUMMYFUNCTION("SUM(QUERY(Entregas_BD!D:W,""select T where D='""&amp;D11&amp;""'"",1))"),0.0)</f>
        <v>0</v>
      </c>
    </row>
    <row r="12" ht="19.5" customHeight="1">
      <c r="A12" s="7"/>
      <c r="B12" s="8"/>
      <c r="C12" s="9">
        <v>11.0</v>
      </c>
      <c r="D12" s="10" t="s">
        <v>78</v>
      </c>
      <c r="E12" s="10" t="s">
        <v>72</v>
      </c>
      <c r="F12" s="10" t="s">
        <v>45</v>
      </c>
      <c r="G12" s="10" t="s">
        <v>79</v>
      </c>
      <c r="H12" s="9" t="s">
        <v>51</v>
      </c>
      <c r="I12" s="11" t="s">
        <v>41</v>
      </c>
      <c r="J12" s="12"/>
      <c r="K12" s="12"/>
      <c r="L12" s="13"/>
      <c r="M12" s="12"/>
      <c r="N12" s="9">
        <f>IFERROR(__xludf.DUMMYFUNCTION("SUM(QUERY(Entregas_BD!D:L,""select G where D='""&amp;D12&amp;""'"",1))"),0.0)</f>
        <v>0</v>
      </c>
      <c r="O12" s="9">
        <f>IFERROR(__xludf.DUMMYFUNCTION("SUM(QUERY(Entregas_BD!D:L,""select H where D='""&amp;D12&amp;""'"",1))"),0.0)</f>
        <v>0</v>
      </c>
      <c r="P12" s="9">
        <f>IFERROR(__xludf.DUMMYFUNCTION("SUM(QUERY(Entregas_BD!D:L,""select I where D='""&amp;D12&amp;""'"",1))"),0.0)</f>
        <v>0</v>
      </c>
      <c r="Q12" s="9">
        <f>IFERROR(__xludf.DUMMYFUNCTION("SUM(QUERY(Entregas_BD!D:L,""select J where D='""&amp;D12&amp;""'"",1))"),0.0)</f>
        <v>0</v>
      </c>
      <c r="R12" s="15">
        <f>IFERROR(__xludf.DUMMYFUNCTION("SUM(QUERY(Entregas_BD!D:L,""select K where D='""&amp;D12&amp;""'"",1))"),0.0)</f>
        <v>0</v>
      </c>
      <c r="S12" s="15">
        <f>IFERROR(__xludf.DUMMYFUNCTION("SUM(QUERY(Entregas_BD!D:L,""select L where D='""&amp;D12&amp;""'"",1))"),0.0)</f>
        <v>0</v>
      </c>
      <c r="T12" s="9">
        <f>IFERROR(__xludf.DUMMYFUNCTION("SUM(QUERY(Entregas_BD!D:AL,""select AG where D='""&amp;D12&amp;""'"",1))"),0.0)</f>
        <v>0</v>
      </c>
      <c r="U12" s="9">
        <f>IFERROR(__xludf.DUMMYFUNCTION("SUM(QUERY(Entregas_BD!D:AL,""select AH where D='""&amp;D12&amp;""'"",1))"),0.0)</f>
        <v>0</v>
      </c>
      <c r="V12" s="9">
        <f>IFERROR(__xludf.DUMMYFUNCTION("SUM(QUERY(Entregas_BD!D:AL,""select AI where D='""&amp;D12&amp;""'"",1))"),0.0)</f>
        <v>0</v>
      </c>
      <c r="W12" s="9">
        <f>IFERROR(__xludf.DUMMYFUNCTION("SUM(QUERY(Entregas_BD!D:AL,""select AJ where D='""&amp;D12&amp;""'"",1))"),0.0)</f>
        <v>0</v>
      </c>
      <c r="X12" s="9">
        <f>IFERROR(__xludf.DUMMYFUNCTION("SUM(QUERY(Entregas_BD!D:AL,""select AL where D='""&amp;D12&amp;""'"",1))"),0.0)</f>
        <v>0</v>
      </c>
      <c r="Y12" s="9">
        <f>IFERROR(__xludf.DUMMYFUNCTION("SUM(QUERY(Entregas_BD!D:AL,""select AK where D='""&amp;D12&amp;""'"",1))"),0.0)</f>
        <v>0</v>
      </c>
      <c r="Z12" s="9">
        <v>0.0</v>
      </c>
      <c r="AA12" s="9">
        <v>0.0</v>
      </c>
      <c r="AB12" s="9">
        <v>0.0</v>
      </c>
      <c r="AC12" s="9">
        <v>0.0</v>
      </c>
      <c r="AD12" s="9">
        <v>0.0</v>
      </c>
      <c r="AE12" s="9">
        <v>0.0</v>
      </c>
      <c r="AF12" s="32" t="s">
        <v>80</v>
      </c>
      <c r="AG12" s="15">
        <f>IFERROR(__xludf.DUMMYFUNCTION("SUM(QUERY(Entregas_BD!D:W,""select U where D='""&amp;D12&amp;""'"",1))"),0.0)</f>
        <v>0</v>
      </c>
      <c r="AH12" s="15">
        <f>IFERROR(__xludf.DUMMYFUNCTION("SUM(QUERY(Entregas_BD!D:W,""select S where D='""&amp;D12&amp;""'"",1))"),0.0)</f>
        <v>0</v>
      </c>
      <c r="AI12" s="15">
        <f>IFERROR(__xludf.DUMMYFUNCTION("SUM(QUERY(Entregas_BD!D:W,""select T where D='""&amp;D12&amp;""'"",1))"),0.0)</f>
        <v>0</v>
      </c>
    </row>
    <row r="13" ht="19.5" customHeight="1">
      <c r="A13" s="28"/>
      <c r="B13" s="29"/>
      <c r="C13" s="19">
        <v>12.0</v>
      </c>
      <c r="D13" s="20" t="s">
        <v>81</v>
      </c>
      <c r="E13" s="20" t="s">
        <v>58</v>
      </c>
      <c r="F13" s="20" t="s">
        <v>45</v>
      </c>
      <c r="G13" s="20" t="s">
        <v>82</v>
      </c>
      <c r="H13" s="19" t="s">
        <v>51</v>
      </c>
      <c r="I13" s="21" t="s">
        <v>41</v>
      </c>
      <c r="J13" s="19"/>
      <c r="K13" s="22"/>
      <c r="L13" s="23"/>
      <c r="M13" s="22"/>
      <c r="N13" s="19">
        <f>IFERROR(__xludf.DUMMYFUNCTION("SUM(QUERY(Entregas_BD!D:L,""select G where D='""&amp;D13&amp;""'"",1))"),0.0)</f>
        <v>0</v>
      </c>
      <c r="O13" s="19">
        <f>IFERROR(__xludf.DUMMYFUNCTION("SUM(QUERY(Entregas_BD!D:L,""select H where D='""&amp;D13&amp;""'"",1))"),0.0)</f>
        <v>0</v>
      </c>
      <c r="P13" s="19">
        <f>IFERROR(__xludf.DUMMYFUNCTION("SUM(QUERY(Entregas_BD!D:L,""select I where D='""&amp;D13&amp;""'"",1))"),0.0)</f>
        <v>0</v>
      </c>
      <c r="Q13" s="19">
        <f>IFERROR(__xludf.DUMMYFUNCTION("SUM(QUERY(Entregas_BD!D:L,""select J where D='""&amp;D13&amp;""'"",1))"),0.0)</f>
        <v>0</v>
      </c>
      <c r="R13" s="24">
        <f>IFERROR(__xludf.DUMMYFUNCTION("SUM(QUERY(Entregas_BD!D:L,""select K where D='""&amp;D13&amp;""'"",1))"),0.0)</f>
        <v>0</v>
      </c>
      <c r="S13" s="24">
        <f>IFERROR(__xludf.DUMMYFUNCTION("SUM(QUERY(Entregas_BD!D:L,""select L where D='""&amp;D13&amp;""'"",1))"),0.0)</f>
        <v>0</v>
      </c>
      <c r="T13" s="19">
        <f>IFERROR(__xludf.DUMMYFUNCTION("SUM(QUERY(Entregas_BD!D:AL,""select AG where D='""&amp;D13&amp;""'"",1))"),0.0)</f>
        <v>0</v>
      </c>
      <c r="U13" s="19">
        <f>IFERROR(__xludf.DUMMYFUNCTION("SUM(QUERY(Entregas_BD!D:AL,""select AH where D='""&amp;D13&amp;""'"",1))"),0.0)</f>
        <v>0</v>
      </c>
      <c r="V13" s="19">
        <f>IFERROR(__xludf.DUMMYFUNCTION("SUM(QUERY(Entregas_BD!D:AL,""select AI where D='""&amp;D13&amp;""'"",1))"),0.0)</f>
        <v>0</v>
      </c>
      <c r="W13" s="19">
        <f>IFERROR(__xludf.DUMMYFUNCTION("SUM(QUERY(Entregas_BD!D:AL,""select AJ where D='""&amp;D13&amp;""'"",1))"),0.0)</f>
        <v>0</v>
      </c>
      <c r="X13" s="19">
        <f>IFERROR(__xludf.DUMMYFUNCTION("SUM(QUERY(Entregas_BD!D:AL,""select AL where D='""&amp;D13&amp;""'"",1))"),0.0)</f>
        <v>0</v>
      </c>
      <c r="Y13" s="19">
        <f>IFERROR(__xludf.DUMMYFUNCTION("SUM(QUERY(Entregas_BD!D:AL,""select AK where D='""&amp;D13&amp;""'"",1))"),0.0)</f>
        <v>0</v>
      </c>
      <c r="Z13" s="19">
        <v>0.0</v>
      </c>
      <c r="AA13" s="19">
        <v>0.0</v>
      </c>
      <c r="AB13" s="19">
        <v>0.0</v>
      </c>
      <c r="AC13" s="19">
        <v>0.0</v>
      </c>
      <c r="AD13" s="19">
        <v>0.0</v>
      </c>
      <c r="AE13" s="19">
        <v>0.0</v>
      </c>
      <c r="AF13" s="25" t="s">
        <v>83</v>
      </c>
      <c r="AG13" s="24">
        <f>IFERROR(__xludf.DUMMYFUNCTION("SUM(QUERY(Entregas_BD!D:W,""select U where D='""&amp;D13&amp;""'"",1))"),0.0)</f>
        <v>0</v>
      </c>
      <c r="AH13" s="24">
        <f>IFERROR(__xludf.DUMMYFUNCTION("SUM(QUERY(Entregas_BD!D:W,""select S where D='""&amp;D13&amp;""'"",1))"),0.0)</f>
        <v>0</v>
      </c>
      <c r="AI13" s="24">
        <f>IFERROR(__xludf.DUMMYFUNCTION("SUM(QUERY(Entregas_BD!D:W,""select T where D='""&amp;D13&amp;""'"",1))"),0.0)</f>
        <v>0</v>
      </c>
    </row>
    <row r="14" ht="19.5" customHeight="1">
      <c r="A14" s="7"/>
      <c r="B14" s="8"/>
      <c r="C14" s="9">
        <v>13.0</v>
      </c>
      <c r="D14" s="10" t="s">
        <v>84</v>
      </c>
      <c r="E14" s="10" t="s">
        <v>58</v>
      </c>
      <c r="F14" s="10" t="s">
        <v>45</v>
      </c>
      <c r="G14" s="10" t="s">
        <v>85</v>
      </c>
      <c r="H14" s="9" t="s">
        <v>51</v>
      </c>
      <c r="I14" s="11" t="s">
        <v>41</v>
      </c>
      <c r="J14" s="9"/>
      <c r="K14" s="12"/>
      <c r="L14" s="13"/>
      <c r="M14" s="12"/>
      <c r="N14" s="9">
        <f>IFERROR(__xludf.DUMMYFUNCTION("SUM(QUERY(Entregas_BD!D:L,""select G where D='""&amp;D14&amp;""'"",1))"),0.0)</f>
        <v>0</v>
      </c>
      <c r="O14" s="9">
        <f>IFERROR(__xludf.DUMMYFUNCTION("SUM(QUERY(Entregas_BD!D:L,""select H where D='""&amp;D14&amp;""'"",1))"),0.0)</f>
        <v>0</v>
      </c>
      <c r="P14" s="9">
        <f>IFERROR(__xludf.DUMMYFUNCTION("SUM(QUERY(Entregas_BD!D:L,""select I where D='""&amp;D14&amp;""'"",1))"),0.0)</f>
        <v>0</v>
      </c>
      <c r="Q14" s="9">
        <f>IFERROR(__xludf.DUMMYFUNCTION("SUM(QUERY(Entregas_BD!D:L,""select J where D='""&amp;D14&amp;""'"",1))"),0.0)</f>
        <v>0</v>
      </c>
      <c r="R14" s="15">
        <f>IFERROR(__xludf.DUMMYFUNCTION("SUM(QUERY(Entregas_BD!D:L,""select K where D='""&amp;D14&amp;""'"",1))"),0.0)</f>
        <v>0</v>
      </c>
      <c r="S14" s="15">
        <f>IFERROR(__xludf.DUMMYFUNCTION("SUM(QUERY(Entregas_BD!D:L,""select L where D='""&amp;D14&amp;""'"",1))"),0.0)</f>
        <v>0</v>
      </c>
      <c r="T14" s="9">
        <f>IFERROR(__xludf.DUMMYFUNCTION("SUM(QUERY(Entregas_BD!D:AL,""select AG where D='""&amp;D14&amp;""'"",1))"),0.0)</f>
        <v>0</v>
      </c>
      <c r="U14" s="9">
        <f>IFERROR(__xludf.DUMMYFUNCTION("SUM(QUERY(Entregas_BD!D:AL,""select AH where D='""&amp;D14&amp;""'"",1))"),0.0)</f>
        <v>0</v>
      </c>
      <c r="V14" s="9">
        <f>IFERROR(__xludf.DUMMYFUNCTION("SUM(QUERY(Entregas_BD!D:AL,""select AI where D='""&amp;D14&amp;""'"",1))"),0.0)</f>
        <v>0</v>
      </c>
      <c r="W14" s="9">
        <f>IFERROR(__xludf.DUMMYFUNCTION("SUM(QUERY(Entregas_BD!D:AL,""select AJ where D='""&amp;D14&amp;""'"",1))"),0.0)</f>
        <v>0</v>
      </c>
      <c r="X14" s="9">
        <f>IFERROR(__xludf.DUMMYFUNCTION("SUM(QUERY(Entregas_BD!D:AL,""select AL where D='""&amp;D14&amp;""'"",1))"),0.0)</f>
        <v>0</v>
      </c>
      <c r="Y14" s="9">
        <f>IFERROR(__xludf.DUMMYFUNCTION("SUM(QUERY(Entregas_BD!D:AL,""select AK where D='""&amp;D14&amp;""'"",1))"),0.0)</f>
        <v>0</v>
      </c>
      <c r="Z14" s="9">
        <v>0.0</v>
      </c>
      <c r="AA14" s="9">
        <v>0.0</v>
      </c>
      <c r="AB14" s="9">
        <v>0.0</v>
      </c>
      <c r="AC14" s="9">
        <v>0.0</v>
      </c>
      <c r="AD14" s="9">
        <v>0.0</v>
      </c>
      <c r="AE14" s="9">
        <v>0.0</v>
      </c>
      <c r="AF14" s="16" t="s">
        <v>86</v>
      </c>
      <c r="AG14" s="15">
        <f>IFERROR(__xludf.DUMMYFUNCTION("SUM(QUERY(Entregas_BD!D:W,""select U where D='""&amp;D14&amp;""'"",1))"),0.0)</f>
        <v>0</v>
      </c>
      <c r="AH14" s="15">
        <f>IFERROR(__xludf.DUMMYFUNCTION("SUM(QUERY(Entregas_BD!D:W,""select S where D='""&amp;D14&amp;""'"",1))"),0.0)</f>
        <v>0</v>
      </c>
      <c r="AI14" s="15">
        <f>IFERROR(__xludf.DUMMYFUNCTION("SUM(QUERY(Entregas_BD!D:W,""select T where D='""&amp;D14&amp;""'"",1))"),0.0)</f>
        <v>0</v>
      </c>
    </row>
    <row r="15" ht="19.5" customHeight="1">
      <c r="A15" s="28"/>
      <c r="B15" s="29"/>
      <c r="C15" s="19">
        <v>14.0</v>
      </c>
      <c r="D15" s="20" t="s">
        <v>87</v>
      </c>
      <c r="E15" s="20" t="s">
        <v>58</v>
      </c>
      <c r="F15" s="20" t="s">
        <v>45</v>
      </c>
      <c r="G15" s="20" t="s">
        <v>88</v>
      </c>
      <c r="H15" s="19" t="s">
        <v>51</v>
      </c>
      <c r="I15" s="21" t="s">
        <v>41</v>
      </c>
      <c r="J15" s="19"/>
      <c r="K15" s="22"/>
      <c r="L15" s="23"/>
      <c r="M15" s="22"/>
      <c r="N15" s="19">
        <f>IFERROR(__xludf.DUMMYFUNCTION("SUM(QUERY(Entregas_BD!D:L,""select G where D='""&amp;D15&amp;""'"",1))"),0.0)</f>
        <v>0</v>
      </c>
      <c r="O15" s="19">
        <f>IFERROR(__xludf.DUMMYFUNCTION("SUM(QUERY(Entregas_BD!D:L,""select H where D='""&amp;D15&amp;""'"",1))"),0.0)</f>
        <v>0</v>
      </c>
      <c r="P15" s="19">
        <f>IFERROR(__xludf.DUMMYFUNCTION("SUM(QUERY(Entregas_BD!D:L,""select I where D='""&amp;D15&amp;""'"",1))"),0.0)</f>
        <v>0</v>
      </c>
      <c r="Q15" s="19">
        <f>IFERROR(__xludf.DUMMYFUNCTION("SUM(QUERY(Entregas_BD!D:L,""select J where D='""&amp;D15&amp;""'"",1))"),0.0)</f>
        <v>0</v>
      </c>
      <c r="R15" s="24">
        <f>IFERROR(__xludf.DUMMYFUNCTION("SUM(QUERY(Entregas_BD!D:L,""select K where D='""&amp;D15&amp;""'"",1))"),0.0)</f>
        <v>0</v>
      </c>
      <c r="S15" s="24">
        <f>IFERROR(__xludf.DUMMYFUNCTION("SUM(QUERY(Entregas_BD!D:L,""select L where D='""&amp;D15&amp;""'"",1))"),0.0)</f>
        <v>0</v>
      </c>
      <c r="T15" s="19">
        <f>IFERROR(__xludf.DUMMYFUNCTION("SUM(QUERY(Entregas_BD!D:AL,""select AG where D='""&amp;D15&amp;""'"",1))"),50.0)</f>
        <v>50</v>
      </c>
      <c r="U15" s="19">
        <f>IFERROR(__xludf.DUMMYFUNCTION("SUM(QUERY(Entregas_BD!D:AL,""select AH where D='""&amp;D15&amp;""'"",1))"),0.0)</f>
        <v>0</v>
      </c>
      <c r="V15" s="19">
        <f>IFERROR(__xludf.DUMMYFUNCTION("SUM(QUERY(Entregas_BD!D:AL,""select AI where D='""&amp;D15&amp;""'"",1))"),0.0)</f>
        <v>0</v>
      </c>
      <c r="W15" s="19">
        <f>IFERROR(__xludf.DUMMYFUNCTION("SUM(QUERY(Entregas_BD!D:AL,""select AJ where D='""&amp;D15&amp;""'"",1))"),0.0)</f>
        <v>0</v>
      </c>
      <c r="X15" s="19">
        <f>IFERROR(__xludf.DUMMYFUNCTION("SUM(QUERY(Entregas_BD!D:AL,""select AL where D='""&amp;D15&amp;""'"",1))"),30.0)</f>
        <v>30</v>
      </c>
      <c r="Y15" s="19">
        <f>IFERROR(__xludf.DUMMYFUNCTION("SUM(QUERY(Entregas_BD!D:AL,""select AK where D='""&amp;D15&amp;""'"",1))"),0.0)</f>
        <v>0</v>
      </c>
      <c r="Z15" s="19">
        <v>-50.0</v>
      </c>
      <c r="AA15" s="19">
        <v>0.0</v>
      </c>
      <c r="AB15" s="19">
        <v>0.0</v>
      </c>
      <c r="AC15" s="19">
        <v>0.0</v>
      </c>
      <c r="AD15" s="19">
        <v>0.0</v>
      </c>
      <c r="AE15" s="19">
        <v>-30.0</v>
      </c>
      <c r="AF15" s="31" t="s">
        <v>89</v>
      </c>
      <c r="AG15" s="24">
        <f>IFERROR(__xludf.DUMMYFUNCTION("SUM(QUERY(Entregas_BD!D:W,""select U where D='""&amp;D15&amp;""'"",1))"),0.0)</f>
        <v>0</v>
      </c>
      <c r="AH15" s="24">
        <f>IFERROR(__xludf.DUMMYFUNCTION("SUM(QUERY(Entregas_BD!D:W,""select S where D='""&amp;D15&amp;""'"",1))"),0.0)</f>
        <v>0</v>
      </c>
      <c r="AI15" s="24">
        <f>IFERROR(__xludf.DUMMYFUNCTION("SUM(QUERY(Entregas_BD!D:W,""select T where D='""&amp;D15&amp;""'"",1))"),0.0)</f>
        <v>0</v>
      </c>
    </row>
    <row r="16" ht="19.5" customHeight="1">
      <c r="A16" s="26"/>
      <c r="B16" s="27"/>
      <c r="C16" s="9">
        <v>15.0</v>
      </c>
      <c r="D16" s="33" t="s">
        <v>90</v>
      </c>
      <c r="E16" s="10" t="s">
        <v>44</v>
      </c>
      <c r="F16" s="10" t="s">
        <v>45</v>
      </c>
      <c r="G16" s="10" t="s">
        <v>91</v>
      </c>
      <c r="H16" s="9" t="s">
        <v>51</v>
      </c>
      <c r="I16" s="11" t="s">
        <v>41</v>
      </c>
      <c r="J16" s="9"/>
      <c r="K16" s="12"/>
      <c r="L16" s="13"/>
      <c r="M16" s="12"/>
      <c r="N16" s="9">
        <f>IFERROR(__xludf.DUMMYFUNCTION("SUM(QUERY(Entregas_BD!D:L,""select G where D='""&amp;D16&amp;""'"",1))"),0.0)</f>
        <v>0</v>
      </c>
      <c r="O16" s="9">
        <f>IFERROR(__xludf.DUMMYFUNCTION("SUM(QUERY(Entregas_BD!D:L,""select H where D='""&amp;D16&amp;""'"",1))"),0.0)</f>
        <v>0</v>
      </c>
      <c r="P16" s="9">
        <f>IFERROR(__xludf.DUMMYFUNCTION("SUM(QUERY(Entregas_BD!D:L,""select I where D='""&amp;D16&amp;""'"",1))"),0.0)</f>
        <v>0</v>
      </c>
      <c r="Q16" s="9">
        <f>IFERROR(__xludf.DUMMYFUNCTION("SUM(QUERY(Entregas_BD!D:L,""select J where D='""&amp;D16&amp;""'"",1))"),0.0)</f>
        <v>0</v>
      </c>
      <c r="R16" s="15">
        <f>IFERROR(__xludf.DUMMYFUNCTION("SUM(QUERY(Entregas_BD!D:L,""select K where D='""&amp;D16&amp;""'"",1))"),0.0)</f>
        <v>0</v>
      </c>
      <c r="S16" s="15">
        <f>IFERROR(__xludf.DUMMYFUNCTION("SUM(QUERY(Entregas_BD!D:L,""select L where D='""&amp;D16&amp;""'"",1))"),0.0)</f>
        <v>0</v>
      </c>
      <c r="T16" s="9">
        <f>IFERROR(__xludf.DUMMYFUNCTION("SUM(QUERY(Entregas_BD!D:AL,""select AG where D='""&amp;D16&amp;""'"",1))"),25.0)</f>
        <v>25</v>
      </c>
      <c r="U16" s="9">
        <f>IFERROR(__xludf.DUMMYFUNCTION("SUM(QUERY(Entregas_BD!D:AL,""select AH where D='""&amp;D16&amp;""'"",1))"),0.0)</f>
        <v>0</v>
      </c>
      <c r="V16" s="9">
        <f>IFERROR(__xludf.DUMMYFUNCTION("SUM(QUERY(Entregas_BD!D:AL,""select AI where D='""&amp;D16&amp;""'"",1))"),0.0)</f>
        <v>0</v>
      </c>
      <c r="W16" s="9">
        <f>IFERROR(__xludf.DUMMYFUNCTION("SUM(QUERY(Entregas_BD!D:AL,""select AJ where D='""&amp;D16&amp;""'"",1))"),0.0)</f>
        <v>0</v>
      </c>
      <c r="X16" s="9">
        <f>IFERROR(__xludf.DUMMYFUNCTION("SUM(QUERY(Entregas_BD!D:AL,""select AL where D='""&amp;D16&amp;""'"",1))"),50.0)</f>
        <v>50</v>
      </c>
      <c r="Y16" s="9">
        <f>IFERROR(__xludf.DUMMYFUNCTION("SUM(QUERY(Entregas_BD!D:AL,""select AK where D='""&amp;D16&amp;""'"",1))"),0.0)</f>
        <v>0</v>
      </c>
      <c r="Z16" s="9">
        <v>-25.0</v>
      </c>
      <c r="AA16" s="9">
        <v>0.0</v>
      </c>
      <c r="AB16" s="9">
        <v>0.0</v>
      </c>
      <c r="AC16" s="9">
        <v>0.0</v>
      </c>
      <c r="AD16" s="9">
        <v>0.0</v>
      </c>
      <c r="AE16" s="9">
        <v>-50.0</v>
      </c>
      <c r="AF16" s="16" t="s">
        <v>92</v>
      </c>
      <c r="AG16" s="15">
        <f>IFERROR(__xludf.DUMMYFUNCTION("SUM(QUERY(Entregas_BD!D:W,""select U where D='""&amp;D16&amp;""'"",1))"),0.0)</f>
        <v>0</v>
      </c>
      <c r="AH16" s="15">
        <f>IFERROR(__xludf.DUMMYFUNCTION("SUM(QUERY(Entregas_BD!D:W,""select S where D='""&amp;D16&amp;""'"",1))"),0.0)</f>
        <v>0</v>
      </c>
      <c r="AI16" s="15">
        <f>IFERROR(__xludf.DUMMYFUNCTION("SUM(QUERY(Entregas_BD!D:W,""select T where D='""&amp;D16&amp;""'"",1))"),0.0)</f>
        <v>0</v>
      </c>
    </row>
    <row r="17" ht="19.5" customHeight="1">
      <c r="A17" s="17"/>
      <c r="B17" s="18"/>
      <c r="C17" s="19">
        <v>16.0</v>
      </c>
      <c r="D17" s="34" t="s">
        <v>93</v>
      </c>
      <c r="E17" s="20" t="s">
        <v>44</v>
      </c>
      <c r="F17" s="20" t="s">
        <v>45</v>
      </c>
      <c r="G17" s="20" t="s">
        <v>94</v>
      </c>
      <c r="H17" s="19" t="s">
        <v>51</v>
      </c>
      <c r="I17" s="21" t="s">
        <v>41</v>
      </c>
      <c r="J17" s="19"/>
      <c r="K17" s="22"/>
      <c r="L17" s="23"/>
      <c r="M17" s="22"/>
      <c r="N17" s="19">
        <f>IFERROR(__xludf.DUMMYFUNCTION("SUM(QUERY(Entregas_BD!D:L,""select G where D='""&amp;D17&amp;""'"",1))"),0.0)</f>
        <v>0</v>
      </c>
      <c r="O17" s="19">
        <f>IFERROR(__xludf.DUMMYFUNCTION("SUM(QUERY(Entregas_BD!D:L,""select H where D='""&amp;D17&amp;""'"",1))"),0.0)</f>
        <v>0</v>
      </c>
      <c r="P17" s="19">
        <f>IFERROR(__xludf.DUMMYFUNCTION("SUM(QUERY(Entregas_BD!D:L,""select I where D='""&amp;D17&amp;""'"",1))"),0.0)</f>
        <v>0</v>
      </c>
      <c r="Q17" s="19">
        <f>IFERROR(__xludf.DUMMYFUNCTION("SUM(QUERY(Entregas_BD!D:L,""select J where D='""&amp;D17&amp;""'"",1))"),0.0)</f>
        <v>0</v>
      </c>
      <c r="R17" s="24">
        <f>IFERROR(__xludf.DUMMYFUNCTION("SUM(QUERY(Entregas_BD!D:L,""select K where D='""&amp;D17&amp;""'"",1))"),0.0)</f>
        <v>0</v>
      </c>
      <c r="S17" s="24">
        <f>IFERROR(__xludf.DUMMYFUNCTION("SUM(QUERY(Entregas_BD!D:L,""select L where D='""&amp;D17&amp;""'"",1))"),0.0)</f>
        <v>0</v>
      </c>
      <c r="T17" s="19">
        <f>IFERROR(__xludf.DUMMYFUNCTION("SUM(QUERY(Entregas_BD!D:AL,""select AG where D='""&amp;D17&amp;""'"",1))"),25.0)</f>
        <v>25</v>
      </c>
      <c r="U17" s="19">
        <f>IFERROR(__xludf.DUMMYFUNCTION("SUM(QUERY(Entregas_BD!D:AL,""select AH where D='""&amp;D17&amp;""'"",1))"),0.0)</f>
        <v>0</v>
      </c>
      <c r="V17" s="19">
        <f>IFERROR(__xludf.DUMMYFUNCTION("SUM(QUERY(Entregas_BD!D:AL,""select AI where D='""&amp;D17&amp;""'"",1))"),0.0)</f>
        <v>0</v>
      </c>
      <c r="W17" s="19">
        <f>IFERROR(__xludf.DUMMYFUNCTION("SUM(QUERY(Entregas_BD!D:AL,""select AJ where D='""&amp;D17&amp;""'"",1))"),0.0)</f>
        <v>0</v>
      </c>
      <c r="X17" s="19">
        <f>IFERROR(__xludf.DUMMYFUNCTION("SUM(QUERY(Entregas_BD!D:AL,""select AL where D='""&amp;D17&amp;""'"",1))"),50.0)</f>
        <v>50</v>
      </c>
      <c r="Y17" s="19">
        <f>IFERROR(__xludf.DUMMYFUNCTION("SUM(QUERY(Entregas_BD!D:AL,""select AK where D='""&amp;D17&amp;""'"",1))"),0.0)</f>
        <v>0</v>
      </c>
      <c r="Z17" s="19">
        <v>-25.0</v>
      </c>
      <c r="AA17" s="19">
        <v>0.0</v>
      </c>
      <c r="AB17" s="19">
        <v>0.0</v>
      </c>
      <c r="AC17" s="19">
        <v>0.0</v>
      </c>
      <c r="AD17" s="19">
        <v>0.0</v>
      </c>
      <c r="AE17" s="19">
        <v>-50.0</v>
      </c>
      <c r="AF17" s="25" t="s">
        <v>95</v>
      </c>
      <c r="AG17" s="24">
        <f>IFERROR(__xludf.DUMMYFUNCTION("SUM(QUERY(Entregas_BD!D:W,""select U where D='""&amp;D17&amp;""'"",1))"),0.0)</f>
        <v>0</v>
      </c>
      <c r="AH17" s="24">
        <f>IFERROR(__xludf.DUMMYFUNCTION("SUM(QUERY(Entregas_BD!D:W,""select S where D='""&amp;D17&amp;""'"",1))"),0.0)</f>
        <v>0</v>
      </c>
      <c r="AI17" s="24">
        <f>IFERROR(__xludf.DUMMYFUNCTION("SUM(QUERY(Entregas_BD!D:W,""select T where D='""&amp;D17&amp;""'"",1))"),0.0)</f>
        <v>0</v>
      </c>
    </row>
    <row r="18" ht="19.5" customHeight="1">
      <c r="A18" s="7"/>
      <c r="B18" s="8"/>
      <c r="C18" s="9">
        <v>17.0</v>
      </c>
      <c r="D18" s="33" t="s">
        <v>96</v>
      </c>
      <c r="E18" s="10" t="s">
        <v>72</v>
      </c>
      <c r="F18" s="10" t="s">
        <v>45</v>
      </c>
      <c r="G18" s="10" t="s">
        <v>97</v>
      </c>
      <c r="H18" s="9" t="s">
        <v>51</v>
      </c>
      <c r="I18" s="11" t="s">
        <v>41</v>
      </c>
      <c r="J18" s="12"/>
      <c r="K18" s="12"/>
      <c r="L18" s="13"/>
      <c r="M18" s="12"/>
      <c r="N18" s="9">
        <f>IFERROR(__xludf.DUMMYFUNCTION("SUM(QUERY(Entregas_BD!D:L,""select G where D='""&amp;D18&amp;""'"",1))"),0.0)</f>
        <v>0</v>
      </c>
      <c r="O18" s="9">
        <f>IFERROR(__xludf.DUMMYFUNCTION("SUM(QUERY(Entregas_BD!D:L,""select H where D='""&amp;D18&amp;""'"",1))"),0.0)</f>
        <v>0</v>
      </c>
      <c r="P18" s="9">
        <f>IFERROR(__xludf.DUMMYFUNCTION("SUM(QUERY(Entregas_BD!D:L,""select I where D='""&amp;D18&amp;""'"",1))"),0.0)</f>
        <v>0</v>
      </c>
      <c r="Q18" s="9">
        <f>IFERROR(__xludf.DUMMYFUNCTION("SUM(QUERY(Entregas_BD!D:L,""select J where D='""&amp;D18&amp;""'"",1))"),0.0)</f>
        <v>0</v>
      </c>
      <c r="R18" s="15">
        <f>IFERROR(__xludf.DUMMYFUNCTION("SUM(QUERY(Entregas_BD!D:L,""select K where D='""&amp;D18&amp;""'"",1))"),0.0)</f>
        <v>0</v>
      </c>
      <c r="S18" s="15">
        <f>IFERROR(__xludf.DUMMYFUNCTION("SUM(QUERY(Entregas_BD!D:L,""select L where D='""&amp;D18&amp;""'"",1))"),0.0)</f>
        <v>0</v>
      </c>
      <c r="T18" s="9">
        <f>IFERROR(__xludf.DUMMYFUNCTION("SUM(QUERY(Entregas_BD!D:AL,""select AG where D='""&amp;D18&amp;""'"",1))"),25.0)</f>
        <v>25</v>
      </c>
      <c r="U18" s="9">
        <f>IFERROR(__xludf.DUMMYFUNCTION("SUM(QUERY(Entregas_BD!D:AL,""select AH where D='""&amp;D18&amp;""'"",1))"),0.0)</f>
        <v>0</v>
      </c>
      <c r="V18" s="9">
        <f>IFERROR(__xludf.DUMMYFUNCTION("SUM(QUERY(Entregas_BD!D:AL,""select AI where D='""&amp;D18&amp;""'"",1))"),0.0)</f>
        <v>0</v>
      </c>
      <c r="W18" s="9">
        <f>IFERROR(__xludf.DUMMYFUNCTION("SUM(QUERY(Entregas_BD!D:AL,""select AJ where D='""&amp;D18&amp;""'"",1))"),0.0)</f>
        <v>0</v>
      </c>
      <c r="X18" s="9">
        <f>IFERROR(__xludf.DUMMYFUNCTION("SUM(QUERY(Entregas_BD!D:AL,""select AL where D='""&amp;D18&amp;""'"",1))"),0.0)</f>
        <v>0</v>
      </c>
      <c r="Y18" s="9">
        <f>IFERROR(__xludf.DUMMYFUNCTION("SUM(QUERY(Entregas_BD!D:AL,""select AK where D='""&amp;D18&amp;""'"",1))"),0.0)</f>
        <v>0</v>
      </c>
      <c r="Z18" s="9">
        <v>-25.0</v>
      </c>
      <c r="AA18" s="9">
        <v>0.0</v>
      </c>
      <c r="AB18" s="9">
        <v>0.0</v>
      </c>
      <c r="AC18" s="9">
        <v>0.0</v>
      </c>
      <c r="AD18" s="9">
        <v>0.0</v>
      </c>
      <c r="AE18" s="9">
        <v>0.0</v>
      </c>
      <c r="AF18" s="16" t="s">
        <v>98</v>
      </c>
      <c r="AG18" s="15">
        <f>IFERROR(__xludf.DUMMYFUNCTION("SUM(QUERY(Entregas_BD!D:W,""select U where D='""&amp;D18&amp;""'"",1))"),0.0)</f>
        <v>0</v>
      </c>
      <c r="AH18" s="15">
        <f>IFERROR(__xludf.DUMMYFUNCTION("SUM(QUERY(Entregas_BD!D:W,""select S where D='""&amp;D18&amp;""'"",1))"),0.0)</f>
        <v>0</v>
      </c>
      <c r="AI18" s="15">
        <f>IFERROR(__xludf.DUMMYFUNCTION("SUM(QUERY(Entregas_BD!D:W,""select T where D='""&amp;D18&amp;""'"",1))"),0.0)</f>
        <v>0</v>
      </c>
    </row>
    <row r="19" ht="19.5" customHeight="1">
      <c r="A19" s="28"/>
      <c r="B19" s="29"/>
      <c r="C19" s="19">
        <v>18.0</v>
      </c>
      <c r="D19" s="20" t="s">
        <v>99</v>
      </c>
      <c r="E19" s="20" t="s">
        <v>54</v>
      </c>
      <c r="F19" s="20" t="s">
        <v>45</v>
      </c>
      <c r="G19" s="20" t="s">
        <v>100</v>
      </c>
      <c r="H19" s="19" t="s">
        <v>51</v>
      </c>
      <c r="I19" s="21" t="s">
        <v>47</v>
      </c>
      <c r="J19" s="22"/>
      <c r="K19" s="22"/>
      <c r="L19" s="23"/>
      <c r="M19" s="22"/>
      <c r="N19" s="19">
        <f>IFERROR(__xludf.DUMMYFUNCTION("SUM(QUERY(Entregas_BD!D:L,""select G where D='""&amp;D19&amp;""'"",1))"),0.0)</f>
        <v>0</v>
      </c>
      <c r="O19" s="19">
        <f>IFERROR(__xludf.DUMMYFUNCTION("SUM(QUERY(Entregas_BD!D:L,""select H where D='""&amp;D19&amp;""'"",1))"),0.0)</f>
        <v>0</v>
      </c>
      <c r="P19" s="19">
        <f>IFERROR(__xludf.DUMMYFUNCTION("SUM(QUERY(Entregas_BD!D:L,""select I where D='""&amp;D19&amp;""'"",1))"),0.0)</f>
        <v>0</v>
      </c>
      <c r="Q19" s="19">
        <f>IFERROR(__xludf.DUMMYFUNCTION("SUM(QUERY(Entregas_BD!D:L,""select J where D='""&amp;D19&amp;""'"",1))"),0.0)</f>
        <v>0</v>
      </c>
      <c r="R19" s="24">
        <f>IFERROR(__xludf.DUMMYFUNCTION("SUM(QUERY(Entregas_BD!D:L,""select K where D='""&amp;D19&amp;""'"",1))"),0.0)</f>
        <v>0</v>
      </c>
      <c r="S19" s="24">
        <f>IFERROR(__xludf.DUMMYFUNCTION("SUM(QUERY(Entregas_BD!D:L,""select L where D='""&amp;D19&amp;""'"",1))"),0.0)</f>
        <v>0</v>
      </c>
      <c r="T19" s="19">
        <f>IFERROR(__xludf.DUMMYFUNCTION("SUM(QUERY(Entregas_BD!D:AL,""select AG where D='""&amp;D19&amp;""'"",1))"),0.0)</f>
        <v>0</v>
      </c>
      <c r="U19" s="19">
        <f>IFERROR(__xludf.DUMMYFUNCTION("SUM(QUERY(Entregas_BD!D:AL,""select AH where D='""&amp;D19&amp;""'"",1))"),0.0)</f>
        <v>0</v>
      </c>
      <c r="V19" s="19">
        <f>IFERROR(__xludf.DUMMYFUNCTION("SUM(QUERY(Entregas_BD!D:AL,""select AI where D='""&amp;D19&amp;""'"",1))"),0.0)</f>
        <v>0</v>
      </c>
      <c r="W19" s="19">
        <f>IFERROR(__xludf.DUMMYFUNCTION("SUM(QUERY(Entregas_BD!D:AL,""select AJ where D='""&amp;D19&amp;""'"",1))"),0.0)</f>
        <v>0</v>
      </c>
      <c r="X19" s="19">
        <f>IFERROR(__xludf.DUMMYFUNCTION("SUM(QUERY(Entregas_BD!D:AL,""select AL where D='""&amp;D19&amp;""'"",1))"),0.0)</f>
        <v>0</v>
      </c>
      <c r="Y19" s="19">
        <f>IFERROR(__xludf.DUMMYFUNCTION("SUM(QUERY(Entregas_BD!D:AL,""select AK where D='""&amp;D19&amp;""'"",1))"),0.0)</f>
        <v>0</v>
      </c>
      <c r="Z19" s="19">
        <v>0.0</v>
      </c>
      <c r="AA19" s="19">
        <v>0.0</v>
      </c>
      <c r="AB19" s="19">
        <v>0.0</v>
      </c>
      <c r="AC19" s="19">
        <v>0.0</v>
      </c>
      <c r="AD19" s="19">
        <v>0.0</v>
      </c>
      <c r="AE19" s="19">
        <v>0.0</v>
      </c>
      <c r="AF19" s="31" t="s">
        <v>101</v>
      </c>
      <c r="AG19" s="24">
        <f>IFERROR(__xludf.DUMMYFUNCTION("SUM(QUERY(Entregas_BD!D:W,""select U where D='""&amp;D19&amp;""'"",1))"),0.0)</f>
        <v>0</v>
      </c>
      <c r="AH19" s="24">
        <f>IFERROR(__xludf.DUMMYFUNCTION("SUM(QUERY(Entregas_BD!D:W,""select S where D='""&amp;D19&amp;""'"",1))"),0.0)</f>
        <v>0</v>
      </c>
      <c r="AI19" s="24">
        <f>IFERROR(__xludf.DUMMYFUNCTION("SUM(QUERY(Entregas_BD!D:W,""select T where D='""&amp;D19&amp;""'"",1))"),0.0)</f>
        <v>0</v>
      </c>
    </row>
    <row r="20" ht="19.5" customHeight="1">
      <c r="A20" s="7"/>
      <c r="B20" s="8"/>
      <c r="C20" s="9">
        <v>19.0</v>
      </c>
      <c r="D20" s="10" t="s">
        <v>102</v>
      </c>
      <c r="E20" s="10" t="s">
        <v>54</v>
      </c>
      <c r="F20" s="10" t="s">
        <v>45</v>
      </c>
      <c r="G20" s="10" t="s">
        <v>103</v>
      </c>
      <c r="H20" s="9" t="s">
        <v>51</v>
      </c>
      <c r="I20" s="11" t="s">
        <v>47</v>
      </c>
      <c r="J20" s="12"/>
      <c r="K20" s="12"/>
      <c r="L20" s="13"/>
      <c r="M20" s="12"/>
      <c r="N20" s="9">
        <f>IFERROR(__xludf.DUMMYFUNCTION("SUM(QUERY(Entregas_BD!D:L,""select G where D='""&amp;D20&amp;""'"",1))"),0.0)</f>
        <v>0</v>
      </c>
      <c r="O20" s="9">
        <f>IFERROR(__xludf.DUMMYFUNCTION("SUM(QUERY(Entregas_BD!D:L,""select H where D='""&amp;D20&amp;""'"",1))"),0.0)</f>
        <v>0</v>
      </c>
      <c r="P20" s="9">
        <f>IFERROR(__xludf.DUMMYFUNCTION("SUM(QUERY(Entregas_BD!D:L,""select I where D='""&amp;D20&amp;""'"",1))"),0.0)</f>
        <v>0</v>
      </c>
      <c r="Q20" s="9">
        <f>IFERROR(__xludf.DUMMYFUNCTION("SUM(QUERY(Entregas_BD!D:L,""select J where D='""&amp;D20&amp;""'"",1))"),0.0)</f>
        <v>0</v>
      </c>
      <c r="R20" s="15">
        <f>IFERROR(__xludf.DUMMYFUNCTION("SUM(QUERY(Entregas_BD!D:L,""select K where D='""&amp;D20&amp;""'"",1))"),0.0)</f>
        <v>0</v>
      </c>
      <c r="S20" s="15">
        <f>IFERROR(__xludf.DUMMYFUNCTION("SUM(QUERY(Entregas_BD!D:L,""select L where D='""&amp;D20&amp;""'"",1))"),0.0)</f>
        <v>0</v>
      </c>
      <c r="T20" s="9">
        <f>IFERROR(__xludf.DUMMYFUNCTION("SUM(QUERY(Entregas_BD!D:AL,""select AG where D='""&amp;D20&amp;""'"",1))"),0.0)</f>
        <v>0</v>
      </c>
      <c r="U20" s="9">
        <f>IFERROR(__xludf.DUMMYFUNCTION("SUM(QUERY(Entregas_BD!D:AL,""select AH where D='""&amp;D20&amp;""'"",1))"),0.0)</f>
        <v>0</v>
      </c>
      <c r="V20" s="9">
        <f>IFERROR(__xludf.DUMMYFUNCTION("SUM(QUERY(Entregas_BD!D:AL,""select AI where D='""&amp;D20&amp;""'"",1))"),0.0)</f>
        <v>0</v>
      </c>
      <c r="W20" s="9">
        <f>IFERROR(__xludf.DUMMYFUNCTION("SUM(QUERY(Entregas_BD!D:AL,""select AJ where D='""&amp;D20&amp;""'"",1))"),0.0)</f>
        <v>0</v>
      </c>
      <c r="X20" s="9">
        <f>IFERROR(__xludf.DUMMYFUNCTION("SUM(QUERY(Entregas_BD!D:AL,""select AL where D='""&amp;D20&amp;""'"",1))"),0.0)</f>
        <v>0</v>
      </c>
      <c r="Y20" s="9">
        <f>IFERROR(__xludf.DUMMYFUNCTION("SUM(QUERY(Entregas_BD!D:AL,""select AK where D='""&amp;D20&amp;""'"",1))"),0.0)</f>
        <v>0</v>
      </c>
      <c r="Z20" s="9">
        <v>0.0</v>
      </c>
      <c r="AA20" s="9">
        <v>0.0</v>
      </c>
      <c r="AB20" s="9">
        <v>0.0</v>
      </c>
      <c r="AC20" s="9">
        <v>0.0</v>
      </c>
      <c r="AD20" s="9">
        <v>0.0</v>
      </c>
      <c r="AE20" s="9">
        <v>0.0</v>
      </c>
      <c r="AF20" s="16" t="s">
        <v>104</v>
      </c>
      <c r="AG20" s="15">
        <f>IFERROR(__xludf.DUMMYFUNCTION("SUM(QUERY(Entregas_BD!D:W,""select U where D='""&amp;D20&amp;""'"",1))"),0.0)</f>
        <v>0</v>
      </c>
      <c r="AH20" s="15">
        <f>IFERROR(__xludf.DUMMYFUNCTION("SUM(QUERY(Entregas_BD!D:W,""select S where D='""&amp;D20&amp;""'"",1))"),0.0)</f>
        <v>0</v>
      </c>
      <c r="AI20" s="15">
        <f>IFERROR(__xludf.DUMMYFUNCTION("SUM(QUERY(Entregas_BD!D:W,""select T where D='""&amp;D20&amp;""'"",1))"),0.0)</f>
        <v>0</v>
      </c>
    </row>
    <row r="21" ht="19.5" customHeight="1">
      <c r="A21" s="28"/>
      <c r="B21" s="29"/>
      <c r="C21" s="19">
        <v>20.0</v>
      </c>
      <c r="D21" s="20" t="s">
        <v>105</v>
      </c>
      <c r="E21" s="20" t="s">
        <v>54</v>
      </c>
      <c r="F21" s="20" t="s">
        <v>45</v>
      </c>
      <c r="G21" s="20" t="s">
        <v>106</v>
      </c>
      <c r="H21" s="19" t="s">
        <v>51</v>
      </c>
      <c r="I21" s="21" t="s">
        <v>47</v>
      </c>
      <c r="J21" s="22"/>
      <c r="K21" s="22"/>
      <c r="L21" s="23"/>
      <c r="M21" s="22"/>
      <c r="N21" s="19">
        <f>IFERROR(__xludf.DUMMYFUNCTION("SUM(QUERY(Entregas_BD!D:L,""select G where D='""&amp;D21&amp;""'"",1))"),0.0)</f>
        <v>0</v>
      </c>
      <c r="O21" s="19">
        <f>IFERROR(__xludf.DUMMYFUNCTION("SUM(QUERY(Entregas_BD!D:L,""select H where D='""&amp;D21&amp;""'"",1))"),0.0)</f>
        <v>0</v>
      </c>
      <c r="P21" s="19">
        <f>IFERROR(__xludf.DUMMYFUNCTION("SUM(QUERY(Entregas_BD!D:L,""select I where D='""&amp;D21&amp;""'"",1))"),0.0)</f>
        <v>0</v>
      </c>
      <c r="Q21" s="19">
        <f>IFERROR(__xludf.DUMMYFUNCTION("SUM(QUERY(Entregas_BD!D:L,""select J where D='""&amp;D21&amp;""'"",1))"),0.0)</f>
        <v>0</v>
      </c>
      <c r="R21" s="24">
        <f>IFERROR(__xludf.DUMMYFUNCTION("SUM(QUERY(Entregas_BD!D:L,""select K where D='""&amp;D21&amp;""'"",1))"),0.0)</f>
        <v>0</v>
      </c>
      <c r="S21" s="24">
        <f>IFERROR(__xludf.DUMMYFUNCTION("SUM(QUERY(Entregas_BD!D:L,""select L where D='""&amp;D21&amp;""'"",1))"),0.0)</f>
        <v>0</v>
      </c>
      <c r="T21" s="19">
        <f>IFERROR(__xludf.DUMMYFUNCTION("SUM(QUERY(Entregas_BD!D:AL,""select AG where D='""&amp;D21&amp;""'"",1))"),0.0)</f>
        <v>0</v>
      </c>
      <c r="U21" s="19">
        <f>IFERROR(__xludf.DUMMYFUNCTION("SUM(QUERY(Entregas_BD!D:AL,""select AH where D='""&amp;D21&amp;""'"",1))"),0.0)</f>
        <v>0</v>
      </c>
      <c r="V21" s="19">
        <f>IFERROR(__xludf.DUMMYFUNCTION("SUM(QUERY(Entregas_BD!D:AL,""select AI where D='""&amp;D21&amp;""'"",1))"),0.0)</f>
        <v>0</v>
      </c>
      <c r="W21" s="19">
        <f>IFERROR(__xludf.DUMMYFUNCTION("SUM(QUERY(Entregas_BD!D:AL,""select AJ where D='""&amp;D21&amp;""'"",1))"),0.0)</f>
        <v>0</v>
      </c>
      <c r="X21" s="19">
        <f>IFERROR(__xludf.DUMMYFUNCTION("SUM(QUERY(Entregas_BD!D:AL,""select AL where D='""&amp;D21&amp;""'"",1))"),0.0)</f>
        <v>0</v>
      </c>
      <c r="Y21" s="19">
        <f>IFERROR(__xludf.DUMMYFUNCTION("SUM(QUERY(Entregas_BD!D:AL,""select AK where D='""&amp;D21&amp;""'"",1))"),0.0)</f>
        <v>0</v>
      </c>
      <c r="Z21" s="19">
        <v>0.0</v>
      </c>
      <c r="AA21" s="19">
        <v>0.0</v>
      </c>
      <c r="AB21" s="19">
        <v>0.0</v>
      </c>
      <c r="AC21" s="19">
        <v>0.0</v>
      </c>
      <c r="AD21" s="19">
        <v>0.0</v>
      </c>
      <c r="AE21" s="19">
        <v>0.0</v>
      </c>
      <c r="AF21" s="31" t="s">
        <v>107</v>
      </c>
      <c r="AG21" s="24">
        <f>IFERROR(__xludf.DUMMYFUNCTION("SUM(QUERY(Entregas_BD!D:W,""select U where D='""&amp;D21&amp;""'"",1))"),0.0)</f>
        <v>0</v>
      </c>
      <c r="AH21" s="24">
        <f>IFERROR(__xludf.DUMMYFUNCTION("SUM(QUERY(Entregas_BD!D:W,""select S where D='""&amp;D21&amp;""'"",1))"),0.0)</f>
        <v>0</v>
      </c>
      <c r="AI21" s="24">
        <f>IFERROR(__xludf.DUMMYFUNCTION("SUM(QUERY(Entregas_BD!D:W,""select T where D='""&amp;D21&amp;""'"",1))"),0.0)</f>
        <v>0</v>
      </c>
    </row>
    <row r="22" ht="19.5" customHeight="1">
      <c r="A22" s="7"/>
      <c r="B22" s="8"/>
      <c r="C22" s="9">
        <v>21.0</v>
      </c>
      <c r="D22" s="10" t="s">
        <v>108</v>
      </c>
      <c r="E22" s="10" t="s">
        <v>54</v>
      </c>
      <c r="F22" s="10" t="s">
        <v>45</v>
      </c>
      <c r="G22" s="10" t="s">
        <v>109</v>
      </c>
      <c r="H22" s="9" t="s">
        <v>51</v>
      </c>
      <c r="I22" s="11" t="s">
        <v>41</v>
      </c>
      <c r="J22" s="12"/>
      <c r="K22" s="12"/>
      <c r="L22" s="13"/>
      <c r="M22" s="12"/>
      <c r="N22" s="9">
        <f>IFERROR(__xludf.DUMMYFUNCTION("SUM(QUERY(Entregas_BD!D:L,""select G where D='""&amp;D22&amp;""'"",1))"),0.0)</f>
        <v>0</v>
      </c>
      <c r="O22" s="9">
        <f>IFERROR(__xludf.DUMMYFUNCTION("SUM(QUERY(Entregas_BD!D:L,""select H where D='""&amp;D22&amp;""'"",1))"),0.0)</f>
        <v>0</v>
      </c>
      <c r="P22" s="9">
        <f>IFERROR(__xludf.DUMMYFUNCTION("SUM(QUERY(Entregas_BD!D:L,""select I where D='""&amp;D22&amp;""'"",1))"),0.0)</f>
        <v>0</v>
      </c>
      <c r="Q22" s="9">
        <f>IFERROR(__xludf.DUMMYFUNCTION("SUM(QUERY(Entregas_BD!D:L,""select J where D='""&amp;D22&amp;""'"",1))"),0.0)</f>
        <v>0</v>
      </c>
      <c r="R22" s="15">
        <f>IFERROR(__xludf.DUMMYFUNCTION("SUM(QUERY(Entregas_BD!D:L,""select K where D='""&amp;D22&amp;""'"",1))"),0.0)</f>
        <v>0</v>
      </c>
      <c r="S22" s="15">
        <f>IFERROR(__xludf.DUMMYFUNCTION("SUM(QUERY(Entregas_BD!D:L,""select L where D='""&amp;D22&amp;""'"",1))"),0.0)</f>
        <v>0</v>
      </c>
      <c r="T22" s="9">
        <f>IFERROR(__xludf.DUMMYFUNCTION("SUM(QUERY(Entregas_BD!D:AL,""select AG where D='""&amp;D22&amp;""'"",1))"),20.0)</f>
        <v>20</v>
      </c>
      <c r="U22" s="9">
        <f>IFERROR(__xludf.DUMMYFUNCTION("SUM(QUERY(Entregas_BD!D:AL,""select AH where D='""&amp;D22&amp;""'"",1))"),0.0)</f>
        <v>0</v>
      </c>
      <c r="V22" s="9">
        <f>IFERROR(__xludf.DUMMYFUNCTION("SUM(QUERY(Entregas_BD!D:AL,""select AI where D='""&amp;D22&amp;""'"",1))"),0.0)</f>
        <v>0</v>
      </c>
      <c r="W22" s="9">
        <f>IFERROR(__xludf.DUMMYFUNCTION("SUM(QUERY(Entregas_BD!D:AL,""select AJ where D='""&amp;D22&amp;""'"",1))"),0.0)</f>
        <v>0</v>
      </c>
      <c r="X22" s="9">
        <f>IFERROR(__xludf.DUMMYFUNCTION("SUM(QUERY(Entregas_BD!D:AL,""select AL where D='""&amp;D22&amp;""'"",1))"),0.0)</f>
        <v>0</v>
      </c>
      <c r="Y22" s="9">
        <f>IFERROR(__xludf.DUMMYFUNCTION("SUM(QUERY(Entregas_BD!D:AL,""select AK where D='""&amp;D22&amp;""'"",1))"),0.0)</f>
        <v>0</v>
      </c>
      <c r="Z22" s="9">
        <v>-20.0</v>
      </c>
      <c r="AA22" s="9">
        <v>0.0</v>
      </c>
      <c r="AB22" s="9">
        <v>0.0</v>
      </c>
      <c r="AC22" s="9">
        <v>0.0</v>
      </c>
      <c r="AD22" s="9">
        <v>0.0</v>
      </c>
      <c r="AE22" s="9">
        <v>0.0</v>
      </c>
      <c r="AF22" s="32" t="s">
        <v>110</v>
      </c>
      <c r="AG22" s="15">
        <f>IFERROR(__xludf.DUMMYFUNCTION("SUM(QUERY(Entregas_BD!D:W,""select U where D='""&amp;D22&amp;""'"",1))"),0.0)</f>
        <v>0</v>
      </c>
      <c r="AH22" s="15">
        <f>IFERROR(__xludf.DUMMYFUNCTION("SUM(QUERY(Entregas_BD!D:W,""select S where D='""&amp;D22&amp;""'"",1))"),0.0)</f>
        <v>0</v>
      </c>
      <c r="AI22" s="15">
        <f>IFERROR(__xludf.DUMMYFUNCTION("SUM(QUERY(Entregas_BD!D:W,""select T where D='""&amp;D22&amp;""'"",1))"),0.0)</f>
        <v>0</v>
      </c>
    </row>
    <row r="23" ht="19.5" customHeight="1">
      <c r="A23" s="28"/>
      <c r="B23" s="29"/>
      <c r="C23" s="19">
        <v>22.0</v>
      </c>
      <c r="D23" s="20" t="s">
        <v>111</v>
      </c>
      <c r="E23" s="20" t="s">
        <v>58</v>
      </c>
      <c r="F23" s="20" t="s">
        <v>45</v>
      </c>
      <c r="G23" s="20" t="s">
        <v>112</v>
      </c>
      <c r="H23" s="19" t="s">
        <v>51</v>
      </c>
      <c r="I23" s="21" t="s">
        <v>41</v>
      </c>
      <c r="J23" s="19"/>
      <c r="K23" s="22"/>
      <c r="L23" s="23"/>
      <c r="M23" s="22"/>
      <c r="N23" s="19">
        <f>IFERROR(__xludf.DUMMYFUNCTION("SUM(QUERY(Entregas_BD!D:L,""select G where D='""&amp;D23&amp;""'"",1))"),0.0)</f>
        <v>0</v>
      </c>
      <c r="O23" s="19">
        <f>IFERROR(__xludf.DUMMYFUNCTION("SUM(QUERY(Entregas_BD!D:L,""select H where D='""&amp;D23&amp;""'"",1))"),0.0)</f>
        <v>0</v>
      </c>
      <c r="P23" s="19">
        <f>IFERROR(__xludf.DUMMYFUNCTION("SUM(QUERY(Entregas_BD!D:L,""select I where D='""&amp;D23&amp;""'"",1))"),0.0)</f>
        <v>0</v>
      </c>
      <c r="Q23" s="19">
        <f>IFERROR(__xludf.DUMMYFUNCTION("SUM(QUERY(Entregas_BD!D:L,""select J where D='""&amp;D23&amp;""'"",1))"),0.0)</f>
        <v>0</v>
      </c>
      <c r="R23" s="24">
        <f>IFERROR(__xludf.DUMMYFUNCTION("SUM(QUERY(Entregas_BD!D:L,""select K where D='""&amp;D23&amp;""'"",1))"),0.0)</f>
        <v>0</v>
      </c>
      <c r="S23" s="24">
        <f>IFERROR(__xludf.DUMMYFUNCTION("SUM(QUERY(Entregas_BD!D:L,""select L where D='""&amp;D23&amp;""'"",1))"),0.0)</f>
        <v>0</v>
      </c>
      <c r="T23" s="19">
        <f>IFERROR(__xludf.DUMMYFUNCTION("SUM(QUERY(Entregas_BD!D:AL,""select AG where D='""&amp;D23&amp;""'"",1))"),20.0)</f>
        <v>20</v>
      </c>
      <c r="U23" s="19">
        <f>IFERROR(__xludf.DUMMYFUNCTION("SUM(QUERY(Entregas_BD!D:AL,""select AH where D='""&amp;D23&amp;""'"",1))"),0.0)</f>
        <v>0</v>
      </c>
      <c r="V23" s="19">
        <f>IFERROR(__xludf.DUMMYFUNCTION("SUM(QUERY(Entregas_BD!D:AL,""select AI where D='""&amp;D23&amp;""'"",1))"),0.0)</f>
        <v>0</v>
      </c>
      <c r="W23" s="19">
        <f>IFERROR(__xludf.DUMMYFUNCTION("SUM(QUERY(Entregas_BD!D:AL,""select AJ where D='""&amp;D23&amp;""'"",1))"),0.0)</f>
        <v>0</v>
      </c>
      <c r="X23" s="19">
        <f>IFERROR(__xludf.DUMMYFUNCTION("SUM(QUERY(Entregas_BD!D:AL,""select AL where D='""&amp;D23&amp;""'"",1))"),0.0)</f>
        <v>0</v>
      </c>
      <c r="Y23" s="19">
        <f>IFERROR(__xludf.DUMMYFUNCTION("SUM(QUERY(Entregas_BD!D:AL,""select AK where D='""&amp;D23&amp;""'"",1))"),0.0)</f>
        <v>0</v>
      </c>
      <c r="Z23" s="19">
        <v>-20.0</v>
      </c>
      <c r="AA23" s="19">
        <v>0.0</v>
      </c>
      <c r="AB23" s="19">
        <v>0.0</v>
      </c>
      <c r="AC23" s="19">
        <v>0.0</v>
      </c>
      <c r="AD23" s="19">
        <v>0.0</v>
      </c>
      <c r="AE23" s="19">
        <v>0.0</v>
      </c>
      <c r="AF23" s="31" t="s">
        <v>113</v>
      </c>
      <c r="AG23" s="24">
        <f>IFERROR(__xludf.DUMMYFUNCTION("SUM(QUERY(Entregas_BD!D:W,""select U where D='""&amp;D23&amp;""'"",1))"),0.0)</f>
        <v>0</v>
      </c>
      <c r="AH23" s="24">
        <f>IFERROR(__xludf.DUMMYFUNCTION("SUM(QUERY(Entregas_BD!D:W,""select S where D='""&amp;D23&amp;""'"",1))"),0.0)</f>
        <v>0</v>
      </c>
      <c r="AI23" s="24">
        <f>IFERROR(__xludf.DUMMYFUNCTION("SUM(QUERY(Entregas_BD!D:W,""select T where D='""&amp;D23&amp;""'"",1))"),0.0)</f>
        <v>0</v>
      </c>
    </row>
    <row r="24" ht="19.5" customHeight="1">
      <c r="A24" s="26"/>
      <c r="B24" s="27"/>
      <c r="C24" s="9">
        <v>23.0</v>
      </c>
      <c r="D24" s="10" t="s">
        <v>114</v>
      </c>
      <c r="E24" s="10" t="s">
        <v>44</v>
      </c>
      <c r="F24" s="10" t="s">
        <v>45</v>
      </c>
      <c r="G24" s="10" t="s">
        <v>115</v>
      </c>
      <c r="H24" s="9" t="s">
        <v>69</v>
      </c>
      <c r="I24" s="11" t="s">
        <v>41</v>
      </c>
      <c r="J24" s="9"/>
      <c r="K24" s="12"/>
      <c r="L24" s="13"/>
      <c r="M24" s="12"/>
      <c r="N24" s="9">
        <f>IFERROR(__xludf.DUMMYFUNCTION("SUM(QUERY(Entregas_BD!D:L,""select G where D='""&amp;D24&amp;""'"",1))"),0.0)</f>
        <v>0</v>
      </c>
      <c r="O24" s="9">
        <f>IFERROR(__xludf.DUMMYFUNCTION("SUM(QUERY(Entregas_BD!D:L,""select H where D='""&amp;D24&amp;""'"",1))"),0.0)</f>
        <v>0</v>
      </c>
      <c r="P24" s="9">
        <f>IFERROR(__xludf.DUMMYFUNCTION("SUM(QUERY(Entregas_BD!D:L,""select I where D='""&amp;D24&amp;""'"",1))"),0.0)</f>
        <v>0</v>
      </c>
      <c r="Q24" s="9">
        <f>IFERROR(__xludf.DUMMYFUNCTION("SUM(QUERY(Entregas_BD!D:L,""select J where D='""&amp;D24&amp;""'"",1))"),0.0)</f>
        <v>0</v>
      </c>
      <c r="R24" s="15">
        <f>IFERROR(__xludf.DUMMYFUNCTION("SUM(QUERY(Entregas_BD!D:L,""select K where D='""&amp;D24&amp;""'"",1))"),0.0)</f>
        <v>0</v>
      </c>
      <c r="S24" s="15">
        <f>IFERROR(__xludf.DUMMYFUNCTION("SUM(QUERY(Entregas_BD!D:L,""select L where D='""&amp;D24&amp;""'"",1))"),0.0)</f>
        <v>0</v>
      </c>
      <c r="T24" s="9">
        <f>IFERROR(__xludf.DUMMYFUNCTION("SUM(QUERY(Entregas_BD!D:AL,""select AG where D='""&amp;D24&amp;""'"",1))"),0.0)</f>
        <v>0</v>
      </c>
      <c r="U24" s="9">
        <f>IFERROR(__xludf.DUMMYFUNCTION("SUM(QUERY(Entregas_BD!D:AL,""select AH where D='""&amp;D24&amp;""'"",1))"),0.0)</f>
        <v>0</v>
      </c>
      <c r="V24" s="9">
        <f>IFERROR(__xludf.DUMMYFUNCTION("SUM(QUERY(Entregas_BD!D:AL,""select AI where D='""&amp;D24&amp;""'"",1))"),0.0)</f>
        <v>0</v>
      </c>
      <c r="W24" s="9">
        <f>IFERROR(__xludf.DUMMYFUNCTION("SUM(QUERY(Entregas_BD!D:AL,""select AJ where D='""&amp;D24&amp;""'"",1))"),0.0)</f>
        <v>0</v>
      </c>
      <c r="X24" s="9">
        <f>IFERROR(__xludf.DUMMYFUNCTION("SUM(QUERY(Entregas_BD!D:AL,""select AL where D='""&amp;D24&amp;""'"",1))"),0.0)</f>
        <v>0</v>
      </c>
      <c r="Y24" s="9">
        <f>IFERROR(__xludf.DUMMYFUNCTION("SUM(QUERY(Entregas_BD!D:AL,""select AK where D='""&amp;D24&amp;""'"",1))"),0.0)</f>
        <v>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32" t="s">
        <v>116</v>
      </c>
      <c r="AG24" s="15">
        <f>IFERROR(__xludf.DUMMYFUNCTION("SUM(QUERY(Entregas_BD!D:W,""select U where D='""&amp;D24&amp;""'"",1))"),0.0)</f>
        <v>0</v>
      </c>
      <c r="AH24" s="15">
        <f>IFERROR(__xludf.DUMMYFUNCTION("SUM(QUERY(Entregas_BD!D:W,""select S where D='""&amp;D24&amp;""'"",1))"),0.0)</f>
        <v>0</v>
      </c>
      <c r="AI24" s="15">
        <f>IFERROR(__xludf.DUMMYFUNCTION("SUM(QUERY(Entregas_BD!D:W,""select T where D='""&amp;D24&amp;""'"",1))"),0.0)</f>
        <v>0</v>
      </c>
    </row>
    <row r="25" ht="19.5" customHeight="1">
      <c r="A25" s="17"/>
      <c r="B25" s="18"/>
      <c r="C25" s="19">
        <v>24.0</v>
      </c>
      <c r="D25" s="20" t="s">
        <v>117</v>
      </c>
      <c r="E25" s="20" t="s">
        <v>44</v>
      </c>
      <c r="F25" s="20" t="s">
        <v>45</v>
      </c>
      <c r="G25" s="20" t="s">
        <v>118</v>
      </c>
      <c r="H25" s="19" t="s">
        <v>51</v>
      </c>
      <c r="I25" s="21" t="s">
        <v>41</v>
      </c>
      <c r="J25" s="19"/>
      <c r="K25" s="22"/>
      <c r="L25" s="23"/>
      <c r="M25" s="22"/>
      <c r="N25" s="19">
        <f>IFERROR(__xludf.DUMMYFUNCTION("SUM(QUERY(Entregas_BD!D:L,""select G where D='""&amp;D25&amp;""'"",1))"),0.0)</f>
        <v>0</v>
      </c>
      <c r="O25" s="19">
        <f>IFERROR(__xludf.DUMMYFUNCTION("SUM(QUERY(Entregas_BD!D:L,""select H where D='""&amp;D25&amp;""'"",1))"),0.0)</f>
        <v>0</v>
      </c>
      <c r="P25" s="19">
        <f>IFERROR(__xludf.DUMMYFUNCTION("SUM(QUERY(Entregas_BD!D:L,""select I where D='""&amp;D25&amp;""'"",1))"),0.0)</f>
        <v>0</v>
      </c>
      <c r="Q25" s="19">
        <f>IFERROR(__xludf.DUMMYFUNCTION("SUM(QUERY(Entregas_BD!D:L,""select J where D='""&amp;D25&amp;""'"",1))"),0.0)</f>
        <v>0</v>
      </c>
      <c r="R25" s="24">
        <f>IFERROR(__xludf.DUMMYFUNCTION("SUM(QUERY(Entregas_BD!D:L,""select K where D='""&amp;D25&amp;""'"",1))"),0.0)</f>
        <v>0</v>
      </c>
      <c r="S25" s="24">
        <f>IFERROR(__xludf.DUMMYFUNCTION("SUM(QUERY(Entregas_BD!D:L,""select L where D='""&amp;D25&amp;""'"",1))"),0.0)</f>
        <v>0</v>
      </c>
      <c r="T25" s="19">
        <f>IFERROR(__xludf.DUMMYFUNCTION("SUM(QUERY(Entregas_BD!D:AL,""select AG where D='""&amp;D25&amp;""'"",1))"),20.0)</f>
        <v>20</v>
      </c>
      <c r="U25" s="19">
        <f>IFERROR(__xludf.DUMMYFUNCTION("SUM(QUERY(Entregas_BD!D:AL,""select AH where D='""&amp;D25&amp;""'"",1))"),0.0)</f>
        <v>0</v>
      </c>
      <c r="V25" s="19">
        <f>IFERROR(__xludf.DUMMYFUNCTION("SUM(QUERY(Entregas_BD!D:AL,""select AI where D='""&amp;D25&amp;""'"",1))"),0.0)</f>
        <v>0</v>
      </c>
      <c r="W25" s="19">
        <f>IFERROR(__xludf.DUMMYFUNCTION("SUM(QUERY(Entregas_BD!D:AL,""select AJ where D='""&amp;D25&amp;""'"",1))"),0.0)</f>
        <v>0</v>
      </c>
      <c r="X25" s="19">
        <f>IFERROR(__xludf.DUMMYFUNCTION("SUM(QUERY(Entregas_BD!D:AL,""select AL where D='""&amp;D25&amp;""'"",1))"),0.0)</f>
        <v>0</v>
      </c>
      <c r="Y25" s="19">
        <f>IFERROR(__xludf.DUMMYFUNCTION("SUM(QUERY(Entregas_BD!D:AL,""select AK where D='""&amp;D25&amp;""'"",1))"),0.0)</f>
        <v>0</v>
      </c>
      <c r="Z25" s="19">
        <v>-20.0</v>
      </c>
      <c r="AA25" s="19">
        <v>0.0</v>
      </c>
      <c r="AB25" s="19">
        <v>0.0</v>
      </c>
      <c r="AC25" s="19">
        <v>0.0</v>
      </c>
      <c r="AD25" s="19">
        <v>0.0</v>
      </c>
      <c r="AE25" s="19">
        <v>0.0</v>
      </c>
      <c r="AF25" s="31" t="s">
        <v>119</v>
      </c>
      <c r="AG25" s="24">
        <f>IFERROR(__xludf.DUMMYFUNCTION("SUM(QUERY(Entregas_BD!D:W,""select U where D='""&amp;D25&amp;""'"",1))"),0.0)</f>
        <v>0</v>
      </c>
      <c r="AH25" s="24">
        <f>IFERROR(__xludf.DUMMYFUNCTION("SUM(QUERY(Entregas_BD!D:W,""select S where D='""&amp;D25&amp;""'"",1))"),0.0)</f>
        <v>0</v>
      </c>
      <c r="AI25" s="24">
        <f>IFERROR(__xludf.DUMMYFUNCTION("SUM(QUERY(Entregas_BD!D:W,""select T where D='""&amp;D25&amp;""'"",1))"),0.0)</f>
        <v>0</v>
      </c>
    </row>
    <row r="26" ht="19.5" customHeight="1">
      <c r="A26" s="26"/>
      <c r="B26" s="27"/>
      <c r="C26" s="9">
        <v>25.0</v>
      </c>
      <c r="D26" s="10" t="s">
        <v>120</v>
      </c>
      <c r="E26" s="10" t="s">
        <v>44</v>
      </c>
      <c r="F26" s="10" t="s">
        <v>45</v>
      </c>
      <c r="G26" s="10" t="s">
        <v>121</v>
      </c>
      <c r="H26" s="9" t="s">
        <v>69</v>
      </c>
      <c r="I26" s="11" t="s">
        <v>41</v>
      </c>
      <c r="J26" s="9"/>
      <c r="K26" s="12"/>
      <c r="L26" s="13"/>
      <c r="M26" s="12"/>
      <c r="N26" s="9">
        <f>IFERROR(__xludf.DUMMYFUNCTION("SUM(QUERY(Entregas_BD!D:L,""select G where D='""&amp;D26&amp;""'"",1))"),0.0)</f>
        <v>0</v>
      </c>
      <c r="O26" s="9">
        <f>IFERROR(__xludf.DUMMYFUNCTION("SUM(QUERY(Entregas_BD!D:L,""select H where D='""&amp;D26&amp;""'"",1))"),0.0)</f>
        <v>0</v>
      </c>
      <c r="P26" s="9">
        <f>IFERROR(__xludf.DUMMYFUNCTION("SUM(QUERY(Entregas_BD!D:L,""select I where D='""&amp;D26&amp;""'"",1))"),0.0)</f>
        <v>0</v>
      </c>
      <c r="Q26" s="9">
        <f>IFERROR(__xludf.DUMMYFUNCTION("SUM(QUERY(Entregas_BD!D:L,""select J where D='""&amp;D26&amp;""'"",1))"),0.0)</f>
        <v>0</v>
      </c>
      <c r="R26" s="15">
        <f>IFERROR(__xludf.DUMMYFUNCTION("SUM(QUERY(Entregas_BD!D:L,""select K where D='""&amp;D26&amp;""'"",1))"),0.0)</f>
        <v>0</v>
      </c>
      <c r="S26" s="15">
        <f>IFERROR(__xludf.DUMMYFUNCTION("SUM(QUERY(Entregas_BD!D:L,""select L where D='""&amp;D26&amp;""'"",1))"),0.0)</f>
        <v>0</v>
      </c>
      <c r="T26" s="9">
        <f>IFERROR(__xludf.DUMMYFUNCTION("SUM(QUERY(Entregas_BD!D:AL,""select AG where D='""&amp;D26&amp;""'"",1))"),25.0)</f>
        <v>25</v>
      </c>
      <c r="U26" s="9">
        <f>IFERROR(__xludf.DUMMYFUNCTION("SUM(QUERY(Entregas_BD!D:AL,""select AH where D='""&amp;D26&amp;""'"",1))"),0.0)</f>
        <v>0</v>
      </c>
      <c r="V26" s="9">
        <f>IFERROR(__xludf.DUMMYFUNCTION("SUM(QUERY(Entregas_BD!D:AL,""select AI where D='""&amp;D26&amp;""'"",1))"),0.0)</f>
        <v>0</v>
      </c>
      <c r="W26" s="9">
        <f>IFERROR(__xludf.DUMMYFUNCTION("SUM(QUERY(Entregas_BD!D:AL,""select AJ where D='""&amp;D26&amp;""'"",1))"),0.0)</f>
        <v>0</v>
      </c>
      <c r="X26" s="9">
        <f>IFERROR(__xludf.DUMMYFUNCTION("SUM(QUERY(Entregas_BD!D:AL,""select AL where D='""&amp;D26&amp;""'"",1))"),0.0)</f>
        <v>0</v>
      </c>
      <c r="Y26" s="9">
        <f>IFERROR(__xludf.DUMMYFUNCTION("SUM(QUERY(Entregas_BD!D:AL,""select AK where D='""&amp;D26&amp;""'"",1))"),0.0)</f>
        <v>0</v>
      </c>
      <c r="Z26" s="9">
        <v>-25.0</v>
      </c>
      <c r="AA26" s="9">
        <v>0.0</v>
      </c>
      <c r="AB26" s="9">
        <v>0.0</v>
      </c>
      <c r="AC26" s="9">
        <v>0.0</v>
      </c>
      <c r="AD26" s="9">
        <v>0.0</v>
      </c>
      <c r="AE26" s="9">
        <v>0.0</v>
      </c>
      <c r="AF26" s="16" t="s">
        <v>122</v>
      </c>
      <c r="AG26" s="15">
        <f>IFERROR(__xludf.DUMMYFUNCTION("SUM(QUERY(Entregas_BD!D:W,""select U where D='""&amp;D26&amp;""'"",1))"),0.0)</f>
        <v>0</v>
      </c>
      <c r="AH26" s="15">
        <f>IFERROR(__xludf.DUMMYFUNCTION("SUM(QUERY(Entregas_BD!D:W,""select S where D='""&amp;D26&amp;""'"",1))"),0.0)</f>
        <v>0</v>
      </c>
      <c r="AI26" s="15">
        <f>IFERROR(__xludf.DUMMYFUNCTION("SUM(QUERY(Entregas_BD!D:W,""select T where D='""&amp;D26&amp;""'"",1))"),0.0)</f>
        <v>0</v>
      </c>
    </row>
    <row r="27" ht="19.5" customHeight="1">
      <c r="A27" s="28"/>
      <c r="B27" s="29"/>
      <c r="C27" s="19">
        <v>26.0</v>
      </c>
      <c r="D27" s="20" t="s">
        <v>123</v>
      </c>
      <c r="E27" s="20" t="s">
        <v>58</v>
      </c>
      <c r="F27" s="20" t="s">
        <v>45</v>
      </c>
      <c r="G27" s="20" t="s">
        <v>124</v>
      </c>
      <c r="H27" s="19" t="s">
        <v>51</v>
      </c>
      <c r="I27" s="21" t="s">
        <v>41</v>
      </c>
      <c r="J27" s="19"/>
      <c r="K27" s="22"/>
      <c r="L27" s="23"/>
      <c r="M27" s="22"/>
      <c r="N27" s="19">
        <f>IFERROR(__xludf.DUMMYFUNCTION("SUM(QUERY(Entregas_BD!D:L,""select G where D='""&amp;D27&amp;""'"",1))"),0.0)</f>
        <v>0</v>
      </c>
      <c r="O27" s="19">
        <f>IFERROR(__xludf.DUMMYFUNCTION("SUM(QUERY(Entregas_BD!D:L,""select H where D='""&amp;D27&amp;""'"",1))"),0.0)</f>
        <v>0</v>
      </c>
      <c r="P27" s="19">
        <f>IFERROR(__xludf.DUMMYFUNCTION("SUM(QUERY(Entregas_BD!D:L,""select I where D='""&amp;D27&amp;""'"",1))"),0.0)</f>
        <v>0</v>
      </c>
      <c r="Q27" s="19">
        <f>IFERROR(__xludf.DUMMYFUNCTION("SUM(QUERY(Entregas_BD!D:L,""select J where D='""&amp;D27&amp;""'"",1))"),0.0)</f>
        <v>0</v>
      </c>
      <c r="R27" s="24">
        <f>IFERROR(__xludf.DUMMYFUNCTION("SUM(QUERY(Entregas_BD!D:L,""select K where D='""&amp;D27&amp;""'"",1))"),0.0)</f>
        <v>0</v>
      </c>
      <c r="S27" s="24">
        <f>IFERROR(__xludf.DUMMYFUNCTION("SUM(QUERY(Entregas_BD!D:L,""select L where D='""&amp;D27&amp;""'"",1))"),0.0)</f>
        <v>0</v>
      </c>
      <c r="T27" s="19">
        <f>IFERROR(__xludf.DUMMYFUNCTION("SUM(QUERY(Entregas_BD!D:AL,""select AG where D='""&amp;D27&amp;""'"",1))"),20.0)</f>
        <v>20</v>
      </c>
      <c r="U27" s="19">
        <f>IFERROR(__xludf.DUMMYFUNCTION("SUM(QUERY(Entregas_BD!D:AL,""select AH where D='""&amp;D27&amp;""'"",1))"),0.0)</f>
        <v>0</v>
      </c>
      <c r="V27" s="19">
        <f>IFERROR(__xludf.DUMMYFUNCTION("SUM(QUERY(Entregas_BD!D:AL,""select AI where D='""&amp;D27&amp;""'"",1))"),0.0)</f>
        <v>0</v>
      </c>
      <c r="W27" s="19">
        <f>IFERROR(__xludf.DUMMYFUNCTION("SUM(QUERY(Entregas_BD!D:AL,""select AJ where D='""&amp;D27&amp;""'"",1))"),0.0)</f>
        <v>0</v>
      </c>
      <c r="X27" s="19">
        <f>IFERROR(__xludf.DUMMYFUNCTION("SUM(QUERY(Entregas_BD!D:AL,""select AL where D='""&amp;D27&amp;""'"",1))"),0.0)</f>
        <v>0</v>
      </c>
      <c r="Y27" s="19">
        <f>IFERROR(__xludf.DUMMYFUNCTION("SUM(QUERY(Entregas_BD!D:AL,""select AK where D='""&amp;D27&amp;""'"",1))"),0.0)</f>
        <v>0</v>
      </c>
      <c r="Z27" s="19">
        <v>-20.0</v>
      </c>
      <c r="AA27" s="19">
        <v>0.0</v>
      </c>
      <c r="AB27" s="19">
        <v>0.0</v>
      </c>
      <c r="AC27" s="19">
        <v>0.0</v>
      </c>
      <c r="AD27" s="19">
        <v>0.0</v>
      </c>
      <c r="AE27" s="19">
        <v>0.0</v>
      </c>
      <c r="AF27" s="31" t="s">
        <v>125</v>
      </c>
      <c r="AG27" s="24">
        <f>IFERROR(__xludf.DUMMYFUNCTION("SUM(QUERY(Entregas_BD!D:W,""select U where D='""&amp;D27&amp;""'"",1))"),0.0)</f>
        <v>0</v>
      </c>
      <c r="AH27" s="24">
        <f>IFERROR(__xludf.DUMMYFUNCTION("SUM(QUERY(Entregas_BD!D:W,""select S where D='""&amp;D27&amp;""'"",1))"),0.0)</f>
        <v>0</v>
      </c>
      <c r="AI27" s="24">
        <f>IFERROR(__xludf.DUMMYFUNCTION("SUM(QUERY(Entregas_BD!D:W,""select T where D='""&amp;D27&amp;""'"",1))"),0.0)</f>
        <v>0</v>
      </c>
    </row>
    <row r="28" ht="19.5" customHeight="1">
      <c r="A28" s="7"/>
      <c r="B28" s="8"/>
      <c r="C28" s="9">
        <v>27.0</v>
      </c>
      <c r="D28" s="35" t="s">
        <v>126</v>
      </c>
      <c r="E28" s="10" t="s">
        <v>54</v>
      </c>
      <c r="F28" s="10" t="s">
        <v>45</v>
      </c>
      <c r="G28" s="10" t="s">
        <v>127</v>
      </c>
      <c r="H28" s="9" t="s">
        <v>51</v>
      </c>
      <c r="I28" s="11" t="s">
        <v>41</v>
      </c>
      <c r="J28" s="12"/>
      <c r="K28" s="12"/>
      <c r="L28" s="13"/>
      <c r="M28" s="12"/>
      <c r="N28" s="9">
        <f>IFERROR(__xludf.DUMMYFUNCTION("SUM(QUERY(Entregas_BD!D:L,""select G where D='""&amp;D28&amp;""'"",1))"),0.0)</f>
        <v>0</v>
      </c>
      <c r="O28" s="9">
        <f>IFERROR(__xludf.DUMMYFUNCTION("SUM(QUERY(Entregas_BD!D:L,""select H where D='""&amp;D28&amp;""'"",1))"),0.0)</f>
        <v>0</v>
      </c>
      <c r="P28" s="9">
        <f>IFERROR(__xludf.DUMMYFUNCTION("SUM(QUERY(Entregas_BD!D:L,""select I where D='""&amp;D28&amp;""'"",1))"),0.0)</f>
        <v>0</v>
      </c>
      <c r="Q28" s="9">
        <f>IFERROR(__xludf.DUMMYFUNCTION("SUM(QUERY(Entregas_BD!D:L,""select J where D='""&amp;D28&amp;""'"",1))"),0.0)</f>
        <v>0</v>
      </c>
      <c r="R28" s="15">
        <f>IFERROR(__xludf.DUMMYFUNCTION("SUM(QUERY(Entregas_BD!D:L,""select K where D='""&amp;D28&amp;""'"",1))"),0.0)</f>
        <v>0</v>
      </c>
      <c r="S28" s="15">
        <f>IFERROR(__xludf.DUMMYFUNCTION("SUM(QUERY(Entregas_BD!D:L,""select L where D='""&amp;D28&amp;""'"",1))"),0.0)</f>
        <v>0</v>
      </c>
      <c r="T28" s="9">
        <f>IFERROR(__xludf.DUMMYFUNCTION("SUM(QUERY(Entregas_BD!D:AL,""select AG where D='""&amp;D28&amp;""'"",1))"),20.0)</f>
        <v>20</v>
      </c>
      <c r="U28" s="9">
        <f>IFERROR(__xludf.DUMMYFUNCTION("SUM(QUERY(Entregas_BD!D:AL,""select AH where D='""&amp;D28&amp;""'"",1))"),0.0)</f>
        <v>0</v>
      </c>
      <c r="V28" s="9">
        <f>IFERROR(__xludf.DUMMYFUNCTION("SUM(QUERY(Entregas_BD!D:AL,""select AI where D='""&amp;D28&amp;""'"",1))"),0.0)</f>
        <v>0</v>
      </c>
      <c r="W28" s="9">
        <f>IFERROR(__xludf.DUMMYFUNCTION("SUM(QUERY(Entregas_BD!D:AL,""select AJ where D='""&amp;D28&amp;""'"",1))"),0.0)</f>
        <v>0</v>
      </c>
      <c r="X28" s="9">
        <f>IFERROR(__xludf.DUMMYFUNCTION("SUM(QUERY(Entregas_BD!D:AL,""select AL where D='""&amp;D28&amp;""'"",1))"),0.0)</f>
        <v>0</v>
      </c>
      <c r="Y28" s="9">
        <f>IFERROR(__xludf.DUMMYFUNCTION("SUM(QUERY(Entregas_BD!D:AL,""select AK where D='""&amp;D28&amp;""'"",1))"),0.0)</f>
        <v>0</v>
      </c>
      <c r="Z28" s="9">
        <v>-20.0</v>
      </c>
      <c r="AA28" s="9">
        <v>0.0</v>
      </c>
      <c r="AB28" s="9">
        <v>0.0</v>
      </c>
      <c r="AC28" s="9">
        <v>0.0</v>
      </c>
      <c r="AD28" s="9">
        <v>0.0</v>
      </c>
      <c r="AE28" s="9">
        <v>0.0</v>
      </c>
      <c r="AF28" s="32" t="s">
        <v>128</v>
      </c>
      <c r="AG28" s="15">
        <f>IFERROR(__xludf.DUMMYFUNCTION("SUM(QUERY(Entregas_BD!D:W,""select U where D='""&amp;D28&amp;""'"",1))"),0.0)</f>
        <v>0</v>
      </c>
      <c r="AH28" s="15">
        <f>IFERROR(__xludf.DUMMYFUNCTION("SUM(QUERY(Entregas_BD!D:W,""select S where D='""&amp;D28&amp;""'"",1))"),0.0)</f>
        <v>0</v>
      </c>
      <c r="AI28" s="15">
        <f>IFERROR(__xludf.DUMMYFUNCTION("SUM(QUERY(Entregas_BD!D:W,""select T where D='""&amp;D28&amp;""'"",1))"),0.0)</f>
        <v>0</v>
      </c>
    </row>
    <row r="29" ht="19.5" customHeight="1">
      <c r="A29" s="17"/>
      <c r="B29" s="18"/>
      <c r="C29" s="19">
        <v>28.0</v>
      </c>
      <c r="D29" s="30" t="s">
        <v>129</v>
      </c>
      <c r="E29" s="20" t="s">
        <v>44</v>
      </c>
      <c r="F29" s="20" t="s">
        <v>45</v>
      </c>
      <c r="G29" s="20" t="s">
        <v>130</v>
      </c>
      <c r="H29" s="19" t="s">
        <v>51</v>
      </c>
      <c r="I29" s="21" t="s">
        <v>41</v>
      </c>
      <c r="J29" s="19"/>
      <c r="K29" s="22"/>
      <c r="L29" s="23"/>
      <c r="M29" s="22"/>
      <c r="N29" s="19">
        <f>IFERROR(__xludf.DUMMYFUNCTION("SUM(QUERY(Entregas_BD!D:L,""select G where D='""&amp;D29&amp;""'"",1))"),0.0)</f>
        <v>0</v>
      </c>
      <c r="O29" s="19">
        <f>IFERROR(__xludf.DUMMYFUNCTION("SUM(QUERY(Entregas_BD!D:L,""select H where D='""&amp;D29&amp;""'"",1))"),0.0)</f>
        <v>0</v>
      </c>
      <c r="P29" s="19">
        <f>IFERROR(__xludf.DUMMYFUNCTION("SUM(QUERY(Entregas_BD!D:L,""select I where D='""&amp;D29&amp;""'"",1))"),0.0)</f>
        <v>0</v>
      </c>
      <c r="Q29" s="19">
        <f>IFERROR(__xludf.DUMMYFUNCTION("SUM(QUERY(Entregas_BD!D:L,""select J where D='""&amp;D29&amp;""'"",1))"),0.0)</f>
        <v>0</v>
      </c>
      <c r="R29" s="24">
        <f>IFERROR(__xludf.DUMMYFUNCTION("SUM(QUERY(Entregas_BD!D:L,""select K where D='""&amp;D29&amp;""'"",1))"),0.0)</f>
        <v>0</v>
      </c>
      <c r="S29" s="24">
        <f>IFERROR(__xludf.DUMMYFUNCTION("SUM(QUERY(Entregas_BD!D:L,""select L where D='""&amp;D29&amp;""'"",1))"),0.0)</f>
        <v>0</v>
      </c>
      <c r="T29" s="19">
        <f>IFERROR(__xludf.DUMMYFUNCTION("SUM(QUERY(Entregas_BD!D:AL,""select AG where D='""&amp;D29&amp;""'"",1))"),20.0)</f>
        <v>20</v>
      </c>
      <c r="U29" s="19">
        <f>IFERROR(__xludf.DUMMYFUNCTION("SUM(QUERY(Entregas_BD!D:AL,""select AH where D='""&amp;D29&amp;""'"",1))"),0.0)</f>
        <v>0</v>
      </c>
      <c r="V29" s="19">
        <f>IFERROR(__xludf.DUMMYFUNCTION("SUM(QUERY(Entregas_BD!D:AL,""select AI where D='""&amp;D29&amp;""'"",1))"),0.0)</f>
        <v>0</v>
      </c>
      <c r="W29" s="19">
        <f>IFERROR(__xludf.DUMMYFUNCTION("SUM(QUERY(Entregas_BD!D:AL,""select AJ where D='""&amp;D29&amp;""'"",1))"),0.0)</f>
        <v>0</v>
      </c>
      <c r="X29" s="19">
        <f>IFERROR(__xludf.DUMMYFUNCTION("SUM(QUERY(Entregas_BD!D:AL,""select AL where D='""&amp;D29&amp;""'"",1))"),0.0)</f>
        <v>0</v>
      </c>
      <c r="Y29" s="19">
        <f>IFERROR(__xludf.DUMMYFUNCTION("SUM(QUERY(Entregas_BD!D:AL,""select AK where D='""&amp;D29&amp;""'"",1))"),0.0)</f>
        <v>0</v>
      </c>
      <c r="Z29" s="19">
        <v>-20.0</v>
      </c>
      <c r="AA29" s="19">
        <v>0.0</v>
      </c>
      <c r="AB29" s="19">
        <v>0.0</v>
      </c>
      <c r="AC29" s="19">
        <v>0.0</v>
      </c>
      <c r="AD29" s="19">
        <v>0.0</v>
      </c>
      <c r="AE29" s="19">
        <v>0.0</v>
      </c>
      <c r="AF29" s="31" t="s">
        <v>131</v>
      </c>
      <c r="AG29" s="24">
        <f>IFERROR(__xludf.DUMMYFUNCTION("SUM(QUERY(Entregas_BD!D:W,""select U where D='""&amp;D29&amp;""'"",1))"),0.0)</f>
        <v>0</v>
      </c>
      <c r="AH29" s="24">
        <f>IFERROR(__xludf.DUMMYFUNCTION("SUM(QUERY(Entregas_BD!D:W,""select S where D='""&amp;D29&amp;""'"",1))"),0.0)</f>
        <v>0</v>
      </c>
      <c r="AI29" s="24">
        <f>IFERROR(__xludf.DUMMYFUNCTION("SUM(QUERY(Entregas_BD!D:W,""select T where D='""&amp;D29&amp;""'"",1))"),0.0)</f>
        <v>0</v>
      </c>
    </row>
    <row r="30" ht="19.5" customHeight="1">
      <c r="A30" s="7"/>
      <c r="B30" s="8"/>
      <c r="C30" s="9">
        <v>29.0</v>
      </c>
      <c r="D30" s="10" t="s">
        <v>132</v>
      </c>
      <c r="E30" s="10" t="s">
        <v>54</v>
      </c>
      <c r="F30" s="10" t="s">
        <v>45</v>
      </c>
      <c r="G30" s="10" t="s">
        <v>133</v>
      </c>
      <c r="H30" s="9" t="s">
        <v>51</v>
      </c>
      <c r="I30" s="11" t="s">
        <v>41</v>
      </c>
      <c r="J30" s="12"/>
      <c r="K30" s="12"/>
      <c r="L30" s="13"/>
      <c r="M30" s="12"/>
      <c r="N30" s="9">
        <f>IFERROR(__xludf.DUMMYFUNCTION("SUM(QUERY(Entregas_BD!D:L,""select G where D='""&amp;D30&amp;""'"",1))"),0.0)</f>
        <v>0</v>
      </c>
      <c r="O30" s="9">
        <f>IFERROR(__xludf.DUMMYFUNCTION("SUM(QUERY(Entregas_BD!D:L,""select H where D='""&amp;D30&amp;""'"",1))"),0.0)</f>
        <v>0</v>
      </c>
      <c r="P30" s="9">
        <f>IFERROR(__xludf.DUMMYFUNCTION("SUM(QUERY(Entregas_BD!D:L,""select I where D='""&amp;D30&amp;""'"",1))"),0.0)</f>
        <v>0</v>
      </c>
      <c r="Q30" s="9">
        <f>IFERROR(__xludf.DUMMYFUNCTION("SUM(QUERY(Entregas_BD!D:L,""select J where D='""&amp;D30&amp;""'"",1))"),0.0)</f>
        <v>0</v>
      </c>
      <c r="R30" s="15">
        <f>IFERROR(__xludf.DUMMYFUNCTION("SUM(QUERY(Entregas_BD!D:L,""select K where D='""&amp;D30&amp;""'"",1))"),0.0)</f>
        <v>0</v>
      </c>
      <c r="S30" s="15">
        <f>IFERROR(__xludf.DUMMYFUNCTION("SUM(QUERY(Entregas_BD!D:L,""select L where D='""&amp;D30&amp;""'"",1))"),0.0)</f>
        <v>0</v>
      </c>
      <c r="T30" s="9">
        <f>IFERROR(__xludf.DUMMYFUNCTION("SUM(QUERY(Entregas_BD!D:AL,""select AG where D='""&amp;D30&amp;""'"",1))"),20.0)</f>
        <v>20</v>
      </c>
      <c r="U30" s="9">
        <f>IFERROR(__xludf.DUMMYFUNCTION("SUM(QUERY(Entregas_BD!D:AL,""select AH where D='""&amp;D30&amp;""'"",1))"),0.0)</f>
        <v>0</v>
      </c>
      <c r="V30" s="9">
        <f>IFERROR(__xludf.DUMMYFUNCTION("SUM(QUERY(Entregas_BD!D:AL,""select AI where D='""&amp;D30&amp;""'"",1))"),0.0)</f>
        <v>0</v>
      </c>
      <c r="W30" s="9">
        <f>IFERROR(__xludf.DUMMYFUNCTION("SUM(QUERY(Entregas_BD!D:AL,""select AJ where D='""&amp;D30&amp;""'"",1))"),0.0)</f>
        <v>0</v>
      </c>
      <c r="X30" s="9">
        <f>IFERROR(__xludf.DUMMYFUNCTION("SUM(QUERY(Entregas_BD!D:AL,""select AL where D='""&amp;D30&amp;""'"",1))"),0.0)</f>
        <v>0</v>
      </c>
      <c r="Y30" s="9">
        <f>IFERROR(__xludf.DUMMYFUNCTION("SUM(QUERY(Entregas_BD!D:AL,""select AK where D='""&amp;D30&amp;""'"",1))"),0.0)</f>
        <v>0</v>
      </c>
      <c r="Z30" s="9">
        <v>-20.0</v>
      </c>
      <c r="AA30" s="9">
        <v>0.0</v>
      </c>
      <c r="AB30" s="9">
        <v>0.0</v>
      </c>
      <c r="AC30" s="9">
        <v>0.0</v>
      </c>
      <c r="AD30" s="9">
        <v>0.0</v>
      </c>
      <c r="AE30" s="9">
        <v>0.0</v>
      </c>
      <c r="AF30" s="32" t="s">
        <v>134</v>
      </c>
      <c r="AG30" s="15">
        <f>IFERROR(__xludf.DUMMYFUNCTION("SUM(QUERY(Entregas_BD!D:W,""select U where D='""&amp;D30&amp;""'"",1))"),0.0)</f>
        <v>0</v>
      </c>
      <c r="AH30" s="15">
        <f>IFERROR(__xludf.DUMMYFUNCTION("SUM(QUERY(Entregas_BD!D:W,""select S where D='""&amp;D30&amp;""'"",1))"),0.0)</f>
        <v>0</v>
      </c>
      <c r="AI30" s="15">
        <f>IFERROR(__xludf.DUMMYFUNCTION("SUM(QUERY(Entregas_BD!D:W,""select T where D='""&amp;D30&amp;""'"",1))"),0.0)</f>
        <v>0</v>
      </c>
    </row>
    <row r="31" ht="19.5" customHeight="1">
      <c r="A31" s="28"/>
      <c r="B31" s="29"/>
      <c r="C31" s="19">
        <v>30.0</v>
      </c>
      <c r="D31" s="20" t="s">
        <v>135</v>
      </c>
      <c r="E31" s="20" t="s">
        <v>58</v>
      </c>
      <c r="F31" s="20" t="s">
        <v>45</v>
      </c>
      <c r="G31" s="20" t="s">
        <v>136</v>
      </c>
      <c r="H31" s="19" t="s">
        <v>51</v>
      </c>
      <c r="I31" s="21" t="s">
        <v>41</v>
      </c>
      <c r="J31" s="19"/>
      <c r="K31" s="22"/>
      <c r="L31" s="23"/>
      <c r="M31" s="22"/>
      <c r="N31" s="19">
        <f>IFERROR(__xludf.DUMMYFUNCTION("SUM(QUERY(Entregas_BD!D:L,""select G where D='""&amp;D31&amp;""'"",1))"),0.0)</f>
        <v>0</v>
      </c>
      <c r="O31" s="19">
        <f>IFERROR(__xludf.DUMMYFUNCTION("SUM(QUERY(Entregas_BD!D:L,""select H where D='""&amp;D31&amp;""'"",1))"),0.0)</f>
        <v>0</v>
      </c>
      <c r="P31" s="19">
        <f>IFERROR(__xludf.DUMMYFUNCTION("SUM(QUERY(Entregas_BD!D:L,""select I where D='""&amp;D31&amp;""'"",1))"),0.0)</f>
        <v>0</v>
      </c>
      <c r="Q31" s="19">
        <f>IFERROR(__xludf.DUMMYFUNCTION("SUM(QUERY(Entregas_BD!D:L,""select J where D='""&amp;D31&amp;""'"",1))"),0.0)</f>
        <v>0</v>
      </c>
      <c r="R31" s="24">
        <f>IFERROR(__xludf.DUMMYFUNCTION("SUM(QUERY(Entregas_BD!D:L,""select K where D='""&amp;D31&amp;""'"",1))"),0.0)</f>
        <v>0</v>
      </c>
      <c r="S31" s="24">
        <f>IFERROR(__xludf.DUMMYFUNCTION("SUM(QUERY(Entregas_BD!D:L,""select L where D='""&amp;D31&amp;""'"",1))"),0.0)</f>
        <v>0</v>
      </c>
      <c r="T31" s="19">
        <f>IFERROR(__xludf.DUMMYFUNCTION("SUM(QUERY(Entregas_BD!D:AL,""select AG where D='""&amp;D31&amp;""'"",1))"),20.0)</f>
        <v>20</v>
      </c>
      <c r="U31" s="19">
        <f>IFERROR(__xludf.DUMMYFUNCTION("SUM(QUERY(Entregas_BD!D:AL,""select AH where D='""&amp;D31&amp;""'"",1))"),0.0)</f>
        <v>0</v>
      </c>
      <c r="V31" s="19">
        <f>IFERROR(__xludf.DUMMYFUNCTION("SUM(QUERY(Entregas_BD!D:AL,""select AI where D='""&amp;D31&amp;""'"",1))"),0.0)</f>
        <v>0</v>
      </c>
      <c r="W31" s="19">
        <f>IFERROR(__xludf.DUMMYFUNCTION("SUM(QUERY(Entregas_BD!D:AL,""select AJ where D='""&amp;D31&amp;""'"",1))"),0.0)</f>
        <v>0</v>
      </c>
      <c r="X31" s="19">
        <f>IFERROR(__xludf.DUMMYFUNCTION("SUM(QUERY(Entregas_BD!D:AL,""select AL where D='""&amp;D31&amp;""'"",1))"),0.0)</f>
        <v>0</v>
      </c>
      <c r="Y31" s="19">
        <f>IFERROR(__xludf.DUMMYFUNCTION("SUM(QUERY(Entregas_BD!D:AL,""select AK where D='""&amp;D31&amp;""'"",1))"),0.0)</f>
        <v>0</v>
      </c>
      <c r="Z31" s="19">
        <v>-20.0</v>
      </c>
      <c r="AA31" s="19">
        <v>0.0</v>
      </c>
      <c r="AB31" s="19">
        <v>0.0</v>
      </c>
      <c r="AC31" s="19">
        <v>0.0</v>
      </c>
      <c r="AD31" s="19">
        <v>0.0</v>
      </c>
      <c r="AE31" s="19">
        <v>0.0</v>
      </c>
      <c r="AF31" s="31" t="s">
        <v>137</v>
      </c>
      <c r="AG31" s="24">
        <f>IFERROR(__xludf.DUMMYFUNCTION("SUM(QUERY(Entregas_BD!D:W,""select U where D='""&amp;D31&amp;""'"",1))"),0.0)</f>
        <v>0</v>
      </c>
      <c r="AH31" s="24">
        <f>IFERROR(__xludf.DUMMYFUNCTION("SUM(QUERY(Entregas_BD!D:W,""select S where D='""&amp;D31&amp;""'"",1))"),0.0)</f>
        <v>0</v>
      </c>
      <c r="AI31" s="24">
        <f>IFERROR(__xludf.DUMMYFUNCTION("SUM(QUERY(Entregas_BD!D:W,""select T where D='""&amp;D31&amp;""'"",1))"),0.0)</f>
        <v>0</v>
      </c>
    </row>
    <row r="32" ht="19.5" customHeight="1">
      <c r="A32" s="7"/>
      <c r="B32" s="8"/>
      <c r="C32" s="9">
        <v>31.0</v>
      </c>
      <c r="D32" s="10" t="s">
        <v>138</v>
      </c>
      <c r="E32" s="10" t="s">
        <v>63</v>
      </c>
      <c r="F32" s="10" t="s">
        <v>139</v>
      </c>
      <c r="G32" s="10" t="s">
        <v>65</v>
      </c>
      <c r="H32" s="9" t="s">
        <v>40</v>
      </c>
      <c r="I32" s="11" t="s">
        <v>47</v>
      </c>
      <c r="J32" s="12"/>
      <c r="K32" s="12"/>
      <c r="L32" s="13"/>
      <c r="M32" s="14"/>
      <c r="N32" s="9">
        <f>IFERROR(__xludf.DUMMYFUNCTION("SUM(QUERY(Entregas_BD!D:L,""select G where D='""&amp;D32&amp;""'"",1))"),0.0)</f>
        <v>0</v>
      </c>
      <c r="O32" s="9">
        <f>IFERROR(__xludf.DUMMYFUNCTION("SUM(QUERY(Entregas_BD!D:L,""select H where D='""&amp;D32&amp;""'"",1))"),0.0)</f>
        <v>0</v>
      </c>
      <c r="P32" s="9">
        <f>IFERROR(__xludf.DUMMYFUNCTION("SUM(QUERY(Entregas_BD!D:L,""select I where D='""&amp;D32&amp;""'"",1))"),0.0)</f>
        <v>0</v>
      </c>
      <c r="Q32" s="9">
        <f>IFERROR(__xludf.DUMMYFUNCTION("SUM(QUERY(Entregas_BD!D:L,""select J where D='""&amp;D32&amp;""'"",1))"),0.0)</f>
        <v>0</v>
      </c>
      <c r="R32" s="15">
        <f>IFERROR(__xludf.DUMMYFUNCTION("SUM(QUERY(Entregas_BD!D:L,""select K where D='""&amp;D32&amp;""'"",1))"),0.0)</f>
        <v>0</v>
      </c>
      <c r="S32" s="15">
        <f>IFERROR(__xludf.DUMMYFUNCTION("SUM(QUERY(Entregas_BD!D:L,""select L where D='""&amp;D32&amp;""'"",1))"),0.0)</f>
        <v>0</v>
      </c>
      <c r="T32" s="9">
        <f>IFERROR(__xludf.DUMMYFUNCTION("SUM(QUERY(Entregas_BD!D:AL,""select AG where D='""&amp;D32&amp;""'"",1))"),0.0)</f>
        <v>0</v>
      </c>
      <c r="U32" s="9">
        <f>IFERROR(__xludf.DUMMYFUNCTION("SUM(QUERY(Entregas_BD!D:AL,""select AH where D='""&amp;D32&amp;""'"",1))"),0.0)</f>
        <v>0</v>
      </c>
      <c r="V32" s="9">
        <f>IFERROR(__xludf.DUMMYFUNCTION("SUM(QUERY(Entregas_BD!D:AL,""select AI where D='""&amp;D32&amp;""'"",1))"),0.0)</f>
        <v>0</v>
      </c>
      <c r="W32" s="9">
        <f>IFERROR(__xludf.DUMMYFUNCTION("SUM(QUERY(Entregas_BD!D:AL,""select AJ where D='""&amp;D32&amp;""'"",1))"),0.0)</f>
        <v>0</v>
      </c>
      <c r="X32" s="9">
        <f>IFERROR(__xludf.DUMMYFUNCTION("SUM(QUERY(Entregas_BD!D:AL,""select AL where D='""&amp;D32&amp;""'"",1))"),0.0)</f>
        <v>0</v>
      </c>
      <c r="Y32" s="9">
        <f>IFERROR(__xludf.DUMMYFUNCTION("SUM(QUERY(Entregas_BD!D:AL,""select AK where D='""&amp;D32&amp;""'"",1))"),0.0)</f>
        <v>0</v>
      </c>
      <c r="Z32" s="9">
        <v>0.0</v>
      </c>
      <c r="AA32" s="9">
        <v>0.0</v>
      </c>
      <c r="AB32" s="9">
        <v>0.0</v>
      </c>
      <c r="AC32" s="9">
        <v>0.0</v>
      </c>
      <c r="AD32" s="9">
        <v>0.0</v>
      </c>
      <c r="AE32" s="9">
        <v>0.0</v>
      </c>
      <c r="AF32" s="16" t="s">
        <v>140</v>
      </c>
      <c r="AG32" s="15">
        <f>IFERROR(__xludf.DUMMYFUNCTION("SUM(QUERY(Entregas_BD!D:W,""select U where D='""&amp;D32&amp;""'"",1))"),0.0)</f>
        <v>0</v>
      </c>
      <c r="AH32" s="15">
        <f>IFERROR(__xludf.DUMMYFUNCTION("SUM(QUERY(Entregas_BD!D:W,""select S where D='""&amp;D32&amp;""'"",1))"),0.0)</f>
        <v>0</v>
      </c>
      <c r="AI32" s="15">
        <f>IFERROR(__xludf.DUMMYFUNCTION("SUM(QUERY(Entregas_BD!D:W,""select T where D='""&amp;D32&amp;""'"",1))"),0.0)</f>
        <v>0</v>
      </c>
    </row>
    <row r="33" ht="19.5" customHeight="1">
      <c r="A33" s="17"/>
      <c r="B33" s="18"/>
      <c r="C33" s="19">
        <v>32.0</v>
      </c>
      <c r="D33" s="20" t="s">
        <v>141</v>
      </c>
      <c r="E33" s="20" t="s">
        <v>44</v>
      </c>
      <c r="F33" s="20" t="s">
        <v>45</v>
      </c>
      <c r="G33" s="20" t="s">
        <v>142</v>
      </c>
      <c r="H33" s="19" t="s">
        <v>51</v>
      </c>
      <c r="I33" s="21" t="s">
        <v>47</v>
      </c>
      <c r="J33" s="19"/>
      <c r="K33" s="22"/>
      <c r="L33" s="23"/>
      <c r="M33" s="22"/>
      <c r="N33" s="19">
        <f>IFERROR(__xludf.DUMMYFUNCTION("SUM(QUERY(Entregas_BD!D:L,""select G where D='""&amp;D33&amp;""'"",1))"),0.0)</f>
        <v>0</v>
      </c>
      <c r="O33" s="19">
        <f>IFERROR(__xludf.DUMMYFUNCTION("SUM(QUERY(Entregas_BD!D:L,""select H where D='""&amp;D33&amp;""'"",1))"),0.0)</f>
        <v>0</v>
      </c>
      <c r="P33" s="19">
        <f>IFERROR(__xludf.DUMMYFUNCTION("SUM(QUERY(Entregas_BD!D:L,""select I where D='""&amp;D33&amp;""'"",1))"),0.0)</f>
        <v>0</v>
      </c>
      <c r="Q33" s="19">
        <f>IFERROR(__xludf.DUMMYFUNCTION("SUM(QUERY(Entregas_BD!D:L,""select J where D='""&amp;D33&amp;""'"",1))"),0.0)</f>
        <v>0</v>
      </c>
      <c r="R33" s="24">
        <f>IFERROR(__xludf.DUMMYFUNCTION("SUM(QUERY(Entregas_BD!D:L,""select K where D='""&amp;D33&amp;""'"",1))"),0.0)</f>
        <v>0</v>
      </c>
      <c r="S33" s="24">
        <f>IFERROR(__xludf.DUMMYFUNCTION("SUM(QUERY(Entregas_BD!D:L,""select L where D='""&amp;D33&amp;""'"",1))"),0.0)</f>
        <v>0</v>
      </c>
      <c r="T33" s="19">
        <f>IFERROR(__xludf.DUMMYFUNCTION("SUM(QUERY(Entregas_BD!D:AL,""select AG where D='""&amp;D33&amp;""'"",1))"),0.0)</f>
        <v>0</v>
      </c>
      <c r="U33" s="19">
        <f>IFERROR(__xludf.DUMMYFUNCTION("SUM(QUERY(Entregas_BD!D:AL,""select AH where D='""&amp;D33&amp;""'"",1))"),0.0)</f>
        <v>0</v>
      </c>
      <c r="V33" s="19">
        <f>IFERROR(__xludf.DUMMYFUNCTION("SUM(QUERY(Entregas_BD!D:AL,""select AI where D='""&amp;D33&amp;""'"",1))"),0.0)</f>
        <v>0</v>
      </c>
      <c r="W33" s="19">
        <f>IFERROR(__xludf.DUMMYFUNCTION("SUM(QUERY(Entregas_BD!D:AL,""select AJ where D='""&amp;D33&amp;""'"",1))"),0.0)</f>
        <v>0</v>
      </c>
      <c r="X33" s="19">
        <f>IFERROR(__xludf.DUMMYFUNCTION("SUM(QUERY(Entregas_BD!D:AL,""select AL where D='""&amp;D33&amp;""'"",1))"),0.0)</f>
        <v>0</v>
      </c>
      <c r="Y33" s="19">
        <f>IFERROR(__xludf.DUMMYFUNCTION("SUM(QUERY(Entregas_BD!D:AL,""select AK where D='""&amp;D33&amp;""'"",1))"),0.0)</f>
        <v>0</v>
      </c>
      <c r="Z33" s="19">
        <v>0.0</v>
      </c>
      <c r="AA33" s="19">
        <v>0.0</v>
      </c>
      <c r="AB33" s="19">
        <v>0.0</v>
      </c>
      <c r="AC33" s="19">
        <v>0.0</v>
      </c>
      <c r="AD33" s="19">
        <v>0.0</v>
      </c>
      <c r="AE33" s="19">
        <v>0.0</v>
      </c>
      <c r="AF33" s="31" t="s">
        <v>143</v>
      </c>
      <c r="AG33" s="24">
        <f>IFERROR(__xludf.DUMMYFUNCTION("SUM(QUERY(Entregas_BD!D:W,""select U where D='""&amp;D33&amp;""'"",1))"),0.0)</f>
        <v>0</v>
      </c>
      <c r="AH33" s="24">
        <f>IFERROR(__xludf.DUMMYFUNCTION("SUM(QUERY(Entregas_BD!D:W,""select S where D='""&amp;D33&amp;""'"",1))"),0.0)</f>
        <v>0</v>
      </c>
      <c r="AI33" s="24">
        <f>IFERROR(__xludf.DUMMYFUNCTION("SUM(QUERY(Entregas_BD!D:W,""select T where D='""&amp;D33&amp;""'"",1))"),0.0)</f>
        <v>0</v>
      </c>
    </row>
    <row r="34" ht="19.5" customHeight="1">
      <c r="A34" s="7"/>
      <c r="B34" s="8"/>
      <c r="C34" s="9">
        <v>33.0</v>
      </c>
      <c r="D34" s="10" t="s">
        <v>144</v>
      </c>
      <c r="E34" s="10" t="s">
        <v>54</v>
      </c>
      <c r="F34" s="10" t="s">
        <v>45</v>
      </c>
      <c r="G34" s="10" t="s">
        <v>68</v>
      </c>
      <c r="H34" s="9" t="s">
        <v>69</v>
      </c>
      <c r="I34" s="11" t="s">
        <v>41</v>
      </c>
      <c r="J34" s="12"/>
      <c r="K34" s="12"/>
      <c r="L34" s="13"/>
      <c r="M34" s="12"/>
      <c r="N34" s="9">
        <f>IFERROR(__xludf.DUMMYFUNCTION("SUM(QUERY(Entregas_BD!D:L,""select G where D='""&amp;D34&amp;""'"",1))"),0.0)</f>
        <v>0</v>
      </c>
      <c r="O34" s="9">
        <f>IFERROR(__xludf.DUMMYFUNCTION("SUM(QUERY(Entregas_BD!D:L,""select H where D='""&amp;D34&amp;""'"",1))"),0.0)</f>
        <v>0</v>
      </c>
      <c r="P34" s="9">
        <f>IFERROR(__xludf.DUMMYFUNCTION("SUM(QUERY(Entregas_BD!D:L,""select I where D='""&amp;D34&amp;""'"",1))"),0.0)</f>
        <v>0</v>
      </c>
      <c r="Q34" s="9">
        <f>IFERROR(__xludf.DUMMYFUNCTION("SUM(QUERY(Entregas_BD!D:L,""select J where D='""&amp;D34&amp;""'"",1))"),0.0)</f>
        <v>0</v>
      </c>
      <c r="R34" s="15">
        <f>IFERROR(__xludf.DUMMYFUNCTION("SUM(QUERY(Entregas_BD!D:L,""select K where D='""&amp;D34&amp;""'"",1))"),0.0)</f>
        <v>0</v>
      </c>
      <c r="S34" s="15">
        <f>IFERROR(__xludf.DUMMYFUNCTION("SUM(QUERY(Entregas_BD!D:L,""select L where D='""&amp;D34&amp;""'"",1))"),0.0)</f>
        <v>0</v>
      </c>
      <c r="T34" s="9">
        <f>IFERROR(__xludf.DUMMYFUNCTION("SUM(QUERY(Entregas_BD!D:AL,""select AG where D='""&amp;D34&amp;""'"",1))"),0.0)</f>
        <v>0</v>
      </c>
      <c r="U34" s="9">
        <f>IFERROR(__xludf.DUMMYFUNCTION("SUM(QUERY(Entregas_BD!D:AL,""select AH where D='""&amp;D34&amp;""'"",1))"),0.0)</f>
        <v>0</v>
      </c>
      <c r="V34" s="9">
        <f>IFERROR(__xludf.DUMMYFUNCTION("SUM(QUERY(Entregas_BD!D:AL,""select AI where D='""&amp;D34&amp;""'"",1))"),0.0)</f>
        <v>0</v>
      </c>
      <c r="W34" s="9">
        <f>IFERROR(__xludf.DUMMYFUNCTION("SUM(QUERY(Entregas_BD!D:AL,""select AJ where D='""&amp;D34&amp;""'"",1))"),0.0)</f>
        <v>0</v>
      </c>
      <c r="X34" s="9">
        <f>IFERROR(__xludf.DUMMYFUNCTION("SUM(QUERY(Entregas_BD!D:AL,""select AL where D='""&amp;D34&amp;""'"",1))"),0.0)</f>
        <v>0</v>
      </c>
      <c r="Y34" s="9">
        <f>IFERROR(__xludf.DUMMYFUNCTION("SUM(QUERY(Entregas_BD!D:AL,""select AK where D='""&amp;D34&amp;""'"",1))"),0.0)</f>
        <v>0</v>
      </c>
      <c r="Z34" s="9">
        <v>0.0</v>
      </c>
      <c r="AA34" s="9">
        <v>0.0</v>
      </c>
      <c r="AB34" s="9">
        <v>0.0</v>
      </c>
      <c r="AC34" s="9">
        <v>0.0</v>
      </c>
      <c r="AD34" s="9">
        <v>0.0</v>
      </c>
      <c r="AE34" s="9">
        <v>0.0</v>
      </c>
      <c r="AF34" s="32" t="s">
        <v>145</v>
      </c>
      <c r="AG34" s="15">
        <f>IFERROR(__xludf.DUMMYFUNCTION("SUM(QUERY(Entregas_BD!D:W,""select U where D='""&amp;D34&amp;""'"",1))"),0.0)</f>
        <v>0</v>
      </c>
      <c r="AH34" s="15">
        <f>IFERROR(__xludf.DUMMYFUNCTION("SUM(QUERY(Entregas_BD!D:W,""select S where D='""&amp;D34&amp;""'"",1))"),0.0)</f>
        <v>0</v>
      </c>
      <c r="AI34" s="15">
        <f>IFERROR(__xludf.DUMMYFUNCTION("SUM(QUERY(Entregas_BD!D:W,""select T where D='""&amp;D34&amp;""'"",1))"),0.0)</f>
        <v>0</v>
      </c>
    </row>
    <row r="35" ht="19.5" customHeight="1">
      <c r="A35" s="28"/>
      <c r="B35" s="29"/>
      <c r="C35" s="19">
        <v>34.0</v>
      </c>
      <c r="D35" s="20" t="s">
        <v>146</v>
      </c>
      <c r="E35" s="20" t="s">
        <v>54</v>
      </c>
      <c r="F35" s="20" t="s">
        <v>45</v>
      </c>
      <c r="G35" s="20" t="s">
        <v>127</v>
      </c>
      <c r="H35" s="19" t="s">
        <v>51</v>
      </c>
      <c r="I35" s="21" t="s">
        <v>41</v>
      </c>
      <c r="J35" s="22"/>
      <c r="K35" s="22"/>
      <c r="L35" s="23"/>
      <c r="M35" s="22"/>
      <c r="N35" s="19">
        <f>IFERROR(__xludf.DUMMYFUNCTION("SUM(QUERY(Entregas_BD!D:L,""select G where D='""&amp;D35&amp;""'"",1))"),0.0)</f>
        <v>0</v>
      </c>
      <c r="O35" s="19">
        <f>IFERROR(__xludf.DUMMYFUNCTION("SUM(QUERY(Entregas_BD!D:L,""select H where D='""&amp;D35&amp;""'"",1))"),0.0)</f>
        <v>0</v>
      </c>
      <c r="P35" s="19">
        <f>IFERROR(__xludf.DUMMYFUNCTION("SUM(QUERY(Entregas_BD!D:L,""select I where D='""&amp;D35&amp;""'"",1))"),0.0)</f>
        <v>0</v>
      </c>
      <c r="Q35" s="19">
        <f>IFERROR(__xludf.DUMMYFUNCTION("SUM(QUERY(Entregas_BD!D:L,""select J where D='""&amp;D35&amp;""'"",1))"),0.0)</f>
        <v>0</v>
      </c>
      <c r="R35" s="24">
        <f>IFERROR(__xludf.DUMMYFUNCTION("SUM(QUERY(Entregas_BD!D:L,""select K where D='""&amp;D35&amp;""'"",1))"),0.0)</f>
        <v>0</v>
      </c>
      <c r="S35" s="24">
        <f>IFERROR(__xludf.DUMMYFUNCTION("SUM(QUERY(Entregas_BD!D:L,""select L where D='""&amp;D35&amp;""'"",1))"),0.0)</f>
        <v>0</v>
      </c>
      <c r="T35" s="19">
        <f>IFERROR(__xludf.DUMMYFUNCTION("SUM(QUERY(Entregas_BD!D:AL,""select AG where D='""&amp;D35&amp;""'"",1))"),100.0)</f>
        <v>100</v>
      </c>
      <c r="U35" s="19">
        <f>IFERROR(__xludf.DUMMYFUNCTION("SUM(QUERY(Entregas_BD!D:AL,""select AH where D='""&amp;D35&amp;""'"",1))"),0.0)</f>
        <v>0</v>
      </c>
      <c r="V35" s="19">
        <f>IFERROR(__xludf.DUMMYFUNCTION("SUM(QUERY(Entregas_BD!D:AL,""select AI where D='""&amp;D35&amp;""'"",1))"),0.0)</f>
        <v>0</v>
      </c>
      <c r="W35" s="19">
        <f>IFERROR(__xludf.DUMMYFUNCTION("SUM(QUERY(Entregas_BD!D:AL,""select AJ where D='""&amp;D35&amp;""'"",1))"),0.0)</f>
        <v>0</v>
      </c>
      <c r="X35" s="19">
        <f>IFERROR(__xludf.DUMMYFUNCTION("SUM(QUERY(Entregas_BD!D:AL,""select AL where D='""&amp;D35&amp;""'"",1))"),0.0)</f>
        <v>0</v>
      </c>
      <c r="Y35" s="19">
        <f>IFERROR(__xludf.DUMMYFUNCTION("SUM(QUERY(Entregas_BD!D:AL,""select AK where D='""&amp;D35&amp;""'"",1))"),0.0)</f>
        <v>0</v>
      </c>
      <c r="Z35" s="19">
        <v>-100.0</v>
      </c>
      <c r="AA35" s="19">
        <v>0.0</v>
      </c>
      <c r="AB35" s="19">
        <v>0.0</v>
      </c>
      <c r="AC35" s="19">
        <v>0.0</v>
      </c>
      <c r="AD35" s="19">
        <v>0.0</v>
      </c>
      <c r="AE35" s="19">
        <v>0.0</v>
      </c>
      <c r="AF35" s="31" t="s">
        <v>147</v>
      </c>
      <c r="AG35" s="24">
        <f>IFERROR(__xludf.DUMMYFUNCTION("SUM(QUERY(Entregas_BD!D:W,""select U where D='""&amp;D35&amp;""'"",1))"),0.0)</f>
        <v>0</v>
      </c>
      <c r="AH35" s="24">
        <f>IFERROR(__xludf.DUMMYFUNCTION("SUM(QUERY(Entregas_BD!D:W,""select S where D='""&amp;D35&amp;""'"",1))"),0.0)</f>
        <v>0</v>
      </c>
      <c r="AI35" s="24">
        <f>IFERROR(__xludf.DUMMYFUNCTION("SUM(QUERY(Entregas_BD!D:W,""select T where D='""&amp;D35&amp;""'"",1))"),0.0)</f>
        <v>0</v>
      </c>
    </row>
    <row r="36" ht="19.5" customHeight="1">
      <c r="A36" s="7"/>
      <c r="B36" s="8"/>
      <c r="C36" s="9">
        <v>35.0</v>
      </c>
      <c r="D36" s="10" t="s">
        <v>148</v>
      </c>
      <c r="E36" s="10" t="s">
        <v>72</v>
      </c>
      <c r="F36" s="10" t="s">
        <v>45</v>
      </c>
      <c r="G36" s="10" t="s">
        <v>149</v>
      </c>
      <c r="H36" s="9" t="s">
        <v>40</v>
      </c>
      <c r="I36" s="11" t="s">
        <v>41</v>
      </c>
      <c r="J36" s="12"/>
      <c r="K36" s="12"/>
      <c r="L36" s="13"/>
      <c r="M36" s="12"/>
      <c r="N36" s="9">
        <f>IFERROR(__xludf.DUMMYFUNCTION("SUM(QUERY(Entregas_BD!D:L,""select G where D='""&amp;D36&amp;""'"",1))"),0.0)</f>
        <v>0</v>
      </c>
      <c r="O36" s="9">
        <f>IFERROR(__xludf.DUMMYFUNCTION("SUM(QUERY(Entregas_BD!D:L,""select H where D='""&amp;D36&amp;""'"",1))"),0.0)</f>
        <v>0</v>
      </c>
      <c r="P36" s="9">
        <f>IFERROR(__xludf.DUMMYFUNCTION("SUM(QUERY(Entregas_BD!D:L,""select I where D='""&amp;D36&amp;""'"",1))"),0.0)</f>
        <v>0</v>
      </c>
      <c r="Q36" s="9">
        <f>IFERROR(__xludf.DUMMYFUNCTION("SUM(QUERY(Entregas_BD!D:L,""select J where D='""&amp;D36&amp;""'"",1))"),0.0)</f>
        <v>0</v>
      </c>
      <c r="R36" s="15">
        <f>IFERROR(__xludf.DUMMYFUNCTION("SUM(QUERY(Entregas_BD!D:L,""select K where D='""&amp;D36&amp;""'"",1))"),0.0)</f>
        <v>0</v>
      </c>
      <c r="S36" s="15">
        <f>IFERROR(__xludf.DUMMYFUNCTION("SUM(QUERY(Entregas_BD!D:L,""select L where D='""&amp;D36&amp;""'"",1))"),0.0)</f>
        <v>0</v>
      </c>
      <c r="T36" s="9">
        <f>IFERROR(__xludf.DUMMYFUNCTION("SUM(QUERY(Entregas_BD!D:AL,""select AG where D='""&amp;D36&amp;""'"",1))"),0.0)</f>
        <v>0</v>
      </c>
      <c r="U36" s="9">
        <f>IFERROR(__xludf.DUMMYFUNCTION("SUM(QUERY(Entregas_BD!D:AL,""select AH where D='""&amp;D36&amp;""'"",1))"),0.0)</f>
        <v>0</v>
      </c>
      <c r="V36" s="9">
        <f>IFERROR(__xludf.DUMMYFUNCTION("SUM(QUERY(Entregas_BD!D:AL,""select AI where D='""&amp;D36&amp;""'"",1))"),0.0)</f>
        <v>0</v>
      </c>
      <c r="W36" s="9">
        <f>IFERROR(__xludf.DUMMYFUNCTION("SUM(QUERY(Entregas_BD!D:AL,""select AJ where D='""&amp;D36&amp;""'"",1))"),0.0)</f>
        <v>0</v>
      </c>
      <c r="X36" s="9">
        <f>IFERROR(__xludf.DUMMYFUNCTION("SUM(QUERY(Entregas_BD!D:AL,""select AL where D='""&amp;D36&amp;""'"",1))"),0.0)</f>
        <v>0</v>
      </c>
      <c r="Y36" s="9">
        <f>IFERROR(__xludf.DUMMYFUNCTION("SUM(QUERY(Entregas_BD!D:AL,""select AK where D='""&amp;D36&amp;""'"",1))"),0.0)</f>
        <v>0</v>
      </c>
      <c r="Z36" s="9">
        <v>0.0</v>
      </c>
      <c r="AA36" s="9">
        <v>0.0</v>
      </c>
      <c r="AB36" s="9">
        <v>0.0</v>
      </c>
      <c r="AC36" s="9">
        <v>0.0</v>
      </c>
      <c r="AD36" s="9">
        <v>0.0</v>
      </c>
      <c r="AE36" s="9">
        <v>0.0</v>
      </c>
      <c r="AF36" s="32" t="s">
        <v>150</v>
      </c>
      <c r="AG36" s="15">
        <f>IFERROR(__xludf.DUMMYFUNCTION("SUM(QUERY(Entregas_BD!D:W,""select U where D='""&amp;D36&amp;""'"",1))"),0.0)</f>
        <v>0</v>
      </c>
      <c r="AH36" s="15">
        <f>IFERROR(__xludf.DUMMYFUNCTION("SUM(QUERY(Entregas_BD!D:W,""select S where D='""&amp;D36&amp;""'"",1))"),0.0)</f>
        <v>0</v>
      </c>
      <c r="AI36" s="15">
        <f>IFERROR(__xludf.DUMMYFUNCTION("SUM(QUERY(Entregas_BD!D:W,""select T where D='""&amp;D36&amp;""'"",1))"),0.0)</f>
        <v>0</v>
      </c>
    </row>
    <row r="37" ht="19.5" customHeight="1">
      <c r="A37" s="28"/>
      <c r="B37" s="29"/>
      <c r="C37" s="19">
        <v>36.0</v>
      </c>
      <c r="D37" s="20" t="s">
        <v>151</v>
      </c>
      <c r="E37" s="20" t="s">
        <v>72</v>
      </c>
      <c r="F37" s="20" t="s">
        <v>45</v>
      </c>
      <c r="G37" s="20" t="s">
        <v>149</v>
      </c>
      <c r="H37" s="19" t="s">
        <v>40</v>
      </c>
      <c r="I37" s="21" t="s">
        <v>41</v>
      </c>
      <c r="J37" s="22"/>
      <c r="K37" s="22"/>
      <c r="L37" s="23"/>
      <c r="M37" s="22"/>
      <c r="N37" s="19">
        <f>IFERROR(__xludf.DUMMYFUNCTION("SUM(QUERY(Entregas_BD!D:L,""select G where D='""&amp;D37&amp;""'"",1))"),0.0)</f>
        <v>0</v>
      </c>
      <c r="O37" s="19">
        <f>IFERROR(__xludf.DUMMYFUNCTION("SUM(QUERY(Entregas_BD!D:L,""select H where D='""&amp;D37&amp;""'"",1))"),0.0)</f>
        <v>0</v>
      </c>
      <c r="P37" s="19">
        <f>IFERROR(__xludf.DUMMYFUNCTION("SUM(QUERY(Entregas_BD!D:L,""select I where D='""&amp;D37&amp;""'"",1))"),0.0)</f>
        <v>0</v>
      </c>
      <c r="Q37" s="19">
        <f>IFERROR(__xludf.DUMMYFUNCTION("SUM(QUERY(Entregas_BD!D:L,""select J where D='""&amp;D37&amp;""'"",1))"),0.0)</f>
        <v>0</v>
      </c>
      <c r="R37" s="24">
        <f>IFERROR(__xludf.DUMMYFUNCTION("SUM(QUERY(Entregas_BD!D:L,""select K where D='""&amp;D37&amp;""'"",1))"),0.0)</f>
        <v>0</v>
      </c>
      <c r="S37" s="24">
        <f>IFERROR(__xludf.DUMMYFUNCTION("SUM(QUERY(Entregas_BD!D:L,""select L where D='""&amp;D37&amp;""'"",1))"),0.0)</f>
        <v>0</v>
      </c>
      <c r="T37" s="19">
        <f>IFERROR(__xludf.DUMMYFUNCTION("SUM(QUERY(Entregas_BD!D:AL,""select AG where D='""&amp;D37&amp;""'"",1))"),70.0)</f>
        <v>70</v>
      </c>
      <c r="U37" s="19">
        <f>IFERROR(__xludf.DUMMYFUNCTION("SUM(QUERY(Entregas_BD!D:AL,""select AH where D='""&amp;D37&amp;""'"",1))"),0.0)</f>
        <v>0</v>
      </c>
      <c r="V37" s="19">
        <f>IFERROR(__xludf.DUMMYFUNCTION("SUM(QUERY(Entregas_BD!D:AL,""select AI where D='""&amp;D37&amp;""'"",1))"),0.0)</f>
        <v>0</v>
      </c>
      <c r="W37" s="19">
        <f>IFERROR(__xludf.DUMMYFUNCTION("SUM(QUERY(Entregas_BD!D:AL,""select AJ where D='""&amp;D37&amp;""'"",1))"),0.0)</f>
        <v>0</v>
      </c>
      <c r="X37" s="19">
        <f>IFERROR(__xludf.DUMMYFUNCTION("SUM(QUERY(Entregas_BD!D:AL,""select AL where D='""&amp;D37&amp;""'"",1))"),0.0)</f>
        <v>0</v>
      </c>
      <c r="Y37" s="19">
        <f>IFERROR(__xludf.DUMMYFUNCTION("SUM(QUERY(Entregas_BD!D:AL,""select AK where D='""&amp;D37&amp;""'"",1))"),0.0)</f>
        <v>0</v>
      </c>
      <c r="Z37" s="19">
        <v>-70.0</v>
      </c>
      <c r="AA37" s="19">
        <v>0.0</v>
      </c>
      <c r="AB37" s="19">
        <v>0.0</v>
      </c>
      <c r="AC37" s="19">
        <v>0.0</v>
      </c>
      <c r="AD37" s="19">
        <v>0.0</v>
      </c>
      <c r="AE37" s="19">
        <v>0.0</v>
      </c>
      <c r="AF37" s="31" t="s">
        <v>150</v>
      </c>
      <c r="AG37" s="24">
        <f>IFERROR(__xludf.DUMMYFUNCTION("SUM(QUERY(Entregas_BD!D:W,""select U where D='""&amp;D37&amp;""'"",1))"),0.0)</f>
        <v>0</v>
      </c>
      <c r="AH37" s="24">
        <f>IFERROR(__xludf.DUMMYFUNCTION("SUM(QUERY(Entregas_BD!D:W,""select S where D='""&amp;D37&amp;""'"",1))"),0.0)</f>
        <v>0</v>
      </c>
      <c r="AI37" s="24">
        <f>IFERROR(__xludf.DUMMYFUNCTION("SUM(QUERY(Entregas_BD!D:W,""select T where D='""&amp;D37&amp;""'"",1))"),0.0)</f>
        <v>0</v>
      </c>
    </row>
    <row r="38" ht="19.5" customHeight="1">
      <c r="A38" s="7"/>
      <c r="B38" s="8"/>
      <c r="C38" s="9">
        <v>37.0</v>
      </c>
      <c r="D38" s="10" t="s">
        <v>152</v>
      </c>
      <c r="E38" s="10" t="s">
        <v>153</v>
      </c>
      <c r="F38" s="10" t="s">
        <v>154</v>
      </c>
      <c r="G38" s="10" t="s">
        <v>155</v>
      </c>
      <c r="H38" s="12" t="s">
        <v>40</v>
      </c>
      <c r="I38" s="11" t="s">
        <v>41</v>
      </c>
      <c r="J38" s="12"/>
      <c r="K38" s="12"/>
      <c r="L38" s="13"/>
      <c r="M38" s="14"/>
      <c r="N38" s="9">
        <f>IFERROR(__xludf.DUMMYFUNCTION("SUM(QUERY(Entregas_BD!D:L,""select G where D='""&amp;D38&amp;""'"",1))"),0.0)</f>
        <v>0</v>
      </c>
      <c r="O38" s="9">
        <f>IFERROR(__xludf.DUMMYFUNCTION("SUM(QUERY(Entregas_BD!D:L,""select H where D='""&amp;D38&amp;""'"",1))"),0.0)</f>
        <v>0</v>
      </c>
      <c r="P38" s="9">
        <f>IFERROR(__xludf.DUMMYFUNCTION("SUM(QUERY(Entregas_BD!D:L,""select I where D='""&amp;D38&amp;""'"",1))"),0.0)</f>
        <v>0</v>
      </c>
      <c r="Q38" s="9">
        <f>IFERROR(__xludf.DUMMYFUNCTION("SUM(QUERY(Entregas_BD!D:L,""select J where D='""&amp;D38&amp;""'"",1))"),0.0)</f>
        <v>0</v>
      </c>
      <c r="R38" s="15">
        <f>IFERROR(__xludf.DUMMYFUNCTION("SUM(QUERY(Entregas_BD!D:L,""select K where D='""&amp;D38&amp;""'"",1))"),0.0)</f>
        <v>0</v>
      </c>
      <c r="S38" s="15">
        <f>IFERROR(__xludf.DUMMYFUNCTION("SUM(QUERY(Entregas_BD!D:L,""select L where D='""&amp;D38&amp;""'"",1))"),0.0)</f>
        <v>0</v>
      </c>
      <c r="T38" s="9">
        <f>IFERROR(__xludf.DUMMYFUNCTION("SUM(QUERY(Entregas_BD!D:AL,""select AG where D='""&amp;D38&amp;""'"",1))"),0.0)</f>
        <v>0</v>
      </c>
      <c r="U38" s="9">
        <f>IFERROR(__xludf.DUMMYFUNCTION("SUM(QUERY(Entregas_BD!D:AL,""select AH where D='""&amp;D38&amp;""'"",1))"),0.0)</f>
        <v>0</v>
      </c>
      <c r="V38" s="9">
        <f>IFERROR(__xludf.DUMMYFUNCTION("SUM(QUERY(Entregas_BD!D:AL,""select AI where D='""&amp;D38&amp;""'"",1))"),0.0)</f>
        <v>0</v>
      </c>
      <c r="W38" s="9">
        <f>IFERROR(__xludf.DUMMYFUNCTION("SUM(QUERY(Entregas_BD!D:AL,""select AJ where D='""&amp;D38&amp;""'"",1))"),0.0)</f>
        <v>0</v>
      </c>
      <c r="X38" s="9">
        <f>IFERROR(__xludf.DUMMYFUNCTION("SUM(QUERY(Entregas_BD!D:AL,""select AL where D='""&amp;D38&amp;""'"",1))"),0.0)</f>
        <v>0</v>
      </c>
      <c r="Y38" s="9">
        <f>IFERROR(__xludf.DUMMYFUNCTION("SUM(QUERY(Entregas_BD!D:AL,""select AK where D='""&amp;D38&amp;""'"",1))"),0.0)</f>
        <v>0</v>
      </c>
      <c r="Z38" s="9">
        <v>0.0</v>
      </c>
      <c r="AA38" s="9">
        <v>0.0</v>
      </c>
      <c r="AB38" s="9">
        <v>0.0</v>
      </c>
      <c r="AC38" s="9">
        <v>0.0</v>
      </c>
      <c r="AD38" s="9">
        <v>0.0</v>
      </c>
      <c r="AE38" s="9">
        <v>0.0</v>
      </c>
      <c r="AF38" s="16" t="s">
        <v>156</v>
      </c>
      <c r="AG38" s="15">
        <f>IFERROR(__xludf.DUMMYFUNCTION("SUM(QUERY(Entregas_BD!D:W,""select U where D='""&amp;D38&amp;""'"",1))"),0.0)</f>
        <v>0</v>
      </c>
      <c r="AH38" s="15">
        <f>IFERROR(__xludf.DUMMYFUNCTION("SUM(QUERY(Entregas_BD!D:W,""select S where D='""&amp;D38&amp;""'"",1))"),0.0)</f>
        <v>0</v>
      </c>
      <c r="AI38" s="15">
        <f>IFERROR(__xludf.DUMMYFUNCTION("SUM(QUERY(Entregas_BD!D:W,""select T where D='""&amp;D38&amp;""'"",1))"),0.0)</f>
        <v>0</v>
      </c>
    </row>
    <row r="39" ht="19.5" customHeight="1">
      <c r="A39" s="28"/>
      <c r="B39" s="29"/>
      <c r="C39" s="19">
        <v>38.0</v>
      </c>
      <c r="D39" s="20" t="s">
        <v>157</v>
      </c>
      <c r="E39" s="20" t="s">
        <v>153</v>
      </c>
      <c r="F39" s="20" t="s">
        <v>158</v>
      </c>
      <c r="G39" s="20" t="s">
        <v>158</v>
      </c>
      <c r="H39" s="22" t="s">
        <v>159</v>
      </c>
      <c r="I39" s="21" t="s">
        <v>41</v>
      </c>
      <c r="J39" s="22"/>
      <c r="K39" s="22"/>
      <c r="L39" s="23"/>
      <c r="M39" s="36"/>
      <c r="N39" s="19">
        <f>IFERROR(__xludf.DUMMYFUNCTION("SUM(QUERY(Entregas_BD!D:L,""select G where D='""&amp;D39&amp;""'"",1))"),0.0)</f>
        <v>0</v>
      </c>
      <c r="O39" s="19">
        <f>IFERROR(__xludf.DUMMYFUNCTION("SUM(QUERY(Entregas_BD!D:L,""select H where D='""&amp;D39&amp;""'"",1))"),0.0)</f>
        <v>0</v>
      </c>
      <c r="P39" s="19">
        <f>IFERROR(__xludf.DUMMYFUNCTION("SUM(QUERY(Entregas_BD!D:L,""select I where D='""&amp;D39&amp;""'"",1))"),0.0)</f>
        <v>0</v>
      </c>
      <c r="Q39" s="19">
        <f>IFERROR(__xludf.DUMMYFUNCTION("SUM(QUERY(Entregas_BD!D:L,""select J where D='""&amp;D39&amp;""'"",1))"),0.0)</f>
        <v>0</v>
      </c>
      <c r="R39" s="24">
        <f>IFERROR(__xludf.DUMMYFUNCTION("SUM(QUERY(Entregas_BD!D:L,""select K where D='""&amp;D39&amp;""'"",1))"),0.0)</f>
        <v>0</v>
      </c>
      <c r="S39" s="24">
        <f>IFERROR(__xludf.DUMMYFUNCTION("SUM(QUERY(Entregas_BD!D:L,""select L where D='""&amp;D39&amp;""'"",1))"),0.0)</f>
        <v>0</v>
      </c>
      <c r="T39" s="19">
        <f>IFERROR(__xludf.DUMMYFUNCTION("SUM(QUERY(Entregas_BD!D:AL,""select AG where D='""&amp;D39&amp;""'"",1))"),0.0)</f>
        <v>0</v>
      </c>
      <c r="U39" s="19">
        <f>IFERROR(__xludf.DUMMYFUNCTION("SUM(QUERY(Entregas_BD!D:AL,""select AH where D='""&amp;D39&amp;""'"",1))"),0.0)</f>
        <v>0</v>
      </c>
      <c r="V39" s="19">
        <f>IFERROR(__xludf.DUMMYFUNCTION("SUM(QUERY(Entregas_BD!D:AL,""select AI where D='""&amp;D39&amp;""'"",1))"),0.0)</f>
        <v>0</v>
      </c>
      <c r="W39" s="19">
        <f>IFERROR(__xludf.DUMMYFUNCTION("SUM(QUERY(Entregas_BD!D:AL,""select AJ where D='""&amp;D39&amp;""'"",1))"),0.0)</f>
        <v>0</v>
      </c>
      <c r="X39" s="19">
        <f>IFERROR(__xludf.DUMMYFUNCTION("SUM(QUERY(Entregas_BD!D:AL,""select AL where D='""&amp;D39&amp;""'"",1))"),0.0)</f>
        <v>0</v>
      </c>
      <c r="Y39" s="19">
        <f>IFERROR(__xludf.DUMMYFUNCTION("SUM(QUERY(Entregas_BD!D:AL,""select AK where D='""&amp;D39&amp;""'"",1))"),0.0)</f>
        <v>0</v>
      </c>
      <c r="Z39" s="19">
        <v>0.0</v>
      </c>
      <c r="AA39" s="19">
        <v>0.0</v>
      </c>
      <c r="AB39" s="19">
        <v>0.0</v>
      </c>
      <c r="AC39" s="19">
        <v>0.0</v>
      </c>
      <c r="AD39" s="19">
        <v>0.0</v>
      </c>
      <c r="AE39" s="19">
        <v>0.0</v>
      </c>
      <c r="AF39" s="25" t="s">
        <v>160</v>
      </c>
      <c r="AG39" s="24">
        <f>IFERROR(__xludf.DUMMYFUNCTION("SUM(QUERY(Entregas_BD!D:W,""select U where D='""&amp;D39&amp;""'"",1))"),0.0)</f>
        <v>0</v>
      </c>
      <c r="AH39" s="24">
        <f>IFERROR(__xludf.DUMMYFUNCTION("SUM(QUERY(Entregas_BD!D:W,""select S where D='""&amp;D39&amp;""'"",1))"),0.0)</f>
        <v>0</v>
      </c>
      <c r="AI39" s="24">
        <f>IFERROR(__xludf.DUMMYFUNCTION("SUM(QUERY(Entregas_BD!D:W,""select T where D='""&amp;D39&amp;""'"",1))"),0.0)</f>
        <v>0</v>
      </c>
    </row>
    <row r="40" ht="19.5" customHeight="1">
      <c r="A40" s="26"/>
      <c r="B40" s="27"/>
      <c r="C40" s="9">
        <v>39.0</v>
      </c>
      <c r="D40" s="10" t="s">
        <v>161</v>
      </c>
      <c r="E40" s="10" t="s">
        <v>44</v>
      </c>
      <c r="F40" s="10" t="s">
        <v>45</v>
      </c>
      <c r="G40" s="10" t="s">
        <v>162</v>
      </c>
      <c r="H40" s="9" t="s">
        <v>51</v>
      </c>
      <c r="I40" s="11" t="s">
        <v>47</v>
      </c>
      <c r="J40" s="9"/>
      <c r="K40" s="12"/>
      <c r="L40" s="13"/>
      <c r="M40" s="12"/>
      <c r="N40" s="9">
        <f>IFERROR(__xludf.DUMMYFUNCTION("SUM(QUERY(Entregas_BD!D:L,""select G where D='""&amp;D40&amp;""'"",1))"),0.0)</f>
        <v>0</v>
      </c>
      <c r="O40" s="9">
        <f>IFERROR(__xludf.DUMMYFUNCTION("SUM(QUERY(Entregas_BD!D:L,""select H where D='""&amp;D40&amp;""'"",1))"),0.0)</f>
        <v>0</v>
      </c>
      <c r="P40" s="9">
        <f>IFERROR(__xludf.DUMMYFUNCTION("SUM(QUERY(Entregas_BD!D:L,""select I where D='""&amp;D40&amp;""'"",1))"),0.0)</f>
        <v>0</v>
      </c>
      <c r="Q40" s="9">
        <f>IFERROR(__xludf.DUMMYFUNCTION("SUM(QUERY(Entregas_BD!D:L,""select J where D='""&amp;D40&amp;""'"",1))"),0.0)</f>
        <v>0</v>
      </c>
      <c r="R40" s="15">
        <f>IFERROR(__xludf.DUMMYFUNCTION("SUM(QUERY(Entregas_BD!D:L,""select K where D='""&amp;D40&amp;""'"",1))"),0.0)</f>
        <v>0</v>
      </c>
      <c r="S40" s="15">
        <f>IFERROR(__xludf.DUMMYFUNCTION("SUM(QUERY(Entregas_BD!D:L,""select L where D='""&amp;D40&amp;""'"",1))"),0.0)</f>
        <v>0</v>
      </c>
      <c r="T40" s="9">
        <f>IFERROR(__xludf.DUMMYFUNCTION("SUM(QUERY(Entregas_BD!D:AL,""select AG where D='""&amp;D40&amp;""'"",1))"),0.0)</f>
        <v>0</v>
      </c>
      <c r="U40" s="9">
        <f>IFERROR(__xludf.DUMMYFUNCTION("SUM(QUERY(Entregas_BD!D:AL,""select AH where D='""&amp;D40&amp;""'"",1))"),0.0)</f>
        <v>0</v>
      </c>
      <c r="V40" s="9">
        <f>IFERROR(__xludf.DUMMYFUNCTION("SUM(QUERY(Entregas_BD!D:AL,""select AI where D='""&amp;D40&amp;""'"",1))"),0.0)</f>
        <v>0</v>
      </c>
      <c r="W40" s="9">
        <f>IFERROR(__xludf.DUMMYFUNCTION("SUM(QUERY(Entregas_BD!D:AL,""select AJ where D='""&amp;D40&amp;""'"",1))"),0.0)</f>
        <v>0</v>
      </c>
      <c r="X40" s="9">
        <f>IFERROR(__xludf.DUMMYFUNCTION("SUM(QUERY(Entregas_BD!D:AL,""select AL where D='""&amp;D40&amp;""'"",1))"),0.0)</f>
        <v>0</v>
      </c>
      <c r="Y40" s="9">
        <f>IFERROR(__xludf.DUMMYFUNCTION("SUM(QUERY(Entregas_BD!D:AL,""select AK where D='""&amp;D40&amp;""'"",1))"),0.0)</f>
        <v>0</v>
      </c>
      <c r="Z40" s="9">
        <v>0.0</v>
      </c>
      <c r="AA40" s="9">
        <v>0.0</v>
      </c>
      <c r="AB40" s="9">
        <v>0.0</v>
      </c>
      <c r="AC40" s="9">
        <v>0.0</v>
      </c>
      <c r="AD40" s="9">
        <v>0.0</v>
      </c>
      <c r="AE40" s="9">
        <v>0.0</v>
      </c>
      <c r="AF40" s="16" t="s">
        <v>163</v>
      </c>
      <c r="AG40" s="15">
        <f>IFERROR(__xludf.DUMMYFUNCTION("SUM(QUERY(Entregas_BD!D:W,""select U where D='""&amp;D40&amp;""'"",1))"),0.0)</f>
        <v>0</v>
      </c>
      <c r="AH40" s="15">
        <f>IFERROR(__xludf.DUMMYFUNCTION("SUM(QUERY(Entregas_BD!D:W,""select S where D='""&amp;D40&amp;""'"",1))"),0.0)</f>
        <v>0</v>
      </c>
      <c r="AI40" s="15">
        <f>IFERROR(__xludf.DUMMYFUNCTION("SUM(QUERY(Entregas_BD!D:W,""select T where D='""&amp;D40&amp;""'"",1))"),0.0)</f>
        <v>0</v>
      </c>
    </row>
    <row r="41" ht="19.5" customHeight="1">
      <c r="A41" s="28"/>
      <c r="B41" s="29"/>
      <c r="C41" s="19">
        <v>40.0</v>
      </c>
      <c r="D41" s="20" t="s">
        <v>164</v>
      </c>
      <c r="E41" s="20" t="s">
        <v>58</v>
      </c>
      <c r="F41" s="20" t="s">
        <v>45</v>
      </c>
      <c r="G41" s="20" t="s">
        <v>165</v>
      </c>
      <c r="H41" s="19" t="s">
        <v>51</v>
      </c>
      <c r="I41" s="21" t="s">
        <v>41</v>
      </c>
      <c r="J41" s="19"/>
      <c r="K41" s="22"/>
      <c r="L41" s="23"/>
      <c r="M41" s="22"/>
      <c r="N41" s="19">
        <f>IFERROR(__xludf.DUMMYFUNCTION("SUM(QUERY(Entregas_BD!D:L,""select G where D='""&amp;D41&amp;""'"",1))"),0.0)</f>
        <v>0</v>
      </c>
      <c r="O41" s="19">
        <f>IFERROR(__xludf.DUMMYFUNCTION("SUM(QUERY(Entregas_BD!D:L,""select H where D='""&amp;D41&amp;""'"",1))"),0.0)</f>
        <v>0</v>
      </c>
      <c r="P41" s="19">
        <f>IFERROR(__xludf.DUMMYFUNCTION("SUM(QUERY(Entregas_BD!D:L,""select I where D='""&amp;D41&amp;""'"",1))"),0.0)</f>
        <v>0</v>
      </c>
      <c r="Q41" s="19">
        <f>IFERROR(__xludf.DUMMYFUNCTION("SUM(QUERY(Entregas_BD!D:L,""select J where D='""&amp;D41&amp;""'"",1))"),0.0)</f>
        <v>0</v>
      </c>
      <c r="R41" s="24">
        <f>IFERROR(__xludf.DUMMYFUNCTION("SUM(QUERY(Entregas_BD!D:L,""select K where D='""&amp;D41&amp;""'"",1))"),0.0)</f>
        <v>0</v>
      </c>
      <c r="S41" s="24">
        <f>IFERROR(__xludf.DUMMYFUNCTION("SUM(QUERY(Entregas_BD!D:L,""select L where D='""&amp;D41&amp;""'"",1))"),0.0)</f>
        <v>0</v>
      </c>
      <c r="T41" s="19">
        <f>IFERROR(__xludf.DUMMYFUNCTION("SUM(QUERY(Entregas_BD!D:AL,""select AG where D='""&amp;D41&amp;""'"",1))"),0.0)</f>
        <v>0</v>
      </c>
      <c r="U41" s="19">
        <f>IFERROR(__xludf.DUMMYFUNCTION("SUM(QUERY(Entregas_BD!D:AL,""select AH where D='""&amp;D41&amp;""'"",1))"),0.0)</f>
        <v>0</v>
      </c>
      <c r="V41" s="19">
        <f>IFERROR(__xludf.DUMMYFUNCTION("SUM(QUERY(Entregas_BD!D:AL,""select AI where D='""&amp;D41&amp;""'"",1))"),0.0)</f>
        <v>0</v>
      </c>
      <c r="W41" s="19">
        <f>IFERROR(__xludf.DUMMYFUNCTION("SUM(QUERY(Entregas_BD!D:AL,""select AJ where D='""&amp;D41&amp;""'"",1))"),0.0)</f>
        <v>0</v>
      </c>
      <c r="X41" s="19">
        <f>IFERROR(__xludf.DUMMYFUNCTION("SUM(QUERY(Entregas_BD!D:AL,""select AL where D='""&amp;D41&amp;""'"",1))"),0.0)</f>
        <v>0</v>
      </c>
      <c r="Y41" s="19">
        <f>IFERROR(__xludf.DUMMYFUNCTION("SUM(QUERY(Entregas_BD!D:AL,""select AK where D='""&amp;D41&amp;""'"",1))"),0.0)</f>
        <v>0</v>
      </c>
      <c r="Z41" s="19">
        <v>0.0</v>
      </c>
      <c r="AA41" s="19">
        <v>0.0</v>
      </c>
      <c r="AB41" s="19">
        <v>0.0</v>
      </c>
      <c r="AC41" s="19">
        <v>0.0</v>
      </c>
      <c r="AD41" s="19">
        <v>0.0</v>
      </c>
      <c r="AE41" s="19">
        <v>0.0</v>
      </c>
      <c r="AF41" s="25" t="s">
        <v>166</v>
      </c>
      <c r="AG41" s="24">
        <f>IFERROR(__xludf.DUMMYFUNCTION("SUM(QUERY(Entregas_BD!D:W,""select U where D='""&amp;D41&amp;""'"",1))"),0.0)</f>
        <v>0</v>
      </c>
      <c r="AH41" s="24">
        <f>IFERROR(__xludf.DUMMYFUNCTION("SUM(QUERY(Entregas_BD!D:W,""select S where D='""&amp;D41&amp;""'"",1))"),0.0)</f>
        <v>0</v>
      </c>
      <c r="AI41" s="24">
        <f>IFERROR(__xludf.DUMMYFUNCTION("SUM(QUERY(Entregas_BD!D:W,""select T where D='""&amp;D41&amp;""'"",1))"),0.0)</f>
        <v>0</v>
      </c>
    </row>
    <row r="42" ht="19.5" customHeight="1">
      <c r="A42" s="7"/>
      <c r="B42" s="8"/>
      <c r="C42" s="9">
        <v>41.0</v>
      </c>
      <c r="D42" s="10" t="s">
        <v>167</v>
      </c>
      <c r="E42" s="10" t="s">
        <v>153</v>
      </c>
      <c r="F42" s="10" t="s">
        <v>168</v>
      </c>
      <c r="G42" s="10" t="s">
        <v>169</v>
      </c>
      <c r="H42" s="12" t="s">
        <v>40</v>
      </c>
      <c r="I42" s="11" t="s">
        <v>47</v>
      </c>
      <c r="J42" s="12"/>
      <c r="K42" s="12"/>
      <c r="L42" s="13"/>
      <c r="M42" s="14"/>
      <c r="N42" s="9">
        <f>IFERROR(__xludf.DUMMYFUNCTION("SUM(QUERY(Entregas_BD!D:L,""select G where D='""&amp;D42&amp;""'"",1))"),0.0)</f>
        <v>0</v>
      </c>
      <c r="O42" s="9">
        <f>IFERROR(__xludf.DUMMYFUNCTION("SUM(QUERY(Entregas_BD!D:L,""select H where D='""&amp;D42&amp;""'"",1))"),0.0)</f>
        <v>0</v>
      </c>
      <c r="P42" s="9">
        <f>IFERROR(__xludf.DUMMYFUNCTION("SUM(QUERY(Entregas_BD!D:L,""select I where D='""&amp;D42&amp;""'"",1))"),0.0)</f>
        <v>0</v>
      </c>
      <c r="Q42" s="9">
        <f>IFERROR(__xludf.DUMMYFUNCTION("SUM(QUERY(Entregas_BD!D:L,""select J where D='""&amp;D42&amp;""'"",1))"),0.0)</f>
        <v>0</v>
      </c>
      <c r="R42" s="15">
        <f>IFERROR(__xludf.DUMMYFUNCTION("SUM(QUERY(Entregas_BD!D:L,""select K where D='""&amp;D42&amp;""'"",1))"),0.0)</f>
        <v>0</v>
      </c>
      <c r="S42" s="15">
        <f>IFERROR(__xludf.DUMMYFUNCTION("SUM(QUERY(Entregas_BD!D:L,""select L where D='""&amp;D42&amp;""'"",1))"),0.0)</f>
        <v>0</v>
      </c>
      <c r="T42" s="9">
        <f>IFERROR(__xludf.DUMMYFUNCTION("SUM(QUERY(Entregas_BD!D:AL,""select AG where D='""&amp;D42&amp;""'"",1))"),0.0)</f>
        <v>0</v>
      </c>
      <c r="U42" s="9">
        <f>IFERROR(__xludf.DUMMYFUNCTION("SUM(QUERY(Entregas_BD!D:AL,""select AH where D='""&amp;D42&amp;""'"",1))"),0.0)</f>
        <v>0</v>
      </c>
      <c r="V42" s="9">
        <f>IFERROR(__xludf.DUMMYFUNCTION("SUM(QUERY(Entregas_BD!D:AL,""select AI where D='""&amp;D42&amp;""'"",1))"),0.0)</f>
        <v>0</v>
      </c>
      <c r="W42" s="9">
        <f>IFERROR(__xludf.DUMMYFUNCTION("SUM(QUERY(Entregas_BD!D:AL,""select AJ where D='""&amp;D42&amp;""'"",1))"),0.0)</f>
        <v>0</v>
      </c>
      <c r="X42" s="9">
        <f>IFERROR(__xludf.DUMMYFUNCTION("SUM(QUERY(Entregas_BD!D:AL,""select AL where D='""&amp;D42&amp;""'"",1))"),0.0)</f>
        <v>0</v>
      </c>
      <c r="Y42" s="9">
        <f>IFERROR(__xludf.DUMMYFUNCTION("SUM(QUERY(Entregas_BD!D:AL,""select AK where D='""&amp;D42&amp;""'"",1))"),0.0)</f>
        <v>0</v>
      </c>
      <c r="Z42" s="9">
        <v>0.0</v>
      </c>
      <c r="AA42" s="9">
        <v>0.0</v>
      </c>
      <c r="AB42" s="9">
        <v>0.0</v>
      </c>
      <c r="AC42" s="9">
        <v>0.0</v>
      </c>
      <c r="AD42" s="9">
        <v>0.0</v>
      </c>
      <c r="AE42" s="9">
        <v>0.0</v>
      </c>
      <c r="AF42" s="16" t="s">
        <v>170</v>
      </c>
      <c r="AG42" s="15">
        <f>IFERROR(__xludf.DUMMYFUNCTION("SUM(QUERY(Entregas_BD!D:W,""select U where D='""&amp;D42&amp;""'"",1))"),0.0)</f>
        <v>0</v>
      </c>
      <c r="AH42" s="15">
        <f>IFERROR(__xludf.DUMMYFUNCTION("SUM(QUERY(Entregas_BD!D:W,""select S where D='""&amp;D42&amp;""'"",1))"),0.0)</f>
        <v>0</v>
      </c>
      <c r="AI42" s="15">
        <f>IFERROR(__xludf.DUMMYFUNCTION("SUM(QUERY(Entregas_BD!D:W,""select T where D='""&amp;D42&amp;""'"",1))"),0.0)</f>
        <v>0</v>
      </c>
    </row>
    <row r="43" ht="19.5" customHeight="1">
      <c r="A43" s="28"/>
      <c r="B43" s="29"/>
      <c r="C43" s="19">
        <v>42.0</v>
      </c>
      <c r="D43" s="20" t="s">
        <v>171</v>
      </c>
      <c r="E43" s="20" t="s">
        <v>72</v>
      </c>
      <c r="F43" s="20" t="s">
        <v>45</v>
      </c>
      <c r="G43" s="20" t="s">
        <v>149</v>
      </c>
      <c r="H43" s="19" t="s">
        <v>69</v>
      </c>
      <c r="I43" s="21" t="s">
        <v>41</v>
      </c>
      <c r="J43" s="22"/>
      <c r="K43" s="22"/>
      <c r="L43" s="23"/>
      <c r="M43" s="22"/>
      <c r="N43" s="19">
        <f>IFERROR(__xludf.DUMMYFUNCTION("SUM(QUERY(Entregas_BD!D:L,""select G where D='""&amp;D43&amp;""'"",1))"),0.0)</f>
        <v>0</v>
      </c>
      <c r="O43" s="19">
        <f>IFERROR(__xludf.DUMMYFUNCTION("SUM(QUERY(Entregas_BD!D:L,""select H where D='""&amp;D43&amp;""'"",1))"),0.0)</f>
        <v>0</v>
      </c>
      <c r="P43" s="19">
        <f>IFERROR(__xludf.DUMMYFUNCTION("SUM(QUERY(Entregas_BD!D:L,""select I where D='""&amp;D43&amp;""'"",1))"),0.0)</f>
        <v>0</v>
      </c>
      <c r="Q43" s="19">
        <f>IFERROR(__xludf.DUMMYFUNCTION("SUM(QUERY(Entregas_BD!D:L,""select J where D='""&amp;D43&amp;""'"",1))"),0.0)</f>
        <v>0</v>
      </c>
      <c r="R43" s="24">
        <f>IFERROR(__xludf.DUMMYFUNCTION("SUM(QUERY(Entregas_BD!D:L,""select K where D='""&amp;D43&amp;""'"",1))"),0.0)</f>
        <v>0</v>
      </c>
      <c r="S43" s="24">
        <f>IFERROR(__xludf.DUMMYFUNCTION("SUM(QUERY(Entregas_BD!D:L,""select L where D='""&amp;D43&amp;""'"",1))"),0.0)</f>
        <v>0</v>
      </c>
      <c r="T43" s="19">
        <f>IFERROR(__xludf.DUMMYFUNCTION("SUM(QUERY(Entregas_BD!D:AL,""select AG where D='""&amp;D43&amp;""'"",1))"),100.0)</f>
        <v>100</v>
      </c>
      <c r="U43" s="19">
        <f>IFERROR(__xludf.DUMMYFUNCTION("SUM(QUERY(Entregas_BD!D:AL,""select AH where D='""&amp;D43&amp;""'"",1))"),0.0)</f>
        <v>0</v>
      </c>
      <c r="V43" s="19">
        <f>IFERROR(__xludf.DUMMYFUNCTION("SUM(QUERY(Entregas_BD!D:AL,""select AI where D='""&amp;D43&amp;""'"",1))"),0.0)</f>
        <v>0</v>
      </c>
      <c r="W43" s="19">
        <f>IFERROR(__xludf.DUMMYFUNCTION("SUM(QUERY(Entregas_BD!D:AL,""select AJ where D='""&amp;D43&amp;""'"",1))"),0.0)</f>
        <v>0</v>
      </c>
      <c r="X43" s="19">
        <f>IFERROR(__xludf.DUMMYFUNCTION("SUM(QUERY(Entregas_BD!D:AL,""select AL where D='""&amp;D43&amp;""'"",1))"),0.0)</f>
        <v>0</v>
      </c>
      <c r="Y43" s="19">
        <f>IFERROR(__xludf.DUMMYFUNCTION("SUM(QUERY(Entregas_BD!D:AL,""select AK where D='""&amp;D43&amp;""'"",1))"),0.0)</f>
        <v>0</v>
      </c>
      <c r="Z43" s="19">
        <v>-100.0</v>
      </c>
      <c r="AA43" s="19">
        <v>0.0</v>
      </c>
      <c r="AB43" s="19">
        <v>0.0</v>
      </c>
      <c r="AC43" s="19">
        <v>0.0</v>
      </c>
      <c r="AD43" s="19">
        <v>0.0</v>
      </c>
      <c r="AE43" s="19">
        <v>0.0</v>
      </c>
      <c r="AF43" s="31" t="s">
        <v>172</v>
      </c>
      <c r="AG43" s="24">
        <f>IFERROR(__xludf.DUMMYFUNCTION("SUM(QUERY(Entregas_BD!D:W,""select U where D='""&amp;D43&amp;""'"",1))"),0.0)</f>
        <v>0</v>
      </c>
      <c r="AH43" s="24">
        <f>IFERROR(__xludf.DUMMYFUNCTION("SUM(QUERY(Entregas_BD!D:W,""select S where D='""&amp;D43&amp;""'"",1))"),0.0)</f>
        <v>0</v>
      </c>
      <c r="AI43" s="24">
        <f>IFERROR(__xludf.DUMMYFUNCTION("SUM(QUERY(Entregas_BD!D:W,""select T where D='""&amp;D43&amp;""'"",1))"),0.0)</f>
        <v>0</v>
      </c>
    </row>
    <row r="44" ht="19.5" customHeight="1">
      <c r="A44" s="7"/>
      <c r="B44" s="8"/>
      <c r="C44" s="9">
        <v>43.0</v>
      </c>
      <c r="D44" s="10" t="s">
        <v>173</v>
      </c>
      <c r="E44" s="10" t="s">
        <v>58</v>
      </c>
      <c r="F44" s="10" t="s">
        <v>45</v>
      </c>
      <c r="G44" s="10" t="s">
        <v>174</v>
      </c>
      <c r="H44" s="9" t="s">
        <v>40</v>
      </c>
      <c r="I44" s="11" t="s">
        <v>41</v>
      </c>
      <c r="J44" s="9"/>
      <c r="K44" s="12"/>
      <c r="L44" s="13"/>
      <c r="M44" s="12"/>
      <c r="N44" s="9">
        <f>IFERROR(__xludf.DUMMYFUNCTION("SUM(QUERY(Entregas_BD!D:L,""select G where D='""&amp;D44&amp;""'"",1))"),0.0)</f>
        <v>0</v>
      </c>
      <c r="O44" s="9">
        <f>IFERROR(__xludf.DUMMYFUNCTION("SUM(QUERY(Entregas_BD!D:L,""select H where D='""&amp;D44&amp;""'"",1))"),0.0)</f>
        <v>0</v>
      </c>
      <c r="P44" s="9">
        <f>IFERROR(__xludf.DUMMYFUNCTION("SUM(QUERY(Entregas_BD!D:L,""select I where D='""&amp;D44&amp;""'"",1))"),0.0)</f>
        <v>0</v>
      </c>
      <c r="Q44" s="9">
        <f>IFERROR(__xludf.DUMMYFUNCTION("SUM(QUERY(Entregas_BD!D:L,""select J where D='""&amp;D44&amp;""'"",1))"),0.0)</f>
        <v>0</v>
      </c>
      <c r="R44" s="15">
        <f>IFERROR(__xludf.DUMMYFUNCTION("SUM(QUERY(Entregas_BD!D:L,""select K where D='""&amp;D44&amp;""'"",1))"),0.0)</f>
        <v>0</v>
      </c>
      <c r="S44" s="15">
        <f>IFERROR(__xludf.DUMMYFUNCTION("SUM(QUERY(Entregas_BD!D:L,""select L where D='""&amp;D44&amp;""'"",1))"),0.0)</f>
        <v>0</v>
      </c>
      <c r="T44" s="9">
        <f>IFERROR(__xludf.DUMMYFUNCTION("SUM(QUERY(Entregas_BD!D:AL,""select AG where D='""&amp;D44&amp;""'"",1))"),220.0)</f>
        <v>220</v>
      </c>
      <c r="U44" s="9">
        <f>IFERROR(__xludf.DUMMYFUNCTION("SUM(QUERY(Entregas_BD!D:AL,""select AH where D='""&amp;D44&amp;""'"",1))"),0.0)</f>
        <v>0</v>
      </c>
      <c r="V44" s="9">
        <f>IFERROR(__xludf.DUMMYFUNCTION("SUM(QUERY(Entregas_BD!D:AL,""select AI where D='""&amp;D44&amp;""'"",1))"),0.0)</f>
        <v>0</v>
      </c>
      <c r="W44" s="9">
        <f>IFERROR(__xludf.DUMMYFUNCTION("SUM(QUERY(Entregas_BD!D:AL,""select AJ where D='""&amp;D44&amp;""'"",1))"),100.0)</f>
        <v>100</v>
      </c>
      <c r="X44" s="9">
        <f>IFERROR(__xludf.DUMMYFUNCTION("SUM(QUERY(Entregas_BD!D:AL,""select AL where D='""&amp;D44&amp;""'"",1))"),0.0)</f>
        <v>0</v>
      </c>
      <c r="Y44" s="9">
        <f>IFERROR(__xludf.DUMMYFUNCTION("SUM(QUERY(Entregas_BD!D:AL,""select AK where D='""&amp;D44&amp;""'"",1))"),0.0)</f>
        <v>0</v>
      </c>
      <c r="Z44" s="9">
        <v>-220.0</v>
      </c>
      <c r="AA44" s="9">
        <v>0.0</v>
      </c>
      <c r="AB44" s="9">
        <v>0.0</v>
      </c>
      <c r="AC44" s="9">
        <v>-100.0</v>
      </c>
      <c r="AD44" s="9">
        <v>0.0</v>
      </c>
      <c r="AE44" s="9">
        <v>0.0</v>
      </c>
      <c r="AF44" s="16" t="s">
        <v>175</v>
      </c>
      <c r="AG44" s="15">
        <f>IFERROR(__xludf.DUMMYFUNCTION("SUM(QUERY(Entregas_BD!D:W,""select U where D='""&amp;D44&amp;""'"",1))"),0.0)</f>
        <v>0</v>
      </c>
      <c r="AH44" s="15">
        <f>IFERROR(__xludf.DUMMYFUNCTION("SUM(QUERY(Entregas_BD!D:W,""select S where D='""&amp;D44&amp;""'"",1))"),0.0)</f>
        <v>0</v>
      </c>
      <c r="AI44" s="15">
        <f>IFERROR(__xludf.DUMMYFUNCTION("SUM(QUERY(Entregas_BD!D:W,""select T where D='""&amp;D44&amp;""'"",1))"),0.0)</f>
        <v>0</v>
      </c>
    </row>
    <row r="45" ht="19.5" customHeight="1">
      <c r="A45" s="17"/>
      <c r="B45" s="18"/>
      <c r="C45" s="19">
        <v>44.0</v>
      </c>
      <c r="D45" s="20" t="s">
        <v>176</v>
      </c>
      <c r="E45" s="20" t="s">
        <v>44</v>
      </c>
      <c r="F45" s="20" t="s">
        <v>45</v>
      </c>
      <c r="G45" s="20" t="s">
        <v>177</v>
      </c>
      <c r="H45" s="19" t="s">
        <v>40</v>
      </c>
      <c r="I45" s="21" t="s">
        <v>47</v>
      </c>
      <c r="J45" s="19"/>
      <c r="K45" s="22"/>
      <c r="L45" s="23"/>
      <c r="M45" s="22"/>
      <c r="N45" s="19">
        <f>IFERROR(__xludf.DUMMYFUNCTION("SUM(QUERY(Entregas_BD!D:L,""select G where D='""&amp;D45&amp;""'"",1))"),0.0)</f>
        <v>0</v>
      </c>
      <c r="O45" s="19">
        <f>IFERROR(__xludf.DUMMYFUNCTION("SUM(QUERY(Entregas_BD!D:L,""select H where D='""&amp;D45&amp;""'"",1))"),0.0)</f>
        <v>0</v>
      </c>
      <c r="P45" s="19">
        <f>IFERROR(__xludf.DUMMYFUNCTION("SUM(QUERY(Entregas_BD!D:L,""select I where D='""&amp;D45&amp;""'"",1))"),0.0)</f>
        <v>0</v>
      </c>
      <c r="Q45" s="19">
        <f>IFERROR(__xludf.DUMMYFUNCTION("SUM(QUERY(Entregas_BD!D:L,""select J where D='""&amp;D45&amp;""'"",1))"),0.0)</f>
        <v>0</v>
      </c>
      <c r="R45" s="24">
        <f>IFERROR(__xludf.DUMMYFUNCTION("SUM(QUERY(Entregas_BD!D:L,""select K where D='""&amp;D45&amp;""'"",1))"),0.0)</f>
        <v>0</v>
      </c>
      <c r="S45" s="24">
        <f>IFERROR(__xludf.DUMMYFUNCTION("SUM(QUERY(Entregas_BD!D:L,""select L where D='""&amp;D45&amp;""'"",1))"),0.0)</f>
        <v>0</v>
      </c>
      <c r="T45" s="19">
        <f>IFERROR(__xludf.DUMMYFUNCTION("SUM(QUERY(Entregas_BD!D:AL,""select AG where D='""&amp;D45&amp;""'"",1))"),0.0)</f>
        <v>0</v>
      </c>
      <c r="U45" s="19">
        <f>IFERROR(__xludf.DUMMYFUNCTION("SUM(QUERY(Entregas_BD!D:AL,""select AH where D='""&amp;D45&amp;""'"",1))"),0.0)</f>
        <v>0</v>
      </c>
      <c r="V45" s="19">
        <f>IFERROR(__xludf.DUMMYFUNCTION("SUM(QUERY(Entregas_BD!D:AL,""select AI where D='""&amp;D45&amp;""'"",1))"),0.0)</f>
        <v>0</v>
      </c>
      <c r="W45" s="19">
        <f>IFERROR(__xludf.DUMMYFUNCTION("SUM(QUERY(Entregas_BD!D:AL,""select AJ where D='""&amp;D45&amp;""'"",1))"),0.0)</f>
        <v>0</v>
      </c>
      <c r="X45" s="19">
        <f>IFERROR(__xludf.DUMMYFUNCTION("SUM(QUERY(Entregas_BD!D:AL,""select AL where D='""&amp;D45&amp;""'"",1))"),0.0)</f>
        <v>0</v>
      </c>
      <c r="Y45" s="19">
        <f>IFERROR(__xludf.DUMMYFUNCTION("SUM(QUERY(Entregas_BD!D:AL,""select AK where D='""&amp;D45&amp;""'"",1))"),0.0)</f>
        <v>0</v>
      </c>
      <c r="Z45" s="19">
        <v>0.0</v>
      </c>
      <c r="AA45" s="19">
        <v>0.0</v>
      </c>
      <c r="AB45" s="19">
        <v>0.0</v>
      </c>
      <c r="AC45" s="19">
        <v>0.0</v>
      </c>
      <c r="AD45" s="19">
        <v>0.0</v>
      </c>
      <c r="AE45" s="19">
        <v>0.0</v>
      </c>
      <c r="AF45" s="25" t="s">
        <v>178</v>
      </c>
      <c r="AG45" s="24">
        <f>IFERROR(__xludf.DUMMYFUNCTION("SUM(QUERY(Entregas_BD!D:W,""select U where D='""&amp;D45&amp;""'"",1))"),0.0)</f>
        <v>0</v>
      </c>
      <c r="AH45" s="24">
        <f>IFERROR(__xludf.DUMMYFUNCTION("SUM(QUERY(Entregas_BD!D:W,""select S where D='""&amp;D45&amp;""'"",1))"),0.0)</f>
        <v>0</v>
      </c>
      <c r="AI45" s="24">
        <f>IFERROR(__xludf.DUMMYFUNCTION("SUM(QUERY(Entregas_BD!D:W,""select T where D='""&amp;D45&amp;""'"",1))"),0.0)</f>
        <v>0</v>
      </c>
    </row>
    <row r="46" ht="19.5" customHeight="1">
      <c r="A46" s="7"/>
      <c r="B46" s="8"/>
      <c r="C46" s="9">
        <v>45.0</v>
      </c>
      <c r="D46" s="10" t="s">
        <v>179</v>
      </c>
      <c r="E46" s="10" t="s">
        <v>72</v>
      </c>
      <c r="F46" s="10" t="s">
        <v>45</v>
      </c>
      <c r="G46" s="10" t="s">
        <v>136</v>
      </c>
      <c r="H46" s="9" t="s">
        <v>40</v>
      </c>
      <c r="I46" s="11" t="s">
        <v>41</v>
      </c>
      <c r="J46" s="12"/>
      <c r="K46" s="12"/>
      <c r="L46" s="13"/>
      <c r="M46" s="12"/>
      <c r="N46" s="9">
        <f>IFERROR(__xludf.DUMMYFUNCTION("SUM(QUERY(Entregas_BD!D:L,""select G where D='""&amp;D46&amp;""'"",1))"),0.0)</f>
        <v>0</v>
      </c>
      <c r="O46" s="9">
        <f>IFERROR(__xludf.DUMMYFUNCTION("SUM(QUERY(Entregas_BD!D:L,""select H where D='""&amp;D46&amp;""'"",1))"),0.0)</f>
        <v>0</v>
      </c>
      <c r="P46" s="9">
        <f>IFERROR(__xludf.DUMMYFUNCTION("SUM(QUERY(Entregas_BD!D:L,""select I where D='""&amp;D46&amp;""'"",1))"),0.0)</f>
        <v>0</v>
      </c>
      <c r="Q46" s="9">
        <f>IFERROR(__xludf.DUMMYFUNCTION("SUM(QUERY(Entregas_BD!D:L,""select J where D='""&amp;D46&amp;""'"",1))"),0.0)</f>
        <v>0</v>
      </c>
      <c r="R46" s="15">
        <f>IFERROR(__xludf.DUMMYFUNCTION("SUM(QUERY(Entregas_BD!D:L,""select K where D='""&amp;D46&amp;""'"",1))"),0.0)</f>
        <v>0</v>
      </c>
      <c r="S46" s="15">
        <f>IFERROR(__xludf.DUMMYFUNCTION("SUM(QUERY(Entregas_BD!D:L,""select L where D='""&amp;D46&amp;""'"",1))"),0.0)</f>
        <v>0</v>
      </c>
      <c r="T46" s="9">
        <f>IFERROR(__xludf.DUMMYFUNCTION("SUM(QUERY(Entregas_BD!D:AL,""select AG where D='""&amp;D46&amp;""'"",1))"),100.0)</f>
        <v>100</v>
      </c>
      <c r="U46" s="9">
        <f>IFERROR(__xludf.DUMMYFUNCTION("SUM(QUERY(Entregas_BD!D:AL,""select AH where D='""&amp;D46&amp;""'"",1))"),0.0)</f>
        <v>0</v>
      </c>
      <c r="V46" s="9">
        <f>IFERROR(__xludf.DUMMYFUNCTION("SUM(QUERY(Entregas_BD!D:AL,""select AI where D='""&amp;D46&amp;""'"",1))"),0.0)</f>
        <v>0</v>
      </c>
      <c r="W46" s="9">
        <f>IFERROR(__xludf.DUMMYFUNCTION("SUM(QUERY(Entregas_BD!D:AL,""select AJ where D='""&amp;D46&amp;""'"",1))"),0.0)</f>
        <v>0</v>
      </c>
      <c r="X46" s="9">
        <f>IFERROR(__xludf.DUMMYFUNCTION("SUM(QUERY(Entregas_BD!D:AL,""select AL where D='""&amp;D46&amp;""'"",1))"),0.0)</f>
        <v>0</v>
      </c>
      <c r="Y46" s="9">
        <f>IFERROR(__xludf.DUMMYFUNCTION("SUM(QUERY(Entregas_BD!D:AL,""select AK where D='""&amp;D46&amp;""'"",1))"),0.0)</f>
        <v>0</v>
      </c>
      <c r="Z46" s="9">
        <v>-100.0</v>
      </c>
      <c r="AA46" s="9">
        <v>0.0</v>
      </c>
      <c r="AB46" s="9">
        <v>0.0</v>
      </c>
      <c r="AC46" s="9">
        <v>0.0</v>
      </c>
      <c r="AD46" s="9">
        <v>0.0</v>
      </c>
      <c r="AE46" s="9">
        <v>0.0</v>
      </c>
      <c r="AF46" s="16" t="s">
        <v>180</v>
      </c>
      <c r="AG46" s="15">
        <f>IFERROR(__xludf.DUMMYFUNCTION("SUM(QUERY(Entregas_BD!D:W,""select U where D='""&amp;D46&amp;""'"",1))"),0.0)</f>
        <v>0</v>
      </c>
      <c r="AH46" s="15">
        <f>IFERROR(__xludf.DUMMYFUNCTION("SUM(QUERY(Entregas_BD!D:W,""select S where D='""&amp;D46&amp;""'"",1))"),0.0)</f>
        <v>0</v>
      </c>
      <c r="AI46" s="15">
        <f>IFERROR(__xludf.DUMMYFUNCTION("SUM(QUERY(Entregas_BD!D:W,""select T where D='""&amp;D46&amp;""'"",1))"),0.0)</f>
        <v>0</v>
      </c>
    </row>
    <row r="47" ht="19.5" customHeight="1">
      <c r="A47" s="28"/>
      <c r="B47" s="29"/>
      <c r="C47" s="19">
        <v>46.0</v>
      </c>
      <c r="D47" s="20" t="s">
        <v>181</v>
      </c>
      <c r="E47" s="20" t="s">
        <v>72</v>
      </c>
      <c r="F47" s="20" t="s">
        <v>45</v>
      </c>
      <c r="G47" s="20" t="s">
        <v>182</v>
      </c>
      <c r="H47" s="19" t="s">
        <v>51</v>
      </c>
      <c r="I47" s="21" t="s">
        <v>41</v>
      </c>
      <c r="J47" s="22"/>
      <c r="K47" s="22"/>
      <c r="L47" s="23"/>
      <c r="M47" s="22"/>
      <c r="N47" s="19">
        <f>IFERROR(__xludf.DUMMYFUNCTION("SUM(QUERY(Entregas_BD!D:L,""select G where D='""&amp;D47&amp;""'"",1))"),0.0)</f>
        <v>0</v>
      </c>
      <c r="O47" s="19">
        <f>IFERROR(__xludf.DUMMYFUNCTION("SUM(QUERY(Entregas_BD!D:L,""select H where D='""&amp;D47&amp;""'"",1))"),0.0)</f>
        <v>0</v>
      </c>
      <c r="P47" s="19">
        <f>IFERROR(__xludf.DUMMYFUNCTION("SUM(QUERY(Entregas_BD!D:L,""select I where D='""&amp;D47&amp;""'"",1))"),0.0)</f>
        <v>0</v>
      </c>
      <c r="Q47" s="19">
        <f>IFERROR(__xludf.DUMMYFUNCTION("SUM(QUERY(Entregas_BD!D:L,""select J where D='""&amp;D47&amp;""'"",1))"),0.0)</f>
        <v>0</v>
      </c>
      <c r="R47" s="24">
        <f>IFERROR(__xludf.DUMMYFUNCTION("SUM(QUERY(Entregas_BD!D:L,""select K where D='""&amp;D47&amp;""'"",1))"),0.0)</f>
        <v>0</v>
      </c>
      <c r="S47" s="24">
        <f>IFERROR(__xludf.DUMMYFUNCTION("SUM(QUERY(Entregas_BD!D:L,""select L where D='""&amp;D47&amp;""'"",1))"),0.0)</f>
        <v>0</v>
      </c>
      <c r="T47" s="19">
        <f>IFERROR(__xludf.DUMMYFUNCTION("SUM(QUERY(Entregas_BD!D:AL,""select AG where D='""&amp;D47&amp;""'"",1))"),100.0)</f>
        <v>100</v>
      </c>
      <c r="U47" s="19">
        <f>IFERROR(__xludf.DUMMYFUNCTION("SUM(QUERY(Entregas_BD!D:AL,""select AH where D='""&amp;D47&amp;""'"",1))"),0.0)</f>
        <v>0</v>
      </c>
      <c r="V47" s="19">
        <f>IFERROR(__xludf.DUMMYFUNCTION("SUM(QUERY(Entregas_BD!D:AL,""select AI where D='""&amp;D47&amp;""'"",1))"),0.0)</f>
        <v>0</v>
      </c>
      <c r="W47" s="19">
        <f>IFERROR(__xludf.DUMMYFUNCTION("SUM(QUERY(Entregas_BD!D:AL,""select AJ where D='""&amp;D47&amp;""'"",1))"),0.0)</f>
        <v>0</v>
      </c>
      <c r="X47" s="19">
        <f>IFERROR(__xludf.DUMMYFUNCTION("SUM(QUERY(Entregas_BD!D:AL,""select AL where D='""&amp;D47&amp;""'"",1))"),0.0)</f>
        <v>0</v>
      </c>
      <c r="Y47" s="19">
        <f>IFERROR(__xludf.DUMMYFUNCTION("SUM(QUERY(Entregas_BD!D:AL,""select AK where D='""&amp;D47&amp;""'"",1))"),0.0)</f>
        <v>0</v>
      </c>
      <c r="Z47" s="19">
        <v>-100.0</v>
      </c>
      <c r="AA47" s="19">
        <v>0.0</v>
      </c>
      <c r="AB47" s="19">
        <v>0.0</v>
      </c>
      <c r="AC47" s="19">
        <v>0.0</v>
      </c>
      <c r="AD47" s="19">
        <v>0.0</v>
      </c>
      <c r="AE47" s="19">
        <v>0.0</v>
      </c>
      <c r="AF47" s="25" t="s">
        <v>183</v>
      </c>
      <c r="AG47" s="24">
        <f>IFERROR(__xludf.DUMMYFUNCTION("SUM(QUERY(Entregas_BD!D:W,""select U where D='""&amp;D47&amp;""'"",1))"),0.0)</f>
        <v>0</v>
      </c>
      <c r="AH47" s="24">
        <f>IFERROR(__xludf.DUMMYFUNCTION("SUM(QUERY(Entregas_BD!D:W,""select S where D='""&amp;D47&amp;""'"",1))"),0.0)</f>
        <v>0</v>
      </c>
      <c r="AI47" s="24">
        <f>IFERROR(__xludf.DUMMYFUNCTION("SUM(QUERY(Entregas_BD!D:W,""select T where D='""&amp;D47&amp;""'"",1))"),0.0)</f>
        <v>0</v>
      </c>
    </row>
    <row r="48" ht="19.5" customHeight="1">
      <c r="A48" s="7"/>
      <c r="B48" s="8"/>
      <c r="C48" s="9">
        <v>47.0</v>
      </c>
      <c r="D48" s="10" t="s">
        <v>184</v>
      </c>
      <c r="E48" s="10" t="s">
        <v>63</v>
      </c>
      <c r="F48" s="10" t="s">
        <v>185</v>
      </c>
      <c r="G48" s="10" t="s">
        <v>149</v>
      </c>
      <c r="H48" s="9" t="s">
        <v>51</v>
      </c>
      <c r="I48" s="11" t="s">
        <v>47</v>
      </c>
      <c r="J48" s="12"/>
      <c r="K48" s="12"/>
      <c r="L48" s="13"/>
      <c r="M48" s="14"/>
      <c r="N48" s="9">
        <f>IFERROR(__xludf.DUMMYFUNCTION("SUM(QUERY(Entregas_BD!D:L,""select G where D='""&amp;D48&amp;""'"",1))"),0.0)</f>
        <v>0</v>
      </c>
      <c r="O48" s="9">
        <f>IFERROR(__xludf.DUMMYFUNCTION("SUM(QUERY(Entregas_BD!D:L,""select H where D='""&amp;D48&amp;""'"",1))"),0.0)</f>
        <v>0</v>
      </c>
      <c r="P48" s="9">
        <f>IFERROR(__xludf.DUMMYFUNCTION("SUM(QUERY(Entregas_BD!D:L,""select I where D='""&amp;D48&amp;""'"",1))"),0.0)</f>
        <v>0</v>
      </c>
      <c r="Q48" s="9">
        <f>IFERROR(__xludf.DUMMYFUNCTION("SUM(QUERY(Entregas_BD!D:L,""select J where D='""&amp;D48&amp;""'"",1))"),0.0)</f>
        <v>0</v>
      </c>
      <c r="R48" s="15">
        <f>IFERROR(__xludf.DUMMYFUNCTION("SUM(QUERY(Entregas_BD!D:L,""select K where D='""&amp;D48&amp;""'"",1))"),0.0)</f>
        <v>0</v>
      </c>
      <c r="S48" s="15">
        <f>IFERROR(__xludf.DUMMYFUNCTION("SUM(QUERY(Entregas_BD!D:L,""select L where D='""&amp;D48&amp;""'"",1))"),0.0)</f>
        <v>0</v>
      </c>
      <c r="T48" s="9">
        <f>IFERROR(__xludf.DUMMYFUNCTION("SUM(QUERY(Entregas_BD!D:AL,""select AG where D='""&amp;D48&amp;""'"",1))"),0.0)</f>
        <v>0</v>
      </c>
      <c r="U48" s="9">
        <f>IFERROR(__xludf.DUMMYFUNCTION("SUM(QUERY(Entregas_BD!D:AL,""select AH where D='""&amp;D48&amp;""'"",1))"),0.0)</f>
        <v>0</v>
      </c>
      <c r="V48" s="9">
        <f>IFERROR(__xludf.DUMMYFUNCTION("SUM(QUERY(Entregas_BD!D:AL,""select AI where D='""&amp;D48&amp;""'"",1))"),0.0)</f>
        <v>0</v>
      </c>
      <c r="W48" s="9">
        <f>IFERROR(__xludf.DUMMYFUNCTION("SUM(QUERY(Entregas_BD!D:AL,""select AJ where D='""&amp;D48&amp;""'"",1))"),0.0)</f>
        <v>0</v>
      </c>
      <c r="X48" s="9">
        <f>IFERROR(__xludf.DUMMYFUNCTION("SUM(QUERY(Entregas_BD!D:AL,""select AL where D='""&amp;D48&amp;""'"",1))"),0.0)</f>
        <v>0</v>
      </c>
      <c r="Y48" s="9">
        <f>IFERROR(__xludf.DUMMYFUNCTION("SUM(QUERY(Entregas_BD!D:AL,""select AK where D='""&amp;D48&amp;""'"",1))"),0.0)</f>
        <v>0</v>
      </c>
      <c r="Z48" s="9">
        <v>0.0</v>
      </c>
      <c r="AA48" s="9">
        <v>0.0</v>
      </c>
      <c r="AB48" s="9">
        <v>0.0</v>
      </c>
      <c r="AC48" s="9">
        <v>0.0</v>
      </c>
      <c r="AD48" s="9">
        <v>0.0</v>
      </c>
      <c r="AE48" s="9">
        <v>0.0</v>
      </c>
      <c r="AF48" s="16" t="s">
        <v>186</v>
      </c>
      <c r="AG48" s="15">
        <f>IFERROR(__xludf.DUMMYFUNCTION("SUM(QUERY(Entregas_BD!D:W,""select U where D='""&amp;D48&amp;""'"",1))"),0.0)</f>
        <v>0</v>
      </c>
      <c r="AH48" s="15">
        <f>IFERROR(__xludf.DUMMYFUNCTION("SUM(QUERY(Entregas_BD!D:W,""select S where D='""&amp;D48&amp;""'"",1))"),0.0)</f>
        <v>0</v>
      </c>
      <c r="AI48" s="15">
        <f>IFERROR(__xludf.DUMMYFUNCTION("SUM(QUERY(Entregas_BD!D:W,""select T where D='""&amp;D48&amp;""'"",1))"),0.0)</f>
        <v>0</v>
      </c>
    </row>
    <row r="49" ht="19.5" customHeight="1">
      <c r="A49" s="28"/>
      <c r="B49" s="29"/>
      <c r="C49" s="19">
        <v>48.0</v>
      </c>
      <c r="D49" s="20" t="s">
        <v>187</v>
      </c>
      <c r="E49" s="20" t="s">
        <v>38</v>
      </c>
      <c r="F49" s="20" t="s">
        <v>188</v>
      </c>
      <c r="G49" s="20" t="s">
        <v>189</v>
      </c>
      <c r="H49" s="19" t="s">
        <v>40</v>
      </c>
      <c r="I49" s="21" t="s">
        <v>47</v>
      </c>
      <c r="J49" s="23"/>
      <c r="K49" s="22"/>
      <c r="L49" s="23"/>
      <c r="M49" s="36"/>
      <c r="N49" s="19">
        <f>IFERROR(__xludf.DUMMYFUNCTION("SUM(QUERY(Entregas_BD!D:L,""select G where D='""&amp;D49&amp;""'"",1))"),0.0)</f>
        <v>0</v>
      </c>
      <c r="O49" s="19">
        <f>IFERROR(__xludf.DUMMYFUNCTION("SUM(QUERY(Entregas_BD!D:L,""select H where D='""&amp;D49&amp;""'"",1))"),0.0)</f>
        <v>0</v>
      </c>
      <c r="P49" s="19">
        <f>IFERROR(__xludf.DUMMYFUNCTION("SUM(QUERY(Entregas_BD!D:L,""select I where D='""&amp;D49&amp;""'"",1))"),0.0)</f>
        <v>0</v>
      </c>
      <c r="Q49" s="19">
        <f>IFERROR(__xludf.DUMMYFUNCTION("SUM(QUERY(Entregas_BD!D:L,""select J where D='""&amp;D49&amp;""'"",1))"),0.0)</f>
        <v>0</v>
      </c>
      <c r="R49" s="24">
        <f>IFERROR(__xludf.DUMMYFUNCTION("SUM(QUERY(Entregas_BD!D:L,""select K where D='""&amp;D49&amp;""'"",1))"),0.0)</f>
        <v>0</v>
      </c>
      <c r="S49" s="24">
        <f>IFERROR(__xludf.DUMMYFUNCTION("SUM(QUERY(Entregas_BD!D:L,""select L where D='""&amp;D49&amp;""'"",1))"),0.0)</f>
        <v>0</v>
      </c>
      <c r="T49" s="19">
        <f>IFERROR(__xludf.DUMMYFUNCTION("SUM(QUERY(Entregas_BD!D:AL,""select AG where D='""&amp;D49&amp;""'"",1))"),0.0)</f>
        <v>0</v>
      </c>
      <c r="U49" s="19">
        <f>IFERROR(__xludf.DUMMYFUNCTION("SUM(QUERY(Entregas_BD!D:AL,""select AH where D='""&amp;D49&amp;""'"",1))"),0.0)</f>
        <v>0</v>
      </c>
      <c r="V49" s="19">
        <f>IFERROR(__xludf.DUMMYFUNCTION("SUM(QUERY(Entregas_BD!D:AL,""select AI where D='""&amp;D49&amp;""'"",1))"),0.0)</f>
        <v>0</v>
      </c>
      <c r="W49" s="19">
        <f>IFERROR(__xludf.DUMMYFUNCTION("SUM(QUERY(Entregas_BD!D:AL,""select AJ where D='""&amp;D49&amp;""'"",1))"),0.0)</f>
        <v>0</v>
      </c>
      <c r="X49" s="19">
        <f>IFERROR(__xludf.DUMMYFUNCTION("SUM(QUERY(Entregas_BD!D:AL,""select AL where D='""&amp;D49&amp;""'"",1))"),0.0)</f>
        <v>0</v>
      </c>
      <c r="Y49" s="19">
        <f>IFERROR(__xludf.DUMMYFUNCTION("SUM(QUERY(Entregas_BD!D:AL,""select AK where D='""&amp;D49&amp;""'"",1))"),0.0)</f>
        <v>0</v>
      </c>
      <c r="Z49" s="19">
        <v>0.0</v>
      </c>
      <c r="AA49" s="19">
        <v>0.0</v>
      </c>
      <c r="AB49" s="19">
        <v>0.0</v>
      </c>
      <c r="AC49" s="19">
        <v>0.0</v>
      </c>
      <c r="AD49" s="19">
        <v>0.0</v>
      </c>
      <c r="AE49" s="19">
        <v>0.0</v>
      </c>
      <c r="AF49" s="31" t="s">
        <v>190</v>
      </c>
      <c r="AG49" s="24">
        <f>IFERROR(__xludf.DUMMYFUNCTION("SUM(QUERY(Entregas_BD!D:W,""select U where D='""&amp;D49&amp;""'"",1))"),0.0)</f>
        <v>0</v>
      </c>
      <c r="AH49" s="24">
        <f>IFERROR(__xludf.DUMMYFUNCTION("SUM(QUERY(Entregas_BD!D:W,""select S where D='""&amp;D49&amp;""'"",1))"),0.0)</f>
        <v>0</v>
      </c>
      <c r="AI49" s="24">
        <f>IFERROR(__xludf.DUMMYFUNCTION("SUM(QUERY(Entregas_BD!D:W,""select T where D='""&amp;D49&amp;""'"",1))"),0.0)</f>
        <v>0</v>
      </c>
    </row>
    <row r="50" ht="19.5" customHeight="1">
      <c r="A50" s="7"/>
      <c r="B50" s="8"/>
      <c r="C50" s="9">
        <v>49.0</v>
      </c>
      <c r="D50" s="10" t="s">
        <v>191</v>
      </c>
      <c r="E50" s="10" t="s">
        <v>58</v>
      </c>
      <c r="F50" s="10" t="s">
        <v>45</v>
      </c>
      <c r="G50" s="10" t="s">
        <v>192</v>
      </c>
      <c r="H50" s="9" t="s">
        <v>51</v>
      </c>
      <c r="I50" s="11" t="s">
        <v>41</v>
      </c>
      <c r="J50" s="9"/>
      <c r="K50" s="12"/>
      <c r="L50" s="13"/>
      <c r="M50" s="12"/>
      <c r="N50" s="9">
        <f>IFERROR(__xludf.DUMMYFUNCTION("SUM(QUERY(Entregas_BD!D:L,""select G where D='""&amp;D50&amp;""'"",1))"),0.0)</f>
        <v>0</v>
      </c>
      <c r="O50" s="9">
        <f>IFERROR(__xludf.DUMMYFUNCTION("SUM(QUERY(Entregas_BD!D:L,""select H where D='""&amp;D50&amp;""'"",1))"),0.0)</f>
        <v>0</v>
      </c>
      <c r="P50" s="9">
        <f>IFERROR(__xludf.DUMMYFUNCTION("SUM(QUERY(Entregas_BD!D:L,""select I where D='""&amp;D50&amp;""'"",1))"),0.0)</f>
        <v>0</v>
      </c>
      <c r="Q50" s="9">
        <f>IFERROR(__xludf.DUMMYFUNCTION("SUM(QUERY(Entregas_BD!D:L,""select J where D='""&amp;D50&amp;""'"",1))"),0.0)</f>
        <v>0</v>
      </c>
      <c r="R50" s="15">
        <f>IFERROR(__xludf.DUMMYFUNCTION("SUM(QUERY(Entregas_BD!D:L,""select K where D='""&amp;D50&amp;""'"",1))"),0.0)</f>
        <v>0</v>
      </c>
      <c r="S50" s="15">
        <f>IFERROR(__xludf.DUMMYFUNCTION("SUM(QUERY(Entregas_BD!D:L,""select L where D='""&amp;D50&amp;""'"",1))"),0.0)</f>
        <v>0</v>
      </c>
      <c r="T50" s="9">
        <f>IFERROR(__xludf.DUMMYFUNCTION("SUM(QUERY(Entregas_BD!D:AL,""select AG where D='""&amp;D50&amp;""'"",1))"),0.0)</f>
        <v>0</v>
      </c>
      <c r="U50" s="9">
        <f>IFERROR(__xludf.DUMMYFUNCTION("SUM(QUERY(Entregas_BD!D:AL,""select AH where D='""&amp;D50&amp;""'"",1))"),0.0)</f>
        <v>0</v>
      </c>
      <c r="V50" s="9">
        <f>IFERROR(__xludf.DUMMYFUNCTION("SUM(QUERY(Entregas_BD!D:AL,""select AI where D='""&amp;D50&amp;""'"",1))"),0.0)</f>
        <v>0</v>
      </c>
      <c r="W50" s="9">
        <f>IFERROR(__xludf.DUMMYFUNCTION("SUM(QUERY(Entregas_BD!D:AL,""select AJ where D='""&amp;D50&amp;""'"",1))"),0.0)</f>
        <v>0</v>
      </c>
      <c r="X50" s="9">
        <f>IFERROR(__xludf.DUMMYFUNCTION("SUM(QUERY(Entregas_BD!D:AL,""select AL where D='""&amp;D50&amp;""'"",1))"),0.0)</f>
        <v>0</v>
      </c>
      <c r="Y50" s="9">
        <f>IFERROR(__xludf.DUMMYFUNCTION("SUM(QUERY(Entregas_BD!D:AL,""select AK where D='""&amp;D50&amp;""'"",1))"),0.0)</f>
        <v>0</v>
      </c>
      <c r="Z50" s="9">
        <v>0.0</v>
      </c>
      <c r="AA50" s="9">
        <v>0.0</v>
      </c>
      <c r="AB50" s="9">
        <v>0.0</v>
      </c>
      <c r="AC50" s="9">
        <v>0.0</v>
      </c>
      <c r="AD50" s="9">
        <v>0.0</v>
      </c>
      <c r="AE50" s="9">
        <v>0.0</v>
      </c>
      <c r="AF50" s="16" t="s">
        <v>193</v>
      </c>
      <c r="AG50" s="15">
        <f>IFERROR(__xludf.DUMMYFUNCTION("SUM(QUERY(Entregas_BD!D:W,""select U where D='""&amp;D50&amp;""'"",1))"),0.0)</f>
        <v>0</v>
      </c>
      <c r="AH50" s="15">
        <f>IFERROR(__xludf.DUMMYFUNCTION("SUM(QUERY(Entregas_BD!D:W,""select S where D='""&amp;D50&amp;""'"",1))"),0.0)</f>
        <v>0</v>
      </c>
      <c r="AI50" s="15">
        <f>IFERROR(__xludf.DUMMYFUNCTION("SUM(QUERY(Entregas_BD!D:W,""select T where D='""&amp;D50&amp;""'"",1))"),0.0)</f>
        <v>0</v>
      </c>
    </row>
    <row r="51" ht="19.5" customHeight="1">
      <c r="A51" s="28"/>
      <c r="B51" s="29"/>
      <c r="C51" s="19">
        <v>50.0</v>
      </c>
      <c r="D51" s="20" t="s">
        <v>194</v>
      </c>
      <c r="E51" s="20" t="s">
        <v>72</v>
      </c>
      <c r="F51" s="20" t="s">
        <v>45</v>
      </c>
      <c r="G51" s="20" t="s">
        <v>97</v>
      </c>
      <c r="H51" s="19" t="s">
        <v>51</v>
      </c>
      <c r="I51" s="21" t="s">
        <v>47</v>
      </c>
      <c r="J51" s="22"/>
      <c r="K51" s="22"/>
      <c r="L51" s="23"/>
      <c r="M51" s="22"/>
      <c r="N51" s="19">
        <f>IFERROR(__xludf.DUMMYFUNCTION("SUM(QUERY(Entregas_BD!D:L,""select G where D='""&amp;D51&amp;""'"",1))"),0.0)</f>
        <v>0</v>
      </c>
      <c r="O51" s="19">
        <f>IFERROR(__xludf.DUMMYFUNCTION("SUM(QUERY(Entregas_BD!D:L,""select H where D='""&amp;D51&amp;""'"",1))"),0.0)</f>
        <v>0</v>
      </c>
      <c r="P51" s="19">
        <f>IFERROR(__xludf.DUMMYFUNCTION("SUM(QUERY(Entregas_BD!D:L,""select I where D='""&amp;D51&amp;""'"",1))"),0.0)</f>
        <v>0</v>
      </c>
      <c r="Q51" s="19">
        <f>IFERROR(__xludf.DUMMYFUNCTION("SUM(QUERY(Entregas_BD!D:L,""select J where D='""&amp;D51&amp;""'"",1))"),0.0)</f>
        <v>0</v>
      </c>
      <c r="R51" s="24">
        <f>IFERROR(__xludf.DUMMYFUNCTION("SUM(QUERY(Entregas_BD!D:L,""select K where D='""&amp;D51&amp;""'"",1))"),0.0)</f>
        <v>0</v>
      </c>
      <c r="S51" s="24">
        <f>IFERROR(__xludf.DUMMYFUNCTION("SUM(QUERY(Entregas_BD!D:L,""select L where D='""&amp;D51&amp;""'"",1))"),0.0)</f>
        <v>0</v>
      </c>
      <c r="T51" s="19">
        <f>IFERROR(__xludf.DUMMYFUNCTION("SUM(QUERY(Entregas_BD!D:AL,""select AG where D='""&amp;D51&amp;""'"",1))"),100.0)</f>
        <v>100</v>
      </c>
      <c r="U51" s="19">
        <f>IFERROR(__xludf.DUMMYFUNCTION("SUM(QUERY(Entregas_BD!D:AL,""select AH where D='""&amp;D51&amp;""'"",1))"),0.0)</f>
        <v>0</v>
      </c>
      <c r="V51" s="19">
        <f>IFERROR(__xludf.DUMMYFUNCTION("SUM(QUERY(Entregas_BD!D:AL,""select AI where D='""&amp;D51&amp;""'"",1))"),0.0)</f>
        <v>0</v>
      </c>
      <c r="W51" s="19">
        <f>IFERROR(__xludf.DUMMYFUNCTION("SUM(QUERY(Entregas_BD!D:AL,""select AJ where D='""&amp;D51&amp;""'"",1))"),50.0)</f>
        <v>50</v>
      </c>
      <c r="X51" s="19">
        <f>IFERROR(__xludf.DUMMYFUNCTION("SUM(QUERY(Entregas_BD!D:AL,""select AL where D='""&amp;D51&amp;""'"",1))"),0.0)</f>
        <v>0</v>
      </c>
      <c r="Y51" s="19">
        <f>IFERROR(__xludf.DUMMYFUNCTION("SUM(QUERY(Entregas_BD!D:AL,""select AK where D='""&amp;D51&amp;""'"",1))"),0.0)</f>
        <v>0</v>
      </c>
      <c r="Z51" s="19">
        <v>-100.0</v>
      </c>
      <c r="AA51" s="19">
        <v>0.0</v>
      </c>
      <c r="AB51" s="19">
        <v>0.0</v>
      </c>
      <c r="AC51" s="19">
        <v>-50.0</v>
      </c>
      <c r="AD51" s="19">
        <v>0.0</v>
      </c>
      <c r="AE51" s="19">
        <v>0.0</v>
      </c>
      <c r="AF51" s="25" t="s">
        <v>195</v>
      </c>
      <c r="AG51" s="24">
        <f>IFERROR(__xludf.DUMMYFUNCTION("SUM(QUERY(Entregas_BD!D:W,""select U where D='""&amp;D51&amp;""'"",1))"),0.0)</f>
        <v>0</v>
      </c>
      <c r="AH51" s="24">
        <f>IFERROR(__xludf.DUMMYFUNCTION("SUM(QUERY(Entregas_BD!D:W,""select S where D='""&amp;D51&amp;""'"",1))"),0.0)</f>
        <v>0</v>
      </c>
      <c r="AI51" s="24">
        <f>IFERROR(__xludf.DUMMYFUNCTION("SUM(QUERY(Entregas_BD!D:W,""select T where D='""&amp;D51&amp;""'"",1))"),0.0)</f>
        <v>0</v>
      </c>
    </row>
    <row r="52" ht="19.5" customHeight="1">
      <c r="A52" s="26"/>
      <c r="B52" s="8"/>
      <c r="C52" s="9">
        <v>51.0</v>
      </c>
      <c r="D52" s="10" t="s">
        <v>196</v>
      </c>
      <c r="E52" s="10" t="s">
        <v>197</v>
      </c>
      <c r="F52" s="10" t="s">
        <v>198</v>
      </c>
      <c r="G52" s="10" t="s">
        <v>199</v>
      </c>
      <c r="H52" s="9" t="s">
        <v>40</v>
      </c>
      <c r="I52" s="11" t="s">
        <v>41</v>
      </c>
      <c r="J52" s="12"/>
      <c r="K52" s="12"/>
      <c r="L52" s="13"/>
      <c r="M52" s="14"/>
      <c r="N52" s="9">
        <f>IFERROR(__xludf.DUMMYFUNCTION("SUM(QUERY(Entregas_BD!D:L,""select G where D='""&amp;D52&amp;""'"",1))"),0.0)</f>
        <v>0</v>
      </c>
      <c r="O52" s="9">
        <f>IFERROR(__xludf.DUMMYFUNCTION("SUM(QUERY(Entregas_BD!D:L,""select H where D='""&amp;D52&amp;""'"",1))"),0.0)</f>
        <v>0</v>
      </c>
      <c r="P52" s="9">
        <f>IFERROR(__xludf.DUMMYFUNCTION("SUM(QUERY(Entregas_BD!D:L,""select I where D='""&amp;D52&amp;""'"",1))"),0.0)</f>
        <v>0</v>
      </c>
      <c r="Q52" s="9">
        <f>IFERROR(__xludf.DUMMYFUNCTION("SUM(QUERY(Entregas_BD!D:L,""select J where D='""&amp;D52&amp;""'"",1))"),0.0)</f>
        <v>0</v>
      </c>
      <c r="R52" s="15">
        <f>IFERROR(__xludf.DUMMYFUNCTION("SUM(QUERY(Entregas_BD!D:L,""select K where D='""&amp;D52&amp;""'"",1))"),0.0)</f>
        <v>0</v>
      </c>
      <c r="S52" s="15">
        <f>IFERROR(__xludf.DUMMYFUNCTION("SUM(QUERY(Entregas_BD!D:L,""select L where D='""&amp;D52&amp;""'"",1))"),0.0)</f>
        <v>0</v>
      </c>
      <c r="T52" s="9">
        <f>IFERROR(__xludf.DUMMYFUNCTION("SUM(QUERY(Entregas_BD!D:AL,""select AG where D='""&amp;D52&amp;""'"",1))"),0.0)</f>
        <v>0</v>
      </c>
      <c r="U52" s="9">
        <f>IFERROR(__xludf.DUMMYFUNCTION("SUM(QUERY(Entregas_BD!D:AL,""select AH where D='""&amp;D52&amp;""'"",1))"),0.0)</f>
        <v>0</v>
      </c>
      <c r="V52" s="9">
        <f>IFERROR(__xludf.DUMMYFUNCTION("SUM(QUERY(Entregas_BD!D:AL,""select AI where D='""&amp;D52&amp;""'"",1))"),0.0)</f>
        <v>0</v>
      </c>
      <c r="W52" s="9">
        <f>IFERROR(__xludf.DUMMYFUNCTION("SUM(QUERY(Entregas_BD!D:AL,""select AJ where D='""&amp;D52&amp;""'"",1))"),0.0)</f>
        <v>0</v>
      </c>
      <c r="X52" s="9">
        <f>IFERROR(__xludf.DUMMYFUNCTION("SUM(QUERY(Entregas_BD!D:AL,""select AL where D='""&amp;D52&amp;""'"",1))"),0.0)</f>
        <v>0</v>
      </c>
      <c r="Y52" s="9">
        <f>IFERROR(__xludf.DUMMYFUNCTION("SUM(QUERY(Entregas_BD!D:AL,""select AK where D='""&amp;D52&amp;""'"",1))"),0.0)</f>
        <v>0</v>
      </c>
      <c r="Z52" s="9">
        <v>0.0</v>
      </c>
      <c r="AA52" s="9">
        <v>0.0</v>
      </c>
      <c r="AB52" s="9">
        <v>0.0</v>
      </c>
      <c r="AC52" s="9">
        <v>0.0</v>
      </c>
      <c r="AD52" s="9">
        <v>0.0</v>
      </c>
      <c r="AE52" s="9">
        <v>0.0</v>
      </c>
      <c r="AF52" s="16" t="s">
        <v>200</v>
      </c>
      <c r="AG52" s="15">
        <f>IFERROR(__xludf.DUMMYFUNCTION("SUM(QUERY(Entregas_BD!D:W,""select U where D='""&amp;D52&amp;""'"",1))"),0.0)</f>
        <v>0</v>
      </c>
      <c r="AH52" s="15">
        <f>IFERROR(__xludf.DUMMYFUNCTION("SUM(QUERY(Entregas_BD!D:W,""select S where D='""&amp;D52&amp;""'"",1))"),0.0)</f>
        <v>0</v>
      </c>
      <c r="AI52" s="15">
        <f>IFERROR(__xludf.DUMMYFUNCTION("SUM(QUERY(Entregas_BD!D:W,""select T where D='""&amp;D52&amp;""'"",1))"),0.0)</f>
        <v>0</v>
      </c>
    </row>
    <row r="53" ht="19.5" customHeight="1">
      <c r="A53" s="17"/>
      <c r="B53" s="18"/>
      <c r="C53" s="19">
        <v>52.0</v>
      </c>
      <c r="D53" s="20" t="s">
        <v>201</v>
      </c>
      <c r="E53" s="20" t="s">
        <v>44</v>
      </c>
      <c r="F53" s="20" t="s">
        <v>45</v>
      </c>
      <c r="G53" s="20" t="s">
        <v>46</v>
      </c>
      <c r="H53" s="19" t="s">
        <v>69</v>
      </c>
      <c r="I53" s="21" t="s">
        <v>41</v>
      </c>
      <c r="J53" s="19"/>
      <c r="K53" s="22"/>
      <c r="L53" s="23"/>
      <c r="M53" s="22"/>
      <c r="N53" s="19">
        <f>IFERROR(__xludf.DUMMYFUNCTION("SUM(QUERY(Entregas_BD!D:L,""select G where D='""&amp;D53&amp;""'"",1))"),0.0)</f>
        <v>0</v>
      </c>
      <c r="O53" s="19">
        <f>IFERROR(__xludf.DUMMYFUNCTION("SUM(QUERY(Entregas_BD!D:L,""select H where D='""&amp;D53&amp;""'"",1))"),0.0)</f>
        <v>0</v>
      </c>
      <c r="P53" s="19">
        <f>IFERROR(__xludf.DUMMYFUNCTION("SUM(QUERY(Entregas_BD!D:L,""select I where D='""&amp;D53&amp;""'"",1))"),0.0)</f>
        <v>0</v>
      </c>
      <c r="Q53" s="19">
        <f>IFERROR(__xludf.DUMMYFUNCTION("SUM(QUERY(Entregas_BD!D:L,""select J where D='""&amp;D53&amp;""'"",1))"),0.0)</f>
        <v>0</v>
      </c>
      <c r="R53" s="24">
        <f>IFERROR(__xludf.DUMMYFUNCTION("SUM(QUERY(Entregas_BD!D:L,""select K where D='""&amp;D53&amp;""'"",1))"),0.0)</f>
        <v>0</v>
      </c>
      <c r="S53" s="24">
        <f>IFERROR(__xludf.DUMMYFUNCTION("SUM(QUERY(Entregas_BD!D:L,""select L where D='""&amp;D53&amp;""'"",1))"),0.0)</f>
        <v>0</v>
      </c>
      <c r="T53" s="19">
        <f>IFERROR(__xludf.DUMMYFUNCTION("SUM(QUERY(Entregas_BD!D:AL,""select AG where D='""&amp;D53&amp;""'"",1))"),20.0)</f>
        <v>20</v>
      </c>
      <c r="U53" s="19">
        <f>IFERROR(__xludf.DUMMYFUNCTION("SUM(QUERY(Entregas_BD!D:AL,""select AH where D='""&amp;D53&amp;""'"",1))"),0.0)</f>
        <v>0</v>
      </c>
      <c r="V53" s="19">
        <f>IFERROR(__xludf.DUMMYFUNCTION("SUM(QUERY(Entregas_BD!D:AL,""select AI where D='""&amp;D53&amp;""'"",1))"),0.0)</f>
        <v>0</v>
      </c>
      <c r="W53" s="19">
        <f>IFERROR(__xludf.DUMMYFUNCTION("SUM(QUERY(Entregas_BD!D:AL,""select AJ where D='""&amp;D53&amp;""'"",1))"),0.0)</f>
        <v>0</v>
      </c>
      <c r="X53" s="19">
        <f>IFERROR(__xludf.DUMMYFUNCTION("SUM(QUERY(Entregas_BD!D:AL,""select AL where D='""&amp;D53&amp;""'"",1))"),0.0)</f>
        <v>0</v>
      </c>
      <c r="Y53" s="19">
        <f>IFERROR(__xludf.DUMMYFUNCTION("SUM(QUERY(Entregas_BD!D:AL,""select AK where D='""&amp;D53&amp;""'"",1))"),0.0)</f>
        <v>0</v>
      </c>
      <c r="Z53" s="19">
        <v>-20.0</v>
      </c>
      <c r="AA53" s="19">
        <v>0.0</v>
      </c>
      <c r="AB53" s="19">
        <v>0.0</v>
      </c>
      <c r="AC53" s="19">
        <v>0.0</v>
      </c>
      <c r="AD53" s="19">
        <v>0.0</v>
      </c>
      <c r="AE53" s="19">
        <v>0.0</v>
      </c>
      <c r="AF53" s="25" t="s">
        <v>202</v>
      </c>
      <c r="AG53" s="24">
        <f>IFERROR(__xludf.DUMMYFUNCTION("SUM(QUERY(Entregas_BD!D:W,""select U where D='""&amp;D53&amp;""'"",1))"),0.0)</f>
        <v>0</v>
      </c>
      <c r="AH53" s="24">
        <f>IFERROR(__xludf.DUMMYFUNCTION("SUM(QUERY(Entregas_BD!D:W,""select S where D='""&amp;D53&amp;""'"",1))"),0.0)</f>
        <v>0</v>
      </c>
      <c r="AI53" s="24">
        <f>IFERROR(__xludf.DUMMYFUNCTION("SUM(QUERY(Entregas_BD!D:W,""select T where D='""&amp;D53&amp;""'"",1))"),0.0)</f>
        <v>0</v>
      </c>
    </row>
    <row r="54" ht="19.5" customHeight="1">
      <c r="A54" s="7"/>
      <c r="B54" s="8"/>
      <c r="C54" s="9">
        <v>53.0</v>
      </c>
      <c r="D54" s="10" t="s">
        <v>203</v>
      </c>
      <c r="E54" s="10" t="s">
        <v>63</v>
      </c>
      <c r="F54" s="10" t="s">
        <v>139</v>
      </c>
      <c r="G54" s="10" t="s">
        <v>204</v>
      </c>
      <c r="H54" s="9" t="s">
        <v>51</v>
      </c>
      <c r="I54" s="11" t="s">
        <v>41</v>
      </c>
      <c r="J54" s="12"/>
      <c r="K54" s="12"/>
      <c r="L54" s="13"/>
      <c r="M54" s="12"/>
      <c r="N54" s="9">
        <f>IFERROR(__xludf.DUMMYFUNCTION("SUM(QUERY(Entregas_BD!D:L,""select G where D='""&amp;D54&amp;""'"",1))"),0.0)</f>
        <v>0</v>
      </c>
      <c r="O54" s="9">
        <f>IFERROR(__xludf.DUMMYFUNCTION("SUM(QUERY(Entregas_BD!D:L,""select H where D='""&amp;D54&amp;""'"",1))"),0.0)</f>
        <v>0</v>
      </c>
      <c r="P54" s="9">
        <f>IFERROR(__xludf.DUMMYFUNCTION("SUM(QUERY(Entregas_BD!D:L,""select I where D='""&amp;D54&amp;""'"",1))"),0.0)</f>
        <v>0</v>
      </c>
      <c r="Q54" s="9">
        <f>IFERROR(__xludf.DUMMYFUNCTION("SUM(QUERY(Entregas_BD!D:L,""select J where D='""&amp;D54&amp;""'"",1))"),0.0)</f>
        <v>0</v>
      </c>
      <c r="R54" s="15">
        <f>IFERROR(__xludf.DUMMYFUNCTION("SUM(QUERY(Entregas_BD!D:L,""select K where D='""&amp;D54&amp;""'"",1))"),0.0)</f>
        <v>0</v>
      </c>
      <c r="S54" s="15">
        <f>IFERROR(__xludf.DUMMYFUNCTION("SUM(QUERY(Entregas_BD!D:L,""select L where D='""&amp;D54&amp;""'"",1))"),0.0)</f>
        <v>0</v>
      </c>
      <c r="T54" s="9">
        <f>IFERROR(__xludf.DUMMYFUNCTION("SUM(QUERY(Entregas_BD!D:AL,""select AG where D='""&amp;D54&amp;""'"",1))"),100.0)</f>
        <v>100</v>
      </c>
      <c r="U54" s="9">
        <f>IFERROR(__xludf.DUMMYFUNCTION("SUM(QUERY(Entregas_BD!D:AL,""select AH where D='""&amp;D54&amp;""'"",1))"),0.0)</f>
        <v>0</v>
      </c>
      <c r="V54" s="9">
        <f>IFERROR(__xludf.DUMMYFUNCTION("SUM(QUERY(Entregas_BD!D:AL,""select AI where D='""&amp;D54&amp;""'"",1))"),0.0)</f>
        <v>0</v>
      </c>
      <c r="W54" s="9">
        <f>IFERROR(__xludf.DUMMYFUNCTION("SUM(QUERY(Entregas_BD!D:AL,""select AJ where D='""&amp;D54&amp;""'"",1))"),0.0)</f>
        <v>0</v>
      </c>
      <c r="X54" s="9">
        <f>IFERROR(__xludf.DUMMYFUNCTION("SUM(QUERY(Entregas_BD!D:AL,""select AL where D='""&amp;D54&amp;""'"",1))"),0.0)</f>
        <v>0</v>
      </c>
      <c r="Y54" s="9">
        <f>IFERROR(__xludf.DUMMYFUNCTION("SUM(QUERY(Entregas_BD!D:AL,""select AK where D='""&amp;D54&amp;""'"",1))"),0.0)</f>
        <v>0</v>
      </c>
      <c r="Z54" s="9">
        <v>-100.0</v>
      </c>
      <c r="AA54" s="9">
        <v>0.0</v>
      </c>
      <c r="AB54" s="9">
        <v>0.0</v>
      </c>
      <c r="AC54" s="9">
        <v>0.0</v>
      </c>
      <c r="AD54" s="9">
        <v>0.0</v>
      </c>
      <c r="AE54" s="9">
        <v>0.0</v>
      </c>
      <c r="AF54" s="16" t="s">
        <v>205</v>
      </c>
      <c r="AG54" s="15">
        <f>IFERROR(__xludf.DUMMYFUNCTION("SUM(QUERY(Entregas_BD!D:W,""select U where D='""&amp;D54&amp;""'"",1))"),0.0)</f>
        <v>0</v>
      </c>
      <c r="AH54" s="15">
        <f>IFERROR(__xludf.DUMMYFUNCTION("SUM(QUERY(Entregas_BD!D:W,""select S where D='""&amp;D54&amp;""'"",1))"),0.0)</f>
        <v>0</v>
      </c>
      <c r="AI54" s="15">
        <f>IFERROR(__xludf.DUMMYFUNCTION("SUM(QUERY(Entregas_BD!D:W,""select T where D='""&amp;D54&amp;""'"",1))"),0.0)</f>
        <v>0</v>
      </c>
    </row>
    <row r="55" ht="19.5" customHeight="1">
      <c r="A55" s="28"/>
      <c r="B55" s="29"/>
      <c r="C55" s="19">
        <v>54.0</v>
      </c>
      <c r="D55" s="20" t="s">
        <v>206</v>
      </c>
      <c r="E55" s="20" t="s">
        <v>153</v>
      </c>
      <c r="F55" s="20" t="s">
        <v>207</v>
      </c>
      <c r="G55" s="20" t="s">
        <v>149</v>
      </c>
      <c r="H55" s="22" t="s">
        <v>40</v>
      </c>
      <c r="I55" s="21" t="s">
        <v>41</v>
      </c>
      <c r="J55" s="22"/>
      <c r="K55" s="22"/>
      <c r="L55" s="23"/>
      <c r="M55" s="36"/>
      <c r="N55" s="19">
        <f>IFERROR(__xludf.DUMMYFUNCTION("SUM(QUERY(Entregas_BD!D:L,""select G where D='""&amp;D55&amp;""'"",1))"),0.0)</f>
        <v>0</v>
      </c>
      <c r="O55" s="19">
        <f>IFERROR(__xludf.DUMMYFUNCTION("SUM(QUERY(Entregas_BD!D:L,""select H where D='""&amp;D55&amp;""'"",1))"),0.0)</f>
        <v>0</v>
      </c>
      <c r="P55" s="19">
        <f>IFERROR(__xludf.DUMMYFUNCTION("SUM(QUERY(Entregas_BD!D:L,""select I where D='""&amp;D55&amp;""'"",1))"),0.0)</f>
        <v>0</v>
      </c>
      <c r="Q55" s="19">
        <f>IFERROR(__xludf.DUMMYFUNCTION("SUM(QUERY(Entregas_BD!D:L,""select J where D='""&amp;D55&amp;""'"",1))"),0.0)</f>
        <v>0</v>
      </c>
      <c r="R55" s="24">
        <f>IFERROR(__xludf.DUMMYFUNCTION("SUM(QUERY(Entregas_BD!D:L,""select K where D='""&amp;D55&amp;""'"",1))"),0.0)</f>
        <v>0</v>
      </c>
      <c r="S55" s="24">
        <f>IFERROR(__xludf.DUMMYFUNCTION("SUM(QUERY(Entregas_BD!D:L,""select L where D='""&amp;D55&amp;""'"",1))"),0.0)</f>
        <v>0</v>
      </c>
      <c r="T55" s="19">
        <f>IFERROR(__xludf.DUMMYFUNCTION("SUM(QUERY(Entregas_BD!D:AL,""select AG where D='""&amp;D55&amp;""'"",1))"),0.0)</f>
        <v>0</v>
      </c>
      <c r="U55" s="19">
        <f>IFERROR(__xludf.DUMMYFUNCTION("SUM(QUERY(Entregas_BD!D:AL,""select AH where D='""&amp;D55&amp;""'"",1))"),0.0)</f>
        <v>0</v>
      </c>
      <c r="V55" s="19">
        <f>IFERROR(__xludf.DUMMYFUNCTION("SUM(QUERY(Entregas_BD!D:AL,""select AI where D='""&amp;D55&amp;""'"",1))"),0.0)</f>
        <v>0</v>
      </c>
      <c r="W55" s="19">
        <f>IFERROR(__xludf.DUMMYFUNCTION("SUM(QUERY(Entregas_BD!D:AL,""select AJ where D='""&amp;D55&amp;""'"",1))"),0.0)</f>
        <v>0</v>
      </c>
      <c r="X55" s="19">
        <f>IFERROR(__xludf.DUMMYFUNCTION("SUM(QUERY(Entregas_BD!D:AL,""select AL where D='""&amp;D55&amp;""'"",1))"),0.0)</f>
        <v>0</v>
      </c>
      <c r="Y55" s="19">
        <f>IFERROR(__xludf.DUMMYFUNCTION("SUM(QUERY(Entregas_BD!D:AL,""select AK where D='""&amp;D55&amp;""'"",1))"),0.0)</f>
        <v>0</v>
      </c>
      <c r="Z55" s="19">
        <v>0.0</v>
      </c>
      <c r="AA55" s="19">
        <v>0.0</v>
      </c>
      <c r="AB55" s="19">
        <v>0.0</v>
      </c>
      <c r="AC55" s="19">
        <v>0.0</v>
      </c>
      <c r="AD55" s="19">
        <v>0.0</v>
      </c>
      <c r="AE55" s="19">
        <v>0.0</v>
      </c>
      <c r="AF55" s="31" t="s">
        <v>208</v>
      </c>
      <c r="AG55" s="24">
        <f>IFERROR(__xludf.DUMMYFUNCTION("SUM(QUERY(Entregas_BD!D:W,""select U where D='""&amp;D55&amp;""'"",1))"),0.0)</f>
        <v>0</v>
      </c>
      <c r="AH55" s="24">
        <f>IFERROR(__xludf.DUMMYFUNCTION("SUM(QUERY(Entregas_BD!D:W,""select S where D='""&amp;D55&amp;""'"",1))"),0.0)</f>
        <v>0</v>
      </c>
      <c r="AI55" s="24">
        <f>IFERROR(__xludf.DUMMYFUNCTION("SUM(QUERY(Entregas_BD!D:W,""select T where D='""&amp;D55&amp;""'"",1))"),0.0)</f>
        <v>0</v>
      </c>
    </row>
    <row r="56" ht="19.5" customHeight="1">
      <c r="A56" s="7"/>
      <c r="B56" s="8"/>
      <c r="C56" s="9">
        <v>55.0</v>
      </c>
      <c r="D56" s="10" t="s">
        <v>209</v>
      </c>
      <c r="E56" s="10" t="s">
        <v>58</v>
      </c>
      <c r="F56" s="10" t="s">
        <v>45</v>
      </c>
      <c r="G56" s="10" t="s">
        <v>136</v>
      </c>
      <c r="H56" s="9" t="s">
        <v>51</v>
      </c>
      <c r="I56" s="11" t="s">
        <v>47</v>
      </c>
      <c r="J56" s="9"/>
      <c r="K56" s="12"/>
      <c r="L56" s="13"/>
      <c r="M56" s="12"/>
      <c r="N56" s="9">
        <f>IFERROR(__xludf.DUMMYFUNCTION("SUM(QUERY(Entregas_BD!D:L,""select G where D='""&amp;D56&amp;""'"",1))"),0.0)</f>
        <v>0</v>
      </c>
      <c r="O56" s="9">
        <f>IFERROR(__xludf.DUMMYFUNCTION("SUM(QUERY(Entregas_BD!D:L,""select H where D='""&amp;D56&amp;""'"",1))"),0.0)</f>
        <v>0</v>
      </c>
      <c r="P56" s="9">
        <f>IFERROR(__xludf.DUMMYFUNCTION("SUM(QUERY(Entregas_BD!D:L,""select I where D='""&amp;D56&amp;""'"",1))"),0.0)</f>
        <v>0</v>
      </c>
      <c r="Q56" s="9">
        <f>IFERROR(__xludf.DUMMYFUNCTION("SUM(QUERY(Entregas_BD!D:L,""select J where D='""&amp;D56&amp;""'"",1))"),0.0)</f>
        <v>0</v>
      </c>
      <c r="R56" s="15">
        <f>IFERROR(__xludf.DUMMYFUNCTION("SUM(QUERY(Entregas_BD!D:L,""select K where D='""&amp;D56&amp;""'"",1))"),0.0)</f>
        <v>0</v>
      </c>
      <c r="S56" s="15">
        <f>IFERROR(__xludf.DUMMYFUNCTION("SUM(QUERY(Entregas_BD!D:L,""select L where D='""&amp;D56&amp;""'"",1))"),0.0)</f>
        <v>0</v>
      </c>
      <c r="T56" s="9">
        <f>IFERROR(__xludf.DUMMYFUNCTION("SUM(QUERY(Entregas_BD!D:AL,""select AG where D='""&amp;D56&amp;""'"",1))"),0.0)</f>
        <v>0</v>
      </c>
      <c r="U56" s="9">
        <f>IFERROR(__xludf.DUMMYFUNCTION("SUM(QUERY(Entregas_BD!D:AL,""select AH where D='""&amp;D56&amp;""'"",1))"),0.0)</f>
        <v>0</v>
      </c>
      <c r="V56" s="9">
        <f>IFERROR(__xludf.DUMMYFUNCTION("SUM(QUERY(Entregas_BD!D:AL,""select AI where D='""&amp;D56&amp;""'"",1))"),0.0)</f>
        <v>0</v>
      </c>
      <c r="W56" s="9">
        <f>IFERROR(__xludf.DUMMYFUNCTION("SUM(QUERY(Entregas_BD!D:AL,""select AJ where D='""&amp;D56&amp;""'"",1))"),0.0)</f>
        <v>0</v>
      </c>
      <c r="X56" s="9">
        <f>IFERROR(__xludf.DUMMYFUNCTION("SUM(QUERY(Entregas_BD!D:AL,""select AL where D='""&amp;D56&amp;""'"",1))"),0.0)</f>
        <v>0</v>
      </c>
      <c r="Y56" s="9">
        <f>IFERROR(__xludf.DUMMYFUNCTION("SUM(QUERY(Entregas_BD!D:AL,""select AK where D='""&amp;D56&amp;""'"",1))"),0.0)</f>
        <v>0</v>
      </c>
      <c r="Z56" s="9">
        <v>0.0</v>
      </c>
      <c r="AA56" s="9">
        <v>0.0</v>
      </c>
      <c r="AB56" s="9">
        <v>0.0</v>
      </c>
      <c r="AC56" s="9">
        <v>0.0</v>
      </c>
      <c r="AD56" s="9">
        <v>0.0</v>
      </c>
      <c r="AE56" s="9">
        <v>0.0</v>
      </c>
      <c r="AF56" s="16" t="s">
        <v>210</v>
      </c>
      <c r="AG56" s="15">
        <f>IFERROR(__xludf.DUMMYFUNCTION("SUM(QUERY(Entregas_BD!D:W,""select U where D='""&amp;D56&amp;""'"",1))"),0.0)</f>
        <v>0</v>
      </c>
      <c r="AH56" s="15">
        <f>IFERROR(__xludf.DUMMYFUNCTION("SUM(QUERY(Entregas_BD!D:W,""select S where D='""&amp;D56&amp;""'"",1))"),0.0)</f>
        <v>0</v>
      </c>
      <c r="AI56" s="15">
        <f>IFERROR(__xludf.DUMMYFUNCTION("SUM(QUERY(Entregas_BD!D:W,""select T where D='""&amp;D56&amp;""'"",1))"),0.0)</f>
        <v>0</v>
      </c>
    </row>
    <row r="57" ht="19.5" customHeight="1">
      <c r="A57" s="28"/>
      <c r="B57" s="29"/>
      <c r="C57" s="19">
        <v>56.0</v>
      </c>
      <c r="D57" s="20" t="s">
        <v>211</v>
      </c>
      <c r="E57" s="20" t="s">
        <v>72</v>
      </c>
      <c r="F57" s="20" t="s">
        <v>45</v>
      </c>
      <c r="G57" s="20" t="s">
        <v>212</v>
      </c>
      <c r="H57" s="19" t="s">
        <v>51</v>
      </c>
      <c r="I57" s="21" t="s">
        <v>41</v>
      </c>
      <c r="J57" s="22"/>
      <c r="K57" s="22"/>
      <c r="L57" s="23"/>
      <c r="M57" s="22"/>
      <c r="N57" s="19">
        <f>IFERROR(__xludf.DUMMYFUNCTION("SUM(QUERY(Entregas_BD!D:L,""select G where D='""&amp;D57&amp;""'"",1))"),0.0)</f>
        <v>0</v>
      </c>
      <c r="O57" s="19">
        <f>IFERROR(__xludf.DUMMYFUNCTION("SUM(QUERY(Entregas_BD!D:L,""select H where D='""&amp;D57&amp;""'"",1))"),0.0)</f>
        <v>0</v>
      </c>
      <c r="P57" s="19">
        <f>IFERROR(__xludf.DUMMYFUNCTION("SUM(QUERY(Entregas_BD!D:L,""select I where D='""&amp;D57&amp;""'"",1))"),0.0)</f>
        <v>0</v>
      </c>
      <c r="Q57" s="19">
        <f>IFERROR(__xludf.DUMMYFUNCTION("SUM(QUERY(Entregas_BD!D:L,""select J where D='""&amp;D57&amp;""'"",1))"),0.0)</f>
        <v>0</v>
      </c>
      <c r="R57" s="24">
        <f>IFERROR(__xludf.DUMMYFUNCTION("SUM(QUERY(Entregas_BD!D:L,""select K where D='""&amp;D57&amp;""'"",1))"),0.0)</f>
        <v>0</v>
      </c>
      <c r="S57" s="24">
        <f>IFERROR(__xludf.DUMMYFUNCTION("SUM(QUERY(Entregas_BD!D:L,""select L where D='""&amp;D57&amp;""'"",1))"),0.0)</f>
        <v>0</v>
      </c>
      <c r="T57" s="19">
        <f>IFERROR(__xludf.DUMMYFUNCTION("SUM(QUERY(Entregas_BD!D:AL,""select AG where D='""&amp;D57&amp;""'"",1))"),100.0)</f>
        <v>100</v>
      </c>
      <c r="U57" s="19">
        <f>IFERROR(__xludf.DUMMYFUNCTION("SUM(QUERY(Entregas_BD!D:AL,""select AH where D='""&amp;D57&amp;""'"",1))"),0.0)</f>
        <v>0</v>
      </c>
      <c r="V57" s="19">
        <f>IFERROR(__xludf.DUMMYFUNCTION("SUM(QUERY(Entregas_BD!D:AL,""select AI where D='""&amp;D57&amp;""'"",1))"),0.0)</f>
        <v>0</v>
      </c>
      <c r="W57" s="19">
        <f>IFERROR(__xludf.DUMMYFUNCTION("SUM(QUERY(Entregas_BD!D:AL,""select AJ where D='""&amp;D57&amp;""'"",1))"),0.0)</f>
        <v>0</v>
      </c>
      <c r="X57" s="19">
        <f>IFERROR(__xludf.DUMMYFUNCTION("SUM(QUERY(Entregas_BD!D:AL,""select AL where D='""&amp;D57&amp;""'"",1))"),0.0)</f>
        <v>0</v>
      </c>
      <c r="Y57" s="19">
        <f>IFERROR(__xludf.DUMMYFUNCTION("SUM(QUERY(Entregas_BD!D:AL,""select AK where D='""&amp;D57&amp;""'"",1))"),0.0)</f>
        <v>0</v>
      </c>
      <c r="Z57" s="19">
        <v>-100.0</v>
      </c>
      <c r="AA57" s="19">
        <v>0.0</v>
      </c>
      <c r="AB57" s="19">
        <v>0.0</v>
      </c>
      <c r="AC57" s="19">
        <v>0.0</v>
      </c>
      <c r="AD57" s="19">
        <v>0.0</v>
      </c>
      <c r="AE57" s="19">
        <v>0.0</v>
      </c>
      <c r="AF57" s="25" t="s">
        <v>213</v>
      </c>
      <c r="AG57" s="24">
        <f>IFERROR(__xludf.DUMMYFUNCTION("SUM(QUERY(Entregas_BD!D:W,""select U where D='""&amp;D57&amp;""'"",1))"),0.0)</f>
        <v>0</v>
      </c>
      <c r="AH57" s="24">
        <f>IFERROR(__xludf.DUMMYFUNCTION("SUM(QUERY(Entregas_BD!D:W,""select S where D='""&amp;D57&amp;""'"",1))"),0.0)</f>
        <v>0</v>
      </c>
      <c r="AI57" s="24">
        <f>IFERROR(__xludf.DUMMYFUNCTION("SUM(QUERY(Entregas_BD!D:W,""select T where D='""&amp;D57&amp;""'"",1))"),0.0)</f>
        <v>0</v>
      </c>
    </row>
    <row r="58" ht="19.5" customHeight="1">
      <c r="A58" s="7"/>
      <c r="B58" s="8"/>
      <c r="C58" s="9">
        <v>57.0</v>
      </c>
      <c r="D58" s="10" t="s">
        <v>214</v>
      </c>
      <c r="E58" s="10" t="s">
        <v>72</v>
      </c>
      <c r="F58" s="10" t="s">
        <v>45</v>
      </c>
      <c r="G58" s="10" t="s">
        <v>215</v>
      </c>
      <c r="H58" s="9" t="s">
        <v>51</v>
      </c>
      <c r="I58" s="11" t="s">
        <v>41</v>
      </c>
      <c r="J58" s="12"/>
      <c r="K58" s="12"/>
      <c r="L58" s="13"/>
      <c r="M58" s="12"/>
      <c r="N58" s="9">
        <f>IFERROR(__xludf.DUMMYFUNCTION("SUM(QUERY(Entregas_BD!D:L,""select G where D='""&amp;D58&amp;""'"",1))"),0.0)</f>
        <v>0</v>
      </c>
      <c r="O58" s="9">
        <f>IFERROR(__xludf.DUMMYFUNCTION("SUM(QUERY(Entregas_BD!D:L,""select H where D='""&amp;D58&amp;""'"",1))"),0.0)</f>
        <v>0</v>
      </c>
      <c r="P58" s="9">
        <f>IFERROR(__xludf.DUMMYFUNCTION("SUM(QUERY(Entregas_BD!D:L,""select I where D='""&amp;D58&amp;""'"",1))"),0.0)</f>
        <v>0</v>
      </c>
      <c r="Q58" s="9">
        <f>IFERROR(__xludf.DUMMYFUNCTION("SUM(QUERY(Entregas_BD!D:L,""select J where D='""&amp;D58&amp;""'"",1))"),0.0)</f>
        <v>0</v>
      </c>
      <c r="R58" s="15">
        <f>IFERROR(__xludf.DUMMYFUNCTION("SUM(QUERY(Entregas_BD!D:L,""select K where D='""&amp;D58&amp;""'"",1))"),0.0)</f>
        <v>0</v>
      </c>
      <c r="S58" s="15">
        <f>IFERROR(__xludf.DUMMYFUNCTION("SUM(QUERY(Entregas_BD!D:L,""select L where D='""&amp;D58&amp;""'"",1))"),0.0)</f>
        <v>0</v>
      </c>
      <c r="T58" s="9">
        <f>IFERROR(__xludf.DUMMYFUNCTION("SUM(QUERY(Entregas_BD!D:AL,""select AG where D='""&amp;D58&amp;""'"",1))"),50.0)</f>
        <v>50</v>
      </c>
      <c r="U58" s="9">
        <f>IFERROR(__xludf.DUMMYFUNCTION("SUM(QUERY(Entregas_BD!D:AL,""select AH where D='""&amp;D58&amp;""'"",1))"),0.0)</f>
        <v>0</v>
      </c>
      <c r="V58" s="9">
        <f>IFERROR(__xludf.DUMMYFUNCTION("SUM(QUERY(Entregas_BD!D:AL,""select AI where D='""&amp;D58&amp;""'"",1))"),0.0)</f>
        <v>0</v>
      </c>
      <c r="W58" s="9">
        <f>IFERROR(__xludf.DUMMYFUNCTION("SUM(QUERY(Entregas_BD!D:AL,""select AJ where D='""&amp;D58&amp;""'"",1))"),0.0)</f>
        <v>0</v>
      </c>
      <c r="X58" s="9">
        <f>IFERROR(__xludf.DUMMYFUNCTION("SUM(QUERY(Entregas_BD!D:AL,""select AL where D='""&amp;D58&amp;""'"",1))"),0.0)</f>
        <v>0</v>
      </c>
      <c r="Y58" s="9">
        <f>IFERROR(__xludf.DUMMYFUNCTION("SUM(QUERY(Entregas_BD!D:AL,""select AK where D='""&amp;D58&amp;""'"",1))"),0.0)</f>
        <v>0</v>
      </c>
      <c r="Z58" s="9">
        <v>-50.0</v>
      </c>
      <c r="AA58" s="9">
        <v>0.0</v>
      </c>
      <c r="AB58" s="9">
        <v>0.0</v>
      </c>
      <c r="AC58" s="9">
        <v>0.0</v>
      </c>
      <c r="AD58" s="9">
        <v>0.0</v>
      </c>
      <c r="AE58" s="9">
        <v>0.0</v>
      </c>
      <c r="AF58" s="16" t="s">
        <v>216</v>
      </c>
      <c r="AG58" s="15">
        <f>IFERROR(__xludf.DUMMYFUNCTION("SUM(QUERY(Entregas_BD!D:W,""select U where D='""&amp;D58&amp;""'"",1))"),0.0)</f>
        <v>0</v>
      </c>
      <c r="AH58" s="15">
        <f>IFERROR(__xludf.DUMMYFUNCTION("SUM(QUERY(Entregas_BD!D:W,""select S where D='""&amp;D58&amp;""'"",1))"),0.0)</f>
        <v>0</v>
      </c>
      <c r="AI58" s="15">
        <f>IFERROR(__xludf.DUMMYFUNCTION("SUM(QUERY(Entregas_BD!D:W,""select T where D='""&amp;D58&amp;""'"",1))"),0.0)</f>
        <v>0</v>
      </c>
    </row>
    <row r="59" ht="19.5" customHeight="1">
      <c r="A59" s="28"/>
      <c r="B59" s="29"/>
      <c r="C59" s="19">
        <v>58.0</v>
      </c>
      <c r="D59" s="20" t="s">
        <v>217</v>
      </c>
      <c r="E59" s="20" t="s">
        <v>58</v>
      </c>
      <c r="F59" s="20" t="s">
        <v>45</v>
      </c>
      <c r="G59" s="20" t="s">
        <v>218</v>
      </c>
      <c r="H59" s="19" t="s">
        <v>51</v>
      </c>
      <c r="I59" s="21" t="s">
        <v>41</v>
      </c>
      <c r="J59" s="19"/>
      <c r="K59" s="22"/>
      <c r="L59" s="23"/>
      <c r="M59" s="22"/>
      <c r="N59" s="19">
        <f>IFERROR(__xludf.DUMMYFUNCTION("SUM(QUERY(Entregas_BD!D:L,""select G where D='""&amp;D59&amp;""'"",1))"),0.0)</f>
        <v>0</v>
      </c>
      <c r="O59" s="19">
        <f>IFERROR(__xludf.DUMMYFUNCTION("SUM(QUERY(Entregas_BD!D:L,""select H where D='""&amp;D59&amp;""'"",1))"),0.0)</f>
        <v>0</v>
      </c>
      <c r="P59" s="19">
        <f>IFERROR(__xludf.DUMMYFUNCTION("SUM(QUERY(Entregas_BD!D:L,""select I where D='""&amp;D59&amp;""'"",1))"),0.0)</f>
        <v>0</v>
      </c>
      <c r="Q59" s="19">
        <f>IFERROR(__xludf.DUMMYFUNCTION("SUM(QUERY(Entregas_BD!D:L,""select J where D='""&amp;D59&amp;""'"",1))"),0.0)</f>
        <v>0</v>
      </c>
      <c r="R59" s="24">
        <f>IFERROR(__xludf.DUMMYFUNCTION("SUM(QUERY(Entregas_BD!D:L,""select K where D='""&amp;D59&amp;""'"",1))"),0.0)</f>
        <v>0</v>
      </c>
      <c r="S59" s="24">
        <f>IFERROR(__xludf.DUMMYFUNCTION("SUM(QUERY(Entregas_BD!D:L,""select L where D='""&amp;D59&amp;""'"",1))"),0.0)</f>
        <v>0</v>
      </c>
      <c r="T59" s="19">
        <f>IFERROR(__xludf.DUMMYFUNCTION("SUM(QUERY(Entregas_BD!D:AL,""select AG where D='""&amp;D59&amp;""'"",1))"),100.0)</f>
        <v>100</v>
      </c>
      <c r="U59" s="19">
        <f>IFERROR(__xludf.DUMMYFUNCTION("SUM(QUERY(Entregas_BD!D:AL,""select AH where D='""&amp;D59&amp;""'"",1))"),0.0)</f>
        <v>0</v>
      </c>
      <c r="V59" s="19">
        <f>IFERROR(__xludf.DUMMYFUNCTION("SUM(QUERY(Entregas_BD!D:AL,""select AI where D='""&amp;D59&amp;""'"",1))"),0.0)</f>
        <v>0</v>
      </c>
      <c r="W59" s="19">
        <f>IFERROR(__xludf.DUMMYFUNCTION("SUM(QUERY(Entregas_BD!D:AL,""select AJ where D='""&amp;D59&amp;""'"",1))"),0.0)</f>
        <v>0</v>
      </c>
      <c r="X59" s="19">
        <f>IFERROR(__xludf.DUMMYFUNCTION("SUM(QUERY(Entregas_BD!D:AL,""select AL where D='""&amp;D59&amp;""'"",1))"),0.0)</f>
        <v>0</v>
      </c>
      <c r="Y59" s="19">
        <f>IFERROR(__xludf.DUMMYFUNCTION("SUM(QUERY(Entregas_BD!D:AL,""select AK where D='""&amp;D59&amp;""'"",1))"),0.0)</f>
        <v>0</v>
      </c>
      <c r="Z59" s="19">
        <v>-100.0</v>
      </c>
      <c r="AA59" s="19">
        <v>0.0</v>
      </c>
      <c r="AB59" s="19">
        <v>0.0</v>
      </c>
      <c r="AC59" s="19">
        <v>0.0</v>
      </c>
      <c r="AD59" s="19">
        <v>0.0</v>
      </c>
      <c r="AE59" s="19">
        <v>0.0</v>
      </c>
      <c r="AF59" s="25" t="s">
        <v>219</v>
      </c>
      <c r="AG59" s="24">
        <f>IFERROR(__xludf.DUMMYFUNCTION("SUM(QUERY(Entregas_BD!D:W,""select U where D='""&amp;D59&amp;""'"",1))"),0.0)</f>
        <v>0</v>
      </c>
      <c r="AH59" s="24">
        <f>IFERROR(__xludf.DUMMYFUNCTION("SUM(QUERY(Entregas_BD!D:W,""select S where D='""&amp;D59&amp;""'"",1))"),0.0)</f>
        <v>0</v>
      </c>
      <c r="AI59" s="24">
        <f>IFERROR(__xludf.DUMMYFUNCTION("SUM(QUERY(Entregas_BD!D:W,""select T where D='""&amp;D59&amp;""'"",1))"),0.0)</f>
        <v>0</v>
      </c>
    </row>
    <row r="60" ht="19.5" customHeight="1">
      <c r="A60" s="7"/>
      <c r="B60" s="8"/>
      <c r="C60" s="9">
        <v>59.0</v>
      </c>
      <c r="D60" s="10" t="s">
        <v>220</v>
      </c>
      <c r="E60" s="10" t="s">
        <v>58</v>
      </c>
      <c r="F60" s="10" t="s">
        <v>45</v>
      </c>
      <c r="G60" s="10" t="s">
        <v>218</v>
      </c>
      <c r="H60" s="9" t="s">
        <v>51</v>
      </c>
      <c r="I60" s="11" t="s">
        <v>41</v>
      </c>
      <c r="J60" s="9"/>
      <c r="K60" s="12"/>
      <c r="L60" s="13"/>
      <c r="M60" s="12"/>
      <c r="N60" s="9">
        <f>IFERROR(__xludf.DUMMYFUNCTION("SUM(QUERY(Entregas_BD!D:L,""select G where D='""&amp;D60&amp;""'"",1))"),0.0)</f>
        <v>0</v>
      </c>
      <c r="O60" s="9">
        <f>IFERROR(__xludf.DUMMYFUNCTION("SUM(QUERY(Entregas_BD!D:L,""select H where D='""&amp;D60&amp;""'"",1))"),0.0)</f>
        <v>0</v>
      </c>
      <c r="P60" s="9">
        <f>IFERROR(__xludf.DUMMYFUNCTION("SUM(QUERY(Entregas_BD!D:L,""select I where D='""&amp;D60&amp;""'"",1))"),0.0)</f>
        <v>0</v>
      </c>
      <c r="Q60" s="9">
        <f>IFERROR(__xludf.DUMMYFUNCTION("SUM(QUERY(Entregas_BD!D:L,""select J where D='""&amp;D60&amp;""'"",1))"),0.0)</f>
        <v>0</v>
      </c>
      <c r="R60" s="15">
        <f>IFERROR(__xludf.DUMMYFUNCTION("SUM(QUERY(Entregas_BD!D:L,""select K where D='""&amp;D60&amp;""'"",1))"),0.0)</f>
        <v>0</v>
      </c>
      <c r="S60" s="15">
        <f>IFERROR(__xludf.DUMMYFUNCTION("SUM(QUERY(Entregas_BD!D:L,""select L where D='""&amp;D60&amp;""'"",1))"),0.0)</f>
        <v>0</v>
      </c>
      <c r="T60" s="9">
        <f>IFERROR(__xludf.DUMMYFUNCTION("SUM(QUERY(Entregas_BD!D:AL,""select AG where D='""&amp;D60&amp;""'"",1))"),50.0)</f>
        <v>50</v>
      </c>
      <c r="U60" s="9">
        <f>IFERROR(__xludf.DUMMYFUNCTION("SUM(QUERY(Entregas_BD!D:AL,""select AH where D='""&amp;D60&amp;""'"",1))"),0.0)</f>
        <v>0</v>
      </c>
      <c r="V60" s="9">
        <f>IFERROR(__xludf.DUMMYFUNCTION("SUM(QUERY(Entregas_BD!D:AL,""select AI where D='""&amp;D60&amp;""'"",1))"),0.0)</f>
        <v>0</v>
      </c>
      <c r="W60" s="9">
        <f>IFERROR(__xludf.DUMMYFUNCTION("SUM(QUERY(Entregas_BD!D:AL,""select AJ where D='""&amp;D60&amp;""'"",1))"),0.0)</f>
        <v>0</v>
      </c>
      <c r="X60" s="9">
        <f>IFERROR(__xludf.DUMMYFUNCTION("SUM(QUERY(Entregas_BD!D:AL,""select AL where D='""&amp;D60&amp;""'"",1))"),0.0)</f>
        <v>0</v>
      </c>
      <c r="Y60" s="9">
        <f>IFERROR(__xludf.DUMMYFUNCTION("SUM(QUERY(Entregas_BD!D:AL,""select AK where D='""&amp;D60&amp;""'"",1))"),0.0)</f>
        <v>0</v>
      </c>
      <c r="Z60" s="9">
        <v>-50.0</v>
      </c>
      <c r="AA60" s="9">
        <v>0.0</v>
      </c>
      <c r="AB60" s="9">
        <v>0.0</v>
      </c>
      <c r="AC60" s="9">
        <v>0.0</v>
      </c>
      <c r="AD60" s="9">
        <v>0.0</v>
      </c>
      <c r="AE60" s="9">
        <v>0.0</v>
      </c>
      <c r="AF60" s="16" t="s">
        <v>221</v>
      </c>
      <c r="AG60" s="15">
        <f>IFERROR(__xludf.DUMMYFUNCTION("SUM(QUERY(Entregas_BD!D:W,""select U where D='""&amp;D60&amp;""'"",1))"),0.0)</f>
        <v>0</v>
      </c>
      <c r="AH60" s="15">
        <f>IFERROR(__xludf.DUMMYFUNCTION("SUM(QUERY(Entregas_BD!D:W,""select S where D='""&amp;D60&amp;""'"",1))"),0.0)</f>
        <v>0</v>
      </c>
      <c r="AI60" s="15">
        <f>IFERROR(__xludf.DUMMYFUNCTION("SUM(QUERY(Entregas_BD!D:W,""select T where D='""&amp;D60&amp;""'"",1))"),0.0)</f>
        <v>0</v>
      </c>
    </row>
    <row r="61" ht="19.5" customHeight="1">
      <c r="A61" s="28"/>
      <c r="B61" s="29"/>
      <c r="C61" s="19">
        <v>60.0</v>
      </c>
      <c r="D61" s="20" t="s">
        <v>222</v>
      </c>
      <c r="E61" s="20" t="s">
        <v>153</v>
      </c>
      <c r="F61" s="20" t="s">
        <v>223</v>
      </c>
      <c r="G61" s="20" t="s">
        <v>224</v>
      </c>
      <c r="H61" s="22" t="s">
        <v>40</v>
      </c>
      <c r="I61" s="21" t="s">
        <v>41</v>
      </c>
      <c r="J61" s="22"/>
      <c r="K61" s="22"/>
      <c r="L61" s="23"/>
      <c r="M61" s="36"/>
      <c r="N61" s="19">
        <f>IFERROR(__xludf.DUMMYFUNCTION("SUM(QUERY(Entregas_BD!D:L,""select G where D='""&amp;D61&amp;""'"",1))"),0.0)</f>
        <v>0</v>
      </c>
      <c r="O61" s="19">
        <f>IFERROR(__xludf.DUMMYFUNCTION("SUM(QUERY(Entregas_BD!D:L,""select H where D='""&amp;D61&amp;""'"",1))"),0.0)</f>
        <v>0</v>
      </c>
      <c r="P61" s="19">
        <f>IFERROR(__xludf.DUMMYFUNCTION("SUM(QUERY(Entregas_BD!D:L,""select I where D='""&amp;D61&amp;""'"",1))"),0.0)</f>
        <v>0</v>
      </c>
      <c r="Q61" s="19">
        <f>IFERROR(__xludf.DUMMYFUNCTION("SUM(QUERY(Entregas_BD!D:L,""select J where D='""&amp;D61&amp;""'"",1))"),0.0)</f>
        <v>0</v>
      </c>
      <c r="R61" s="24">
        <f>IFERROR(__xludf.DUMMYFUNCTION("SUM(QUERY(Entregas_BD!D:L,""select K where D='""&amp;D61&amp;""'"",1))"),0.0)</f>
        <v>0</v>
      </c>
      <c r="S61" s="24">
        <f>IFERROR(__xludf.DUMMYFUNCTION("SUM(QUERY(Entregas_BD!D:L,""select L where D='""&amp;D61&amp;""'"",1))"),0.0)</f>
        <v>0</v>
      </c>
      <c r="T61" s="19">
        <f>IFERROR(__xludf.DUMMYFUNCTION("SUM(QUERY(Entregas_BD!D:AL,""select AG where D='""&amp;D61&amp;""'"",1))"),0.0)</f>
        <v>0</v>
      </c>
      <c r="U61" s="19">
        <f>IFERROR(__xludf.DUMMYFUNCTION("SUM(QUERY(Entregas_BD!D:AL,""select AH where D='""&amp;D61&amp;""'"",1))"),0.0)</f>
        <v>0</v>
      </c>
      <c r="V61" s="19">
        <f>IFERROR(__xludf.DUMMYFUNCTION("SUM(QUERY(Entregas_BD!D:AL,""select AI where D='""&amp;D61&amp;""'"",1))"),0.0)</f>
        <v>0</v>
      </c>
      <c r="W61" s="19">
        <f>IFERROR(__xludf.DUMMYFUNCTION("SUM(QUERY(Entregas_BD!D:AL,""select AJ where D='""&amp;D61&amp;""'"",1))"),0.0)</f>
        <v>0</v>
      </c>
      <c r="X61" s="19">
        <f>IFERROR(__xludf.DUMMYFUNCTION("SUM(QUERY(Entregas_BD!D:AL,""select AL where D='""&amp;D61&amp;""'"",1))"),0.0)</f>
        <v>0</v>
      </c>
      <c r="Y61" s="19">
        <f>IFERROR(__xludf.DUMMYFUNCTION("SUM(QUERY(Entregas_BD!D:AL,""select AK where D='""&amp;D61&amp;""'"",1))"),0.0)</f>
        <v>0</v>
      </c>
      <c r="Z61" s="19">
        <v>0.0</v>
      </c>
      <c r="AA61" s="19">
        <v>0.0</v>
      </c>
      <c r="AB61" s="19">
        <v>0.0</v>
      </c>
      <c r="AC61" s="19">
        <v>0.0</v>
      </c>
      <c r="AD61" s="19">
        <v>0.0</v>
      </c>
      <c r="AE61" s="19">
        <v>0.0</v>
      </c>
      <c r="AF61" s="31" t="s">
        <v>225</v>
      </c>
      <c r="AG61" s="24">
        <f>IFERROR(__xludf.DUMMYFUNCTION("SUM(QUERY(Entregas_BD!D:W,""select U where D='""&amp;D61&amp;""'"",1))"),0.0)</f>
        <v>0</v>
      </c>
      <c r="AH61" s="24">
        <f>IFERROR(__xludf.DUMMYFUNCTION("SUM(QUERY(Entregas_BD!D:W,""select S where D='""&amp;D61&amp;""'"",1))"),0.0)</f>
        <v>0</v>
      </c>
      <c r="AI61" s="24">
        <f>IFERROR(__xludf.DUMMYFUNCTION("SUM(QUERY(Entregas_BD!D:W,""select T where D='""&amp;D61&amp;""'"",1))"),0.0)</f>
        <v>0</v>
      </c>
    </row>
    <row r="62" ht="19.5" customHeight="1">
      <c r="A62" s="7"/>
      <c r="B62" s="8"/>
      <c r="C62" s="9">
        <v>61.0</v>
      </c>
      <c r="D62" s="10" t="s">
        <v>226</v>
      </c>
      <c r="E62" s="10" t="s">
        <v>153</v>
      </c>
      <c r="F62" s="10" t="s">
        <v>227</v>
      </c>
      <c r="G62" s="10" t="s">
        <v>228</v>
      </c>
      <c r="H62" s="12" t="s">
        <v>40</v>
      </c>
      <c r="I62" s="11" t="s">
        <v>41</v>
      </c>
      <c r="J62" s="12"/>
      <c r="K62" s="12"/>
      <c r="L62" s="13"/>
      <c r="M62" s="14"/>
      <c r="N62" s="9">
        <f>IFERROR(__xludf.DUMMYFUNCTION("SUM(QUERY(Entregas_BD!D:L,""select G where D='""&amp;D62&amp;""'"",1))"),0.0)</f>
        <v>0</v>
      </c>
      <c r="O62" s="9">
        <f>IFERROR(__xludf.DUMMYFUNCTION("SUM(QUERY(Entregas_BD!D:L,""select H where D='""&amp;D62&amp;""'"",1))"),0.0)</f>
        <v>0</v>
      </c>
      <c r="P62" s="9">
        <f>IFERROR(__xludf.DUMMYFUNCTION("SUM(QUERY(Entregas_BD!D:L,""select I where D='""&amp;D62&amp;""'"",1))"),0.0)</f>
        <v>0</v>
      </c>
      <c r="Q62" s="9">
        <f>IFERROR(__xludf.DUMMYFUNCTION("SUM(QUERY(Entregas_BD!D:L,""select J where D='""&amp;D62&amp;""'"",1))"),0.0)</f>
        <v>0</v>
      </c>
      <c r="R62" s="15">
        <f>IFERROR(__xludf.DUMMYFUNCTION("SUM(QUERY(Entregas_BD!D:L,""select K where D='""&amp;D62&amp;""'"",1))"),0.0)</f>
        <v>0</v>
      </c>
      <c r="S62" s="15">
        <f>IFERROR(__xludf.DUMMYFUNCTION("SUM(QUERY(Entregas_BD!D:L,""select L where D='""&amp;D62&amp;""'"",1))"),0.0)</f>
        <v>0</v>
      </c>
      <c r="T62" s="9">
        <f>IFERROR(__xludf.DUMMYFUNCTION("SUM(QUERY(Entregas_BD!D:AL,""select AG where D='""&amp;D62&amp;""'"",1))"),0.0)</f>
        <v>0</v>
      </c>
      <c r="U62" s="9">
        <f>IFERROR(__xludf.DUMMYFUNCTION("SUM(QUERY(Entregas_BD!D:AL,""select AH where D='""&amp;D62&amp;""'"",1))"),0.0)</f>
        <v>0</v>
      </c>
      <c r="V62" s="9">
        <f>IFERROR(__xludf.DUMMYFUNCTION("SUM(QUERY(Entregas_BD!D:AL,""select AI where D='""&amp;D62&amp;""'"",1))"),0.0)</f>
        <v>0</v>
      </c>
      <c r="W62" s="9">
        <f>IFERROR(__xludf.DUMMYFUNCTION("SUM(QUERY(Entregas_BD!D:AL,""select AJ where D='""&amp;D62&amp;""'"",1))"),0.0)</f>
        <v>0</v>
      </c>
      <c r="X62" s="9">
        <f>IFERROR(__xludf.DUMMYFUNCTION("SUM(QUERY(Entregas_BD!D:AL,""select AL where D='""&amp;D62&amp;""'"",1))"),0.0)</f>
        <v>0</v>
      </c>
      <c r="Y62" s="9">
        <f>IFERROR(__xludf.DUMMYFUNCTION("SUM(QUERY(Entregas_BD!D:AL,""select AK where D='""&amp;D62&amp;""'"",1))"),0.0)</f>
        <v>0</v>
      </c>
      <c r="Z62" s="9">
        <v>0.0</v>
      </c>
      <c r="AA62" s="9">
        <v>0.0</v>
      </c>
      <c r="AB62" s="9">
        <v>0.0</v>
      </c>
      <c r="AC62" s="9">
        <v>0.0</v>
      </c>
      <c r="AD62" s="9">
        <v>0.0</v>
      </c>
      <c r="AE62" s="9">
        <v>0.0</v>
      </c>
      <c r="AF62" s="16" t="s">
        <v>229</v>
      </c>
      <c r="AG62" s="15">
        <f>IFERROR(__xludf.DUMMYFUNCTION("SUM(QUERY(Entregas_BD!D:W,""select U where D='""&amp;D62&amp;""'"",1))"),0.0)</f>
        <v>0</v>
      </c>
      <c r="AH62" s="15">
        <f>IFERROR(__xludf.DUMMYFUNCTION("SUM(QUERY(Entregas_BD!D:W,""select S where D='""&amp;D62&amp;""'"",1))"),0.0)</f>
        <v>0</v>
      </c>
      <c r="AI62" s="15">
        <f>IFERROR(__xludf.DUMMYFUNCTION("SUM(QUERY(Entregas_BD!D:W,""select T where D='""&amp;D62&amp;""'"",1))"),0.0)</f>
        <v>0</v>
      </c>
    </row>
    <row r="63" ht="19.5" customHeight="1">
      <c r="A63" s="28"/>
      <c r="B63" s="29"/>
      <c r="C63" s="19">
        <v>62.0</v>
      </c>
      <c r="D63" s="20" t="s">
        <v>230</v>
      </c>
      <c r="E63" s="20" t="s">
        <v>153</v>
      </c>
      <c r="F63" s="20" t="s">
        <v>231</v>
      </c>
      <c r="G63" s="20" t="s">
        <v>232</v>
      </c>
      <c r="H63" s="22" t="s">
        <v>40</v>
      </c>
      <c r="I63" s="21" t="s">
        <v>41</v>
      </c>
      <c r="J63" s="22"/>
      <c r="K63" s="22"/>
      <c r="L63" s="23"/>
      <c r="M63" s="36"/>
      <c r="N63" s="19">
        <f>IFERROR(__xludf.DUMMYFUNCTION("SUM(QUERY(Entregas_BD!D:L,""select G where D='""&amp;D63&amp;""'"",1))"),0.0)</f>
        <v>0</v>
      </c>
      <c r="O63" s="19">
        <f>IFERROR(__xludf.DUMMYFUNCTION("SUM(QUERY(Entregas_BD!D:L,""select H where D='""&amp;D63&amp;""'"",1))"),0.0)</f>
        <v>0</v>
      </c>
      <c r="P63" s="19">
        <f>IFERROR(__xludf.DUMMYFUNCTION("SUM(QUERY(Entregas_BD!D:L,""select I where D='""&amp;D63&amp;""'"",1))"),0.0)</f>
        <v>0</v>
      </c>
      <c r="Q63" s="19">
        <f>IFERROR(__xludf.DUMMYFUNCTION("SUM(QUERY(Entregas_BD!D:L,""select J where D='""&amp;D63&amp;""'"",1))"),0.0)</f>
        <v>0</v>
      </c>
      <c r="R63" s="24">
        <f>IFERROR(__xludf.DUMMYFUNCTION("SUM(QUERY(Entregas_BD!D:L,""select K where D='""&amp;D63&amp;""'"",1))"),0.0)</f>
        <v>0</v>
      </c>
      <c r="S63" s="24">
        <f>IFERROR(__xludf.DUMMYFUNCTION("SUM(QUERY(Entregas_BD!D:L,""select L where D='""&amp;D63&amp;""'"",1))"),0.0)</f>
        <v>0</v>
      </c>
      <c r="T63" s="19">
        <f>IFERROR(__xludf.DUMMYFUNCTION("SUM(QUERY(Entregas_BD!D:AL,""select AG where D='""&amp;D63&amp;""'"",1))"),0.0)</f>
        <v>0</v>
      </c>
      <c r="U63" s="19">
        <f>IFERROR(__xludf.DUMMYFUNCTION("SUM(QUERY(Entregas_BD!D:AL,""select AH where D='""&amp;D63&amp;""'"",1))"),0.0)</f>
        <v>0</v>
      </c>
      <c r="V63" s="19">
        <f>IFERROR(__xludf.DUMMYFUNCTION("SUM(QUERY(Entregas_BD!D:AL,""select AI where D='""&amp;D63&amp;""'"",1))"),0.0)</f>
        <v>0</v>
      </c>
      <c r="W63" s="19">
        <f>IFERROR(__xludf.DUMMYFUNCTION("SUM(QUERY(Entregas_BD!D:AL,""select AJ where D='""&amp;D63&amp;""'"",1))"),0.0)</f>
        <v>0</v>
      </c>
      <c r="X63" s="19">
        <f>IFERROR(__xludf.DUMMYFUNCTION("SUM(QUERY(Entregas_BD!D:AL,""select AL where D='""&amp;D63&amp;""'"",1))"),0.0)</f>
        <v>0</v>
      </c>
      <c r="Y63" s="19">
        <f>IFERROR(__xludf.DUMMYFUNCTION("SUM(QUERY(Entregas_BD!D:AL,""select AK where D='""&amp;D63&amp;""'"",1))"),0.0)</f>
        <v>0</v>
      </c>
      <c r="Z63" s="19">
        <v>0.0</v>
      </c>
      <c r="AA63" s="19">
        <v>0.0</v>
      </c>
      <c r="AB63" s="19">
        <v>0.0</v>
      </c>
      <c r="AC63" s="19">
        <v>0.0</v>
      </c>
      <c r="AD63" s="19">
        <v>0.0</v>
      </c>
      <c r="AE63" s="19">
        <v>0.0</v>
      </c>
      <c r="AF63" s="25" t="s">
        <v>233</v>
      </c>
      <c r="AG63" s="24">
        <f>IFERROR(__xludf.DUMMYFUNCTION("SUM(QUERY(Entregas_BD!D:W,""select U where D='""&amp;D63&amp;""'"",1))"),0.0)</f>
        <v>0</v>
      </c>
      <c r="AH63" s="24">
        <f>IFERROR(__xludf.DUMMYFUNCTION("SUM(QUERY(Entregas_BD!D:W,""select S where D='""&amp;D63&amp;""'"",1))"),0.0)</f>
        <v>0</v>
      </c>
      <c r="AI63" s="24">
        <f>IFERROR(__xludf.DUMMYFUNCTION("SUM(QUERY(Entregas_BD!D:W,""select T where D='""&amp;D63&amp;""'"",1))"),0.0)</f>
        <v>0</v>
      </c>
    </row>
    <row r="64" ht="19.5" customHeight="1">
      <c r="A64" s="7"/>
      <c r="B64" s="8"/>
      <c r="C64" s="9">
        <v>63.0</v>
      </c>
      <c r="D64" s="10" t="s">
        <v>234</v>
      </c>
      <c r="E64" s="10" t="s">
        <v>235</v>
      </c>
      <c r="F64" s="10" t="s">
        <v>236</v>
      </c>
      <c r="G64" s="10" t="s">
        <v>237</v>
      </c>
      <c r="H64" s="12" t="s">
        <v>40</v>
      </c>
      <c r="I64" s="11" t="s">
        <v>47</v>
      </c>
      <c r="J64" s="12"/>
      <c r="K64" s="12"/>
      <c r="L64" s="13"/>
      <c r="M64" s="14"/>
      <c r="N64" s="9">
        <f>IFERROR(__xludf.DUMMYFUNCTION("SUM(QUERY(Entregas_BD!D:L,""select G where D='""&amp;D64&amp;""'"",1))"),0.0)</f>
        <v>0</v>
      </c>
      <c r="O64" s="9">
        <f>IFERROR(__xludf.DUMMYFUNCTION("SUM(QUERY(Entregas_BD!D:L,""select H where D='""&amp;D64&amp;""'"",1))"),0.0)</f>
        <v>0</v>
      </c>
      <c r="P64" s="9">
        <f>IFERROR(__xludf.DUMMYFUNCTION("SUM(QUERY(Entregas_BD!D:L,""select I where D='""&amp;D64&amp;""'"",1))"),0.0)</f>
        <v>0</v>
      </c>
      <c r="Q64" s="9">
        <f>IFERROR(__xludf.DUMMYFUNCTION("SUM(QUERY(Entregas_BD!D:L,""select J where D='""&amp;D64&amp;""'"",1))"),0.0)</f>
        <v>0</v>
      </c>
      <c r="R64" s="15">
        <f>IFERROR(__xludf.DUMMYFUNCTION("SUM(QUERY(Entregas_BD!D:L,""select K where D='""&amp;D64&amp;""'"",1))"),0.0)</f>
        <v>0</v>
      </c>
      <c r="S64" s="15">
        <f>IFERROR(__xludf.DUMMYFUNCTION("SUM(QUERY(Entregas_BD!D:L,""select L where D='""&amp;D64&amp;""'"",1))"),0.0)</f>
        <v>0</v>
      </c>
      <c r="T64" s="9">
        <f>IFERROR(__xludf.DUMMYFUNCTION("SUM(QUERY(Entregas_BD!D:AL,""select AG where D='""&amp;D64&amp;""'"",1))"),100.0)</f>
        <v>100</v>
      </c>
      <c r="U64" s="9">
        <f>IFERROR(__xludf.DUMMYFUNCTION("SUM(QUERY(Entregas_BD!D:AL,""select AH where D='""&amp;D64&amp;""'"",1))"),0.0)</f>
        <v>0</v>
      </c>
      <c r="V64" s="9">
        <f>IFERROR(__xludf.DUMMYFUNCTION("SUM(QUERY(Entregas_BD!D:AL,""select AI where D='""&amp;D64&amp;""'"",1))"),0.0)</f>
        <v>0</v>
      </c>
      <c r="W64" s="9">
        <f>IFERROR(__xludf.DUMMYFUNCTION("SUM(QUERY(Entregas_BD!D:AL,""select AJ where D='""&amp;D64&amp;""'"",1))"),0.0)</f>
        <v>0</v>
      </c>
      <c r="X64" s="9">
        <f>IFERROR(__xludf.DUMMYFUNCTION("SUM(QUERY(Entregas_BD!D:AL,""select AL where D='""&amp;D64&amp;""'"",1))"),0.0)</f>
        <v>0</v>
      </c>
      <c r="Y64" s="9">
        <f>IFERROR(__xludf.DUMMYFUNCTION("SUM(QUERY(Entregas_BD!D:AL,""select AK where D='""&amp;D64&amp;""'"",1))"),0.0)</f>
        <v>0</v>
      </c>
      <c r="Z64" s="9">
        <v>-100.0</v>
      </c>
      <c r="AA64" s="9">
        <v>0.0</v>
      </c>
      <c r="AB64" s="9">
        <v>0.0</v>
      </c>
      <c r="AC64" s="9">
        <v>0.0</v>
      </c>
      <c r="AD64" s="9">
        <v>0.0</v>
      </c>
      <c r="AE64" s="9">
        <v>0.0</v>
      </c>
      <c r="AF64" s="16" t="s">
        <v>238</v>
      </c>
      <c r="AG64" s="15">
        <f>IFERROR(__xludf.DUMMYFUNCTION("SUM(QUERY(Entregas_BD!D:W,""select U where D='""&amp;D64&amp;""'"",1))"),0.0)</f>
        <v>0</v>
      </c>
      <c r="AH64" s="15">
        <f>IFERROR(__xludf.DUMMYFUNCTION("SUM(QUERY(Entregas_BD!D:W,""select S where D='""&amp;D64&amp;""'"",1))"),0.0)</f>
        <v>0</v>
      </c>
      <c r="AI64" s="15">
        <f>IFERROR(__xludf.DUMMYFUNCTION("SUM(QUERY(Entregas_BD!D:W,""select T where D='""&amp;D64&amp;""'"",1))"),0.0)</f>
        <v>0</v>
      </c>
    </row>
    <row r="65" ht="19.5" customHeight="1">
      <c r="A65" s="28"/>
      <c r="B65" s="29"/>
      <c r="C65" s="19">
        <v>64.0</v>
      </c>
      <c r="D65" s="22" t="s">
        <v>239</v>
      </c>
      <c r="E65" s="20" t="s">
        <v>72</v>
      </c>
      <c r="F65" s="20" t="s">
        <v>45</v>
      </c>
      <c r="G65" s="20" t="s">
        <v>240</v>
      </c>
      <c r="H65" s="19" t="s">
        <v>51</v>
      </c>
      <c r="I65" s="21" t="s">
        <v>41</v>
      </c>
      <c r="J65" s="22"/>
      <c r="K65" s="22"/>
      <c r="L65" s="23"/>
      <c r="M65" s="22"/>
      <c r="N65" s="19">
        <f>IFERROR(__xludf.DUMMYFUNCTION("SUM(QUERY(Entregas_BD!D:L,""select G where D='""&amp;D65&amp;""'"",1))"),0.0)</f>
        <v>0</v>
      </c>
      <c r="O65" s="19">
        <f>IFERROR(__xludf.DUMMYFUNCTION("SUM(QUERY(Entregas_BD!D:L,""select H where D='""&amp;D65&amp;""'"",1))"),0.0)</f>
        <v>0</v>
      </c>
      <c r="P65" s="19">
        <f>IFERROR(__xludf.DUMMYFUNCTION("SUM(QUERY(Entregas_BD!D:L,""select I where D='""&amp;D65&amp;""'"",1))"),0.0)</f>
        <v>0</v>
      </c>
      <c r="Q65" s="19">
        <f>IFERROR(__xludf.DUMMYFUNCTION("SUM(QUERY(Entregas_BD!D:L,""select J where D='""&amp;D65&amp;""'"",1))"),0.0)</f>
        <v>0</v>
      </c>
      <c r="R65" s="24">
        <f>IFERROR(__xludf.DUMMYFUNCTION("SUM(QUERY(Entregas_BD!D:L,""select K where D='""&amp;D65&amp;""'"",1))"),0.0)</f>
        <v>0</v>
      </c>
      <c r="S65" s="24">
        <f>IFERROR(__xludf.DUMMYFUNCTION("SUM(QUERY(Entregas_BD!D:L,""select L where D='""&amp;D65&amp;""'"",1))"),0.0)</f>
        <v>0</v>
      </c>
      <c r="T65" s="19">
        <f>IFERROR(__xludf.DUMMYFUNCTION("SUM(QUERY(Entregas_BD!D:AL,""select AG where D='""&amp;D65&amp;""'"",1))"),100.0)</f>
        <v>100</v>
      </c>
      <c r="U65" s="19">
        <f>IFERROR(__xludf.DUMMYFUNCTION("SUM(QUERY(Entregas_BD!D:AL,""select AH where D='""&amp;D65&amp;""'"",1))"),0.0)</f>
        <v>0</v>
      </c>
      <c r="V65" s="19">
        <f>IFERROR(__xludf.DUMMYFUNCTION("SUM(QUERY(Entregas_BD!D:AL,""select AI where D='""&amp;D65&amp;""'"",1))"),0.0)</f>
        <v>0</v>
      </c>
      <c r="W65" s="19">
        <f>IFERROR(__xludf.DUMMYFUNCTION("SUM(QUERY(Entregas_BD!D:AL,""select AJ where D='""&amp;D65&amp;""'"",1))"),0.0)</f>
        <v>0</v>
      </c>
      <c r="X65" s="19">
        <f>IFERROR(__xludf.DUMMYFUNCTION("SUM(QUERY(Entregas_BD!D:AL,""select AL where D='""&amp;D65&amp;""'"",1))"),0.0)</f>
        <v>0</v>
      </c>
      <c r="Y65" s="19">
        <f>IFERROR(__xludf.DUMMYFUNCTION("SUM(QUERY(Entregas_BD!D:AL,""select AK where D='""&amp;D65&amp;""'"",1))"),0.0)</f>
        <v>0</v>
      </c>
      <c r="Z65" s="19">
        <v>-100.0</v>
      </c>
      <c r="AA65" s="19">
        <v>0.0</v>
      </c>
      <c r="AB65" s="19">
        <v>0.0</v>
      </c>
      <c r="AC65" s="19">
        <v>0.0</v>
      </c>
      <c r="AD65" s="19">
        <v>0.0</v>
      </c>
      <c r="AE65" s="19">
        <v>0.0</v>
      </c>
      <c r="AF65" s="25" t="s">
        <v>241</v>
      </c>
      <c r="AG65" s="24">
        <f>IFERROR(__xludf.DUMMYFUNCTION("SUM(QUERY(Entregas_BD!D:W,""select U where D='""&amp;D65&amp;""'"",1))"),0.0)</f>
        <v>0</v>
      </c>
      <c r="AH65" s="24">
        <f>IFERROR(__xludf.DUMMYFUNCTION("SUM(QUERY(Entregas_BD!D:W,""select S where D='""&amp;D65&amp;""'"",1))"),0.0)</f>
        <v>0</v>
      </c>
      <c r="AI65" s="24">
        <f>IFERROR(__xludf.DUMMYFUNCTION("SUM(QUERY(Entregas_BD!D:W,""select T where D='""&amp;D65&amp;""'"",1))"),0.0)</f>
        <v>0</v>
      </c>
    </row>
    <row r="66" ht="19.5" customHeight="1">
      <c r="A66" s="7"/>
      <c r="B66" s="8"/>
      <c r="C66" s="9">
        <v>65.0</v>
      </c>
      <c r="D66" s="37" t="s">
        <v>242</v>
      </c>
      <c r="E66" s="10" t="s">
        <v>197</v>
      </c>
      <c r="F66" s="10" t="s">
        <v>243</v>
      </c>
      <c r="G66" s="10" t="s">
        <v>244</v>
      </c>
      <c r="H66" s="9" t="s">
        <v>69</v>
      </c>
      <c r="I66" s="11" t="s">
        <v>41</v>
      </c>
      <c r="J66" s="12"/>
      <c r="K66" s="12"/>
      <c r="L66" s="13"/>
      <c r="M66" s="14"/>
      <c r="N66" s="9">
        <f>IFERROR(__xludf.DUMMYFUNCTION("SUM(QUERY(Entregas_BD!D:L,""select G where D='""&amp;D66&amp;""'"",1))"),0.0)</f>
        <v>0</v>
      </c>
      <c r="O66" s="9">
        <f>IFERROR(__xludf.DUMMYFUNCTION("SUM(QUERY(Entregas_BD!D:L,""select H where D='""&amp;D66&amp;""'"",1))"),0.0)</f>
        <v>0</v>
      </c>
      <c r="P66" s="9">
        <f>IFERROR(__xludf.DUMMYFUNCTION("SUM(QUERY(Entregas_BD!D:L,""select I where D='""&amp;D66&amp;""'"",1))"),0.0)</f>
        <v>0</v>
      </c>
      <c r="Q66" s="9">
        <f>IFERROR(__xludf.DUMMYFUNCTION("SUM(QUERY(Entregas_BD!D:L,""select J where D='""&amp;D66&amp;""'"",1))"),0.0)</f>
        <v>0</v>
      </c>
      <c r="R66" s="15">
        <f>IFERROR(__xludf.DUMMYFUNCTION("SUM(QUERY(Entregas_BD!D:L,""select K where D='""&amp;D66&amp;""'"",1))"),0.0)</f>
        <v>0</v>
      </c>
      <c r="S66" s="15">
        <f>IFERROR(__xludf.DUMMYFUNCTION("SUM(QUERY(Entregas_BD!D:L,""select L where D='""&amp;D66&amp;""'"",1))"),0.0)</f>
        <v>0</v>
      </c>
      <c r="T66" s="9">
        <f>IFERROR(__xludf.DUMMYFUNCTION("SUM(QUERY(Entregas_BD!D:AL,""select AG where D='""&amp;D66&amp;""'"",1))"),150.0)</f>
        <v>150</v>
      </c>
      <c r="U66" s="9">
        <f>IFERROR(__xludf.DUMMYFUNCTION("SUM(QUERY(Entregas_BD!D:AL,""select AH where D='""&amp;D66&amp;""'"",1))"),0.0)</f>
        <v>0</v>
      </c>
      <c r="V66" s="9">
        <f>IFERROR(__xludf.DUMMYFUNCTION("SUM(QUERY(Entregas_BD!D:AL,""select AI where D='""&amp;D66&amp;""'"",1))"),0.0)</f>
        <v>0</v>
      </c>
      <c r="W66" s="9">
        <f>IFERROR(__xludf.DUMMYFUNCTION("SUM(QUERY(Entregas_BD!D:AL,""select AJ where D='""&amp;D66&amp;""'"",1))"),0.0)</f>
        <v>0</v>
      </c>
      <c r="X66" s="9">
        <f>IFERROR(__xludf.DUMMYFUNCTION("SUM(QUERY(Entregas_BD!D:AL,""select AL where D='""&amp;D66&amp;""'"",1))"),0.0)</f>
        <v>0</v>
      </c>
      <c r="Y66" s="9">
        <f>IFERROR(__xludf.DUMMYFUNCTION("SUM(QUERY(Entregas_BD!D:AL,""select AK where D='""&amp;D66&amp;""'"",1))"),0.0)</f>
        <v>0</v>
      </c>
      <c r="Z66" s="9">
        <v>-150.0</v>
      </c>
      <c r="AA66" s="9">
        <v>0.0</v>
      </c>
      <c r="AB66" s="9">
        <v>0.0</v>
      </c>
      <c r="AC66" s="9">
        <v>0.0</v>
      </c>
      <c r="AD66" s="9">
        <v>0.0</v>
      </c>
      <c r="AE66" s="9">
        <v>0.0</v>
      </c>
      <c r="AF66" s="16" t="s">
        <v>245</v>
      </c>
      <c r="AG66" s="15">
        <f>IFERROR(__xludf.DUMMYFUNCTION("SUM(QUERY(Entregas_BD!D:W,""select U where D='""&amp;D66&amp;""'"",1))"),0.0)</f>
        <v>0</v>
      </c>
      <c r="AH66" s="15">
        <f>IFERROR(__xludf.DUMMYFUNCTION("SUM(QUERY(Entregas_BD!D:W,""select S where D='""&amp;D66&amp;""'"",1))"),0.0)</f>
        <v>0</v>
      </c>
      <c r="AI66" s="15">
        <f>IFERROR(__xludf.DUMMYFUNCTION("SUM(QUERY(Entregas_BD!D:W,""select T where D='""&amp;D66&amp;""'"",1))"),0.0)</f>
        <v>0</v>
      </c>
    </row>
    <row r="67" ht="19.5" customHeight="1">
      <c r="A67" s="28"/>
      <c r="B67" s="29"/>
      <c r="C67" s="19">
        <v>66.0</v>
      </c>
      <c r="D67" s="20" t="s">
        <v>246</v>
      </c>
      <c r="E67" s="20" t="s">
        <v>63</v>
      </c>
      <c r="F67" s="20" t="s">
        <v>185</v>
      </c>
      <c r="G67" s="20" t="s">
        <v>247</v>
      </c>
      <c r="H67" s="19" t="s">
        <v>40</v>
      </c>
      <c r="I67" s="21" t="s">
        <v>41</v>
      </c>
      <c r="J67" s="22"/>
      <c r="K67" s="22"/>
      <c r="L67" s="23"/>
      <c r="M67" s="22"/>
      <c r="N67" s="19">
        <f>IFERROR(__xludf.DUMMYFUNCTION("SUM(QUERY(Entregas_BD!D:L,""select G where D='""&amp;D67&amp;""'"",1))"),0.0)</f>
        <v>0</v>
      </c>
      <c r="O67" s="19">
        <f>IFERROR(__xludf.DUMMYFUNCTION("SUM(QUERY(Entregas_BD!D:L,""select H where D='""&amp;D67&amp;""'"",1))"),0.0)</f>
        <v>0</v>
      </c>
      <c r="P67" s="19">
        <f>IFERROR(__xludf.DUMMYFUNCTION("SUM(QUERY(Entregas_BD!D:L,""select I where D='""&amp;D67&amp;""'"",1))"),0.0)</f>
        <v>0</v>
      </c>
      <c r="Q67" s="19">
        <f>IFERROR(__xludf.DUMMYFUNCTION("SUM(QUERY(Entregas_BD!D:L,""select J where D='""&amp;D67&amp;""'"",1))"),0.0)</f>
        <v>0</v>
      </c>
      <c r="R67" s="24">
        <f>IFERROR(__xludf.DUMMYFUNCTION("SUM(QUERY(Entregas_BD!D:L,""select K where D='""&amp;D67&amp;""'"",1))"),0.0)</f>
        <v>0</v>
      </c>
      <c r="S67" s="24">
        <f>IFERROR(__xludf.DUMMYFUNCTION("SUM(QUERY(Entregas_BD!D:L,""select L where D='""&amp;D67&amp;""'"",1))"),0.0)</f>
        <v>0</v>
      </c>
      <c r="T67" s="19">
        <f>IFERROR(__xludf.DUMMYFUNCTION("SUM(QUERY(Entregas_BD!D:AL,""select AG where D='""&amp;D67&amp;""'"",1))"),100.0)</f>
        <v>100</v>
      </c>
      <c r="U67" s="19">
        <f>IFERROR(__xludf.DUMMYFUNCTION("SUM(QUERY(Entregas_BD!D:AL,""select AH where D='""&amp;D67&amp;""'"",1))"),0.0)</f>
        <v>0</v>
      </c>
      <c r="V67" s="19">
        <f>IFERROR(__xludf.DUMMYFUNCTION("SUM(QUERY(Entregas_BD!D:AL,""select AI where D='""&amp;D67&amp;""'"",1))"),0.0)</f>
        <v>0</v>
      </c>
      <c r="W67" s="19">
        <f>IFERROR(__xludf.DUMMYFUNCTION("SUM(QUERY(Entregas_BD!D:AL,""select AJ where D='""&amp;D67&amp;""'"",1))"),0.0)</f>
        <v>0</v>
      </c>
      <c r="X67" s="19">
        <f>IFERROR(__xludf.DUMMYFUNCTION("SUM(QUERY(Entregas_BD!D:AL,""select AL where D='""&amp;D67&amp;""'"",1))"),0.0)</f>
        <v>0</v>
      </c>
      <c r="Y67" s="19">
        <f>IFERROR(__xludf.DUMMYFUNCTION("SUM(QUERY(Entregas_BD!D:AL,""select AK where D='""&amp;D67&amp;""'"",1))"),0.0)</f>
        <v>0</v>
      </c>
      <c r="Z67" s="19">
        <v>-100.0</v>
      </c>
      <c r="AA67" s="19">
        <v>0.0</v>
      </c>
      <c r="AB67" s="19">
        <v>0.0</v>
      </c>
      <c r="AC67" s="19">
        <v>0.0</v>
      </c>
      <c r="AD67" s="19">
        <v>0.0</v>
      </c>
      <c r="AE67" s="19">
        <v>0.0</v>
      </c>
      <c r="AF67" s="31" t="s">
        <v>248</v>
      </c>
      <c r="AG67" s="24">
        <f>IFERROR(__xludf.DUMMYFUNCTION("SUM(QUERY(Entregas_BD!D:W,""select U where D='""&amp;D67&amp;""'"",1))"),0.0)</f>
        <v>0</v>
      </c>
      <c r="AH67" s="24">
        <f>IFERROR(__xludf.DUMMYFUNCTION("SUM(QUERY(Entregas_BD!D:W,""select S where D='""&amp;D67&amp;""'"",1))"),0.0)</f>
        <v>0</v>
      </c>
      <c r="AI67" s="24">
        <f>IFERROR(__xludf.DUMMYFUNCTION("SUM(QUERY(Entregas_BD!D:W,""select T where D='""&amp;D67&amp;""'"",1))"),0.0)</f>
        <v>0</v>
      </c>
    </row>
    <row r="68" ht="19.5" customHeight="1">
      <c r="A68" s="7"/>
      <c r="B68" s="8"/>
      <c r="C68" s="9">
        <v>67.0</v>
      </c>
      <c r="D68" s="10" t="s">
        <v>249</v>
      </c>
      <c r="E68" s="10" t="s">
        <v>63</v>
      </c>
      <c r="F68" s="10" t="s">
        <v>64</v>
      </c>
      <c r="G68" s="10" t="s">
        <v>250</v>
      </c>
      <c r="H68" s="9" t="s">
        <v>40</v>
      </c>
      <c r="I68" s="11" t="s">
        <v>41</v>
      </c>
      <c r="J68" s="12"/>
      <c r="K68" s="12"/>
      <c r="L68" s="13"/>
      <c r="M68" s="12"/>
      <c r="N68" s="9">
        <f>IFERROR(__xludf.DUMMYFUNCTION("SUM(QUERY(Entregas_BD!D:L,""select G where D='""&amp;D68&amp;""'"",1))"),0.0)</f>
        <v>0</v>
      </c>
      <c r="O68" s="9">
        <f>IFERROR(__xludf.DUMMYFUNCTION("SUM(QUERY(Entregas_BD!D:L,""select H where D='""&amp;D68&amp;""'"",1))"),0.0)</f>
        <v>0</v>
      </c>
      <c r="P68" s="9">
        <f>IFERROR(__xludf.DUMMYFUNCTION("SUM(QUERY(Entregas_BD!D:L,""select I where D='""&amp;D68&amp;""'"",1))"),0.0)</f>
        <v>0</v>
      </c>
      <c r="Q68" s="9">
        <f>IFERROR(__xludf.DUMMYFUNCTION("SUM(QUERY(Entregas_BD!D:L,""select J where D='""&amp;D68&amp;""'"",1))"),0.0)</f>
        <v>0</v>
      </c>
      <c r="R68" s="15">
        <f>IFERROR(__xludf.DUMMYFUNCTION("SUM(QUERY(Entregas_BD!D:L,""select K where D='""&amp;D68&amp;""'"",1))"),0.0)</f>
        <v>0</v>
      </c>
      <c r="S68" s="15">
        <f>IFERROR(__xludf.DUMMYFUNCTION("SUM(QUERY(Entregas_BD!D:L,""select L where D='""&amp;D68&amp;""'"",1))"),0.0)</f>
        <v>0</v>
      </c>
      <c r="T68" s="9">
        <f>IFERROR(__xludf.DUMMYFUNCTION("SUM(QUERY(Entregas_BD!D:AL,""select AG where D='""&amp;D68&amp;""'"",1))"),250.0)</f>
        <v>250</v>
      </c>
      <c r="U68" s="9">
        <f>IFERROR(__xludf.DUMMYFUNCTION("SUM(QUERY(Entregas_BD!D:AL,""select AH where D='""&amp;D68&amp;""'"",1))"),0.0)</f>
        <v>0</v>
      </c>
      <c r="V68" s="9">
        <f>IFERROR(__xludf.DUMMYFUNCTION("SUM(QUERY(Entregas_BD!D:AL,""select AI where D='""&amp;D68&amp;""'"",1))"),0.0)</f>
        <v>0</v>
      </c>
      <c r="W68" s="9">
        <f>IFERROR(__xludf.DUMMYFUNCTION("SUM(QUERY(Entregas_BD!D:AL,""select AJ where D='""&amp;D68&amp;""'"",1))"),0.0)</f>
        <v>0</v>
      </c>
      <c r="X68" s="9">
        <f>IFERROR(__xludf.DUMMYFUNCTION("SUM(QUERY(Entregas_BD!D:AL,""select AL where D='""&amp;D68&amp;""'"",1))"),0.0)</f>
        <v>0</v>
      </c>
      <c r="Y68" s="9">
        <f>IFERROR(__xludf.DUMMYFUNCTION("SUM(QUERY(Entregas_BD!D:AL,""select AK where D='""&amp;D68&amp;""'"",1))"),0.0)</f>
        <v>0</v>
      </c>
      <c r="Z68" s="9">
        <v>-250.0</v>
      </c>
      <c r="AA68" s="9">
        <v>0.0</v>
      </c>
      <c r="AB68" s="9">
        <v>0.0</v>
      </c>
      <c r="AC68" s="9">
        <v>0.0</v>
      </c>
      <c r="AD68" s="9">
        <v>0.0</v>
      </c>
      <c r="AE68" s="9">
        <v>0.0</v>
      </c>
      <c r="AF68" s="16" t="s">
        <v>251</v>
      </c>
      <c r="AG68" s="15">
        <f>IFERROR(__xludf.DUMMYFUNCTION("SUM(QUERY(Entregas_BD!D:W,""select U where D='""&amp;D68&amp;""'"",1))"),0.0)</f>
        <v>0</v>
      </c>
      <c r="AH68" s="15">
        <f>IFERROR(__xludf.DUMMYFUNCTION("SUM(QUERY(Entregas_BD!D:W,""select S where D='""&amp;D68&amp;""'"",1))"),0.0)</f>
        <v>0</v>
      </c>
      <c r="AI68" s="15">
        <f>IFERROR(__xludf.DUMMYFUNCTION("SUM(QUERY(Entregas_BD!D:W,""select T where D='""&amp;D68&amp;""'"",1))"),0.0)</f>
        <v>0</v>
      </c>
    </row>
    <row r="69" ht="19.5" customHeight="1">
      <c r="A69" s="28"/>
      <c r="B69" s="29"/>
      <c r="C69" s="19">
        <v>68.0</v>
      </c>
      <c r="D69" s="20" t="s">
        <v>252</v>
      </c>
      <c r="E69" s="20" t="s">
        <v>58</v>
      </c>
      <c r="F69" s="20" t="s">
        <v>45</v>
      </c>
      <c r="G69" s="20" t="s">
        <v>253</v>
      </c>
      <c r="H69" s="19" t="s">
        <v>51</v>
      </c>
      <c r="I69" s="21" t="s">
        <v>41</v>
      </c>
      <c r="J69" s="19"/>
      <c r="K69" s="22"/>
      <c r="L69" s="23"/>
      <c r="M69" s="22"/>
      <c r="N69" s="19">
        <f>IFERROR(__xludf.DUMMYFUNCTION("SUM(QUERY(Entregas_BD!D:L,""select G where D='""&amp;D69&amp;""'"",1))"),0.0)</f>
        <v>0</v>
      </c>
      <c r="O69" s="19">
        <f>IFERROR(__xludf.DUMMYFUNCTION("SUM(QUERY(Entregas_BD!D:L,""select H where D='""&amp;D69&amp;""'"",1))"),0.0)</f>
        <v>0</v>
      </c>
      <c r="P69" s="19">
        <f>IFERROR(__xludf.DUMMYFUNCTION("SUM(QUERY(Entregas_BD!D:L,""select I where D='""&amp;D69&amp;""'"",1))"),0.0)</f>
        <v>0</v>
      </c>
      <c r="Q69" s="19">
        <f>IFERROR(__xludf.DUMMYFUNCTION("SUM(QUERY(Entregas_BD!D:L,""select J where D='""&amp;D69&amp;""'"",1))"),0.0)</f>
        <v>0</v>
      </c>
      <c r="R69" s="24">
        <f>IFERROR(__xludf.DUMMYFUNCTION("SUM(QUERY(Entregas_BD!D:L,""select K where D='""&amp;D69&amp;""'"",1))"),0.0)</f>
        <v>0</v>
      </c>
      <c r="S69" s="24">
        <f>IFERROR(__xludf.DUMMYFUNCTION("SUM(QUERY(Entregas_BD!D:L,""select L where D='""&amp;D69&amp;""'"",1))"),0.0)</f>
        <v>0</v>
      </c>
      <c r="T69" s="19">
        <f>IFERROR(__xludf.DUMMYFUNCTION("SUM(QUERY(Entregas_BD!D:AL,""select AG where D='""&amp;D69&amp;""'"",1))"),0.0)</f>
        <v>0</v>
      </c>
      <c r="U69" s="19">
        <f>IFERROR(__xludf.DUMMYFUNCTION("SUM(QUERY(Entregas_BD!D:AL,""select AH where D='""&amp;D69&amp;""'"",1))"),0.0)</f>
        <v>0</v>
      </c>
      <c r="V69" s="19">
        <f>IFERROR(__xludf.DUMMYFUNCTION("SUM(QUERY(Entregas_BD!D:AL,""select AI where D='""&amp;D69&amp;""'"",1))"),0.0)</f>
        <v>0</v>
      </c>
      <c r="W69" s="19">
        <f>IFERROR(__xludf.DUMMYFUNCTION("SUM(QUERY(Entregas_BD!D:AL,""select AJ where D='""&amp;D69&amp;""'"",1))"),0.0)</f>
        <v>0</v>
      </c>
      <c r="X69" s="19">
        <f>IFERROR(__xludf.DUMMYFUNCTION("SUM(QUERY(Entregas_BD!D:AL,""select AL where D='""&amp;D69&amp;""'"",1))"),0.0)</f>
        <v>0</v>
      </c>
      <c r="Y69" s="19">
        <f>IFERROR(__xludf.DUMMYFUNCTION("SUM(QUERY(Entregas_BD!D:AL,""select AK where D='""&amp;D69&amp;""'"",1))"),0.0)</f>
        <v>0</v>
      </c>
      <c r="Z69" s="19">
        <v>0.0</v>
      </c>
      <c r="AA69" s="19">
        <v>0.0</v>
      </c>
      <c r="AB69" s="19">
        <v>0.0</v>
      </c>
      <c r="AC69" s="19">
        <v>0.0</v>
      </c>
      <c r="AD69" s="19">
        <v>0.0</v>
      </c>
      <c r="AE69" s="19">
        <v>0.0</v>
      </c>
      <c r="AF69" s="25" t="s">
        <v>254</v>
      </c>
      <c r="AG69" s="24">
        <f>IFERROR(__xludf.DUMMYFUNCTION("SUM(QUERY(Entregas_BD!D:W,""select U where D='""&amp;D69&amp;""'"",1))"),0.0)</f>
        <v>0</v>
      </c>
      <c r="AH69" s="24">
        <f>IFERROR(__xludf.DUMMYFUNCTION("SUM(QUERY(Entregas_BD!D:W,""select S where D='""&amp;D69&amp;""'"",1))"),0.0)</f>
        <v>0</v>
      </c>
      <c r="AI69" s="24">
        <f>IFERROR(__xludf.DUMMYFUNCTION("SUM(QUERY(Entregas_BD!D:W,""select T where D='""&amp;D69&amp;""'"",1))"),0.0)</f>
        <v>0</v>
      </c>
    </row>
    <row r="70" ht="19.5" customHeight="1">
      <c r="A70" s="7"/>
      <c r="B70" s="27"/>
      <c r="C70" s="9">
        <v>69.0</v>
      </c>
      <c r="D70" s="10" t="s">
        <v>255</v>
      </c>
      <c r="E70" s="10" t="s">
        <v>44</v>
      </c>
      <c r="F70" s="10" t="s">
        <v>45</v>
      </c>
      <c r="G70" s="10" t="s">
        <v>256</v>
      </c>
      <c r="H70" s="9" t="s">
        <v>40</v>
      </c>
      <c r="I70" s="11" t="s">
        <v>41</v>
      </c>
      <c r="J70" s="9"/>
      <c r="K70" s="12"/>
      <c r="L70" s="13"/>
      <c r="M70" s="12"/>
      <c r="N70" s="9">
        <f>IFERROR(__xludf.DUMMYFUNCTION("SUM(QUERY(Entregas_BD!D:L,""select G where D='""&amp;D70&amp;""'"",1))"),0.0)</f>
        <v>0</v>
      </c>
      <c r="O70" s="9">
        <f>IFERROR(__xludf.DUMMYFUNCTION("SUM(QUERY(Entregas_BD!D:L,""select H where D='""&amp;D70&amp;""'"",1))"),0.0)</f>
        <v>0</v>
      </c>
      <c r="P70" s="9">
        <f>IFERROR(__xludf.DUMMYFUNCTION("SUM(QUERY(Entregas_BD!D:L,""select I where D='""&amp;D70&amp;""'"",1))"),0.0)</f>
        <v>0</v>
      </c>
      <c r="Q70" s="9">
        <f>IFERROR(__xludf.DUMMYFUNCTION("SUM(QUERY(Entregas_BD!D:L,""select J where D='""&amp;D70&amp;""'"",1))"),0.0)</f>
        <v>0</v>
      </c>
      <c r="R70" s="15">
        <f>IFERROR(__xludf.DUMMYFUNCTION("SUM(QUERY(Entregas_BD!D:L,""select K where D='""&amp;D70&amp;""'"",1))"),0.0)</f>
        <v>0</v>
      </c>
      <c r="S70" s="15">
        <f>IFERROR(__xludf.DUMMYFUNCTION("SUM(QUERY(Entregas_BD!D:L,""select L where D='""&amp;D70&amp;""'"",1))"),0.0)</f>
        <v>0</v>
      </c>
      <c r="T70" s="9">
        <f>IFERROR(__xludf.DUMMYFUNCTION("SUM(QUERY(Entregas_BD!D:AL,""select AG where D='""&amp;D70&amp;""'"",1))"),20.0)</f>
        <v>20</v>
      </c>
      <c r="U70" s="9">
        <f>IFERROR(__xludf.DUMMYFUNCTION("SUM(QUERY(Entregas_BD!D:AL,""select AH where D='""&amp;D70&amp;""'"",1))"),0.0)</f>
        <v>0</v>
      </c>
      <c r="V70" s="9">
        <f>IFERROR(__xludf.DUMMYFUNCTION("SUM(QUERY(Entregas_BD!D:AL,""select AI where D='""&amp;D70&amp;""'"",1))"),0.0)</f>
        <v>0</v>
      </c>
      <c r="W70" s="9">
        <f>IFERROR(__xludf.DUMMYFUNCTION("SUM(QUERY(Entregas_BD!D:AL,""select AJ where D='""&amp;D70&amp;""'"",1))"),0.0)</f>
        <v>0</v>
      </c>
      <c r="X70" s="9">
        <f>IFERROR(__xludf.DUMMYFUNCTION("SUM(QUERY(Entregas_BD!D:AL,""select AL where D='""&amp;D70&amp;""'"",1))"),0.0)</f>
        <v>0</v>
      </c>
      <c r="Y70" s="9">
        <f>IFERROR(__xludf.DUMMYFUNCTION("SUM(QUERY(Entregas_BD!D:AL,""select AK where D='""&amp;D70&amp;""'"",1))"),0.0)</f>
        <v>0</v>
      </c>
      <c r="Z70" s="9">
        <v>-20.0</v>
      </c>
      <c r="AA70" s="9">
        <v>0.0</v>
      </c>
      <c r="AB70" s="9">
        <v>0.0</v>
      </c>
      <c r="AC70" s="9">
        <v>0.0</v>
      </c>
      <c r="AD70" s="9">
        <v>0.0</v>
      </c>
      <c r="AE70" s="9">
        <v>0.0</v>
      </c>
      <c r="AF70" s="16" t="s">
        <v>257</v>
      </c>
      <c r="AG70" s="15">
        <f>IFERROR(__xludf.DUMMYFUNCTION("SUM(QUERY(Entregas_BD!D:W,""select U where D='""&amp;D70&amp;""'"",1))"),0.0)</f>
        <v>0</v>
      </c>
      <c r="AH70" s="15">
        <f>IFERROR(__xludf.DUMMYFUNCTION("SUM(QUERY(Entregas_BD!D:W,""select S where D='""&amp;D70&amp;""'"",1))"),0.0)</f>
        <v>0</v>
      </c>
      <c r="AI70" s="15">
        <f>IFERROR(__xludf.DUMMYFUNCTION("SUM(QUERY(Entregas_BD!D:W,""select T where D='""&amp;D70&amp;""'"",1))"),0.0)</f>
        <v>0</v>
      </c>
    </row>
    <row r="71" ht="19.5" customHeight="1">
      <c r="A71" s="28"/>
      <c r="B71" s="29"/>
      <c r="C71" s="19">
        <v>70.0</v>
      </c>
      <c r="D71" s="25" t="s">
        <v>258</v>
      </c>
      <c r="E71" s="20" t="s">
        <v>58</v>
      </c>
      <c r="F71" s="20" t="s">
        <v>45</v>
      </c>
      <c r="G71" s="20" t="s">
        <v>259</v>
      </c>
      <c r="H71" s="19" t="s">
        <v>40</v>
      </c>
      <c r="I71" s="21" t="s">
        <v>41</v>
      </c>
      <c r="J71" s="19"/>
      <c r="K71" s="22"/>
      <c r="L71" s="23"/>
      <c r="M71" s="22"/>
      <c r="N71" s="19">
        <f>IFERROR(__xludf.DUMMYFUNCTION("SUM(QUERY(Entregas_BD!D:L,""select G where D='""&amp;D71&amp;""'"",1))"),0.0)</f>
        <v>0</v>
      </c>
      <c r="O71" s="19">
        <f>IFERROR(__xludf.DUMMYFUNCTION("SUM(QUERY(Entregas_BD!D:L,""select H where D='""&amp;D71&amp;""'"",1))"),0.0)</f>
        <v>0</v>
      </c>
      <c r="P71" s="19">
        <f>IFERROR(__xludf.DUMMYFUNCTION("SUM(QUERY(Entregas_BD!D:L,""select I where D='""&amp;D71&amp;""'"",1))"),0.0)</f>
        <v>0</v>
      </c>
      <c r="Q71" s="19">
        <f>IFERROR(__xludf.DUMMYFUNCTION("SUM(QUERY(Entregas_BD!D:L,""select J where D='""&amp;D71&amp;""'"",1))"),0.0)</f>
        <v>0</v>
      </c>
      <c r="R71" s="24">
        <f>IFERROR(__xludf.DUMMYFUNCTION("SUM(QUERY(Entregas_BD!D:L,""select K where D='""&amp;D71&amp;""'"",1))"),0.0)</f>
        <v>0</v>
      </c>
      <c r="S71" s="24">
        <f>IFERROR(__xludf.DUMMYFUNCTION("SUM(QUERY(Entregas_BD!D:L,""select L where D='""&amp;D71&amp;""'"",1))"),0.0)</f>
        <v>0</v>
      </c>
      <c r="T71" s="19">
        <f>IFERROR(__xludf.DUMMYFUNCTION("SUM(QUERY(Entregas_BD!D:AL,""select AG where D='""&amp;D71&amp;""'"",1))"),200.0)</f>
        <v>200</v>
      </c>
      <c r="U71" s="19">
        <f>IFERROR(__xludf.DUMMYFUNCTION("SUM(QUERY(Entregas_BD!D:AL,""select AH where D='""&amp;D71&amp;""'"",1))"),0.0)</f>
        <v>0</v>
      </c>
      <c r="V71" s="19">
        <f>IFERROR(__xludf.DUMMYFUNCTION("SUM(QUERY(Entregas_BD!D:AL,""select AI where D='""&amp;D71&amp;""'"",1))"),0.0)</f>
        <v>0</v>
      </c>
      <c r="W71" s="19">
        <f>IFERROR(__xludf.DUMMYFUNCTION("SUM(QUERY(Entregas_BD!D:AL,""select AJ where D='""&amp;D71&amp;""'"",1))"),0.0)</f>
        <v>0</v>
      </c>
      <c r="X71" s="19">
        <f>IFERROR(__xludf.DUMMYFUNCTION("SUM(QUERY(Entregas_BD!D:AL,""select AL where D='""&amp;D71&amp;""'"",1))"),0.0)</f>
        <v>0</v>
      </c>
      <c r="Y71" s="19">
        <f>IFERROR(__xludf.DUMMYFUNCTION("SUM(QUERY(Entregas_BD!D:AL,""select AK where D='""&amp;D71&amp;""'"",1))"),0.0)</f>
        <v>0</v>
      </c>
      <c r="Z71" s="19">
        <v>-200.0</v>
      </c>
      <c r="AA71" s="19">
        <v>0.0</v>
      </c>
      <c r="AB71" s="19">
        <v>0.0</v>
      </c>
      <c r="AC71" s="19">
        <v>0.0</v>
      </c>
      <c r="AD71" s="19">
        <v>0.0</v>
      </c>
      <c r="AE71" s="19">
        <v>0.0</v>
      </c>
      <c r="AF71" s="25" t="s">
        <v>260</v>
      </c>
      <c r="AG71" s="24">
        <f>IFERROR(__xludf.DUMMYFUNCTION("SUM(QUERY(Entregas_BD!D:W,""select U where D='""&amp;D71&amp;""'"",1))"),0.0)</f>
        <v>0</v>
      </c>
      <c r="AH71" s="24">
        <f>IFERROR(__xludf.DUMMYFUNCTION("SUM(QUERY(Entregas_BD!D:W,""select S where D='""&amp;D71&amp;""'"",1))"),0.0)</f>
        <v>0</v>
      </c>
      <c r="AI71" s="24">
        <f>IFERROR(__xludf.DUMMYFUNCTION("SUM(QUERY(Entregas_BD!D:W,""select T where D='""&amp;D71&amp;""'"",1))"),0.0)</f>
        <v>0</v>
      </c>
    </row>
    <row r="72" ht="19.5" customHeight="1">
      <c r="A72" s="7"/>
      <c r="B72" s="8"/>
      <c r="C72" s="9">
        <v>71.0</v>
      </c>
      <c r="D72" s="32" t="s">
        <v>258</v>
      </c>
      <c r="E72" s="10" t="s">
        <v>58</v>
      </c>
      <c r="F72" s="10" t="s">
        <v>45</v>
      </c>
      <c r="G72" s="10" t="s">
        <v>88</v>
      </c>
      <c r="H72" s="9" t="s">
        <v>40</v>
      </c>
      <c r="I72" s="11" t="s">
        <v>41</v>
      </c>
      <c r="J72" s="9"/>
      <c r="K72" s="12"/>
      <c r="L72" s="13"/>
      <c r="M72" s="12"/>
      <c r="N72" s="9">
        <f>IFERROR(__xludf.DUMMYFUNCTION("SUM(QUERY(Entregas_BD!D:L,""select G where D='""&amp;D72&amp;""'"",1))"),0.0)</f>
        <v>0</v>
      </c>
      <c r="O72" s="9">
        <f>IFERROR(__xludf.DUMMYFUNCTION("SUM(QUERY(Entregas_BD!D:L,""select H where D='""&amp;D72&amp;""'"",1))"),0.0)</f>
        <v>0</v>
      </c>
      <c r="P72" s="9">
        <f>IFERROR(__xludf.DUMMYFUNCTION("SUM(QUERY(Entregas_BD!D:L,""select I where D='""&amp;D72&amp;""'"",1))"),0.0)</f>
        <v>0</v>
      </c>
      <c r="Q72" s="9">
        <f>IFERROR(__xludf.DUMMYFUNCTION("SUM(QUERY(Entregas_BD!D:L,""select J where D='""&amp;D72&amp;""'"",1))"),0.0)</f>
        <v>0</v>
      </c>
      <c r="R72" s="15">
        <f>IFERROR(__xludf.DUMMYFUNCTION("SUM(QUERY(Entregas_BD!D:L,""select K where D='""&amp;D72&amp;""'"",1))"),0.0)</f>
        <v>0</v>
      </c>
      <c r="S72" s="15">
        <f>IFERROR(__xludf.DUMMYFUNCTION("SUM(QUERY(Entregas_BD!D:L,""select L where D='""&amp;D72&amp;""'"",1))"),0.0)</f>
        <v>0</v>
      </c>
      <c r="T72" s="9">
        <f>IFERROR(__xludf.DUMMYFUNCTION("SUM(QUERY(Entregas_BD!D:AL,""select AG where D='""&amp;D72&amp;""'"",1))"),200.0)</f>
        <v>200</v>
      </c>
      <c r="U72" s="9">
        <f>IFERROR(__xludf.DUMMYFUNCTION("SUM(QUERY(Entregas_BD!D:AL,""select AH where D='""&amp;D72&amp;""'"",1))"),0.0)</f>
        <v>0</v>
      </c>
      <c r="V72" s="9">
        <f>IFERROR(__xludf.DUMMYFUNCTION("SUM(QUERY(Entregas_BD!D:AL,""select AI where D='""&amp;D72&amp;""'"",1))"),0.0)</f>
        <v>0</v>
      </c>
      <c r="W72" s="9">
        <f>IFERROR(__xludf.DUMMYFUNCTION("SUM(QUERY(Entregas_BD!D:AL,""select AJ where D='""&amp;D72&amp;""'"",1))"),0.0)</f>
        <v>0</v>
      </c>
      <c r="X72" s="9">
        <f>IFERROR(__xludf.DUMMYFUNCTION("SUM(QUERY(Entregas_BD!D:AL,""select AL where D='""&amp;D72&amp;""'"",1))"),0.0)</f>
        <v>0</v>
      </c>
      <c r="Y72" s="9">
        <f>IFERROR(__xludf.DUMMYFUNCTION("SUM(QUERY(Entregas_BD!D:AL,""select AK where D='""&amp;D72&amp;""'"",1))"),0.0)</f>
        <v>0</v>
      </c>
      <c r="Z72" s="9">
        <v>-200.0</v>
      </c>
      <c r="AA72" s="9">
        <v>0.0</v>
      </c>
      <c r="AB72" s="9">
        <v>0.0</v>
      </c>
      <c r="AC72" s="9">
        <v>0.0</v>
      </c>
      <c r="AD72" s="9">
        <v>0.0</v>
      </c>
      <c r="AE72" s="9">
        <v>0.0</v>
      </c>
      <c r="AF72" s="16" t="s">
        <v>260</v>
      </c>
      <c r="AG72" s="15">
        <f>IFERROR(__xludf.DUMMYFUNCTION("SUM(QUERY(Entregas_BD!D:W,""select U where D='""&amp;D72&amp;""'"",1))"),0.0)</f>
        <v>0</v>
      </c>
      <c r="AH72" s="15">
        <f>IFERROR(__xludf.DUMMYFUNCTION("SUM(QUERY(Entregas_BD!D:W,""select S where D='""&amp;D72&amp;""'"",1))"),0.0)</f>
        <v>0</v>
      </c>
      <c r="AI72" s="15">
        <f>IFERROR(__xludf.DUMMYFUNCTION("SUM(QUERY(Entregas_BD!D:W,""select T where D='""&amp;D72&amp;""'"",1))"),0.0)</f>
        <v>0</v>
      </c>
    </row>
    <row r="73" ht="19.5" customHeight="1">
      <c r="A73" s="17"/>
      <c r="B73" s="18"/>
      <c r="C73" s="19">
        <v>72.0</v>
      </c>
      <c r="D73" s="20" t="s">
        <v>261</v>
      </c>
      <c r="E73" s="20" t="s">
        <v>44</v>
      </c>
      <c r="F73" s="20" t="s">
        <v>45</v>
      </c>
      <c r="G73" s="20" t="s">
        <v>262</v>
      </c>
      <c r="H73" s="19" t="s">
        <v>69</v>
      </c>
      <c r="I73" s="21" t="s">
        <v>41</v>
      </c>
      <c r="J73" s="19"/>
      <c r="K73" s="22"/>
      <c r="L73" s="23"/>
      <c r="M73" s="22"/>
      <c r="N73" s="19">
        <f>IFERROR(__xludf.DUMMYFUNCTION("SUM(QUERY(Entregas_BD!D:L,""select G where D='""&amp;D73&amp;""'"",1))"),0.0)</f>
        <v>0</v>
      </c>
      <c r="O73" s="19">
        <f>IFERROR(__xludf.DUMMYFUNCTION("SUM(QUERY(Entregas_BD!D:L,""select H where D='""&amp;D73&amp;""'"",1))"),0.0)</f>
        <v>0</v>
      </c>
      <c r="P73" s="19">
        <f>IFERROR(__xludf.DUMMYFUNCTION("SUM(QUERY(Entregas_BD!D:L,""select I where D='""&amp;D73&amp;""'"",1))"),0.0)</f>
        <v>0</v>
      </c>
      <c r="Q73" s="19">
        <f>IFERROR(__xludf.DUMMYFUNCTION("SUM(QUERY(Entregas_BD!D:L,""select J where D='""&amp;D73&amp;""'"",1))"),0.0)</f>
        <v>0</v>
      </c>
      <c r="R73" s="24">
        <f>IFERROR(__xludf.DUMMYFUNCTION("SUM(QUERY(Entregas_BD!D:L,""select K where D='""&amp;D73&amp;""'"",1))"),0.0)</f>
        <v>0</v>
      </c>
      <c r="S73" s="24">
        <f>IFERROR(__xludf.DUMMYFUNCTION("SUM(QUERY(Entregas_BD!D:L,""select L where D='""&amp;D73&amp;""'"",1))"),0.0)</f>
        <v>0</v>
      </c>
      <c r="T73" s="19">
        <f>IFERROR(__xludf.DUMMYFUNCTION("SUM(QUERY(Entregas_BD!D:AL,""select AG where D='""&amp;D73&amp;""'"",1))"),100.0)</f>
        <v>100</v>
      </c>
      <c r="U73" s="19">
        <f>IFERROR(__xludf.DUMMYFUNCTION("SUM(QUERY(Entregas_BD!D:AL,""select AH where D='""&amp;D73&amp;""'"",1))"),0.0)</f>
        <v>0</v>
      </c>
      <c r="V73" s="19">
        <f>IFERROR(__xludf.DUMMYFUNCTION("SUM(QUERY(Entregas_BD!D:AL,""select AI where D='""&amp;D73&amp;""'"",1))"),0.0)</f>
        <v>0</v>
      </c>
      <c r="W73" s="19">
        <f>IFERROR(__xludf.DUMMYFUNCTION("SUM(QUERY(Entregas_BD!D:AL,""select AJ where D='""&amp;D73&amp;""'"",1))"),0.0)</f>
        <v>0</v>
      </c>
      <c r="X73" s="19">
        <f>IFERROR(__xludf.DUMMYFUNCTION("SUM(QUERY(Entregas_BD!D:AL,""select AL where D='""&amp;D73&amp;""'"",1))"),0.0)</f>
        <v>0</v>
      </c>
      <c r="Y73" s="19">
        <f>IFERROR(__xludf.DUMMYFUNCTION("SUM(QUERY(Entregas_BD!D:AL,""select AK where D='""&amp;D73&amp;""'"",1))"),0.0)</f>
        <v>0</v>
      </c>
      <c r="Z73" s="19">
        <v>-100.0</v>
      </c>
      <c r="AA73" s="19">
        <v>0.0</v>
      </c>
      <c r="AB73" s="19">
        <v>0.0</v>
      </c>
      <c r="AC73" s="19">
        <v>0.0</v>
      </c>
      <c r="AD73" s="19">
        <v>0.0</v>
      </c>
      <c r="AE73" s="19">
        <v>0.0</v>
      </c>
      <c r="AF73" s="31" t="s">
        <v>263</v>
      </c>
      <c r="AG73" s="24">
        <f>IFERROR(__xludf.DUMMYFUNCTION("SUM(QUERY(Entregas_BD!D:W,""select U where D='""&amp;D73&amp;""'"",1))"),0.0)</f>
        <v>0</v>
      </c>
      <c r="AH73" s="24">
        <f>IFERROR(__xludf.DUMMYFUNCTION("SUM(QUERY(Entregas_BD!D:W,""select S where D='""&amp;D73&amp;""'"",1))"),0.0)</f>
        <v>0</v>
      </c>
      <c r="AI73" s="24">
        <f>IFERROR(__xludf.DUMMYFUNCTION("SUM(QUERY(Entregas_BD!D:W,""select T where D='""&amp;D73&amp;""'"",1))"),0.0)</f>
        <v>0</v>
      </c>
    </row>
    <row r="74" ht="19.5" customHeight="1">
      <c r="A74" s="26"/>
      <c r="B74" s="27"/>
      <c r="C74" s="9">
        <v>73.0</v>
      </c>
      <c r="D74" s="10" t="s">
        <v>264</v>
      </c>
      <c r="E74" s="10" t="s">
        <v>44</v>
      </c>
      <c r="F74" s="10" t="s">
        <v>45</v>
      </c>
      <c r="G74" s="10" t="s">
        <v>265</v>
      </c>
      <c r="H74" s="9" t="s">
        <v>40</v>
      </c>
      <c r="I74" s="11" t="s">
        <v>41</v>
      </c>
      <c r="J74" s="9"/>
      <c r="K74" s="12"/>
      <c r="L74" s="13"/>
      <c r="M74" s="12"/>
      <c r="N74" s="9">
        <f>IFERROR(__xludf.DUMMYFUNCTION("SUM(QUERY(Entregas_BD!D:L,""select G where D='""&amp;D74&amp;""'"",1))"),0.0)</f>
        <v>0</v>
      </c>
      <c r="O74" s="9">
        <f>IFERROR(__xludf.DUMMYFUNCTION("SUM(QUERY(Entregas_BD!D:L,""select H where D='""&amp;D74&amp;""'"",1))"),0.0)</f>
        <v>0</v>
      </c>
      <c r="P74" s="9">
        <f>IFERROR(__xludf.DUMMYFUNCTION("SUM(QUERY(Entregas_BD!D:L,""select I where D='""&amp;D74&amp;""'"",1))"),0.0)</f>
        <v>0</v>
      </c>
      <c r="Q74" s="9">
        <f>IFERROR(__xludf.DUMMYFUNCTION("SUM(QUERY(Entregas_BD!D:L,""select J where D='""&amp;D74&amp;""'"",1))"),0.0)</f>
        <v>0</v>
      </c>
      <c r="R74" s="15">
        <f>IFERROR(__xludf.DUMMYFUNCTION("SUM(QUERY(Entregas_BD!D:L,""select K where D='""&amp;D74&amp;""'"",1))"),0.0)</f>
        <v>0</v>
      </c>
      <c r="S74" s="15">
        <f>IFERROR(__xludf.DUMMYFUNCTION("SUM(QUERY(Entregas_BD!D:L,""select L where D='""&amp;D74&amp;""'"",1))"),0.0)</f>
        <v>0</v>
      </c>
      <c r="T74" s="9">
        <f>IFERROR(__xludf.DUMMYFUNCTION("SUM(QUERY(Entregas_BD!D:AL,""select AG where D='""&amp;D74&amp;""'"",1))"),300.0)</f>
        <v>300</v>
      </c>
      <c r="U74" s="9">
        <f>IFERROR(__xludf.DUMMYFUNCTION("SUM(QUERY(Entregas_BD!D:AL,""select AH where D='""&amp;D74&amp;""'"",1))"),0.0)</f>
        <v>0</v>
      </c>
      <c r="V74" s="9">
        <f>IFERROR(__xludf.DUMMYFUNCTION("SUM(QUERY(Entregas_BD!D:AL,""select AI where D='""&amp;D74&amp;""'"",1))"),0.0)</f>
        <v>0</v>
      </c>
      <c r="W74" s="9">
        <f>IFERROR(__xludf.DUMMYFUNCTION("SUM(QUERY(Entregas_BD!D:AL,""select AJ where D='""&amp;D74&amp;""'"",1))"),0.0)</f>
        <v>0</v>
      </c>
      <c r="X74" s="9">
        <f>IFERROR(__xludf.DUMMYFUNCTION("SUM(QUERY(Entregas_BD!D:AL,""select AL where D='""&amp;D74&amp;""'"",1))"),0.0)</f>
        <v>0</v>
      </c>
      <c r="Y74" s="9">
        <f>IFERROR(__xludf.DUMMYFUNCTION("SUM(QUERY(Entregas_BD!D:AL,""select AK where D='""&amp;D74&amp;""'"",1))"),0.0)</f>
        <v>0</v>
      </c>
      <c r="Z74" s="9">
        <v>-300.0</v>
      </c>
      <c r="AA74" s="9">
        <v>0.0</v>
      </c>
      <c r="AB74" s="9">
        <v>0.0</v>
      </c>
      <c r="AC74" s="9">
        <v>0.0</v>
      </c>
      <c r="AD74" s="9">
        <v>0.0</v>
      </c>
      <c r="AE74" s="9">
        <v>0.0</v>
      </c>
      <c r="AF74" s="16" t="s">
        <v>266</v>
      </c>
      <c r="AG74" s="15">
        <f>IFERROR(__xludf.DUMMYFUNCTION("SUM(QUERY(Entregas_BD!D:W,""select U where D='""&amp;D74&amp;""'"",1))"),0.0)</f>
        <v>0</v>
      </c>
      <c r="AH74" s="15">
        <f>IFERROR(__xludf.DUMMYFUNCTION("SUM(QUERY(Entregas_BD!D:W,""select S where D='""&amp;D74&amp;""'"",1))"),0.0)</f>
        <v>0</v>
      </c>
      <c r="AI74" s="15">
        <f>IFERROR(__xludf.DUMMYFUNCTION("SUM(QUERY(Entregas_BD!D:W,""select T where D='""&amp;D74&amp;""'"",1))"),0.0)</f>
        <v>0</v>
      </c>
    </row>
    <row r="75" ht="19.5" customHeight="1">
      <c r="A75" s="28"/>
      <c r="B75" s="29"/>
      <c r="C75" s="19">
        <v>74.0</v>
      </c>
      <c r="D75" s="20" t="s">
        <v>267</v>
      </c>
      <c r="E75" s="20" t="s">
        <v>54</v>
      </c>
      <c r="F75" s="20" t="s">
        <v>45</v>
      </c>
      <c r="G75" s="20" t="s">
        <v>268</v>
      </c>
      <c r="H75" s="19" t="s">
        <v>69</v>
      </c>
      <c r="I75" s="21" t="s">
        <v>41</v>
      </c>
      <c r="J75" s="22"/>
      <c r="K75" s="22"/>
      <c r="L75" s="23"/>
      <c r="M75" s="22"/>
      <c r="N75" s="19">
        <f>IFERROR(__xludf.DUMMYFUNCTION("SUM(QUERY(Entregas_BD!D:L,""select G where D='""&amp;D75&amp;""'"",1))"),0.0)</f>
        <v>0</v>
      </c>
      <c r="O75" s="19">
        <f>IFERROR(__xludf.DUMMYFUNCTION("SUM(QUERY(Entregas_BD!D:L,""select H where D='""&amp;D75&amp;""'"",1))"),0.0)</f>
        <v>0</v>
      </c>
      <c r="P75" s="19">
        <f>IFERROR(__xludf.DUMMYFUNCTION("SUM(QUERY(Entregas_BD!D:L,""select I where D='""&amp;D75&amp;""'"",1))"),0.0)</f>
        <v>0</v>
      </c>
      <c r="Q75" s="19">
        <f>IFERROR(__xludf.DUMMYFUNCTION("SUM(QUERY(Entregas_BD!D:L,""select J where D='""&amp;D75&amp;""'"",1))"),0.0)</f>
        <v>0</v>
      </c>
      <c r="R75" s="24">
        <f>IFERROR(__xludf.DUMMYFUNCTION("SUM(QUERY(Entregas_BD!D:L,""select K where D='""&amp;D75&amp;""'"",1))"),0.0)</f>
        <v>0</v>
      </c>
      <c r="S75" s="24">
        <f>IFERROR(__xludf.DUMMYFUNCTION("SUM(QUERY(Entregas_BD!D:L,""select L where D='""&amp;D75&amp;""'"",1))"),0.0)</f>
        <v>0</v>
      </c>
      <c r="T75" s="19">
        <f>IFERROR(__xludf.DUMMYFUNCTION("SUM(QUERY(Entregas_BD!D:AL,""select AG where D='""&amp;D75&amp;""'"",1))"),255.0)</f>
        <v>255</v>
      </c>
      <c r="U75" s="19">
        <f>IFERROR(__xludf.DUMMYFUNCTION("SUM(QUERY(Entregas_BD!D:AL,""select AH where D='""&amp;D75&amp;""'"",1))"),0.0)</f>
        <v>0</v>
      </c>
      <c r="V75" s="19">
        <f>IFERROR(__xludf.DUMMYFUNCTION("SUM(QUERY(Entregas_BD!D:AL,""select AI where D='""&amp;D75&amp;""'"",1))"),0.0)</f>
        <v>0</v>
      </c>
      <c r="W75" s="19">
        <f>IFERROR(__xludf.DUMMYFUNCTION("SUM(QUERY(Entregas_BD!D:AL,""select AJ where D='""&amp;D75&amp;""'"",1))"),0.0)</f>
        <v>0</v>
      </c>
      <c r="X75" s="19">
        <f>IFERROR(__xludf.DUMMYFUNCTION("SUM(QUERY(Entregas_BD!D:AL,""select AL where D='""&amp;D75&amp;""'"",1))"),0.0)</f>
        <v>0</v>
      </c>
      <c r="Y75" s="19">
        <f>IFERROR(__xludf.DUMMYFUNCTION("SUM(QUERY(Entregas_BD!D:AL,""select AK where D='""&amp;D75&amp;""'"",1))"),0.0)</f>
        <v>0</v>
      </c>
      <c r="Z75" s="19">
        <v>-255.0</v>
      </c>
      <c r="AA75" s="19">
        <v>0.0</v>
      </c>
      <c r="AB75" s="19">
        <v>0.0</v>
      </c>
      <c r="AC75" s="19">
        <v>0.0</v>
      </c>
      <c r="AD75" s="19">
        <v>0.0</v>
      </c>
      <c r="AE75" s="19">
        <v>0.0</v>
      </c>
      <c r="AF75" s="25" t="s">
        <v>269</v>
      </c>
      <c r="AG75" s="24">
        <f>IFERROR(__xludf.DUMMYFUNCTION("SUM(QUERY(Entregas_BD!D:W,""select U where D='""&amp;D75&amp;""'"",1))"),0.0)</f>
        <v>0</v>
      </c>
      <c r="AH75" s="24">
        <f>IFERROR(__xludf.DUMMYFUNCTION("SUM(QUERY(Entregas_BD!D:W,""select S where D='""&amp;D75&amp;""'"",1))"),0.0)</f>
        <v>0</v>
      </c>
      <c r="AI75" s="24">
        <f>IFERROR(__xludf.DUMMYFUNCTION("SUM(QUERY(Entregas_BD!D:W,""select T where D='""&amp;D75&amp;""'"",1))"),0.0)</f>
        <v>0</v>
      </c>
    </row>
    <row r="76" ht="19.5" customHeight="1">
      <c r="A76" s="7"/>
      <c r="B76" s="8"/>
      <c r="C76" s="9">
        <v>75.0</v>
      </c>
      <c r="D76" s="10" t="s">
        <v>270</v>
      </c>
      <c r="E76" s="10" t="s">
        <v>54</v>
      </c>
      <c r="F76" s="10" t="s">
        <v>45</v>
      </c>
      <c r="G76" s="10" t="s">
        <v>271</v>
      </c>
      <c r="H76" s="9" t="s">
        <v>69</v>
      </c>
      <c r="I76" s="11" t="s">
        <v>41</v>
      </c>
      <c r="J76" s="12"/>
      <c r="K76" s="12"/>
      <c r="L76" s="13"/>
      <c r="M76" s="12"/>
      <c r="N76" s="9">
        <f>IFERROR(__xludf.DUMMYFUNCTION("SUM(QUERY(Entregas_BD!D:L,""select G where D='""&amp;D76&amp;""'"",1))"),0.0)</f>
        <v>0</v>
      </c>
      <c r="O76" s="9">
        <f>IFERROR(__xludf.DUMMYFUNCTION("SUM(QUERY(Entregas_BD!D:L,""select H where D='""&amp;D76&amp;""'"",1))"),0.0)</f>
        <v>0</v>
      </c>
      <c r="P76" s="9">
        <f>IFERROR(__xludf.DUMMYFUNCTION("SUM(QUERY(Entregas_BD!D:L,""select I where D='""&amp;D76&amp;""'"",1))"),0.0)</f>
        <v>0</v>
      </c>
      <c r="Q76" s="9">
        <f>IFERROR(__xludf.DUMMYFUNCTION("SUM(QUERY(Entregas_BD!D:L,""select J where D='""&amp;D76&amp;""'"",1))"),0.0)</f>
        <v>0</v>
      </c>
      <c r="R76" s="15">
        <f>IFERROR(__xludf.DUMMYFUNCTION("SUM(QUERY(Entregas_BD!D:L,""select K where D='""&amp;D76&amp;""'"",1))"),0.0)</f>
        <v>0</v>
      </c>
      <c r="S76" s="15">
        <f>IFERROR(__xludf.DUMMYFUNCTION("SUM(QUERY(Entregas_BD!D:L,""select L where D='""&amp;D76&amp;""'"",1))"),0.0)</f>
        <v>0</v>
      </c>
      <c r="T76" s="9">
        <f>IFERROR(__xludf.DUMMYFUNCTION("SUM(QUERY(Entregas_BD!D:AL,""select AG where D='""&amp;D76&amp;""'"",1))"),150.0)</f>
        <v>150</v>
      </c>
      <c r="U76" s="9">
        <f>IFERROR(__xludf.DUMMYFUNCTION("SUM(QUERY(Entregas_BD!D:AL,""select AH where D='""&amp;D76&amp;""'"",1))"),0.0)</f>
        <v>0</v>
      </c>
      <c r="V76" s="9">
        <f>IFERROR(__xludf.DUMMYFUNCTION("SUM(QUERY(Entregas_BD!D:AL,""select AI where D='""&amp;D76&amp;""'"",1))"),0.0)</f>
        <v>0</v>
      </c>
      <c r="W76" s="9">
        <f>IFERROR(__xludf.DUMMYFUNCTION("SUM(QUERY(Entregas_BD!D:AL,""select AJ where D='""&amp;D76&amp;""'"",1))"),0.0)</f>
        <v>0</v>
      </c>
      <c r="X76" s="9">
        <f>IFERROR(__xludf.DUMMYFUNCTION("SUM(QUERY(Entregas_BD!D:AL,""select AL where D='""&amp;D76&amp;""'"",1))"),0.0)</f>
        <v>0</v>
      </c>
      <c r="Y76" s="9">
        <f>IFERROR(__xludf.DUMMYFUNCTION("SUM(QUERY(Entregas_BD!D:AL,""select AK where D='""&amp;D76&amp;""'"",1))"),0.0)</f>
        <v>0</v>
      </c>
      <c r="Z76" s="9">
        <v>-150.0</v>
      </c>
      <c r="AA76" s="9">
        <v>0.0</v>
      </c>
      <c r="AB76" s="9">
        <v>0.0</v>
      </c>
      <c r="AC76" s="9">
        <v>0.0</v>
      </c>
      <c r="AD76" s="9">
        <v>0.0</v>
      </c>
      <c r="AE76" s="9">
        <v>0.0</v>
      </c>
      <c r="AF76" s="16" t="s">
        <v>272</v>
      </c>
      <c r="AG76" s="15">
        <f>IFERROR(__xludf.DUMMYFUNCTION("SUM(QUERY(Entregas_BD!D:W,""select U where D='""&amp;D76&amp;""'"",1))"),0.0)</f>
        <v>0</v>
      </c>
      <c r="AH76" s="15">
        <f>IFERROR(__xludf.DUMMYFUNCTION("SUM(QUERY(Entregas_BD!D:W,""select S where D='""&amp;D76&amp;""'"",1))"),0.0)</f>
        <v>0</v>
      </c>
      <c r="AI76" s="15">
        <f>IFERROR(__xludf.DUMMYFUNCTION("SUM(QUERY(Entregas_BD!D:W,""select T where D='""&amp;D76&amp;""'"",1))"),0.0)</f>
        <v>0</v>
      </c>
    </row>
    <row r="77" ht="19.5" customHeight="1">
      <c r="A77" s="28"/>
      <c r="B77" s="29"/>
      <c r="C77" s="19">
        <v>76.0</v>
      </c>
      <c r="D77" s="20" t="s">
        <v>273</v>
      </c>
      <c r="E77" s="20" t="s">
        <v>72</v>
      </c>
      <c r="F77" s="20" t="s">
        <v>45</v>
      </c>
      <c r="G77" s="20" t="s">
        <v>97</v>
      </c>
      <c r="H77" s="19" t="s">
        <v>69</v>
      </c>
      <c r="I77" s="21" t="s">
        <v>41</v>
      </c>
      <c r="J77" s="22"/>
      <c r="K77" s="22"/>
      <c r="L77" s="23"/>
      <c r="M77" s="22"/>
      <c r="N77" s="19">
        <f>IFERROR(__xludf.DUMMYFUNCTION("SUM(QUERY(Entregas_BD!D:L,""select G where D='""&amp;D77&amp;""'"",1))"),0.0)</f>
        <v>0</v>
      </c>
      <c r="O77" s="19">
        <f>IFERROR(__xludf.DUMMYFUNCTION("SUM(QUERY(Entregas_BD!D:L,""select H where D='""&amp;D77&amp;""'"",1))"),0.0)</f>
        <v>0</v>
      </c>
      <c r="P77" s="19">
        <f>IFERROR(__xludf.DUMMYFUNCTION("SUM(QUERY(Entregas_BD!D:L,""select I where D='""&amp;D77&amp;""'"",1))"),0.0)</f>
        <v>0</v>
      </c>
      <c r="Q77" s="19">
        <f>IFERROR(__xludf.DUMMYFUNCTION("SUM(QUERY(Entregas_BD!D:L,""select J where D='""&amp;D77&amp;""'"",1))"),0.0)</f>
        <v>0</v>
      </c>
      <c r="R77" s="24">
        <f>IFERROR(__xludf.DUMMYFUNCTION("SUM(QUERY(Entregas_BD!D:L,""select K where D='""&amp;D77&amp;""'"",1))"),0.0)</f>
        <v>0</v>
      </c>
      <c r="S77" s="24">
        <f>IFERROR(__xludf.DUMMYFUNCTION("SUM(QUERY(Entregas_BD!D:L,""select L where D='""&amp;D77&amp;""'"",1))"),0.0)</f>
        <v>0</v>
      </c>
      <c r="T77" s="19">
        <f>IFERROR(__xludf.DUMMYFUNCTION("SUM(QUERY(Entregas_BD!D:AL,""select AG where D='""&amp;D77&amp;""'"",1))"),200.0)</f>
        <v>200</v>
      </c>
      <c r="U77" s="19">
        <f>IFERROR(__xludf.DUMMYFUNCTION("SUM(QUERY(Entregas_BD!D:AL,""select AH where D='""&amp;D77&amp;""'"",1))"),0.0)</f>
        <v>0</v>
      </c>
      <c r="V77" s="19">
        <f>IFERROR(__xludf.DUMMYFUNCTION("SUM(QUERY(Entregas_BD!D:AL,""select AI where D='""&amp;D77&amp;""'"",1))"),0.0)</f>
        <v>0</v>
      </c>
      <c r="W77" s="19">
        <f>IFERROR(__xludf.DUMMYFUNCTION("SUM(QUERY(Entregas_BD!D:AL,""select AJ where D='""&amp;D77&amp;""'"",1))"),0.0)</f>
        <v>0</v>
      </c>
      <c r="X77" s="19">
        <f>IFERROR(__xludf.DUMMYFUNCTION("SUM(QUERY(Entregas_BD!D:AL,""select AL where D='""&amp;D77&amp;""'"",1))"),0.0)</f>
        <v>0</v>
      </c>
      <c r="Y77" s="19">
        <f>IFERROR(__xludf.DUMMYFUNCTION("SUM(QUERY(Entregas_BD!D:AL,""select AK where D='""&amp;D77&amp;""'"",1))"),0.0)</f>
        <v>0</v>
      </c>
      <c r="Z77" s="19">
        <v>-200.0</v>
      </c>
      <c r="AA77" s="19">
        <v>0.0</v>
      </c>
      <c r="AB77" s="19">
        <v>0.0</v>
      </c>
      <c r="AC77" s="19">
        <v>0.0</v>
      </c>
      <c r="AD77" s="19">
        <v>0.0</v>
      </c>
      <c r="AE77" s="19">
        <v>0.0</v>
      </c>
      <c r="AF77" s="31" t="s">
        <v>274</v>
      </c>
      <c r="AG77" s="24">
        <f>IFERROR(__xludf.DUMMYFUNCTION("SUM(QUERY(Entregas_BD!D:W,""select U where D='""&amp;D77&amp;""'"",1))"),0.0)</f>
        <v>0</v>
      </c>
      <c r="AH77" s="24">
        <f>IFERROR(__xludf.DUMMYFUNCTION("SUM(QUERY(Entregas_BD!D:W,""select S where D='""&amp;D77&amp;""'"",1))"),0.0)</f>
        <v>0</v>
      </c>
      <c r="AI77" s="24">
        <f>IFERROR(__xludf.DUMMYFUNCTION("SUM(QUERY(Entregas_BD!D:W,""select T where D='""&amp;D77&amp;""'"",1))"),0.0)</f>
        <v>0</v>
      </c>
    </row>
    <row r="78" ht="19.5" customHeight="1">
      <c r="A78" s="7"/>
      <c r="B78" s="8"/>
      <c r="C78" s="9">
        <v>77.0</v>
      </c>
      <c r="D78" s="10" t="s">
        <v>275</v>
      </c>
      <c r="E78" s="10" t="s">
        <v>38</v>
      </c>
      <c r="F78" s="10" t="s">
        <v>276</v>
      </c>
      <c r="G78" s="10" t="s">
        <v>149</v>
      </c>
      <c r="H78" s="9" t="s">
        <v>40</v>
      </c>
      <c r="I78" s="11" t="s">
        <v>41</v>
      </c>
      <c r="J78" s="12"/>
      <c r="K78" s="12"/>
      <c r="L78" s="13"/>
      <c r="M78" s="14"/>
      <c r="N78" s="9">
        <f>IFERROR(__xludf.DUMMYFUNCTION("SUM(QUERY(Entregas_BD!D:L,""select G where D='""&amp;D78&amp;""'"",1))"),0.0)</f>
        <v>0</v>
      </c>
      <c r="O78" s="9">
        <f>IFERROR(__xludf.DUMMYFUNCTION("SUM(QUERY(Entregas_BD!D:L,""select H where D='""&amp;D78&amp;""'"",1))"),0.0)</f>
        <v>0</v>
      </c>
      <c r="P78" s="9">
        <f>IFERROR(__xludf.DUMMYFUNCTION("SUM(QUERY(Entregas_BD!D:L,""select I where D='""&amp;D78&amp;""'"",1))"),0.0)</f>
        <v>0</v>
      </c>
      <c r="Q78" s="9">
        <f>IFERROR(__xludf.DUMMYFUNCTION("SUM(QUERY(Entregas_BD!D:L,""select J where D='""&amp;D78&amp;""'"",1))"),0.0)</f>
        <v>0</v>
      </c>
      <c r="R78" s="15">
        <f>IFERROR(__xludf.DUMMYFUNCTION("SUM(QUERY(Entregas_BD!D:L,""select K where D='""&amp;D78&amp;""'"",1))"),0.0)</f>
        <v>0</v>
      </c>
      <c r="S78" s="15">
        <f>IFERROR(__xludf.DUMMYFUNCTION("SUM(QUERY(Entregas_BD!D:L,""select L where D='""&amp;D78&amp;""'"",1))"),0.0)</f>
        <v>0</v>
      </c>
      <c r="T78" s="9">
        <f>IFERROR(__xludf.DUMMYFUNCTION("SUM(QUERY(Entregas_BD!D:AL,""select AG where D='""&amp;D78&amp;""'"",1))"),50.0)</f>
        <v>50</v>
      </c>
      <c r="U78" s="9">
        <f>IFERROR(__xludf.DUMMYFUNCTION("SUM(QUERY(Entregas_BD!D:AL,""select AH where D='""&amp;D78&amp;""'"",1))"),0.0)</f>
        <v>0</v>
      </c>
      <c r="V78" s="9">
        <f>IFERROR(__xludf.DUMMYFUNCTION("SUM(QUERY(Entregas_BD!D:AL,""select AI where D='""&amp;D78&amp;""'"",1))"),0.0)</f>
        <v>0</v>
      </c>
      <c r="W78" s="9">
        <f>IFERROR(__xludf.DUMMYFUNCTION("SUM(QUERY(Entregas_BD!D:AL,""select AJ where D='""&amp;D78&amp;""'"",1))"),0.0)</f>
        <v>0</v>
      </c>
      <c r="X78" s="9">
        <f>IFERROR(__xludf.DUMMYFUNCTION("SUM(QUERY(Entregas_BD!D:AL,""select AL where D='""&amp;D78&amp;""'"",1))"),0.0)</f>
        <v>0</v>
      </c>
      <c r="Y78" s="9">
        <f>IFERROR(__xludf.DUMMYFUNCTION("SUM(QUERY(Entregas_BD!D:AL,""select AK where D='""&amp;D78&amp;""'"",1))"),0.0)</f>
        <v>0</v>
      </c>
      <c r="Z78" s="9">
        <v>-50.0</v>
      </c>
      <c r="AA78" s="9">
        <v>0.0</v>
      </c>
      <c r="AB78" s="9">
        <v>0.0</v>
      </c>
      <c r="AC78" s="9">
        <v>0.0</v>
      </c>
      <c r="AD78" s="9">
        <v>0.0</v>
      </c>
      <c r="AE78" s="9">
        <v>0.0</v>
      </c>
      <c r="AF78" s="32" t="s">
        <v>277</v>
      </c>
      <c r="AG78" s="15">
        <f>IFERROR(__xludf.DUMMYFUNCTION("SUM(QUERY(Entregas_BD!D:W,""select U where D='""&amp;D78&amp;""'"",1))"),0.0)</f>
        <v>0</v>
      </c>
      <c r="AH78" s="15">
        <f>IFERROR(__xludf.DUMMYFUNCTION("SUM(QUERY(Entregas_BD!D:W,""select S where D='""&amp;D78&amp;""'"",1))"),0.0)</f>
        <v>0</v>
      </c>
      <c r="AI78" s="15">
        <f>IFERROR(__xludf.DUMMYFUNCTION("SUM(QUERY(Entregas_BD!D:W,""select T where D='""&amp;D78&amp;""'"",1))"),0.0)</f>
        <v>0</v>
      </c>
    </row>
    <row r="79" ht="19.5" customHeight="1">
      <c r="A79" s="28"/>
      <c r="B79" s="29"/>
      <c r="C79" s="19">
        <v>78.0</v>
      </c>
      <c r="D79" s="20" t="s">
        <v>278</v>
      </c>
      <c r="E79" s="20" t="s">
        <v>153</v>
      </c>
      <c r="F79" s="20" t="s">
        <v>279</v>
      </c>
      <c r="G79" s="20" t="s">
        <v>280</v>
      </c>
      <c r="H79" s="22" t="s">
        <v>40</v>
      </c>
      <c r="I79" s="21" t="s">
        <v>41</v>
      </c>
      <c r="J79" s="22"/>
      <c r="K79" s="22"/>
      <c r="L79" s="23"/>
      <c r="M79" s="36"/>
      <c r="N79" s="19">
        <f>IFERROR(__xludf.DUMMYFUNCTION("SUM(QUERY(Entregas_BD!D:L,""select G where D='""&amp;D79&amp;""'"",1))"),0.0)</f>
        <v>0</v>
      </c>
      <c r="O79" s="19">
        <f>IFERROR(__xludf.DUMMYFUNCTION("SUM(QUERY(Entregas_BD!D:L,""select H where D='""&amp;D79&amp;""'"",1))"),0.0)</f>
        <v>0</v>
      </c>
      <c r="P79" s="19">
        <f>IFERROR(__xludf.DUMMYFUNCTION("SUM(QUERY(Entregas_BD!D:L,""select I where D='""&amp;D79&amp;""'"",1))"),0.0)</f>
        <v>0</v>
      </c>
      <c r="Q79" s="19">
        <f>IFERROR(__xludf.DUMMYFUNCTION("SUM(QUERY(Entregas_BD!D:L,""select J where D='""&amp;D79&amp;""'"",1))"),0.0)</f>
        <v>0</v>
      </c>
      <c r="R79" s="24">
        <f>IFERROR(__xludf.DUMMYFUNCTION("SUM(QUERY(Entregas_BD!D:L,""select K where D='""&amp;D79&amp;""'"",1))"),0.0)</f>
        <v>0</v>
      </c>
      <c r="S79" s="24">
        <f>IFERROR(__xludf.DUMMYFUNCTION("SUM(QUERY(Entregas_BD!D:L,""select L where D='""&amp;D79&amp;""'"",1))"),0.0)</f>
        <v>0</v>
      </c>
      <c r="T79" s="19">
        <f>IFERROR(__xludf.DUMMYFUNCTION("SUM(QUERY(Entregas_BD!D:AL,""select AG where D='""&amp;D79&amp;""'"",1))"),0.0)</f>
        <v>0</v>
      </c>
      <c r="U79" s="19">
        <f>IFERROR(__xludf.DUMMYFUNCTION("SUM(QUERY(Entregas_BD!D:AL,""select AH where D='""&amp;D79&amp;""'"",1))"),0.0)</f>
        <v>0</v>
      </c>
      <c r="V79" s="19">
        <f>IFERROR(__xludf.DUMMYFUNCTION("SUM(QUERY(Entregas_BD!D:AL,""select AI where D='""&amp;D79&amp;""'"",1))"),0.0)</f>
        <v>0</v>
      </c>
      <c r="W79" s="19">
        <f>IFERROR(__xludf.DUMMYFUNCTION("SUM(QUERY(Entregas_BD!D:AL,""select AJ where D='""&amp;D79&amp;""'"",1))"),0.0)</f>
        <v>0</v>
      </c>
      <c r="X79" s="19">
        <f>IFERROR(__xludf.DUMMYFUNCTION("SUM(QUERY(Entregas_BD!D:AL,""select AL where D='""&amp;D79&amp;""'"",1))"),0.0)</f>
        <v>0</v>
      </c>
      <c r="Y79" s="19">
        <f>IFERROR(__xludf.DUMMYFUNCTION("SUM(QUERY(Entregas_BD!D:AL,""select AK where D='""&amp;D79&amp;""'"",1))"),0.0)</f>
        <v>0</v>
      </c>
      <c r="Z79" s="19">
        <v>0.0</v>
      </c>
      <c r="AA79" s="19">
        <v>0.0</v>
      </c>
      <c r="AB79" s="19">
        <v>0.0</v>
      </c>
      <c r="AC79" s="19">
        <v>0.0</v>
      </c>
      <c r="AD79" s="19">
        <v>0.0</v>
      </c>
      <c r="AE79" s="19">
        <v>0.0</v>
      </c>
      <c r="AF79" s="31" t="s">
        <v>281</v>
      </c>
      <c r="AG79" s="24">
        <f>IFERROR(__xludf.DUMMYFUNCTION("SUM(QUERY(Entregas_BD!D:W,""select U where D='""&amp;D79&amp;""'"",1))"),0.0)</f>
        <v>0</v>
      </c>
      <c r="AH79" s="24">
        <f>IFERROR(__xludf.DUMMYFUNCTION("SUM(QUERY(Entregas_BD!D:W,""select S where D='""&amp;D79&amp;""'"",1))"),0.0)</f>
        <v>0</v>
      </c>
      <c r="AI79" s="24">
        <f>IFERROR(__xludf.DUMMYFUNCTION("SUM(QUERY(Entregas_BD!D:W,""select T where D='""&amp;D79&amp;""'"",1))"),0.0)</f>
        <v>0</v>
      </c>
    </row>
    <row r="80" ht="19.5" customHeight="1">
      <c r="A80" s="7"/>
      <c r="B80" s="8"/>
      <c r="C80" s="9">
        <v>79.0</v>
      </c>
      <c r="D80" s="10" t="s">
        <v>282</v>
      </c>
      <c r="E80" s="10" t="s">
        <v>63</v>
      </c>
      <c r="F80" s="10" t="s">
        <v>283</v>
      </c>
      <c r="G80" s="10" t="s">
        <v>149</v>
      </c>
      <c r="H80" s="9" t="s">
        <v>51</v>
      </c>
      <c r="I80" s="11" t="s">
        <v>47</v>
      </c>
      <c r="J80" s="12"/>
      <c r="K80" s="12"/>
      <c r="L80" s="13"/>
      <c r="M80" s="14"/>
      <c r="N80" s="9">
        <f>IFERROR(__xludf.DUMMYFUNCTION("SUM(QUERY(Entregas_BD!D:L,""select G where D='""&amp;D80&amp;""'"",1))"),0.0)</f>
        <v>0</v>
      </c>
      <c r="O80" s="9">
        <f>IFERROR(__xludf.DUMMYFUNCTION("SUM(QUERY(Entregas_BD!D:L,""select H where D='""&amp;D80&amp;""'"",1))"),0.0)</f>
        <v>0</v>
      </c>
      <c r="P80" s="9">
        <f>IFERROR(__xludf.DUMMYFUNCTION("SUM(QUERY(Entregas_BD!D:L,""select I where D='""&amp;D80&amp;""'"",1))"),0.0)</f>
        <v>0</v>
      </c>
      <c r="Q80" s="9">
        <f>IFERROR(__xludf.DUMMYFUNCTION("SUM(QUERY(Entregas_BD!D:L,""select J where D='""&amp;D80&amp;""'"",1))"),0.0)</f>
        <v>0</v>
      </c>
      <c r="R80" s="15">
        <f>IFERROR(__xludf.DUMMYFUNCTION("SUM(QUERY(Entregas_BD!D:L,""select K where D='""&amp;D80&amp;""'"",1))"),0.0)</f>
        <v>0</v>
      </c>
      <c r="S80" s="15">
        <f>IFERROR(__xludf.DUMMYFUNCTION("SUM(QUERY(Entregas_BD!D:L,""select L where D='""&amp;D80&amp;""'"",1))"),0.0)</f>
        <v>0</v>
      </c>
      <c r="T80" s="9">
        <f>IFERROR(__xludf.DUMMYFUNCTION("SUM(QUERY(Entregas_BD!D:AL,""select AG where D='""&amp;D80&amp;""'"",1))"),0.0)</f>
        <v>0</v>
      </c>
      <c r="U80" s="9">
        <f>IFERROR(__xludf.DUMMYFUNCTION("SUM(QUERY(Entregas_BD!D:AL,""select AH where D='""&amp;D80&amp;""'"",1))"),0.0)</f>
        <v>0</v>
      </c>
      <c r="V80" s="9">
        <f>IFERROR(__xludf.DUMMYFUNCTION("SUM(QUERY(Entregas_BD!D:AL,""select AI where D='""&amp;D80&amp;""'"",1))"),0.0)</f>
        <v>0</v>
      </c>
      <c r="W80" s="9">
        <f>IFERROR(__xludf.DUMMYFUNCTION("SUM(QUERY(Entregas_BD!D:AL,""select AJ where D='""&amp;D80&amp;""'"",1))"),0.0)</f>
        <v>0</v>
      </c>
      <c r="X80" s="9">
        <f>IFERROR(__xludf.DUMMYFUNCTION("SUM(QUERY(Entregas_BD!D:AL,""select AL where D='""&amp;D80&amp;""'"",1))"),0.0)</f>
        <v>0</v>
      </c>
      <c r="Y80" s="9">
        <f>IFERROR(__xludf.DUMMYFUNCTION("SUM(QUERY(Entregas_BD!D:AL,""select AK where D='""&amp;D80&amp;""'"",1))"),0.0)</f>
        <v>0</v>
      </c>
      <c r="Z80" s="9">
        <v>0.0</v>
      </c>
      <c r="AA80" s="9">
        <v>0.0</v>
      </c>
      <c r="AB80" s="9">
        <v>0.0</v>
      </c>
      <c r="AC80" s="9">
        <v>0.0</v>
      </c>
      <c r="AD80" s="9">
        <v>0.0</v>
      </c>
      <c r="AE80" s="9">
        <v>0.0</v>
      </c>
      <c r="AF80" s="16" t="s">
        <v>284</v>
      </c>
      <c r="AG80" s="15">
        <f>IFERROR(__xludf.DUMMYFUNCTION("SUM(QUERY(Entregas_BD!D:W,""select U where D='""&amp;D80&amp;""'"",1))"),0.0)</f>
        <v>0</v>
      </c>
      <c r="AH80" s="15">
        <f>IFERROR(__xludf.DUMMYFUNCTION("SUM(QUERY(Entregas_BD!D:W,""select S where D='""&amp;D80&amp;""'"",1))"),0.0)</f>
        <v>0</v>
      </c>
      <c r="AI80" s="15">
        <f>IFERROR(__xludf.DUMMYFUNCTION("SUM(QUERY(Entregas_BD!D:W,""select T where D='""&amp;D80&amp;""'"",1))"),0.0)</f>
        <v>0</v>
      </c>
    </row>
    <row r="81" ht="19.5" customHeight="1">
      <c r="A81" s="28"/>
      <c r="B81" s="29"/>
      <c r="C81" s="19">
        <v>80.0</v>
      </c>
      <c r="D81" s="20" t="s">
        <v>285</v>
      </c>
      <c r="E81" s="20" t="s">
        <v>58</v>
      </c>
      <c r="F81" s="20" t="s">
        <v>45</v>
      </c>
      <c r="G81" s="20" t="s">
        <v>88</v>
      </c>
      <c r="H81" s="19" t="s">
        <v>40</v>
      </c>
      <c r="I81" s="21" t="s">
        <v>41</v>
      </c>
      <c r="J81" s="19"/>
      <c r="K81" s="22"/>
      <c r="L81" s="23"/>
      <c r="M81" s="22"/>
      <c r="N81" s="19">
        <f>IFERROR(__xludf.DUMMYFUNCTION("SUM(QUERY(Entregas_BD!D:L,""select G where D='""&amp;D81&amp;""'"",1))"),0.0)</f>
        <v>0</v>
      </c>
      <c r="O81" s="19">
        <f>IFERROR(__xludf.DUMMYFUNCTION("SUM(QUERY(Entregas_BD!D:L,""select H where D='""&amp;D81&amp;""'"",1))"),0.0)</f>
        <v>0</v>
      </c>
      <c r="P81" s="19">
        <f>IFERROR(__xludf.DUMMYFUNCTION("SUM(QUERY(Entregas_BD!D:L,""select I where D='""&amp;D81&amp;""'"",1))"),0.0)</f>
        <v>0</v>
      </c>
      <c r="Q81" s="19">
        <f>IFERROR(__xludf.DUMMYFUNCTION("SUM(QUERY(Entregas_BD!D:L,""select J where D='""&amp;D81&amp;""'"",1))"),0.0)</f>
        <v>0</v>
      </c>
      <c r="R81" s="24">
        <f>IFERROR(__xludf.DUMMYFUNCTION("SUM(QUERY(Entregas_BD!D:L,""select K where D='""&amp;D81&amp;""'"",1))"),0.0)</f>
        <v>0</v>
      </c>
      <c r="S81" s="24">
        <f>IFERROR(__xludf.DUMMYFUNCTION("SUM(QUERY(Entregas_BD!D:L,""select L where D='""&amp;D81&amp;""'"",1))"),0.0)</f>
        <v>0</v>
      </c>
      <c r="T81" s="19">
        <f>IFERROR(__xludf.DUMMYFUNCTION("SUM(QUERY(Entregas_BD!D:AL,""select AG where D='""&amp;D81&amp;""'"",1))"),0.0)</f>
        <v>0</v>
      </c>
      <c r="U81" s="19">
        <f>IFERROR(__xludf.DUMMYFUNCTION("SUM(QUERY(Entregas_BD!D:AL,""select AH where D='""&amp;D81&amp;""'"",1))"),0.0)</f>
        <v>0</v>
      </c>
      <c r="V81" s="19">
        <f>IFERROR(__xludf.DUMMYFUNCTION("SUM(QUERY(Entregas_BD!D:AL,""select AI where D='""&amp;D81&amp;""'"",1))"),0.0)</f>
        <v>0</v>
      </c>
      <c r="W81" s="19">
        <f>IFERROR(__xludf.DUMMYFUNCTION("SUM(QUERY(Entregas_BD!D:AL,""select AJ where D='""&amp;D81&amp;""'"",1))"),0.0)</f>
        <v>0</v>
      </c>
      <c r="X81" s="19">
        <f>IFERROR(__xludf.DUMMYFUNCTION("SUM(QUERY(Entregas_BD!D:AL,""select AL where D='""&amp;D81&amp;""'"",1))"),0.0)</f>
        <v>0</v>
      </c>
      <c r="Y81" s="19">
        <f>IFERROR(__xludf.DUMMYFUNCTION("SUM(QUERY(Entregas_BD!D:AL,""select AK where D='""&amp;D81&amp;""'"",1))"),0.0)</f>
        <v>0</v>
      </c>
      <c r="Z81" s="19">
        <v>0.0</v>
      </c>
      <c r="AA81" s="19">
        <v>0.0</v>
      </c>
      <c r="AB81" s="19">
        <v>0.0</v>
      </c>
      <c r="AC81" s="19">
        <v>0.0</v>
      </c>
      <c r="AD81" s="19">
        <v>0.0</v>
      </c>
      <c r="AE81" s="19">
        <v>0.0</v>
      </c>
      <c r="AF81" s="31" t="s">
        <v>260</v>
      </c>
      <c r="AG81" s="24">
        <f>IFERROR(__xludf.DUMMYFUNCTION("SUM(QUERY(Entregas_BD!D:W,""select U where D='""&amp;D81&amp;""'"",1))"),0.0)</f>
        <v>0</v>
      </c>
      <c r="AH81" s="24">
        <f>IFERROR(__xludf.DUMMYFUNCTION("SUM(QUERY(Entregas_BD!D:W,""select S where D='""&amp;D81&amp;""'"",1))"),0.0)</f>
        <v>0</v>
      </c>
      <c r="AI81" s="24">
        <f>IFERROR(__xludf.DUMMYFUNCTION("SUM(QUERY(Entregas_BD!D:W,""select T where D='""&amp;D81&amp;""'"",1))"),0.0)</f>
        <v>0</v>
      </c>
    </row>
    <row r="82" ht="19.5" customHeight="1">
      <c r="A82" s="7"/>
      <c r="B82" s="8"/>
      <c r="C82" s="9">
        <v>81.0</v>
      </c>
      <c r="D82" s="10" t="s">
        <v>286</v>
      </c>
      <c r="E82" s="10" t="s">
        <v>63</v>
      </c>
      <c r="F82" s="10" t="s">
        <v>139</v>
      </c>
      <c r="G82" s="10" t="s">
        <v>149</v>
      </c>
      <c r="H82" s="9" t="s">
        <v>51</v>
      </c>
      <c r="I82" s="11" t="s">
        <v>47</v>
      </c>
      <c r="J82" s="12"/>
      <c r="K82" s="12"/>
      <c r="L82" s="13"/>
      <c r="M82" s="14"/>
      <c r="N82" s="9">
        <f>IFERROR(__xludf.DUMMYFUNCTION("SUM(QUERY(Entregas_BD!D:L,""select G where D='""&amp;D82&amp;""'"",1))"),0.0)</f>
        <v>0</v>
      </c>
      <c r="O82" s="9">
        <f>IFERROR(__xludf.DUMMYFUNCTION("SUM(QUERY(Entregas_BD!D:L,""select H where D='""&amp;D82&amp;""'"",1))"),0.0)</f>
        <v>0</v>
      </c>
      <c r="P82" s="9">
        <f>IFERROR(__xludf.DUMMYFUNCTION("SUM(QUERY(Entregas_BD!D:L,""select I where D='""&amp;D82&amp;""'"",1))"),0.0)</f>
        <v>0</v>
      </c>
      <c r="Q82" s="9">
        <f>IFERROR(__xludf.DUMMYFUNCTION("SUM(QUERY(Entregas_BD!D:L,""select J where D='""&amp;D82&amp;""'"",1))"),0.0)</f>
        <v>0</v>
      </c>
      <c r="R82" s="15">
        <f>IFERROR(__xludf.DUMMYFUNCTION("SUM(QUERY(Entregas_BD!D:L,""select K where D='""&amp;D82&amp;""'"",1))"),0.0)</f>
        <v>0</v>
      </c>
      <c r="S82" s="15">
        <f>IFERROR(__xludf.DUMMYFUNCTION("SUM(QUERY(Entregas_BD!D:L,""select L where D='""&amp;D82&amp;""'"",1))"),0.0)</f>
        <v>0</v>
      </c>
      <c r="T82" s="9">
        <f>IFERROR(__xludf.DUMMYFUNCTION("SUM(QUERY(Entregas_BD!D:AL,""select AG where D='""&amp;D82&amp;""'"",1))"),0.0)</f>
        <v>0</v>
      </c>
      <c r="U82" s="9">
        <f>IFERROR(__xludf.DUMMYFUNCTION("SUM(QUERY(Entregas_BD!D:AL,""select AH where D='""&amp;D82&amp;""'"",1))"),0.0)</f>
        <v>0</v>
      </c>
      <c r="V82" s="9">
        <f>IFERROR(__xludf.DUMMYFUNCTION("SUM(QUERY(Entregas_BD!D:AL,""select AI where D='""&amp;D82&amp;""'"",1))"),0.0)</f>
        <v>0</v>
      </c>
      <c r="W82" s="9">
        <f>IFERROR(__xludf.DUMMYFUNCTION("SUM(QUERY(Entregas_BD!D:AL,""select AJ where D='""&amp;D82&amp;""'"",1))"),0.0)</f>
        <v>0</v>
      </c>
      <c r="X82" s="9">
        <f>IFERROR(__xludf.DUMMYFUNCTION("SUM(QUERY(Entregas_BD!D:AL,""select AL where D='""&amp;D82&amp;""'"",1))"),0.0)</f>
        <v>0</v>
      </c>
      <c r="Y82" s="9">
        <f>IFERROR(__xludf.DUMMYFUNCTION("SUM(QUERY(Entregas_BD!D:AL,""select AK where D='""&amp;D82&amp;""'"",1))"),0.0)</f>
        <v>0</v>
      </c>
      <c r="Z82" s="9">
        <v>0.0</v>
      </c>
      <c r="AA82" s="9">
        <v>0.0</v>
      </c>
      <c r="AB82" s="9">
        <v>0.0</v>
      </c>
      <c r="AC82" s="9">
        <v>0.0</v>
      </c>
      <c r="AD82" s="9">
        <v>0.0</v>
      </c>
      <c r="AE82" s="9">
        <v>0.0</v>
      </c>
      <c r="AF82" s="32" t="s">
        <v>287</v>
      </c>
      <c r="AG82" s="15">
        <f>IFERROR(__xludf.DUMMYFUNCTION("SUM(QUERY(Entregas_BD!D:W,""select U where D='""&amp;D82&amp;""'"",1))"),0.0)</f>
        <v>0</v>
      </c>
      <c r="AH82" s="15">
        <f>IFERROR(__xludf.DUMMYFUNCTION("SUM(QUERY(Entregas_BD!D:W,""select S where D='""&amp;D82&amp;""'"",1))"),0.0)</f>
        <v>0</v>
      </c>
      <c r="AI82" s="15">
        <f>IFERROR(__xludf.DUMMYFUNCTION("SUM(QUERY(Entregas_BD!D:W,""select T where D='""&amp;D82&amp;""'"",1))"),0.0)</f>
        <v>0</v>
      </c>
    </row>
    <row r="83" ht="19.5" customHeight="1">
      <c r="A83" s="28"/>
      <c r="B83" s="29"/>
      <c r="C83" s="19">
        <v>82.0</v>
      </c>
      <c r="D83" s="20" t="s">
        <v>288</v>
      </c>
      <c r="E83" s="20" t="s">
        <v>58</v>
      </c>
      <c r="F83" s="20" t="s">
        <v>45</v>
      </c>
      <c r="G83" s="20" t="s">
        <v>289</v>
      </c>
      <c r="H83" s="19" t="s">
        <v>51</v>
      </c>
      <c r="I83" s="21" t="s">
        <v>47</v>
      </c>
      <c r="J83" s="19"/>
      <c r="K83" s="22"/>
      <c r="L83" s="23"/>
      <c r="M83" s="22"/>
      <c r="N83" s="19">
        <f>IFERROR(__xludf.DUMMYFUNCTION("SUM(QUERY(Entregas_BD!D:L,""select G where D='""&amp;D83&amp;""'"",1))"),0.0)</f>
        <v>0</v>
      </c>
      <c r="O83" s="19">
        <f>IFERROR(__xludf.DUMMYFUNCTION("SUM(QUERY(Entregas_BD!D:L,""select H where D='""&amp;D83&amp;""'"",1))"),0.0)</f>
        <v>0</v>
      </c>
      <c r="P83" s="19">
        <f>IFERROR(__xludf.DUMMYFUNCTION("SUM(QUERY(Entregas_BD!D:L,""select I where D='""&amp;D83&amp;""'"",1))"),0.0)</f>
        <v>0</v>
      </c>
      <c r="Q83" s="19">
        <f>IFERROR(__xludf.DUMMYFUNCTION("SUM(QUERY(Entregas_BD!D:L,""select J where D='""&amp;D83&amp;""'"",1))"),0.0)</f>
        <v>0</v>
      </c>
      <c r="R83" s="24">
        <f>IFERROR(__xludf.DUMMYFUNCTION("SUM(QUERY(Entregas_BD!D:L,""select K where D='""&amp;D83&amp;""'"",1))"),0.0)</f>
        <v>0</v>
      </c>
      <c r="S83" s="24">
        <f>IFERROR(__xludf.DUMMYFUNCTION("SUM(QUERY(Entregas_BD!D:L,""select L where D='""&amp;D83&amp;""'"",1))"),0.0)</f>
        <v>0</v>
      </c>
      <c r="T83" s="19">
        <f>IFERROR(__xludf.DUMMYFUNCTION("SUM(QUERY(Entregas_BD!D:AL,""select AG where D='""&amp;D83&amp;""'"",1))"),0.0)</f>
        <v>0</v>
      </c>
      <c r="U83" s="19">
        <f>IFERROR(__xludf.DUMMYFUNCTION("SUM(QUERY(Entregas_BD!D:AL,""select AH where D='""&amp;D83&amp;""'"",1))"),0.0)</f>
        <v>0</v>
      </c>
      <c r="V83" s="19">
        <f>IFERROR(__xludf.DUMMYFUNCTION("SUM(QUERY(Entregas_BD!D:AL,""select AI where D='""&amp;D83&amp;""'"",1))"),0.0)</f>
        <v>0</v>
      </c>
      <c r="W83" s="19">
        <f>IFERROR(__xludf.DUMMYFUNCTION("SUM(QUERY(Entregas_BD!D:AL,""select AJ where D='""&amp;D83&amp;""'"",1))"),0.0)</f>
        <v>0</v>
      </c>
      <c r="X83" s="19">
        <f>IFERROR(__xludf.DUMMYFUNCTION("SUM(QUERY(Entregas_BD!D:AL,""select AL where D='""&amp;D83&amp;""'"",1))"),0.0)</f>
        <v>0</v>
      </c>
      <c r="Y83" s="19">
        <f>IFERROR(__xludf.DUMMYFUNCTION("SUM(QUERY(Entregas_BD!D:AL,""select AK where D='""&amp;D83&amp;""'"",1))"),0.0)</f>
        <v>0</v>
      </c>
      <c r="Z83" s="19">
        <v>0.0</v>
      </c>
      <c r="AA83" s="19">
        <v>0.0</v>
      </c>
      <c r="AB83" s="19">
        <v>0.0</v>
      </c>
      <c r="AC83" s="19">
        <v>0.0</v>
      </c>
      <c r="AD83" s="19">
        <v>0.0</v>
      </c>
      <c r="AE83" s="19">
        <v>0.0</v>
      </c>
      <c r="AF83" s="31" t="s">
        <v>290</v>
      </c>
      <c r="AG83" s="24">
        <f>IFERROR(__xludf.DUMMYFUNCTION("SUM(QUERY(Entregas_BD!D:W,""select U where D='""&amp;D83&amp;""'"",1))"),0.0)</f>
        <v>0</v>
      </c>
      <c r="AH83" s="24">
        <f>IFERROR(__xludf.DUMMYFUNCTION("SUM(QUERY(Entregas_BD!D:W,""select S where D='""&amp;D83&amp;""'"",1))"),0.0)</f>
        <v>0</v>
      </c>
      <c r="AI83" s="24">
        <f>IFERROR(__xludf.DUMMYFUNCTION("SUM(QUERY(Entregas_BD!D:W,""select T where D='""&amp;D83&amp;""'"",1))"),0.0)</f>
        <v>0</v>
      </c>
    </row>
    <row r="84" ht="19.5" customHeight="1">
      <c r="A84" s="7"/>
      <c r="B84" s="8"/>
      <c r="C84" s="9">
        <v>83.0</v>
      </c>
      <c r="D84" s="10" t="s">
        <v>291</v>
      </c>
      <c r="E84" s="10" t="s">
        <v>58</v>
      </c>
      <c r="F84" s="10" t="s">
        <v>45</v>
      </c>
      <c r="G84" s="10" t="s">
        <v>292</v>
      </c>
      <c r="H84" s="9" t="s">
        <v>40</v>
      </c>
      <c r="I84" s="11" t="s">
        <v>47</v>
      </c>
      <c r="J84" s="9"/>
      <c r="K84" s="12"/>
      <c r="L84" s="13"/>
      <c r="M84" s="12"/>
      <c r="N84" s="9">
        <f>IFERROR(__xludf.DUMMYFUNCTION("SUM(QUERY(Entregas_BD!D:L,""select G where D='""&amp;D84&amp;""'"",1))"),0.0)</f>
        <v>0</v>
      </c>
      <c r="O84" s="9">
        <f>IFERROR(__xludf.DUMMYFUNCTION("SUM(QUERY(Entregas_BD!D:L,""select H where D='""&amp;D84&amp;""'"",1))"),0.0)</f>
        <v>0</v>
      </c>
      <c r="P84" s="9">
        <f>IFERROR(__xludf.DUMMYFUNCTION("SUM(QUERY(Entregas_BD!D:L,""select I where D='""&amp;D84&amp;""'"",1))"),0.0)</f>
        <v>0</v>
      </c>
      <c r="Q84" s="9">
        <f>IFERROR(__xludf.DUMMYFUNCTION("SUM(QUERY(Entregas_BD!D:L,""select J where D='""&amp;D84&amp;""'"",1))"),0.0)</f>
        <v>0</v>
      </c>
      <c r="R84" s="15">
        <f>IFERROR(__xludf.DUMMYFUNCTION("SUM(QUERY(Entregas_BD!D:L,""select K where D='""&amp;D84&amp;""'"",1))"),0.0)</f>
        <v>0</v>
      </c>
      <c r="S84" s="15">
        <f>IFERROR(__xludf.DUMMYFUNCTION("SUM(QUERY(Entregas_BD!D:L,""select L where D='""&amp;D84&amp;""'"",1))"),0.0)</f>
        <v>0</v>
      </c>
      <c r="T84" s="9">
        <f>IFERROR(__xludf.DUMMYFUNCTION("SUM(QUERY(Entregas_BD!D:AL,""select AG where D='""&amp;D84&amp;""'"",1))"),0.0)</f>
        <v>0</v>
      </c>
      <c r="U84" s="9">
        <f>IFERROR(__xludf.DUMMYFUNCTION("SUM(QUERY(Entregas_BD!D:AL,""select AH where D='""&amp;D84&amp;""'"",1))"),0.0)</f>
        <v>0</v>
      </c>
      <c r="V84" s="9">
        <f>IFERROR(__xludf.DUMMYFUNCTION("SUM(QUERY(Entregas_BD!D:AL,""select AI where D='""&amp;D84&amp;""'"",1))"),0.0)</f>
        <v>0</v>
      </c>
      <c r="W84" s="9">
        <f>IFERROR(__xludf.DUMMYFUNCTION("SUM(QUERY(Entregas_BD!D:AL,""select AJ where D='""&amp;D84&amp;""'"",1))"),0.0)</f>
        <v>0</v>
      </c>
      <c r="X84" s="9">
        <f>IFERROR(__xludf.DUMMYFUNCTION("SUM(QUERY(Entregas_BD!D:AL,""select AL where D='""&amp;D84&amp;""'"",1))"),0.0)</f>
        <v>0</v>
      </c>
      <c r="Y84" s="9">
        <f>IFERROR(__xludf.DUMMYFUNCTION("SUM(QUERY(Entregas_BD!D:AL,""select AK where D='""&amp;D84&amp;""'"",1))"),0.0)</f>
        <v>0</v>
      </c>
      <c r="Z84" s="9">
        <v>0.0</v>
      </c>
      <c r="AA84" s="9">
        <v>0.0</v>
      </c>
      <c r="AB84" s="9">
        <v>0.0</v>
      </c>
      <c r="AC84" s="9">
        <v>0.0</v>
      </c>
      <c r="AD84" s="9">
        <v>0.0</v>
      </c>
      <c r="AE84" s="9">
        <v>0.0</v>
      </c>
      <c r="AF84" s="32" t="s">
        <v>293</v>
      </c>
      <c r="AG84" s="15">
        <f>IFERROR(__xludf.DUMMYFUNCTION("SUM(QUERY(Entregas_BD!D:W,""select U where D='""&amp;D84&amp;""'"",1))"),0.0)</f>
        <v>0</v>
      </c>
      <c r="AH84" s="15">
        <f>IFERROR(__xludf.DUMMYFUNCTION("SUM(QUERY(Entregas_BD!D:W,""select S where D='""&amp;D84&amp;""'"",1))"),0.0)</f>
        <v>0</v>
      </c>
      <c r="AI84" s="15">
        <f>IFERROR(__xludf.DUMMYFUNCTION("SUM(QUERY(Entregas_BD!D:W,""select T where D='""&amp;D84&amp;""'"",1))"),0.0)</f>
        <v>0</v>
      </c>
    </row>
    <row r="85" ht="19.5" customHeight="1">
      <c r="A85" s="28"/>
      <c r="B85" s="29"/>
      <c r="C85" s="19">
        <v>84.0</v>
      </c>
      <c r="D85" s="30" t="s">
        <v>294</v>
      </c>
      <c r="E85" s="20" t="s">
        <v>58</v>
      </c>
      <c r="F85" s="20" t="s">
        <v>45</v>
      </c>
      <c r="G85" s="20" t="s">
        <v>88</v>
      </c>
      <c r="H85" s="19" t="s">
        <v>51</v>
      </c>
      <c r="I85" s="21" t="s">
        <v>41</v>
      </c>
      <c r="J85" s="19"/>
      <c r="K85" s="22"/>
      <c r="L85" s="23"/>
      <c r="M85" s="22"/>
      <c r="N85" s="19">
        <f>IFERROR(__xludf.DUMMYFUNCTION("SUM(QUERY(Entregas_BD!D:L,""select G where D='""&amp;D85&amp;""'"",1))"),0.0)</f>
        <v>0</v>
      </c>
      <c r="O85" s="19">
        <f>IFERROR(__xludf.DUMMYFUNCTION("SUM(QUERY(Entregas_BD!D:L,""select H where D='""&amp;D85&amp;""'"",1))"),0.0)</f>
        <v>0</v>
      </c>
      <c r="P85" s="19">
        <f>IFERROR(__xludf.DUMMYFUNCTION("SUM(QUERY(Entregas_BD!D:L,""select I where D='""&amp;D85&amp;""'"",1))"),0.0)</f>
        <v>0</v>
      </c>
      <c r="Q85" s="19">
        <f>IFERROR(__xludf.DUMMYFUNCTION("SUM(QUERY(Entregas_BD!D:L,""select J where D='""&amp;D85&amp;""'"",1))"),0.0)</f>
        <v>0</v>
      </c>
      <c r="R85" s="24">
        <f>IFERROR(__xludf.DUMMYFUNCTION("SUM(QUERY(Entregas_BD!D:L,""select K where D='""&amp;D85&amp;""'"",1))"),0.0)</f>
        <v>0</v>
      </c>
      <c r="S85" s="24">
        <f>IFERROR(__xludf.DUMMYFUNCTION("SUM(QUERY(Entregas_BD!D:L,""select L where D='""&amp;D85&amp;""'"",1))"),0.0)</f>
        <v>0</v>
      </c>
      <c r="T85" s="19">
        <f>IFERROR(__xludf.DUMMYFUNCTION("SUM(QUERY(Entregas_BD!D:AL,""select AG where D='""&amp;D85&amp;""'"",1))"),50.0)</f>
        <v>50</v>
      </c>
      <c r="U85" s="19">
        <f>IFERROR(__xludf.DUMMYFUNCTION("SUM(QUERY(Entregas_BD!D:AL,""select AH where D='""&amp;D85&amp;""'"",1))"),0.0)</f>
        <v>0</v>
      </c>
      <c r="V85" s="19">
        <f>IFERROR(__xludf.DUMMYFUNCTION("SUM(QUERY(Entregas_BD!D:AL,""select AI where D='""&amp;D85&amp;""'"",1))"),0.0)</f>
        <v>0</v>
      </c>
      <c r="W85" s="19">
        <f>IFERROR(__xludf.DUMMYFUNCTION("SUM(QUERY(Entregas_BD!D:AL,""select AJ where D='""&amp;D85&amp;""'"",1))"),0.0)</f>
        <v>0</v>
      </c>
      <c r="X85" s="19">
        <f>IFERROR(__xludf.DUMMYFUNCTION("SUM(QUERY(Entregas_BD!D:AL,""select AL where D='""&amp;D85&amp;""'"",1))"),0.0)</f>
        <v>0</v>
      </c>
      <c r="Y85" s="19">
        <f>IFERROR(__xludf.DUMMYFUNCTION("SUM(QUERY(Entregas_BD!D:AL,""select AK where D='""&amp;D85&amp;""'"",1))"),0.0)</f>
        <v>0</v>
      </c>
      <c r="Z85" s="19">
        <v>-50.0</v>
      </c>
      <c r="AA85" s="19">
        <v>0.0</v>
      </c>
      <c r="AB85" s="19">
        <v>0.0</v>
      </c>
      <c r="AC85" s="19">
        <v>0.0</v>
      </c>
      <c r="AD85" s="19">
        <v>0.0</v>
      </c>
      <c r="AE85" s="19">
        <v>0.0</v>
      </c>
      <c r="AF85" s="31" t="s">
        <v>295</v>
      </c>
      <c r="AG85" s="24">
        <f>IFERROR(__xludf.DUMMYFUNCTION("SUM(QUERY(Entregas_BD!D:W,""select U where D='""&amp;D85&amp;""'"",1))"),0.0)</f>
        <v>0</v>
      </c>
      <c r="AH85" s="24">
        <f>IFERROR(__xludf.DUMMYFUNCTION("SUM(QUERY(Entregas_BD!D:W,""select S where D='""&amp;D85&amp;""'"",1))"),0.0)</f>
        <v>0</v>
      </c>
      <c r="AI85" s="24">
        <f>IFERROR(__xludf.DUMMYFUNCTION("SUM(QUERY(Entregas_BD!D:W,""select T where D='""&amp;D85&amp;""'"",1))"),0.0)</f>
        <v>0</v>
      </c>
    </row>
    <row r="86" ht="19.5" customHeight="1">
      <c r="A86" s="7"/>
      <c r="B86" s="8"/>
      <c r="C86" s="9">
        <v>85.0</v>
      </c>
      <c r="D86" s="10" t="s">
        <v>296</v>
      </c>
      <c r="E86" s="10" t="s">
        <v>58</v>
      </c>
      <c r="F86" s="10" t="s">
        <v>45</v>
      </c>
      <c r="G86" s="10" t="s">
        <v>297</v>
      </c>
      <c r="H86" s="9" t="s">
        <v>51</v>
      </c>
      <c r="I86" s="11" t="s">
        <v>41</v>
      </c>
      <c r="J86" s="9"/>
      <c r="K86" s="12"/>
      <c r="L86" s="13"/>
      <c r="M86" s="12"/>
      <c r="N86" s="9">
        <f>IFERROR(__xludf.DUMMYFUNCTION("SUM(QUERY(Entregas_BD!D:L,""select G where D='""&amp;D86&amp;""'"",1))"),0.0)</f>
        <v>0</v>
      </c>
      <c r="O86" s="9">
        <f>IFERROR(__xludf.DUMMYFUNCTION("SUM(QUERY(Entregas_BD!D:L,""select H where D='""&amp;D86&amp;""'"",1))"),0.0)</f>
        <v>0</v>
      </c>
      <c r="P86" s="9">
        <f>IFERROR(__xludf.DUMMYFUNCTION("SUM(QUERY(Entregas_BD!D:L,""select I where D='""&amp;D86&amp;""'"",1))"),0.0)</f>
        <v>0</v>
      </c>
      <c r="Q86" s="9">
        <f>IFERROR(__xludf.DUMMYFUNCTION("SUM(QUERY(Entregas_BD!D:L,""select J where D='""&amp;D86&amp;""'"",1))"),0.0)</f>
        <v>0</v>
      </c>
      <c r="R86" s="15">
        <f>IFERROR(__xludf.DUMMYFUNCTION("SUM(QUERY(Entregas_BD!D:L,""select K where D='""&amp;D86&amp;""'"",1))"),0.0)</f>
        <v>0</v>
      </c>
      <c r="S86" s="15">
        <f>IFERROR(__xludf.DUMMYFUNCTION("SUM(QUERY(Entregas_BD!D:L,""select L where D='""&amp;D86&amp;""'"",1))"),0.0)</f>
        <v>0</v>
      </c>
      <c r="T86" s="9">
        <f>IFERROR(__xludf.DUMMYFUNCTION("SUM(QUERY(Entregas_BD!D:AL,""select AG where D='""&amp;D86&amp;""'"",1))"),0.0)</f>
        <v>0</v>
      </c>
      <c r="U86" s="9">
        <f>IFERROR(__xludf.DUMMYFUNCTION("SUM(QUERY(Entregas_BD!D:AL,""select AH where D='""&amp;D86&amp;""'"",1))"),0.0)</f>
        <v>0</v>
      </c>
      <c r="V86" s="9">
        <f>IFERROR(__xludf.DUMMYFUNCTION("SUM(QUERY(Entregas_BD!D:AL,""select AI where D='""&amp;D86&amp;""'"",1))"),0.0)</f>
        <v>0</v>
      </c>
      <c r="W86" s="9">
        <f>IFERROR(__xludf.DUMMYFUNCTION("SUM(QUERY(Entregas_BD!D:AL,""select AJ where D='""&amp;D86&amp;""'"",1))"),0.0)</f>
        <v>0</v>
      </c>
      <c r="X86" s="9">
        <f>IFERROR(__xludf.DUMMYFUNCTION("SUM(QUERY(Entregas_BD!D:AL,""select AL where D='""&amp;D86&amp;""'"",1))"),0.0)</f>
        <v>0</v>
      </c>
      <c r="Y86" s="9">
        <f>IFERROR(__xludf.DUMMYFUNCTION("SUM(QUERY(Entregas_BD!D:AL,""select AK where D='""&amp;D86&amp;""'"",1))"),0.0)</f>
        <v>0</v>
      </c>
      <c r="Z86" s="9">
        <v>0.0</v>
      </c>
      <c r="AA86" s="9">
        <v>0.0</v>
      </c>
      <c r="AB86" s="9">
        <v>0.0</v>
      </c>
      <c r="AC86" s="9">
        <v>0.0</v>
      </c>
      <c r="AD86" s="9">
        <v>0.0</v>
      </c>
      <c r="AE86" s="9">
        <v>0.0</v>
      </c>
      <c r="AF86" s="16" t="s">
        <v>298</v>
      </c>
      <c r="AG86" s="15">
        <f>IFERROR(__xludf.DUMMYFUNCTION("SUM(QUERY(Entregas_BD!D:W,""select U where D='""&amp;D86&amp;""'"",1))"),0.0)</f>
        <v>0</v>
      </c>
      <c r="AH86" s="15">
        <f>IFERROR(__xludf.DUMMYFUNCTION("SUM(QUERY(Entregas_BD!D:W,""select S where D='""&amp;D86&amp;""'"",1))"),0.0)</f>
        <v>0</v>
      </c>
      <c r="AI86" s="15">
        <f>IFERROR(__xludf.DUMMYFUNCTION("SUM(QUERY(Entregas_BD!D:W,""select T where D='""&amp;D86&amp;""'"",1))"),0.0)</f>
        <v>0</v>
      </c>
    </row>
    <row r="87" ht="19.5" customHeight="1">
      <c r="A87" s="17"/>
      <c r="B87" s="18"/>
      <c r="C87" s="19">
        <v>86.0</v>
      </c>
      <c r="D87" s="20" t="s">
        <v>299</v>
      </c>
      <c r="E87" s="20" t="s">
        <v>44</v>
      </c>
      <c r="F87" s="20" t="s">
        <v>45</v>
      </c>
      <c r="G87" s="20" t="s">
        <v>300</v>
      </c>
      <c r="H87" s="19" t="s">
        <v>69</v>
      </c>
      <c r="I87" s="21" t="s">
        <v>41</v>
      </c>
      <c r="J87" s="19"/>
      <c r="K87" s="22"/>
      <c r="L87" s="23"/>
      <c r="M87" s="22"/>
      <c r="N87" s="19">
        <f>IFERROR(__xludf.DUMMYFUNCTION("SUM(QUERY(Entregas_BD!D:L,""select G where D='""&amp;D87&amp;""'"",1))"),0.0)</f>
        <v>0</v>
      </c>
      <c r="O87" s="19">
        <f>IFERROR(__xludf.DUMMYFUNCTION("SUM(QUERY(Entregas_BD!D:L,""select H where D='""&amp;D87&amp;""'"",1))"),0.0)</f>
        <v>0</v>
      </c>
      <c r="P87" s="19">
        <f>IFERROR(__xludf.DUMMYFUNCTION("SUM(QUERY(Entregas_BD!D:L,""select I where D='""&amp;D87&amp;""'"",1))"),0.0)</f>
        <v>0</v>
      </c>
      <c r="Q87" s="19">
        <f>IFERROR(__xludf.DUMMYFUNCTION("SUM(QUERY(Entregas_BD!D:L,""select J where D='""&amp;D87&amp;""'"",1))"),0.0)</f>
        <v>0</v>
      </c>
      <c r="R87" s="24">
        <f>IFERROR(__xludf.DUMMYFUNCTION("SUM(QUERY(Entregas_BD!D:L,""select K where D='""&amp;D87&amp;""'"",1))"),0.0)</f>
        <v>0</v>
      </c>
      <c r="S87" s="24">
        <f>IFERROR(__xludf.DUMMYFUNCTION("SUM(QUERY(Entregas_BD!D:L,""select L where D='""&amp;D87&amp;""'"",1))"),0.0)</f>
        <v>0</v>
      </c>
      <c r="T87" s="19">
        <f>IFERROR(__xludf.DUMMYFUNCTION("SUM(QUERY(Entregas_BD!D:AL,""select AG where D='""&amp;D87&amp;""'"",1))"),50.0)</f>
        <v>50</v>
      </c>
      <c r="U87" s="19">
        <f>IFERROR(__xludf.DUMMYFUNCTION("SUM(QUERY(Entregas_BD!D:AL,""select AH where D='""&amp;D87&amp;""'"",1))"),0.0)</f>
        <v>0</v>
      </c>
      <c r="V87" s="19">
        <f>IFERROR(__xludf.DUMMYFUNCTION("SUM(QUERY(Entregas_BD!D:AL,""select AI where D='""&amp;D87&amp;""'"",1))"),0.0)</f>
        <v>0</v>
      </c>
      <c r="W87" s="19">
        <f>IFERROR(__xludf.DUMMYFUNCTION("SUM(QUERY(Entregas_BD!D:AL,""select AJ where D='""&amp;D87&amp;""'"",1))"),0.0)</f>
        <v>0</v>
      </c>
      <c r="X87" s="19">
        <f>IFERROR(__xludf.DUMMYFUNCTION("SUM(QUERY(Entregas_BD!D:AL,""select AL where D='""&amp;D87&amp;""'"",1))"),0.0)</f>
        <v>0</v>
      </c>
      <c r="Y87" s="19">
        <f>IFERROR(__xludf.DUMMYFUNCTION("SUM(QUERY(Entregas_BD!D:AL,""select AK where D='""&amp;D87&amp;""'"",1))"),0.0)</f>
        <v>0</v>
      </c>
      <c r="Z87" s="19">
        <v>-50.0</v>
      </c>
      <c r="AA87" s="19">
        <v>0.0</v>
      </c>
      <c r="AB87" s="19">
        <v>0.0</v>
      </c>
      <c r="AC87" s="19">
        <v>0.0</v>
      </c>
      <c r="AD87" s="19">
        <v>0.0</v>
      </c>
      <c r="AE87" s="19">
        <v>0.0</v>
      </c>
      <c r="AF87" s="31" t="s">
        <v>301</v>
      </c>
      <c r="AG87" s="24">
        <f>IFERROR(__xludf.DUMMYFUNCTION("SUM(QUERY(Entregas_BD!D:W,""select U where D='""&amp;D87&amp;""'"",1))"),0.0)</f>
        <v>0</v>
      </c>
      <c r="AH87" s="24">
        <f>IFERROR(__xludf.DUMMYFUNCTION("SUM(QUERY(Entregas_BD!D:W,""select S where D='""&amp;D87&amp;""'"",1))"),0.0)</f>
        <v>0</v>
      </c>
      <c r="AI87" s="24">
        <f>IFERROR(__xludf.DUMMYFUNCTION("SUM(QUERY(Entregas_BD!D:W,""select T where D='""&amp;D87&amp;""'"",1))"),0.0)</f>
        <v>0</v>
      </c>
    </row>
    <row r="88" ht="19.5" customHeight="1">
      <c r="A88" s="7"/>
      <c r="B88" s="8"/>
      <c r="C88" s="9">
        <v>87.0</v>
      </c>
      <c r="D88" s="10" t="s">
        <v>302</v>
      </c>
      <c r="E88" s="10" t="s">
        <v>38</v>
      </c>
      <c r="F88" s="10" t="s">
        <v>303</v>
      </c>
      <c r="G88" s="10" t="s">
        <v>304</v>
      </c>
      <c r="H88" s="12" t="s">
        <v>69</v>
      </c>
      <c r="I88" s="11" t="s">
        <v>41</v>
      </c>
      <c r="J88" s="13"/>
      <c r="K88" s="12"/>
      <c r="L88" s="13"/>
      <c r="M88" s="14"/>
      <c r="N88" s="9">
        <f>IFERROR(__xludf.DUMMYFUNCTION("SUM(QUERY(Entregas_BD!D:L,""select G where D='""&amp;D88&amp;""'"",1))"),0.0)</f>
        <v>0</v>
      </c>
      <c r="O88" s="9">
        <f>IFERROR(__xludf.DUMMYFUNCTION("SUM(QUERY(Entregas_BD!D:L,""select H where D='""&amp;D88&amp;""'"",1))"),0.0)</f>
        <v>0</v>
      </c>
      <c r="P88" s="9">
        <f>IFERROR(__xludf.DUMMYFUNCTION("SUM(QUERY(Entregas_BD!D:L,""select I where D='""&amp;D88&amp;""'"",1))"),0.0)</f>
        <v>0</v>
      </c>
      <c r="Q88" s="9">
        <f>IFERROR(__xludf.DUMMYFUNCTION("SUM(QUERY(Entregas_BD!D:L,""select J where D='""&amp;D88&amp;""'"",1))"),0.0)</f>
        <v>0</v>
      </c>
      <c r="R88" s="15">
        <f>IFERROR(__xludf.DUMMYFUNCTION("SUM(QUERY(Entregas_BD!D:L,""select K where D='""&amp;D88&amp;""'"",1))"),0.0)</f>
        <v>0</v>
      </c>
      <c r="S88" s="15">
        <f>IFERROR(__xludf.DUMMYFUNCTION("SUM(QUERY(Entregas_BD!D:L,""select L where D='""&amp;D88&amp;""'"",1))"),0.0)</f>
        <v>0</v>
      </c>
      <c r="T88" s="9">
        <f>IFERROR(__xludf.DUMMYFUNCTION("SUM(QUERY(Entregas_BD!D:AL,""select AG where D='""&amp;D88&amp;""'"",1))"),0.0)</f>
        <v>0</v>
      </c>
      <c r="U88" s="9">
        <f>IFERROR(__xludf.DUMMYFUNCTION("SUM(QUERY(Entregas_BD!D:AL,""select AH where D='""&amp;D88&amp;""'"",1))"),0.0)</f>
        <v>0</v>
      </c>
      <c r="V88" s="9">
        <f>IFERROR(__xludf.DUMMYFUNCTION("SUM(QUERY(Entregas_BD!D:AL,""select AI where D='""&amp;D88&amp;""'"",1))"),0.0)</f>
        <v>0</v>
      </c>
      <c r="W88" s="9">
        <f>IFERROR(__xludf.DUMMYFUNCTION("SUM(QUERY(Entregas_BD!D:AL,""select AJ where D='""&amp;D88&amp;""'"",1))"),0.0)</f>
        <v>0</v>
      </c>
      <c r="X88" s="9">
        <f>IFERROR(__xludf.DUMMYFUNCTION("SUM(QUERY(Entregas_BD!D:AL,""select AL where D='""&amp;D88&amp;""'"",1))"),0.0)</f>
        <v>0</v>
      </c>
      <c r="Y88" s="9">
        <f>IFERROR(__xludf.DUMMYFUNCTION("SUM(QUERY(Entregas_BD!D:AL,""select AK where D='""&amp;D88&amp;""'"",1))"),0.0)</f>
        <v>0</v>
      </c>
      <c r="Z88" s="9">
        <v>0.0</v>
      </c>
      <c r="AA88" s="9">
        <v>0.0</v>
      </c>
      <c r="AB88" s="9">
        <v>0.0</v>
      </c>
      <c r="AC88" s="9">
        <v>0.0</v>
      </c>
      <c r="AD88" s="9">
        <v>0.0</v>
      </c>
      <c r="AE88" s="9">
        <v>0.0</v>
      </c>
      <c r="AF88" s="32" t="s">
        <v>305</v>
      </c>
      <c r="AG88" s="15">
        <f>IFERROR(__xludf.DUMMYFUNCTION("SUM(QUERY(Entregas_BD!D:W,""select U where D='""&amp;D88&amp;""'"",1))"),0.0)</f>
        <v>0</v>
      </c>
      <c r="AH88" s="15">
        <f>IFERROR(__xludf.DUMMYFUNCTION("SUM(QUERY(Entregas_BD!D:W,""select S where D='""&amp;D88&amp;""'"",1))"),0.0)</f>
        <v>0</v>
      </c>
      <c r="AI88" s="15">
        <f>IFERROR(__xludf.DUMMYFUNCTION("SUM(QUERY(Entregas_BD!D:W,""select T where D='""&amp;D88&amp;""'"",1))"),0.0)</f>
        <v>0</v>
      </c>
    </row>
    <row r="89" ht="19.5" customHeight="1">
      <c r="A89" s="28"/>
      <c r="B89" s="29"/>
      <c r="C89" s="19">
        <v>88.0</v>
      </c>
      <c r="D89" s="20" t="s">
        <v>306</v>
      </c>
      <c r="E89" s="20" t="s">
        <v>58</v>
      </c>
      <c r="F89" s="20" t="s">
        <v>45</v>
      </c>
      <c r="G89" s="20" t="s">
        <v>307</v>
      </c>
      <c r="H89" s="19" t="s">
        <v>69</v>
      </c>
      <c r="I89" s="21" t="s">
        <v>41</v>
      </c>
      <c r="J89" s="19"/>
      <c r="K89" s="22"/>
      <c r="L89" s="23"/>
      <c r="M89" s="22"/>
      <c r="N89" s="19">
        <f>IFERROR(__xludf.DUMMYFUNCTION("SUM(QUERY(Entregas_BD!D:L,""select G where D='""&amp;D89&amp;""'"",1))"),0.0)</f>
        <v>0</v>
      </c>
      <c r="O89" s="19">
        <f>IFERROR(__xludf.DUMMYFUNCTION("SUM(QUERY(Entregas_BD!D:L,""select H where D='""&amp;D89&amp;""'"",1))"),0.0)</f>
        <v>0</v>
      </c>
      <c r="P89" s="19">
        <f>IFERROR(__xludf.DUMMYFUNCTION("SUM(QUERY(Entregas_BD!D:L,""select I where D='""&amp;D89&amp;""'"",1))"),0.0)</f>
        <v>0</v>
      </c>
      <c r="Q89" s="19">
        <f>IFERROR(__xludf.DUMMYFUNCTION("SUM(QUERY(Entregas_BD!D:L,""select J where D='""&amp;D89&amp;""'"",1))"),0.0)</f>
        <v>0</v>
      </c>
      <c r="R89" s="24">
        <f>IFERROR(__xludf.DUMMYFUNCTION("SUM(QUERY(Entregas_BD!D:L,""select K where D='""&amp;D89&amp;""'"",1))"),0.0)</f>
        <v>0</v>
      </c>
      <c r="S89" s="24">
        <f>IFERROR(__xludf.DUMMYFUNCTION("SUM(QUERY(Entregas_BD!D:L,""select L where D='""&amp;D89&amp;""'"",1))"),0.0)</f>
        <v>0</v>
      </c>
      <c r="T89" s="19">
        <f>IFERROR(__xludf.DUMMYFUNCTION("SUM(QUERY(Entregas_BD!D:AL,""select AG where D='""&amp;D89&amp;""'"",1))"),0.0)</f>
        <v>0</v>
      </c>
      <c r="U89" s="19">
        <f>IFERROR(__xludf.DUMMYFUNCTION("SUM(QUERY(Entregas_BD!D:AL,""select AH where D='""&amp;D89&amp;""'"",1))"),0.0)</f>
        <v>0</v>
      </c>
      <c r="V89" s="19">
        <f>IFERROR(__xludf.DUMMYFUNCTION("SUM(QUERY(Entregas_BD!D:AL,""select AI where D='""&amp;D89&amp;""'"",1))"),0.0)</f>
        <v>0</v>
      </c>
      <c r="W89" s="19">
        <f>IFERROR(__xludf.DUMMYFUNCTION("SUM(QUERY(Entregas_BD!D:AL,""select AJ where D='""&amp;D89&amp;""'"",1))"),0.0)</f>
        <v>0</v>
      </c>
      <c r="X89" s="19">
        <f>IFERROR(__xludf.DUMMYFUNCTION("SUM(QUERY(Entregas_BD!D:AL,""select AL where D='""&amp;D89&amp;""'"",1))"),0.0)</f>
        <v>0</v>
      </c>
      <c r="Y89" s="19">
        <f>IFERROR(__xludf.DUMMYFUNCTION("SUM(QUERY(Entregas_BD!D:AL,""select AK where D='""&amp;D89&amp;""'"",1))"),0.0)</f>
        <v>0</v>
      </c>
      <c r="Z89" s="19">
        <v>0.0</v>
      </c>
      <c r="AA89" s="19">
        <v>0.0</v>
      </c>
      <c r="AB89" s="19">
        <v>0.0</v>
      </c>
      <c r="AC89" s="19">
        <v>0.0</v>
      </c>
      <c r="AD89" s="19">
        <v>0.0</v>
      </c>
      <c r="AE89" s="19">
        <v>0.0</v>
      </c>
      <c r="AF89" s="31" t="s">
        <v>308</v>
      </c>
      <c r="AG89" s="24">
        <f>IFERROR(__xludf.DUMMYFUNCTION("SUM(QUERY(Entregas_BD!D:W,""select U where D='""&amp;D89&amp;""'"",1))"),0.0)</f>
        <v>0</v>
      </c>
      <c r="AH89" s="24">
        <f>IFERROR(__xludf.DUMMYFUNCTION("SUM(QUERY(Entregas_BD!D:W,""select S where D='""&amp;D89&amp;""'"",1))"),0.0)</f>
        <v>0</v>
      </c>
      <c r="AI89" s="24">
        <f>IFERROR(__xludf.DUMMYFUNCTION("SUM(QUERY(Entregas_BD!D:W,""select T where D='""&amp;D89&amp;""'"",1))"),0.0)</f>
        <v>0</v>
      </c>
    </row>
    <row r="90" ht="19.5" customHeight="1">
      <c r="A90" s="7"/>
      <c r="B90" s="8"/>
      <c r="C90" s="9">
        <v>89.0</v>
      </c>
      <c r="D90" s="10" t="s">
        <v>309</v>
      </c>
      <c r="E90" s="10" t="s">
        <v>153</v>
      </c>
      <c r="F90" s="10" t="s">
        <v>310</v>
      </c>
      <c r="G90" s="10" t="s">
        <v>72</v>
      </c>
      <c r="H90" s="12" t="s">
        <v>40</v>
      </c>
      <c r="I90" s="11" t="s">
        <v>41</v>
      </c>
      <c r="J90" s="12"/>
      <c r="K90" s="12"/>
      <c r="L90" s="13"/>
      <c r="M90" s="14"/>
      <c r="N90" s="9">
        <f>IFERROR(__xludf.DUMMYFUNCTION("SUM(QUERY(Entregas_BD!D:L,""select G where D='""&amp;D90&amp;""'"",1))"),0.0)</f>
        <v>0</v>
      </c>
      <c r="O90" s="9">
        <f>IFERROR(__xludf.DUMMYFUNCTION("SUM(QUERY(Entregas_BD!D:L,""select H where D='""&amp;D90&amp;""'"",1))"),0.0)</f>
        <v>0</v>
      </c>
      <c r="P90" s="9">
        <f>IFERROR(__xludf.DUMMYFUNCTION("SUM(QUERY(Entregas_BD!D:L,""select I where D='""&amp;D90&amp;""'"",1))"),0.0)</f>
        <v>0</v>
      </c>
      <c r="Q90" s="9">
        <f>IFERROR(__xludf.DUMMYFUNCTION("SUM(QUERY(Entregas_BD!D:L,""select J where D='""&amp;D90&amp;""'"",1))"),0.0)</f>
        <v>0</v>
      </c>
      <c r="R90" s="15">
        <f>IFERROR(__xludf.DUMMYFUNCTION("SUM(QUERY(Entregas_BD!D:L,""select K where D='""&amp;D90&amp;""'"",1))"),0.0)</f>
        <v>0</v>
      </c>
      <c r="S90" s="15">
        <f>IFERROR(__xludf.DUMMYFUNCTION("SUM(QUERY(Entregas_BD!D:L,""select L where D='""&amp;D90&amp;""'"",1))"),0.0)</f>
        <v>0</v>
      </c>
      <c r="T90" s="9">
        <f>IFERROR(__xludf.DUMMYFUNCTION("SUM(QUERY(Entregas_BD!D:AL,""select AG where D='""&amp;D90&amp;""'"",1))"),0.0)</f>
        <v>0</v>
      </c>
      <c r="U90" s="9">
        <f>IFERROR(__xludf.DUMMYFUNCTION("SUM(QUERY(Entregas_BD!D:AL,""select AH where D='""&amp;D90&amp;""'"",1))"),0.0)</f>
        <v>0</v>
      </c>
      <c r="V90" s="9">
        <f>IFERROR(__xludf.DUMMYFUNCTION("SUM(QUERY(Entregas_BD!D:AL,""select AI where D='""&amp;D90&amp;""'"",1))"),0.0)</f>
        <v>0</v>
      </c>
      <c r="W90" s="9">
        <f>IFERROR(__xludf.DUMMYFUNCTION("SUM(QUERY(Entregas_BD!D:AL,""select AJ where D='""&amp;D90&amp;""'"",1))"),0.0)</f>
        <v>0</v>
      </c>
      <c r="X90" s="9">
        <f>IFERROR(__xludf.DUMMYFUNCTION("SUM(QUERY(Entregas_BD!D:AL,""select AL where D='""&amp;D90&amp;""'"",1))"),0.0)</f>
        <v>0</v>
      </c>
      <c r="Y90" s="9">
        <f>IFERROR(__xludf.DUMMYFUNCTION("SUM(QUERY(Entregas_BD!D:AL,""select AK where D='""&amp;D90&amp;""'"",1))"),0.0)</f>
        <v>0</v>
      </c>
      <c r="Z90" s="9">
        <v>0.0</v>
      </c>
      <c r="AA90" s="9">
        <v>0.0</v>
      </c>
      <c r="AB90" s="9">
        <v>0.0</v>
      </c>
      <c r="AC90" s="9">
        <v>0.0</v>
      </c>
      <c r="AD90" s="9">
        <v>0.0</v>
      </c>
      <c r="AE90" s="9">
        <v>0.0</v>
      </c>
      <c r="AF90" s="32" t="s">
        <v>311</v>
      </c>
      <c r="AG90" s="15">
        <f>IFERROR(__xludf.DUMMYFUNCTION("SUM(QUERY(Entregas_BD!D:W,""select U where D='""&amp;D90&amp;""'"",1))"),0.0)</f>
        <v>0</v>
      </c>
      <c r="AH90" s="15">
        <f>IFERROR(__xludf.DUMMYFUNCTION("SUM(QUERY(Entregas_BD!D:W,""select S where D='""&amp;D90&amp;""'"",1))"),0.0)</f>
        <v>0</v>
      </c>
      <c r="AI90" s="15">
        <f>IFERROR(__xludf.DUMMYFUNCTION("SUM(QUERY(Entregas_BD!D:W,""select T where D='""&amp;D90&amp;""'"",1))"),0.0)</f>
        <v>0</v>
      </c>
    </row>
    <row r="91" ht="19.5" customHeight="1">
      <c r="A91" s="28"/>
      <c r="B91" s="29"/>
      <c r="C91" s="19">
        <v>90.0</v>
      </c>
      <c r="D91" s="20" t="s">
        <v>312</v>
      </c>
      <c r="E91" s="20" t="s">
        <v>58</v>
      </c>
      <c r="F91" s="20" t="s">
        <v>45</v>
      </c>
      <c r="G91" s="20" t="s">
        <v>313</v>
      </c>
      <c r="H91" s="19" t="s">
        <v>69</v>
      </c>
      <c r="I91" s="21" t="s">
        <v>41</v>
      </c>
      <c r="J91" s="19"/>
      <c r="K91" s="22"/>
      <c r="L91" s="23"/>
      <c r="M91" s="22"/>
      <c r="N91" s="19">
        <f>IFERROR(__xludf.DUMMYFUNCTION("SUM(QUERY(Entregas_BD!D:L,""select G where D='""&amp;D91&amp;""'"",1))"),0.0)</f>
        <v>0</v>
      </c>
      <c r="O91" s="19">
        <f>IFERROR(__xludf.DUMMYFUNCTION("SUM(QUERY(Entregas_BD!D:L,""select H where D='""&amp;D91&amp;""'"",1))"),0.0)</f>
        <v>0</v>
      </c>
      <c r="P91" s="19">
        <f>IFERROR(__xludf.DUMMYFUNCTION("SUM(QUERY(Entregas_BD!D:L,""select I where D='""&amp;D91&amp;""'"",1))"),0.0)</f>
        <v>0</v>
      </c>
      <c r="Q91" s="19">
        <f>IFERROR(__xludf.DUMMYFUNCTION("SUM(QUERY(Entregas_BD!D:L,""select J where D='""&amp;D91&amp;""'"",1))"),0.0)</f>
        <v>0</v>
      </c>
      <c r="R91" s="24">
        <f>IFERROR(__xludf.DUMMYFUNCTION("SUM(QUERY(Entregas_BD!D:L,""select K where D='""&amp;D91&amp;""'"",1))"),0.0)</f>
        <v>0</v>
      </c>
      <c r="S91" s="24">
        <f>IFERROR(__xludf.DUMMYFUNCTION("SUM(QUERY(Entregas_BD!D:L,""select L where D='""&amp;D91&amp;""'"",1))"),0.0)</f>
        <v>0</v>
      </c>
      <c r="T91" s="19">
        <f>IFERROR(__xludf.DUMMYFUNCTION("SUM(QUERY(Entregas_BD!D:AL,""select AG where D='""&amp;D91&amp;""'"",1))"),100.0)</f>
        <v>100</v>
      </c>
      <c r="U91" s="19">
        <f>IFERROR(__xludf.DUMMYFUNCTION("SUM(QUERY(Entregas_BD!D:AL,""select AH where D='""&amp;D91&amp;""'"",1))"),0.0)</f>
        <v>0</v>
      </c>
      <c r="V91" s="19">
        <f>IFERROR(__xludf.DUMMYFUNCTION("SUM(QUERY(Entregas_BD!D:AL,""select AI where D='""&amp;D91&amp;""'"",1))"),0.0)</f>
        <v>0</v>
      </c>
      <c r="W91" s="19">
        <f>IFERROR(__xludf.DUMMYFUNCTION("SUM(QUERY(Entregas_BD!D:AL,""select AJ where D='""&amp;D91&amp;""'"",1))"),0.0)</f>
        <v>0</v>
      </c>
      <c r="X91" s="19">
        <f>IFERROR(__xludf.DUMMYFUNCTION("SUM(QUERY(Entregas_BD!D:AL,""select AL where D='""&amp;D91&amp;""'"",1))"),0.0)</f>
        <v>0</v>
      </c>
      <c r="Y91" s="19">
        <f>IFERROR(__xludf.DUMMYFUNCTION("SUM(QUERY(Entregas_BD!D:AL,""select AK where D='""&amp;D91&amp;""'"",1))"),0.0)</f>
        <v>0</v>
      </c>
      <c r="Z91" s="19">
        <v>-100.0</v>
      </c>
      <c r="AA91" s="19">
        <v>0.0</v>
      </c>
      <c r="AB91" s="19">
        <v>0.0</v>
      </c>
      <c r="AC91" s="19">
        <v>0.0</v>
      </c>
      <c r="AD91" s="19">
        <v>0.0</v>
      </c>
      <c r="AE91" s="19">
        <v>0.0</v>
      </c>
      <c r="AF91" s="31" t="s">
        <v>314</v>
      </c>
      <c r="AG91" s="24">
        <f>IFERROR(__xludf.DUMMYFUNCTION("SUM(QUERY(Entregas_BD!D:W,""select U where D='""&amp;D91&amp;""'"",1))"),0.0)</f>
        <v>0</v>
      </c>
      <c r="AH91" s="24">
        <f>IFERROR(__xludf.DUMMYFUNCTION("SUM(QUERY(Entregas_BD!D:W,""select S where D='""&amp;D91&amp;""'"",1))"),0.0)</f>
        <v>0</v>
      </c>
      <c r="AI91" s="24">
        <f>IFERROR(__xludf.DUMMYFUNCTION("SUM(QUERY(Entregas_BD!D:W,""select T where D='""&amp;D91&amp;""'"",1))"),0.0)</f>
        <v>0</v>
      </c>
    </row>
    <row r="92" ht="19.5" customHeight="1">
      <c r="A92" s="26"/>
      <c r="B92" s="8"/>
      <c r="C92" s="9">
        <v>91.0</v>
      </c>
      <c r="D92" s="10" t="s">
        <v>315</v>
      </c>
      <c r="E92" s="10" t="s">
        <v>197</v>
      </c>
      <c r="F92" s="10" t="s">
        <v>316</v>
      </c>
      <c r="G92" s="10" t="s">
        <v>212</v>
      </c>
      <c r="H92" s="9" t="s">
        <v>40</v>
      </c>
      <c r="I92" s="11" t="s">
        <v>41</v>
      </c>
      <c r="J92" s="12"/>
      <c r="K92" s="12"/>
      <c r="L92" s="13"/>
      <c r="M92" s="14"/>
      <c r="N92" s="9">
        <f>IFERROR(__xludf.DUMMYFUNCTION("SUM(QUERY(Entregas_BD!D:L,""select G where D='""&amp;D92&amp;""'"",1))"),0.0)</f>
        <v>0</v>
      </c>
      <c r="O92" s="9">
        <f>IFERROR(__xludf.DUMMYFUNCTION("SUM(QUERY(Entregas_BD!D:L,""select H where D='""&amp;D92&amp;""'"",1))"),0.0)</f>
        <v>0</v>
      </c>
      <c r="P92" s="9">
        <f>IFERROR(__xludf.DUMMYFUNCTION("SUM(QUERY(Entregas_BD!D:L,""select I where D='""&amp;D92&amp;""'"",1))"),0.0)</f>
        <v>0</v>
      </c>
      <c r="Q92" s="9">
        <f>IFERROR(__xludf.DUMMYFUNCTION("SUM(QUERY(Entregas_BD!D:L,""select J where D='""&amp;D92&amp;""'"",1))"),0.0)</f>
        <v>0</v>
      </c>
      <c r="R92" s="15">
        <f>IFERROR(__xludf.DUMMYFUNCTION("SUM(QUERY(Entregas_BD!D:L,""select K where D='""&amp;D92&amp;""'"",1))"),0.0)</f>
        <v>0</v>
      </c>
      <c r="S92" s="15">
        <f>IFERROR(__xludf.DUMMYFUNCTION("SUM(QUERY(Entregas_BD!D:L,""select L where D='""&amp;D92&amp;""'"",1))"),0.0)</f>
        <v>0</v>
      </c>
      <c r="T92" s="9">
        <f>IFERROR(__xludf.DUMMYFUNCTION("SUM(QUERY(Entregas_BD!D:AL,""select AG where D='""&amp;D92&amp;""'"",1))"),0.0)</f>
        <v>0</v>
      </c>
      <c r="U92" s="9">
        <f>IFERROR(__xludf.DUMMYFUNCTION("SUM(QUERY(Entregas_BD!D:AL,""select AH where D='""&amp;D92&amp;""'"",1))"),0.0)</f>
        <v>0</v>
      </c>
      <c r="V92" s="9">
        <f>IFERROR(__xludf.DUMMYFUNCTION("SUM(QUERY(Entregas_BD!D:AL,""select AI where D='""&amp;D92&amp;""'"",1))"),0.0)</f>
        <v>0</v>
      </c>
      <c r="W92" s="9">
        <f>IFERROR(__xludf.DUMMYFUNCTION("SUM(QUERY(Entregas_BD!D:AL,""select AJ where D='""&amp;D92&amp;""'"",1))"),0.0)</f>
        <v>0</v>
      </c>
      <c r="X92" s="9">
        <f>IFERROR(__xludf.DUMMYFUNCTION("SUM(QUERY(Entregas_BD!D:AL,""select AL where D='""&amp;D92&amp;""'"",1))"),0.0)</f>
        <v>0</v>
      </c>
      <c r="Y92" s="9">
        <f>IFERROR(__xludf.DUMMYFUNCTION("SUM(QUERY(Entregas_BD!D:AL,""select AK where D='""&amp;D92&amp;""'"",1))"),0.0)</f>
        <v>0</v>
      </c>
      <c r="Z92" s="9">
        <v>0.0</v>
      </c>
      <c r="AA92" s="9">
        <v>0.0</v>
      </c>
      <c r="AB92" s="9">
        <v>0.0</v>
      </c>
      <c r="AC92" s="9">
        <v>0.0</v>
      </c>
      <c r="AD92" s="9">
        <v>0.0</v>
      </c>
      <c r="AE92" s="9">
        <v>0.0</v>
      </c>
      <c r="AF92" s="16" t="s">
        <v>317</v>
      </c>
      <c r="AG92" s="15">
        <f>IFERROR(__xludf.DUMMYFUNCTION("SUM(QUERY(Entregas_BD!D:W,""select U where D='""&amp;D92&amp;""'"",1))"),0.0)</f>
        <v>0</v>
      </c>
      <c r="AH92" s="15">
        <f>IFERROR(__xludf.DUMMYFUNCTION("SUM(QUERY(Entregas_BD!D:W,""select S where D='""&amp;D92&amp;""'"",1))"),0.0)</f>
        <v>0</v>
      </c>
      <c r="AI92" s="15">
        <f>IFERROR(__xludf.DUMMYFUNCTION("SUM(QUERY(Entregas_BD!D:W,""select T where D='""&amp;D92&amp;""'"",1))"),0.0)</f>
        <v>0</v>
      </c>
    </row>
    <row r="93" ht="19.5" customHeight="1">
      <c r="A93" s="28"/>
      <c r="B93" s="29"/>
      <c r="C93" s="19">
        <v>92.0</v>
      </c>
      <c r="D93" s="20" t="s">
        <v>318</v>
      </c>
      <c r="E93" s="20" t="s">
        <v>63</v>
      </c>
      <c r="F93" s="20" t="s">
        <v>319</v>
      </c>
      <c r="G93" s="20" t="s">
        <v>320</v>
      </c>
      <c r="H93" s="19" t="s">
        <v>69</v>
      </c>
      <c r="I93" s="21" t="s">
        <v>41</v>
      </c>
      <c r="J93" s="22"/>
      <c r="K93" s="22"/>
      <c r="L93" s="23"/>
      <c r="M93" s="22"/>
      <c r="N93" s="19">
        <f>IFERROR(__xludf.DUMMYFUNCTION("SUM(QUERY(Entregas_BD!D:L,""select G where D='""&amp;D93&amp;""'"",1))"),0.0)</f>
        <v>0</v>
      </c>
      <c r="O93" s="19">
        <f>IFERROR(__xludf.DUMMYFUNCTION("SUM(QUERY(Entregas_BD!D:L,""select H where D='""&amp;D93&amp;""'"",1))"),0.0)</f>
        <v>0</v>
      </c>
      <c r="P93" s="19">
        <f>IFERROR(__xludf.DUMMYFUNCTION("SUM(QUERY(Entregas_BD!D:L,""select I where D='""&amp;D93&amp;""'"",1))"),0.0)</f>
        <v>0</v>
      </c>
      <c r="Q93" s="19">
        <f>IFERROR(__xludf.DUMMYFUNCTION("SUM(QUERY(Entregas_BD!D:L,""select J where D='""&amp;D93&amp;""'"",1))"),0.0)</f>
        <v>0</v>
      </c>
      <c r="R93" s="24">
        <f>IFERROR(__xludf.DUMMYFUNCTION("SUM(QUERY(Entregas_BD!D:L,""select K where D='""&amp;D93&amp;""'"",1))"),0.0)</f>
        <v>0</v>
      </c>
      <c r="S93" s="24">
        <f>IFERROR(__xludf.DUMMYFUNCTION("SUM(QUERY(Entregas_BD!D:L,""select L where D='""&amp;D93&amp;""'"",1))"),0.0)</f>
        <v>0</v>
      </c>
      <c r="T93" s="19">
        <f>IFERROR(__xludf.DUMMYFUNCTION("SUM(QUERY(Entregas_BD!D:AL,""select AG where D='""&amp;D93&amp;""'"",1))"),0.0)</f>
        <v>0</v>
      </c>
      <c r="U93" s="19">
        <f>IFERROR(__xludf.DUMMYFUNCTION("SUM(QUERY(Entregas_BD!D:AL,""select AH where D='""&amp;D93&amp;""'"",1))"),0.0)</f>
        <v>0</v>
      </c>
      <c r="V93" s="19">
        <f>IFERROR(__xludf.DUMMYFUNCTION("SUM(QUERY(Entregas_BD!D:AL,""select AI where D='""&amp;D93&amp;""'"",1))"),0.0)</f>
        <v>0</v>
      </c>
      <c r="W93" s="19">
        <f>IFERROR(__xludf.DUMMYFUNCTION("SUM(QUERY(Entregas_BD!D:AL,""select AJ where D='""&amp;D93&amp;""'"",1))"),0.0)</f>
        <v>0</v>
      </c>
      <c r="X93" s="19">
        <f>IFERROR(__xludf.DUMMYFUNCTION("SUM(QUERY(Entregas_BD!D:AL,""select AL where D='""&amp;D93&amp;""'"",1))"),0.0)</f>
        <v>0</v>
      </c>
      <c r="Y93" s="19">
        <f>IFERROR(__xludf.DUMMYFUNCTION("SUM(QUERY(Entregas_BD!D:AL,""select AK where D='""&amp;D93&amp;""'"",1))"),0.0)</f>
        <v>0</v>
      </c>
      <c r="Z93" s="19">
        <v>0.0</v>
      </c>
      <c r="AA93" s="19">
        <v>0.0</v>
      </c>
      <c r="AB93" s="19">
        <v>0.0</v>
      </c>
      <c r="AC93" s="19">
        <v>0.0</v>
      </c>
      <c r="AD93" s="19">
        <v>0.0</v>
      </c>
      <c r="AE93" s="19">
        <v>0.0</v>
      </c>
      <c r="AF93" s="31" t="s">
        <v>321</v>
      </c>
      <c r="AG93" s="24">
        <f>IFERROR(__xludf.DUMMYFUNCTION("SUM(QUERY(Entregas_BD!D:W,""select U where D='""&amp;D93&amp;""'"",1))"),0.0)</f>
        <v>0</v>
      </c>
      <c r="AH93" s="24">
        <f>IFERROR(__xludf.DUMMYFUNCTION("SUM(QUERY(Entregas_BD!D:W,""select S where D='""&amp;D93&amp;""'"",1))"),0.0)</f>
        <v>0</v>
      </c>
      <c r="AI93" s="24">
        <f>IFERROR(__xludf.DUMMYFUNCTION("SUM(QUERY(Entregas_BD!D:W,""select T where D='""&amp;D93&amp;""'"",1))"),0.0)</f>
        <v>0</v>
      </c>
    </row>
    <row r="94" ht="19.5" customHeight="1">
      <c r="A94" s="7"/>
      <c r="B94" s="8"/>
      <c r="C94" s="9">
        <v>93.0</v>
      </c>
      <c r="D94" s="10" t="s">
        <v>322</v>
      </c>
      <c r="E94" s="10" t="s">
        <v>63</v>
      </c>
      <c r="F94" s="10" t="s">
        <v>319</v>
      </c>
      <c r="G94" s="10" t="s">
        <v>320</v>
      </c>
      <c r="H94" s="9" t="s">
        <v>69</v>
      </c>
      <c r="I94" s="11" t="s">
        <v>41</v>
      </c>
      <c r="J94" s="12"/>
      <c r="K94" s="12"/>
      <c r="L94" s="13"/>
      <c r="M94" s="12"/>
      <c r="N94" s="9">
        <f>IFERROR(__xludf.DUMMYFUNCTION("SUM(QUERY(Entregas_BD!D:L,""select G where D='""&amp;D94&amp;""'"",1))"),0.0)</f>
        <v>0</v>
      </c>
      <c r="O94" s="9">
        <f>IFERROR(__xludf.DUMMYFUNCTION("SUM(QUERY(Entregas_BD!D:L,""select H where D='""&amp;D94&amp;""'"",1))"),0.0)</f>
        <v>0</v>
      </c>
      <c r="P94" s="9">
        <f>IFERROR(__xludf.DUMMYFUNCTION("SUM(QUERY(Entregas_BD!D:L,""select I where D='""&amp;D94&amp;""'"",1))"),0.0)</f>
        <v>0</v>
      </c>
      <c r="Q94" s="9">
        <f>IFERROR(__xludf.DUMMYFUNCTION("SUM(QUERY(Entregas_BD!D:L,""select J where D='""&amp;D94&amp;""'"",1))"),0.0)</f>
        <v>0</v>
      </c>
      <c r="R94" s="15">
        <f>IFERROR(__xludf.DUMMYFUNCTION("SUM(QUERY(Entregas_BD!D:L,""select K where D='""&amp;D94&amp;""'"",1))"),0.0)</f>
        <v>0</v>
      </c>
      <c r="S94" s="15">
        <f>IFERROR(__xludf.DUMMYFUNCTION("SUM(QUERY(Entregas_BD!D:L,""select L where D='""&amp;D94&amp;""'"",1))"),0.0)</f>
        <v>0</v>
      </c>
      <c r="T94" s="9">
        <f>IFERROR(__xludf.DUMMYFUNCTION("SUM(QUERY(Entregas_BD!D:AL,""select AG where D='""&amp;D94&amp;""'"",1))"),0.0)</f>
        <v>0</v>
      </c>
      <c r="U94" s="9">
        <f>IFERROR(__xludf.DUMMYFUNCTION("SUM(QUERY(Entregas_BD!D:AL,""select AH where D='""&amp;D94&amp;""'"",1))"),0.0)</f>
        <v>0</v>
      </c>
      <c r="V94" s="9">
        <f>IFERROR(__xludf.DUMMYFUNCTION("SUM(QUERY(Entregas_BD!D:AL,""select AI where D='""&amp;D94&amp;""'"",1))"),0.0)</f>
        <v>0</v>
      </c>
      <c r="W94" s="9">
        <f>IFERROR(__xludf.DUMMYFUNCTION("SUM(QUERY(Entregas_BD!D:AL,""select AJ where D='""&amp;D94&amp;""'"",1))"),0.0)</f>
        <v>0</v>
      </c>
      <c r="X94" s="9">
        <f>IFERROR(__xludf.DUMMYFUNCTION("SUM(QUERY(Entregas_BD!D:AL,""select AL where D='""&amp;D94&amp;""'"",1))"),0.0)</f>
        <v>0</v>
      </c>
      <c r="Y94" s="9">
        <f>IFERROR(__xludf.DUMMYFUNCTION("SUM(QUERY(Entregas_BD!D:AL,""select AK where D='""&amp;D94&amp;""'"",1))"),0.0)</f>
        <v>0</v>
      </c>
      <c r="Z94" s="9">
        <v>0.0</v>
      </c>
      <c r="AA94" s="9">
        <v>0.0</v>
      </c>
      <c r="AB94" s="9">
        <v>0.0</v>
      </c>
      <c r="AC94" s="9">
        <v>0.0</v>
      </c>
      <c r="AD94" s="9">
        <v>0.0</v>
      </c>
      <c r="AE94" s="9">
        <v>0.0</v>
      </c>
      <c r="AF94" s="32" t="s">
        <v>321</v>
      </c>
      <c r="AG94" s="15">
        <f>IFERROR(__xludf.DUMMYFUNCTION("SUM(QUERY(Entregas_BD!D:W,""select U where D='""&amp;D94&amp;""'"",1))"),0.0)</f>
        <v>0</v>
      </c>
      <c r="AH94" s="15">
        <f>IFERROR(__xludf.DUMMYFUNCTION("SUM(QUERY(Entregas_BD!D:W,""select S where D='""&amp;D94&amp;""'"",1))"),0.0)</f>
        <v>0</v>
      </c>
      <c r="AI94" s="15">
        <f>IFERROR(__xludf.DUMMYFUNCTION("SUM(QUERY(Entregas_BD!D:W,""select T where D='""&amp;D94&amp;""'"",1))"),0.0)</f>
        <v>0</v>
      </c>
    </row>
    <row r="95" ht="19.5" customHeight="1">
      <c r="A95" s="28"/>
      <c r="B95" s="29"/>
      <c r="C95" s="19">
        <v>94.0</v>
      </c>
      <c r="D95" s="38" t="s">
        <v>323</v>
      </c>
      <c r="E95" s="20" t="s">
        <v>324</v>
      </c>
      <c r="F95" s="20" t="s">
        <v>325</v>
      </c>
      <c r="G95" s="20" t="s">
        <v>149</v>
      </c>
      <c r="H95" s="19" t="s">
        <v>40</v>
      </c>
      <c r="I95" s="21" t="s">
        <v>41</v>
      </c>
      <c r="J95" s="22"/>
      <c r="K95" s="22"/>
      <c r="L95" s="23"/>
      <c r="M95" s="36"/>
      <c r="N95" s="19">
        <f>IFERROR(__xludf.DUMMYFUNCTION("SUM(QUERY(Entregas_BD!D:L,""select G where D='""&amp;D95&amp;""'"",1))"),0.0)</f>
        <v>0</v>
      </c>
      <c r="O95" s="19">
        <f>IFERROR(__xludf.DUMMYFUNCTION("SUM(QUERY(Entregas_BD!D:L,""select H where D='""&amp;D95&amp;""'"",1))"),0.0)</f>
        <v>0</v>
      </c>
      <c r="P95" s="19">
        <f>IFERROR(__xludf.DUMMYFUNCTION("SUM(QUERY(Entregas_BD!D:L,""select I where D='""&amp;D95&amp;""'"",1))"),0.0)</f>
        <v>0</v>
      </c>
      <c r="Q95" s="19">
        <f>IFERROR(__xludf.DUMMYFUNCTION("SUM(QUERY(Entregas_BD!D:L,""select J where D='""&amp;D95&amp;""'"",1))"),0.0)</f>
        <v>0</v>
      </c>
      <c r="R95" s="24">
        <f>IFERROR(__xludf.DUMMYFUNCTION("SUM(QUERY(Entregas_BD!D:L,""select K where D='""&amp;D95&amp;""'"",1))"),0.0)</f>
        <v>0</v>
      </c>
      <c r="S95" s="24">
        <f>IFERROR(__xludf.DUMMYFUNCTION("SUM(QUERY(Entregas_BD!D:L,""select L where D='""&amp;D95&amp;""'"",1))"),0.0)</f>
        <v>0</v>
      </c>
      <c r="T95" s="19">
        <f>IFERROR(__xludf.DUMMYFUNCTION("SUM(QUERY(Entregas_BD!D:AL,""select AG where D='""&amp;D95&amp;""'"",1))"),50.0)</f>
        <v>50</v>
      </c>
      <c r="U95" s="19">
        <f>IFERROR(__xludf.DUMMYFUNCTION("SUM(QUERY(Entregas_BD!D:AL,""select AH where D='""&amp;D95&amp;""'"",1))"),0.0)</f>
        <v>0</v>
      </c>
      <c r="V95" s="19">
        <f>IFERROR(__xludf.DUMMYFUNCTION("SUM(QUERY(Entregas_BD!D:AL,""select AI where D='""&amp;D95&amp;""'"",1))"),0.0)</f>
        <v>0</v>
      </c>
      <c r="W95" s="19">
        <f>IFERROR(__xludf.DUMMYFUNCTION("SUM(QUERY(Entregas_BD!D:AL,""select AJ where D='""&amp;D95&amp;""'"",1))"),0.0)</f>
        <v>0</v>
      </c>
      <c r="X95" s="19">
        <f>IFERROR(__xludf.DUMMYFUNCTION("SUM(QUERY(Entregas_BD!D:AL,""select AL where D='""&amp;D95&amp;""'"",1))"),0.0)</f>
        <v>0</v>
      </c>
      <c r="Y95" s="19">
        <f>IFERROR(__xludf.DUMMYFUNCTION("SUM(QUERY(Entregas_BD!D:AL,""select AK where D='""&amp;D95&amp;""'"",1))"),0.0)</f>
        <v>0</v>
      </c>
      <c r="Z95" s="19">
        <v>-50.0</v>
      </c>
      <c r="AA95" s="19">
        <v>0.0</v>
      </c>
      <c r="AB95" s="19">
        <v>0.0</v>
      </c>
      <c r="AC95" s="19">
        <v>0.0</v>
      </c>
      <c r="AD95" s="19">
        <v>0.0</v>
      </c>
      <c r="AE95" s="19">
        <v>0.0</v>
      </c>
      <c r="AF95" s="31" t="s">
        <v>326</v>
      </c>
      <c r="AG95" s="24">
        <f>IFERROR(__xludf.DUMMYFUNCTION("SUM(QUERY(Entregas_BD!D:W,""select U where D='""&amp;D95&amp;""'"",1))"),0.0)</f>
        <v>0</v>
      </c>
      <c r="AH95" s="24">
        <f>IFERROR(__xludf.DUMMYFUNCTION("SUM(QUERY(Entregas_BD!D:W,""select S where D='""&amp;D95&amp;""'"",1))"),0.0)</f>
        <v>0</v>
      </c>
      <c r="AI95" s="24">
        <f>IFERROR(__xludf.DUMMYFUNCTION("SUM(QUERY(Entregas_BD!D:W,""select T where D='""&amp;D95&amp;""'"",1))"),0.0)</f>
        <v>0</v>
      </c>
    </row>
    <row r="96" ht="19.5" customHeight="1">
      <c r="A96" s="7"/>
      <c r="B96" s="8"/>
      <c r="C96" s="9">
        <v>95.0</v>
      </c>
      <c r="D96" s="10" t="s">
        <v>327</v>
      </c>
      <c r="E96" s="10" t="s">
        <v>38</v>
      </c>
      <c r="F96" s="10" t="s">
        <v>328</v>
      </c>
      <c r="G96" s="10" t="s">
        <v>329</v>
      </c>
      <c r="H96" s="9" t="s">
        <v>40</v>
      </c>
      <c r="I96" s="11" t="s">
        <v>41</v>
      </c>
      <c r="J96" s="12"/>
      <c r="K96" s="12"/>
      <c r="L96" s="13"/>
      <c r="M96" s="14"/>
      <c r="N96" s="9">
        <f>IFERROR(__xludf.DUMMYFUNCTION("SUM(QUERY(Entregas_BD!D:L,""select G where D='""&amp;D96&amp;""'"",1))"),0.0)</f>
        <v>0</v>
      </c>
      <c r="O96" s="9">
        <f>IFERROR(__xludf.DUMMYFUNCTION("SUM(QUERY(Entregas_BD!D:L,""select H where D='""&amp;D96&amp;""'"",1))"),0.0)</f>
        <v>0</v>
      </c>
      <c r="P96" s="9">
        <f>IFERROR(__xludf.DUMMYFUNCTION("SUM(QUERY(Entregas_BD!D:L,""select I where D='""&amp;D96&amp;""'"",1))"),0.0)</f>
        <v>0</v>
      </c>
      <c r="Q96" s="9">
        <f>IFERROR(__xludf.DUMMYFUNCTION("SUM(QUERY(Entregas_BD!D:L,""select J where D='""&amp;D96&amp;""'"",1))"),0.0)</f>
        <v>0</v>
      </c>
      <c r="R96" s="15">
        <f>IFERROR(__xludf.DUMMYFUNCTION("SUM(QUERY(Entregas_BD!D:L,""select K where D='""&amp;D96&amp;""'"",1))"),0.0)</f>
        <v>0</v>
      </c>
      <c r="S96" s="15">
        <f>IFERROR(__xludf.DUMMYFUNCTION("SUM(QUERY(Entregas_BD!D:L,""select L where D='""&amp;D96&amp;""'"",1))"),0.0)</f>
        <v>0</v>
      </c>
      <c r="T96" s="9">
        <f>IFERROR(__xludf.DUMMYFUNCTION("SUM(QUERY(Entregas_BD!D:AL,""select AG where D='""&amp;D96&amp;""'"",1))"),50.0)</f>
        <v>50</v>
      </c>
      <c r="U96" s="9">
        <f>IFERROR(__xludf.DUMMYFUNCTION("SUM(QUERY(Entregas_BD!D:AL,""select AH where D='""&amp;D96&amp;""'"",1))"),0.0)</f>
        <v>0</v>
      </c>
      <c r="V96" s="9">
        <f>IFERROR(__xludf.DUMMYFUNCTION("SUM(QUERY(Entregas_BD!D:AL,""select AI where D='""&amp;D96&amp;""'"",1))"),0.0)</f>
        <v>0</v>
      </c>
      <c r="W96" s="9">
        <f>IFERROR(__xludf.DUMMYFUNCTION("SUM(QUERY(Entregas_BD!D:AL,""select AJ where D='""&amp;D96&amp;""'"",1))"),0.0)</f>
        <v>0</v>
      </c>
      <c r="X96" s="9">
        <f>IFERROR(__xludf.DUMMYFUNCTION("SUM(QUERY(Entregas_BD!D:AL,""select AL where D='""&amp;D96&amp;""'"",1))"),0.0)</f>
        <v>0</v>
      </c>
      <c r="Y96" s="9">
        <f>IFERROR(__xludf.DUMMYFUNCTION("SUM(QUERY(Entregas_BD!D:AL,""select AK where D='""&amp;D96&amp;""'"",1))"),0.0)</f>
        <v>0</v>
      </c>
      <c r="Z96" s="9">
        <v>-50.0</v>
      </c>
      <c r="AA96" s="9">
        <v>0.0</v>
      </c>
      <c r="AB96" s="9">
        <v>0.0</v>
      </c>
      <c r="AC96" s="9">
        <v>0.0</v>
      </c>
      <c r="AD96" s="9">
        <v>0.0</v>
      </c>
      <c r="AE96" s="9">
        <v>0.0</v>
      </c>
      <c r="AF96" s="32" t="s">
        <v>330</v>
      </c>
      <c r="AG96" s="15">
        <f>IFERROR(__xludf.DUMMYFUNCTION("SUM(QUERY(Entregas_BD!D:W,""select U where D='""&amp;D96&amp;""'"",1))"),0.0)</f>
        <v>0</v>
      </c>
      <c r="AH96" s="15">
        <f>IFERROR(__xludf.DUMMYFUNCTION("SUM(QUERY(Entregas_BD!D:W,""select S where D='""&amp;D96&amp;""'"",1))"),0.0)</f>
        <v>0</v>
      </c>
      <c r="AI96" s="15">
        <f>IFERROR(__xludf.DUMMYFUNCTION("SUM(QUERY(Entregas_BD!D:W,""select T where D='""&amp;D96&amp;""'"",1))"),0.0)</f>
        <v>0</v>
      </c>
    </row>
    <row r="97" ht="19.5" customHeight="1">
      <c r="A97" s="28"/>
      <c r="B97" s="29"/>
      <c r="C97" s="19">
        <v>96.0</v>
      </c>
      <c r="D97" s="20" t="s">
        <v>331</v>
      </c>
      <c r="E97" s="20" t="s">
        <v>153</v>
      </c>
      <c r="F97" s="20" t="s">
        <v>332</v>
      </c>
      <c r="G97" s="20" t="s">
        <v>333</v>
      </c>
      <c r="H97" s="22" t="s">
        <v>40</v>
      </c>
      <c r="I97" s="21" t="s">
        <v>41</v>
      </c>
      <c r="J97" s="22"/>
      <c r="K97" s="22"/>
      <c r="L97" s="23"/>
      <c r="M97" s="36"/>
      <c r="N97" s="19">
        <f>IFERROR(__xludf.DUMMYFUNCTION("SUM(QUERY(Entregas_BD!D:L,""select G where D='""&amp;D97&amp;""'"",1))"),0.0)</f>
        <v>0</v>
      </c>
      <c r="O97" s="19">
        <f>IFERROR(__xludf.DUMMYFUNCTION("SUM(QUERY(Entregas_BD!D:L,""select H where D='""&amp;D97&amp;""'"",1))"),0.0)</f>
        <v>0</v>
      </c>
      <c r="P97" s="19">
        <f>IFERROR(__xludf.DUMMYFUNCTION("SUM(QUERY(Entregas_BD!D:L,""select I where D='""&amp;D97&amp;""'"",1))"),0.0)</f>
        <v>0</v>
      </c>
      <c r="Q97" s="19">
        <f>IFERROR(__xludf.DUMMYFUNCTION("SUM(QUERY(Entregas_BD!D:L,""select J where D='""&amp;D97&amp;""'"",1))"),0.0)</f>
        <v>0</v>
      </c>
      <c r="R97" s="24">
        <f>IFERROR(__xludf.DUMMYFUNCTION("SUM(QUERY(Entregas_BD!D:L,""select K where D='""&amp;D97&amp;""'"",1))"),0.0)</f>
        <v>0</v>
      </c>
      <c r="S97" s="24">
        <f>IFERROR(__xludf.DUMMYFUNCTION("SUM(QUERY(Entregas_BD!D:L,""select L where D='""&amp;D97&amp;""'"",1))"),0.0)</f>
        <v>0</v>
      </c>
      <c r="T97" s="19">
        <f>IFERROR(__xludf.DUMMYFUNCTION("SUM(QUERY(Entregas_BD!D:AL,""select AG where D='""&amp;D97&amp;""'"",1))"),0.0)</f>
        <v>0</v>
      </c>
      <c r="U97" s="19">
        <f>IFERROR(__xludf.DUMMYFUNCTION("SUM(QUERY(Entregas_BD!D:AL,""select AH where D='""&amp;D97&amp;""'"",1))"),0.0)</f>
        <v>0</v>
      </c>
      <c r="V97" s="19">
        <f>IFERROR(__xludf.DUMMYFUNCTION("SUM(QUERY(Entregas_BD!D:AL,""select AI where D='""&amp;D97&amp;""'"",1))"),0.0)</f>
        <v>0</v>
      </c>
      <c r="W97" s="19">
        <f>IFERROR(__xludf.DUMMYFUNCTION("SUM(QUERY(Entregas_BD!D:AL,""select AJ where D='""&amp;D97&amp;""'"",1))"),0.0)</f>
        <v>0</v>
      </c>
      <c r="X97" s="19">
        <f>IFERROR(__xludf.DUMMYFUNCTION("SUM(QUERY(Entregas_BD!D:AL,""select AL where D='""&amp;D97&amp;""'"",1))"),0.0)</f>
        <v>0</v>
      </c>
      <c r="Y97" s="19">
        <f>IFERROR(__xludf.DUMMYFUNCTION("SUM(QUERY(Entregas_BD!D:AL,""select AK where D='""&amp;D97&amp;""'"",1))"),0.0)</f>
        <v>0</v>
      </c>
      <c r="Z97" s="19">
        <v>0.0</v>
      </c>
      <c r="AA97" s="19">
        <v>0.0</v>
      </c>
      <c r="AB97" s="19">
        <v>0.0</v>
      </c>
      <c r="AC97" s="19">
        <v>0.0</v>
      </c>
      <c r="AD97" s="19">
        <v>0.0</v>
      </c>
      <c r="AE97" s="19">
        <v>0.0</v>
      </c>
      <c r="AF97" s="31" t="s">
        <v>334</v>
      </c>
      <c r="AG97" s="24">
        <f>IFERROR(__xludf.DUMMYFUNCTION("SUM(QUERY(Entregas_BD!D:W,""select U where D='""&amp;D97&amp;""'"",1))"),0.0)</f>
        <v>0</v>
      </c>
      <c r="AH97" s="24">
        <f>IFERROR(__xludf.DUMMYFUNCTION("SUM(QUERY(Entregas_BD!D:W,""select S where D='""&amp;D97&amp;""'"",1))"),0.0)</f>
        <v>0</v>
      </c>
      <c r="AI97" s="24">
        <f>IFERROR(__xludf.DUMMYFUNCTION("SUM(QUERY(Entregas_BD!D:W,""select T where D='""&amp;D97&amp;""'"",1))"),0.0)</f>
        <v>0</v>
      </c>
    </row>
    <row r="98" ht="19.5" customHeight="1">
      <c r="A98" s="7"/>
      <c r="B98" s="8"/>
      <c r="C98" s="9">
        <v>97.0</v>
      </c>
      <c r="D98" s="10" t="s">
        <v>335</v>
      </c>
      <c r="E98" s="10" t="s">
        <v>58</v>
      </c>
      <c r="F98" s="10" t="s">
        <v>45</v>
      </c>
      <c r="G98" s="10" t="s">
        <v>112</v>
      </c>
      <c r="H98" s="9" t="s">
        <v>69</v>
      </c>
      <c r="I98" s="11" t="s">
        <v>41</v>
      </c>
      <c r="J98" s="9"/>
      <c r="K98" s="12"/>
      <c r="L98" s="13"/>
      <c r="M98" s="12"/>
      <c r="N98" s="9">
        <f>IFERROR(__xludf.DUMMYFUNCTION("SUM(QUERY(Entregas_BD!D:L,""select G where D='""&amp;D98&amp;""'"",1))"),0.0)</f>
        <v>0</v>
      </c>
      <c r="O98" s="9">
        <f>IFERROR(__xludf.DUMMYFUNCTION("SUM(QUERY(Entregas_BD!D:L,""select H where D='""&amp;D98&amp;""'"",1))"),0.0)</f>
        <v>0</v>
      </c>
      <c r="P98" s="9">
        <f>IFERROR(__xludf.DUMMYFUNCTION("SUM(QUERY(Entregas_BD!D:L,""select I where D='""&amp;D98&amp;""'"",1))"),0.0)</f>
        <v>0</v>
      </c>
      <c r="Q98" s="9">
        <f>IFERROR(__xludf.DUMMYFUNCTION("SUM(QUERY(Entregas_BD!D:L,""select J where D='""&amp;D98&amp;""'"",1))"),0.0)</f>
        <v>0</v>
      </c>
      <c r="R98" s="15">
        <f>IFERROR(__xludf.DUMMYFUNCTION("SUM(QUERY(Entregas_BD!D:L,""select K where D='""&amp;D98&amp;""'"",1))"),0.0)</f>
        <v>0</v>
      </c>
      <c r="S98" s="15">
        <f>IFERROR(__xludf.DUMMYFUNCTION("SUM(QUERY(Entregas_BD!D:L,""select L where D='""&amp;D98&amp;""'"",1))"),0.0)</f>
        <v>0</v>
      </c>
      <c r="T98" s="9">
        <f>IFERROR(__xludf.DUMMYFUNCTION("SUM(QUERY(Entregas_BD!D:AL,""select AG where D='""&amp;D98&amp;""'"",1))"),50.0)</f>
        <v>50</v>
      </c>
      <c r="U98" s="9">
        <f>IFERROR(__xludf.DUMMYFUNCTION("SUM(QUERY(Entregas_BD!D:AL,""select AH where D='""&amp;D98&amp;""'"",1))"),0.0)</f>
        <v>0</v>
      </c>
      <c r="V98" s="9">
        <f>IFERROR(__xludf.DUMMYFUNCTION("SUM(QUERY(Entregas_BD!D:AL,""select AI where D='""&amp;D98&amp;""'"",1))"),0.0)</f>
        <v>0</v>
      </c>
      <c r="W98" s="9">
        <f>IFERROR(__xludf.DUMMYFUNCTION("SUM(QUERY(Entregas_BD!D:AL,""select AJ where D='""&amp;D98&amp;""'"",1))"),0.0)</f>
        <v>0</v>
      </c>
      <c r="X98" s="9">
        <f>IFERROR(__xludf.DUMMYFUNCTION("SUM(QUERY(Entregas_BD!D:AL,""select AL where D='""&amp;D98&amp;""'"",1))"),0.0)</f>
        <v>0</v>
      </c>
      <c r="Y98" s="9">
        <f>IFERROR(__xludf.DUMMYFUNCTION("SUM(QUERY(Entregas_BD!D:AL,""select AK where D='""&amp;D98&amp;""'"",1))"),0.0)</f>
        <v>0</v>
      </c>
      <c r="Z98" s="9">
        <v>-50.0</v>
      </c>
      <c r="AA98" s="9">
        <v>0.0</v>
      </c>
      <c r="AB98" s="9">
        <v>0.0</v>
      </c>
      <c r="AC98" s="9">
        <v>0.0</v>
      </c>
      <c r="AD98" s="9">
        <v>0.0</v>
      </c>
      <c r="AE98" s="9">
        <v>0.0</v>
      </c>
      <c r="AF98" s="16" t="s">
        <v>336</v>
      </c>
      <c r="AG98" s="15">
        <f>IFERROR(__xludf.DUMMYFUNCTION("SUM(QUERY(Entregas_BD!D:W,""select U where D='""&amp;D98&amp;""'"",1))"),0.0)</f>
        <v>0</v>
      </c>
      <c r="AH98" s="15">
        <f>IFERROR(__xludf.DUMMYFUNCTION("SUM(QUERY(Entregas_BD!D:W,""select S where D='""&amp;D98&amp;""'"",1))"),0.0)</f>
        <v>0</v>
      </c>
      <c r="AI98" s="15">
        <f>IFERROR(__xludf.DUMMYFUNCTION("SUM(QUERY(Entregas_BD!D:W,""select T where D='""&amp;D98&amp;""'"",1))"),0.0)</f>
        <v>0</v>
      </c>
    </row>
    <row r="99" ht="19.5" customHeight="1">
      <c r="A99" s="28"/>
      <c r="B99" s="29"/>
      <c r="C99" s="19">
        <v>98.0</v>
      </c>
      <c r="D99" s="20" t="s">
        <v>337</v>
      </c>
      <c r="E99" s="20" t="s">
        <v>58</v>
      </c>
      <c r="F99" s="20" t="s">
        <v>45</v>
      </c>
      <c r="G99" s="20" t="s">
        <v>218</v>
      </c>
      <c r="H99" s="19" t="s">
        <v>69</v>
      </c>
      <c r="I99" s="21" t="s">
        <v>41</v>
      </c>
      <c r="J99" s="19"/>
      <c r="K99" s="22"/>
      <c r="L99" s="23"/>
      <c r="M99" s="22"/>
      <c r="N99" s="19">
        <f>IFERROR(__xludf.DUMMYFUNCTION("SUM(QUERY(Entregas_BD!D:L,""select G where D='""&amp;D99&amp;""'"",1))"),0.0)</f>
        <v>0</v>
      </c>
      <c r="O99" s="19">
        <f>IFERROR(__xludf.DUMMYFUNCTION("SUM(QUERY(Entregas_BD!D:L,""select H where D='""&amp;D99&amp;""'"",1))"),0.0)</f>
        <v>0</v>
      </c>
      <c r="P99" s="19">
        <f>IFERROR(__xludf.DUMMYFUNCTION("SUM(QUERY(Entregas_BD!D:L,""select I where D='""&amp;D99&amp;""'"",1))"),0.0)</f>
        <v>0</v>
      </c>
      <c r="Q99" s="19">
        <f>IFERROR(__xludf.DUMMYFUNCTION("SUM(QUERY(Entregas_BD!D:L,""select J where D='""&amp;D99&amp;""'"",1))"),0.0)</f>
        <v>0</v>
      </c>
      <c r="R99" s="24">
        <f>IFERROR(__xludf.DUMMYFUNCTION("SUM(QUERY(Entregas_BD!D:L,""select K where D='""&amp;D99&amp;""'"",1))"),0.0)</f>
        <v>0</v>
      </c>
      <c r="S99" s="24">
        <f>IFERROR(__xludf.DUMMYFUNCTION("SUM(QUERY(Entregas_BD!D:L,""select L where D='""&amp;D99&amp;""'"",1))"),0.0)</f>
        <v>0</v>
      </c>
      <c r="T99" s="19">
        <f>IFERROR(__xludf.DUMMYFUNCTION("SUM(QUERY(Entregas_BD!D:AL,""select AG where D='""&amp;D99&amp;""'"",1))"),140.0)</f>
        <v>140</v>
      </c>
      <c r="U99" s="19">
        <f>IFERROR(__xludf.DUMMYFUNCTION("SUM(QUERY(Entregas_BD!D:AL,""select AH where D='""&amp;D99&amp;""'"",1))"),0.0)</f>
        <v>0</v>
      </c>
      <c r="V99" s="19">
        <f>IFERROR(__xludf.DUMMYFUNCTION("SUM(QUERY(Entregas_BD!D:AL,""select AI where D='""&amp;D99&amp;""'"",1))"),0.0)</f>
        <v>0</v>
      </c>
      <c r="W99" s="19">
        <f>IFERROR(__xludf.DUMMYFUNCTION("SUM(QUERY(Entregas_BD!D:AL,""select AJ where D='""&amp;D99&amp;""'"",1))"),0.0)</f>
        <v>0</v>
      </c>
      <c r="X99" s="19">
        <f>IFERROR(__xludf.DUMMYFUNCTION("SUM(QUERY(Entregas_BD!D:AL,""select AL where D='""&amp;D99&amp;""'"",1))"),0.0)</f>
        <v>0</v>
      </c>
      <c r="Y99" s="19">
        <f>IFERROR(__xludf.DUMMYFUNCTION("SUM(QUERY(Entregas_BD!D:AL,""select AK where D='""&amp;D99&amp;""'"",1))"),0.0)</f>
        <v>0</v>
      </c>
      <c r="Z99" s="19">
        <v>-140.0</v>
      </c>
      <c r="AA99" s="19">
        <v>0.0</v>
      </c>
      <c r="AB99" s="19">
        <v>0.0</v>
      </c>
      <c r="AC99" s="19">
        <v>0.0</v>
      </c>
      <c r="AD99" s="19">
        <v>0.0</v>
      </c>
      <c r="AE99" s="19">
        <v>0.0</v>
      </c>
      <c r="AF99" s="25" t="s">
        <v>338</v>
      </c>
      <c r="AG99" s="24">
        <f>IFERROR(__xludf.DUMMYFUNCTION("SUM(QUERY(Entregas_BD!D:W,""select U where D='""&amp;D99&amp;""'"",1))"),0.0)</f>
        <v>0</v>
      </c>
      <c r="AH99" s="24">
        <f>IFERROR(__xludf.DUMMYFUNCTION("SUM(QUERY(Entregas_BD!D:W,""select S where D='""&amp;D99&amp;""'"",1))"),0.0)</f>
        <v>0</v>
      </c>
      <c r="AI99" s="24">
        <f>IFERROR(__xludf.DUMMYFUNCTION("SUM(QUERY(Entregas_BD!D:W,""select T where D='""&amp;D99&amp;""'"",1))"),0.0)</f>
        <v>0</v>
      </c>
    </row>
    <row r="100" ht="19.5" customHeight="1">
      <c r="A100" s="7"/>
      <c r="B100" s="8"/>
      <c r="C100" s="9">
        <v>99.0</v>
      </c>
      <c r="D100" s="37" t="s">
        <v>339</v>
      </c>
      <c r="E100" s="10" t="s">
        <v>324</v>
      </c>
      <c r="F100" s="10" t="s">
        <v>340</v>
      </c>
      <c r="G100" s="10" t="s">
        <v>341</v>
      </c>
      <c r="H100" s="9" t="s">
        <v>40</v>
      </c>
      <c r="I100" s="11" t="s">
        <v>41</v>
      </c>
      <c r="J100" s="12"/>
      <c r="K100" s="12"/>
      <c r="L100" s="13"/>
      <c r="M100" s="14"/>
      <c r="N100" s="9">
        <f>IFERROR(__xludf.DUMMYFUNCTION("SUM(QUERY(Entregas_BD!D:L,""select G where D='""&amp;D100&amp;""'"",1))"),0.0)</f>
        <v>0</v>
      </c>
      <c r="O100" s="9">
        <f>IFERROR(__xludf.DUMMYFUNCTION("SUM(QUERY(Entregas_BD!D:L,""select H where D='""&amp;D100&amp;""'"",1))"),0.0)</f>
        <v>0</v>
      </c>
      <c r="P100" s="9">
        <f>IFERROR(__xludf.DUMMYFUNCTION("SUM(QUERY(Entregas_BD!D:L,""select I where D='""&amp;D100&amp;""'"",1))"),0.0)</f>
        <v>0</v>
      </c>
      <c r="Q100" s="9">
        <f>IFERROR(__xludf.DUMMYFUNCTION("SUM(QUERY(Entregas_BD!D:L,""select J where D='""&amp;D100&amp;""'"",1))"),0.0)</f>
        <v>0</v>
      </c>
      <c r="R100" s="15">
        <f>IFERROR(__xludf.DUMMYFUNCTION("SUM(QUERY(Entregas_BD!D:L,""select K where D='""&amp;D100&amp;""'"",1))"),0.0)</f>
        <v>0</v>
      </c>
      <c r="S100" s="15">
        <f>IFERROR(__xludf.DUMMYFUNCTION("SUM(QUERY(Entregas_BD!D:L,""select L where D='""&amp;D100&amp;""'"",1))"),0.0)</f>
        <v>0</v>
      </c>
      <c r="T100" s="9">
        <f>IFERROR(__xludf.DUMMYFUNCTION("SUM(QUERY(Entregas_BD!D:AL,""select AG where D='""&amp;D100&amp;""'"",1))"),50.0)</f>
        <v>50</v>
      </c>
      <c r="U100" s="9">
        <f>IFERROR(__xludf.DUMMYFUNCTION("SUM(QUERY(Entregas_BD!D:AL,""select AH where D='""&amp;D100&amp;""'"",1))"),0.0)</f>
        <v>0</v>
      </c>
      <c r="V100" s="9">
        <f>IFERROR(__xludf.DUMMYFUNCTION("SUM(QUERY(Entregas_BD!D:AL,""select AI where D='""&amp;D100&amp;""'"",1))"),0.0)</f>
        <v>0</v>
      </c>
      <c r="W100" s="9">
        <f>IFERROR(__xludf.DUMMYFUNCTION("SUM(QUERY(Entregas_BD!D:AL,""select AJ where D='""&amp;D100&amp;""'"",1))"),0.0)</f>
        <v>0</v>
      </c>
      <c r="X100" s="9">
        <f>IFERROR(__xludf.DUMMYFUNCTION("SUM(QUERY(Entregas_BD!D:AL,""select AL where D='""&amp;D100&amp;""'"",1))"),0.0)</f>
        <v>0</v>
      </c>
      <c r="Y100" s="9">
        <f>IFERROR(__xludf.DUMMYFUNCTION("SUM(QUERY(Entregas_BD!D:AL,""select AK where D='""&amp;D100&amp;""'"",1))"),0.0)</f>
        <v>0</v>
      </c>
      <c r="Z100" s="9">
        <v>-50.0</v>
      </c>
      <c r="AA100" s="9">
        <v>0.0</v>
      </c>
      <c r="AB100" s="9">
        <v>0.0</v>
      </c>
      <c r="AC100" s="9">
        <v>0.0</v>
      </c>
      <c r="AD100" s="9">
        <v>0.0</v>
      </c>
      <c r="AE100" s="9">
        <v>0.0</v>
      </c>
      <c r="AF100" s="16" t="s">
        <v>342</v>
      </c>
      <c r="AG100" s="15">
        <f>IFERROR(__xludf.DUMMYFUNCTION("SUM(QUERY(Entregas_BD!D:W,""select U where D='""&amp;D100&amp;""'"",1))"),0.0)</f>
        <v>0</v>
      </c>
      <c r="AH100" s="15">
        <f>IFERROR(__xludf.DUMMYFUNCTION("SUM(QUERY(Entregas_BD!D:W,""select S where D='""&amp;D100&amp;""'"",1))"),0.0)</f>
        <v>0</v>
      </c>
      <c r="AI100" s="15">
        <f>IFERROR(__xludf.DUMMYFUNCTION("SUM(QUERY(Entregas_BD!D:W,""select T where D='""&amp;D100&amp;""'"",1))"),0.0)</f>
        <v>0</v>
      </c>
    </row>
    <row r="101" ht="19.5" customHeight="1">
      <c r="A101" s="17"/>
      <c r="B101" s="18"/>
      <c r="C101" s="19">
        <v>100.0</v>
      </c>
      <c r="D101" s="20" t="s">
        <v>343</v>
      </c>
      <c r="E101" s="20" t="s">
        <v>44</v>
      </c>
      <c r="F101" s="20" t="s">
        <v>45</v>
      </c>
      <c r="G101" s="20" t="s">
        <v>177</v>
      </c>
      <c r="H101" s="19" t="s">
        <v>69</v>
      </c>
      <c r="I101" s="21" t="s">
        <v>41</v>
      </c>
      <c r="J101" s="19"/>
      <c r="K101" s="22"/>
      <c r="L101" s="23"/>
      <c r="M101" s="22"/>
      <c r="N101" s="19">
        <f>IFERROR(__xludf.DUMMYFUNCTION("SUM(QUERY(Entregas_BD!D:L,""select G where D='""&amp;D101&amp;""'"",1))"),0.0)</f>
        <v>0</v>
      </c>
      <c r="O101" s="19">
        <f>IFERROR(__xludf.DUMMYFUNCTION("SUM(QUERY(Entregas_BD!D:L,""select H where D='""&amp;D101&amp;""'"",1))"),0.0)</f>
        <v>0</v>
      </c>
      <c r="P101" s="19">
        <f>IFERROR(__xludf.DUMMYFUNCTION("SUM(QUERY(Entregas_BD!D:L,""select I where D='""&amp;D101&amp;""'"",1))"),0.0)</f>
        <v>0</v>
      </c>
      <c r="Q101" s="19">
        <f>IFERROR(__xludf.DUMMYFUNCTION("SUM(QUERY(Entregas_BD!D:L,""select J where D='""&amp;D101&amp;""'"",1))"),0.0)</f>
        <v>0</v>
      </c>
      <c r="R101" s="24">
        <f>IFERROR(__xludf.DUMMYFUNCTION("SUM(QUERY(Entregas_BD!D:L,""select K where D='""&amp;D101&amp;""'"",1))"),0.0)</f>
        <v>0</v>
      </c>
      <c r="S101" s="24">
        <f>IFERROR(__xludf.DUMMYFUNCTION("SUM(QUERY(Entregas_BD!D:L,""select L where D='""&amp;D101&amp;""'"",1))"),0.0)</f>
        <v>0</v>
      </c>
      <c r="T101" s="19">
        <f>IFERROR(__xludf.DUMMYFUNCTION("SUM(QUERY(Entregas_BD!D:AL,""select AG where D='""&amp;D101&amp;""'"",1))"),0.0)</f>
        <v>0</v>
      </c>
      <c r="U101" s="19">
        <f>IFERROR(__xludf.DUMMYFUNCTION("SUM(QUERY(Entregas_BD!D:AL,""select AH where D='""&amp;D101&amp;""'"",1))"),0.0)</f>
        <v>0</v>
      </c>
      <c r="V101" s="19">
        <f>IFERROR(__xludf.DUMMYFUNCTION("SUM(QUERY(Entregas_BD!D:AL,""select AI where D='""&amp;D101&amp;""'"",1))"),0.0)</f>
        <v>0</v>
      </c>
      <c r="W101" s="19">
        <f>IFERROR(__xludf.DUMMYFUNCTION("SUM(QUERY(Entregas_BD!D:AL,""select AJ where D='""&amp;D101&amp;""'"",1))"),0.0)</f>
        <v>0</v>
      </c>
      <c r="X101" s="19">
        <f>IFERROR(__xludf.DUMMYFUNCTION("SUM(QUERY(Entregas_BD!D:AL,""select AL where D='""&amp;D101&amp;""'"",1))"),0.0)</f>
        <v>0</v>
      </c>
      <c r="Y101" s="19">
        <f>IFERROR(__xludf.DUMMYFUNCTION("SUM(QUERY(Entregas_BD!D:AL,""select AK where D='""&amp;D101&amp;""'"",1))"),0.0)</f>
        <v>0</v>
      </c>
      <c r="Z101" s="19">
        <v>0.0</v>
      </c>
      <c r="AA101" s="19">
        <v>0.0</v>
      </c>
      <c r="AB101" s="19">
        <v>0.0</v>
      </c>
      <c r="AC101" s="19">
        <v>0.0</v>
      </c>
      <c r="AD101" s="19">
        <v>0.0</v>
      </c>
      <c r="AE101" s="19">
        <v>0.0</v>
      </c>
      <c r="AF101" s="25" t="s">
        <v>344</v>
      </c>
      <c r="AG101" s="24">
        <f>IFERROR(__xludf.DUMMYFUNCTION("SUM(QUERY(Entregas_BD!D:W,""select U where D='""&amp;D101&amp;""'"",1))"),0.0)</f>
        <v>0</v>
      </c>
      <c r="AH101" s="24">
        <f>IFERROR(__xludf.DUMMYFUNCTION("SUM(QUERY(Entregas_BD!D:W,""select S where D='""&amp;D101&amp;""'"",1))"),0.0)</f>
        <v>0</v>
      </c>
      <c r="AI101" s="24">
        <f>IFERROR(__xludf.DUMMYFUNCTION("SUM(QUERY(Entregas_BD!D:W,""select T where D='""&amp;D101&amp;""'"",1))"),0.0)</f>
        <v>0</v>
      </c>
    </row>
    <row r="102" ht="19.5" customHeight="1">
      <c r="A102" s="26"/>
      <c r="B102" s="27"/>
      <c r="C102" s="9">
        <v>101.0</v>
      </c>
      <c r="D102" s="10" t="s">
        <v>345</v>
      </c>
      <c r="E102" s="10" t="s">
        <v>44</v>
      </c>
      <c r="F102" s="10" t="s">
        <v>45</v>
      </c>
      <c r="G102" s="10" t="s">
        <v>177</v>
      </c>
      <c r="H102" s="9" t="s">
        <v>69</v>
      </c>
      <c r="I102" s="11" t="s">
        <v>41</v>
      </c>
      <c r="J102" s="9"/>
      <c r="K102" s="12"/>
      <c r="L102" s="13"/>
      <c r="M102" s="12"/>
      <c r="N102" s="9">
        <f>IFERROR(__xludf.DUMMYFUNCTION("SUM(QUERY(Entregas_BD!D:L,""select G where D='""&amp;D102&amp;""'"",1))"),0.0)</f>
        <v>0</v>
      </c>
      <c r="O102" s="9">
        <f>IFERROR(__xludf.DUMMYFUNCTION("SUM(QUERY(Entregas_BD!D:L,""select H where D='""&amp;D102&amp;""'"",1))"),0.0)</f>
        <v>0</v>
      </c>
      <c r="P102" s="9">
        <f>IFERROR(__xludf.DUMMYFUNCTION("SUM(QUERY(Entregas_BD!D:L,""select I where D='""&amp;D102&amp;""'"",1))"),0.0)</f>
        <v>0</v>
      </c>
      <c r="Q102" s="9">
        <f>IFERROR(__xludf.DUMMYFUNCTION("SUM(QUERY(Entregas_BD!D:L,""select J where D='""&amp;D102&amp;""'"",1))"),0.0)</f>
        <v>0</v>
      </c>
      <c r="R102" s="15">
        <f>IFERROR(__xludf.DUMMYFUNCTION("SUM(QUERY(Entregas_BD!D:L,""select K where D='""&amp;D102&amp;""'"",1))"),0.0)</f>
        <v>0</v>
      </c>
      <c r="S102" s="15">
        <f>IFERROR(__xludf.DUMMYFUNCTION("SUM(QUERY(Entregas_BD!D:L,""select L where D='""&amp;D102&amp;""'"",1))"),0.0)</f>
        <v>0</v>
      </c>
      <c r="T102" s="9">
        <f>IFERROR(__xludf.DUMMYFUNCTION("SUM(QUERY(Entregas_BD!D:AL,""select AG where D='""&amp;D102&amp;""'"",1))"),185.0)</f>
        <v>185</v>
      </c>
      <c r="U102" s="9">
        <f>IFERROR(__xludf.DUMMYFUNCTION("SUM(QUERY(Entregas_BD!D:AL,""select AH where D='""&amp;D102&amp;""'"",1))"),0.0)</f>
        <v>0</v>
      </c>
      <c r="V102" s="9">
        <f>IFERROR(__xludf.DUMMYFUNCTION("SUM(QUERY(Entregas_BD!D:AL,""select AI where D='""&amp;D102&amp;""'"",1))"),0.0)</f>
        <v>0</v>
      </c>
      <c r="W102" s="9">
        <f>IFERROR(__xludf.DUMMYFUNCTION("SUM(QUERY(Entregas_BD!D:AL,""select AJ where D='""&amp;D102&amp;""'"",1))"),0.0)</f>
        <v>0</v>
      </c>
      <c r="X102" s="9">
        <f>IFERROR(__xludf.DUMMYFUNCTION("SUM(QUERY(Entregas_BD!D:AL,""select AL where D='""&amp;D102&amp;""'"",1))"),0.0)</f>
        <v>0</v>
      </c>
      <c r="Y102" s="9">
        <f>IFERROR(__xludf.DUMMYFUNCTION("SUM(QUERY(Entregas_BD!D:AL,""select AK where D='""&amp;D102&amp;""'"",1))"),0.0)</f>
        <v>0</v>
      </c>
      <c r="Z102" s="9">
        <v>-185.0</v>
      </c>
      <c r="AA102" s="9">
        <v>0.0</v>
      </c>
      <c r="AB102" s="9">
        <v>0.0</v>
      </c>
      <c r="AC102" s="9">
        <v>0.0</v>
      </c>
      <c r="AD102" s="9">
        <v>0.0</v>
      </c>
      <c r="AE102" s="9">
        <v>0.0</v>
      </c>
      <c r="AF102" s="16" t="s">
        <v>344</v>
      </c>
      <c r="AG102" s="15">
        <f>IFERROR(__xludf.DUMMYFUNCTION("SUM(QUERY(Entregas_BD!D:W,""select U where D='""&amp;D102&amp;""'"",1))"),0.0)</f>
        <v>0</v>
      </c>
      <c r="AH102" s="15">
        <f>IFERROR(__xludf.DUMMYFUNCTION("SUM(QUERY(Entregas_BD!D:W,""select S where D='""&amp;D102&amp;""'"",1))"),0.0)</f>
        <v>0</v>
      </c>
      <c r="AI102" s="15">
        <f>IFERROR(__xludf.DUMMYFUNCTION("SUM(QUERY(Entregas_BD!D:W,""select T where D='""&amp;D102&amp;""'"",1))"),0.0)</f>
        <v>0</v>
      </c>
    </row>
    <row r="103" ht="19.5" customHeight="1">
      <c r="A103" s="28"/>
      <c r="B103" s="29"/>
      <c r="C103" s="19">
        <v>102.0</v>
      </c>
      <c r="D103" s="20" t="s">
        <v>346</v>
      </c>
      <c r="E103" s="20" t="s">
        <v>54</v>
      </c>
      <c r="F103" s="20" t="s">
        <v>45</v>
      </c>
      <c r="G103" s="20" t="s">
        <v>347</v>
      </c>
      <c r="H103" s="19" t="s">
        <v>69</v>
      </c>
      <c r="I103" s="21" t="s">
        <v>41</v>
      </c>
      <c r="J103" s="22"/>
      <c r="K103" s="22"/>
      <c r="L103" s="39"/>
      <c r="M103" s="22"/>
      <c r="N103" s="19">
        <f>IFERROR(__xludf.DUMMYFUNCTION("SUM(QUERY(Entregas_BD!D:L,""select G where D='""&amp;D103&amp;""'"",1))"),0.0)</f>
        <v>0</v>
      </c>
      <c r="O103" s="19">
        <f>IFERROR(__xludf.DUMMYFUNCTION("SUM(QUERY(Entregas_BD!D:L,""select H where D='""&amp;D103&amp;""'"",1))"),0.0)</f>
        <v>0</v>
      </c>
      <c r="P103" s="19">
        <f>IFERROR(__xludf.DUMMYFUNCTION("SUM(QUERY(Entregas_BD!D:L,""select I where D='""&amp;D103&amp;""'"",1))"),0.0)</f>
        <v>0</v>
      </c>
      <c r="Q103" s="19">
        <f>IFERROR(__xludf.DUMMYFUNCTION("SUM(QUERY(Entregas_BD!D:L,""select J where D='""&amp;D103&amp;""'"",1))"),0.0)</f>
        <v>0</v>
      </c>
      <c r="R103" s="24">
        <f>IFERROR(__xludf.DUMMYFUNCTION("SUM(QUERY(Entregas_BD!D:L,""select K where D='""&amp;D103&amp;""'"",1))"),0.0)</f>
        <v>0</v>
      </c>
      <c r="S103" s="24">
        <f>IFERROR(__xludf.DUMMYFUNCTION("SUM(QUERY(Entregas_BD!D:L,""select L where D='""&amp;D103&amp;""'"",1))"),0.0)</f>
        <v>0</v>
      </c>
      <c r="T103" s="19">
        <f>IFERROR(__xludf.DUMMYFUNCTION("SUM(QUERY(Entregas_BD!D:AL,""select AG where D='""&amp;D103&amp;""'"",1))"),500.0)</f>
        <v>500</v>
      </c>
      <c r="U103" s="19">
        <f>IFERROR(__xludf.DUMMYFUNCTION("SUM(QUERY(Entregas_BD!D:AL,""select AH where D='""&amp;D103&amp;""'"",1))"),0.0)</f>
        <v>0</v>
      </c>
      <c r="V103" s="19">
        <f>IFERROR(__xludf.DUMMYFUNCTION("SUM(QUERY(Entregas_BD!D:AL,""select AI where D='""&amp;D103&amp;""'"",1))"),0.0)</f>
        <v>0</v>
      </c>
      <c r="W103" s="19">
        <f>IFERROR(__xludf.DUMMYFUNCTION("SUM(QUERY(Entregas_BD!D:AL,""select AJ where D='""&amp;D103&amp;""'"",1))"),0.0)</f>
        <v>0</v>
      </c>
      <c r="X103" s="19">
        <f>IFERROR(__xludf.DUMMYFUNCTION("SUM(QUERY(Entregas_BD!D:AL,""select AL where D='""&amp;D103&amp;""'"",1))"),0.0)</f>
        <v>0</v>
      </c>
      <c r="Y103" s="19">
        <f>IFERROR(__xludf.DUMMYFUNCTION("SUM(QUERY(Entregas_BD!D:AL,""select AK where D='""&amp;D103&amp;""'"",1))"),0.0)</f>
        <v>0</v>
      </c>
      <c r="Z103" s="19">
        <v>-500.0</v>
      </c>
      <c r="AA103" s="19">
        <v>0.0</v>
      </c>
      <c r="AB103" s="19">
        <v>0.0</v>
      </c>
      <c r="AC103" s="19">
        <v>0.0</v>
      </c>
      <c r="AD103" s="19">
        <v>0.0</v>
      </c>
      <c r="AE103" s="19">
        <v>0.0</v>
      </c>
      <c r="AF103" s="31" t="s">
        <v>348</v>
      </c>
      <c r="AG103" s="24">
        <f>IFERROR(__xludf.DUMMYFUNCTION("SUM(QUERY(Entregas_BD!D:W,""select U where D='""&amp;D103&amp;""'"",1))"),0.0)</f>
        <v>0</v>
      </c>
      <c r="AH103" s="24">
        <f>IFERROR(__xludf.DUMMYFUNCTION("SUM(QUERY(Entregas_BD!D:W,""select S where D='""&amp;D103&amp;""'"",1))"),0.0)</f>
        <v>0</v>
      </c>
      <c r="AI103" s="24">
        <f>IFERROR(__xludf.DUMMYFUNCTION("SUM(QUERY(Entregas_BD!D:W,""select T where D='""&amp;D103&amp;""'"",1))"),0.0)</f>
        <v>0</v>
      </c>
    </row>
    <row r="104" ht="19.5" customHeight="1">
      <c r="A104" s="26"/>
      <c r="B104" s="8"/>
      <c r="C104" s="9">
        <v>103.0</v>
      </c>
      <c r="D104" s="10" t="s">
        <v>349</v>
      </c>
      <c r="E104" s="10" t="s">
        <v>197</v>
      </c>
      <c r="F104" s="10" t="s">
        <v>45</v>
      </c>
      <c r="G104" s="10" t="s">
        <v>350</v>
      </c>
      <c r="H104" s="9" t="s">
        <v>40</v>
      </c>
      <c r="I104" s="11" t="s">
        <v>41</v>
      </c>
      <c r="J104" s="12"/>
      <c r="K104" s="12"/>
      <c r="L104" s="13"/>
      <c r="M104" s="14"/>
      <c r="N104" s="9">
        <f>IFERROR(__xludf.DUMMYFUNCTION("SUM(QUERY(Entregas_BD!D:L,""select G where D='""&amp;D104&amp;""'"",1))"),0.0)</f>
        <v>0</v>
      </c>
      <c r="O104" s="9">
        <f>IFERROR(__xludf.DUMMYFUNCTION("SUM(QUERY(Entregas_BD!D:L,""select H where D='""&amp;D104&amp;""'"",1))"),0.0)</f>
        <v>0</v>
      </c>
      <c r="P104" s="9">
        <f>IFERROR(__xludf.DUMMYFUNCTION("SUM(QUERY(Entregas_BD!D:L,""select I where D='""&amp;D104&amp;""'"",1))"),0.0)</f>
        <v>0</v>
      </c>
      <c r="Q104" s="9">
        <f>IFERROR(__xludf.DUMMYFUNCTION("SUM(QUERY(Entregas_BD!D:L,""select J where D='""&amp;D104&amp;""'"",1))"),0.0)</f>
        <v>0</v>
      </c>
      <c r="R104" s="15">
        <f>IFERROR(__xludf.DUMMYFUNCTION("SUM(QUERY(Entregas_BD!D:L,""select K where D='""&amp;D104&amp;""'"",1))"),0.0)</f>
        <v>0</v>
      </c>
      <c r="S104" s="15">
        <f>IFERROR(__xludf.DUMMYFUNCTION("SUM(QUERY(Entregas_BD!D:L,""select L where D='""&amp;D104&amp;""'"",1))"),0.0)</f>
        <v>0</v>
      </c>
      <c r="T104" s="9">
        <f>IFERROR(__xludf.DUMMYFUNCTION("SUM(QUERY(Entregas_BD!D:AL,""select AG where D='""&amp;D104&amp;""'"",1))"),300.0)</f>
        <v>300</v>
      </c>
      <c r="U104" s="9">
        <f>IFERROR(__xludf.DUMMYFUNCTION("SUM(QUERY(Entregas_BD!D:AL,""select AH where D='""&amp;D104&amp;""'"",1))"),0.0)</f>
        <v>0</v>
      </c>
      <c r="V104" s="9">
        <f>IFERROR(__xludf.DUMMYFUNCTION("SUM(QUERY(Entregas_BD!D:AL,""select AI where D='""&amp;D104&amp;""'"",1))"),0.0)</f>
        <v>0</v>
      </c>
      <c r="W104" s="9">
        <f>IFERROR(__xludf.DUMMYFUNCTION("SUM(QUERY(Entregas_BD!D:AL,""select AJ where D='""&amp;D104&amp;""'"",1))"),0.0)</f>
        <v>0</v>
      </c>
      <c r="X104" s="9">
        <f>IFERROR(__xludf.DUMMYFUNCTION("SUM(QUERY(Entregas_BD!D:AL,""select AL where D='""&amp;D104&amp;""'"",1))"),0.0)</f>
        <v>0</v>
      </c>
      <c r="Y104" s="9">
        <f>IFERROR(__xludf.DUMMYFUNCTION("SUM(QUERY(Entregas_BD!D:AL,""select AK where D='""&amp;D104&amp;""'"",1))"),0.0)</f>
        <v>0</v>
      </c>
      <c r="Z104" s="9">
        <v>-300.0</v>
      </c>
      <c r="AA104" s="9">
        <v>0.0</v>
      </c>
      <c r="AB104" s="9">
        <v>0.0</v>
      </c>
      <c r="AC104" s="9">
        <v>0.0</v>
      </c>
      <c r="AD104" s="9">
        <v>0.0</v>
      </c>
      <c r="AE104" s="9">
        <v>0.0</v>
      </c>
      <c r="AF104" s="16" t="s">
        <v>351</v>
      </c>
      <c r="AG104" s="15">
        <f>IFERROR(__xludf.DUMMYFUNCTION("SUM(QUERY(Entregas_BD!D:W,""select U where D='""&amp;D104&amp;""'"",1))"),0.0)</f>
        <v>0</v>
      </c>
      <c r="AH104" s="15">
        <f>IFERROR(__xludf.DUMMYFUNCTION("SUM(QUERY(Entregas_BD!D:W,""select S where D='""&amp;D104&amp;""'"",1))"),0.0)</f>
        <v>0</v>
      </c>
      <c r="AI104" s="15">
        <f>IFERROR(__xludf.DUMMYFUNCTION("SUM(QUERY(Entregas_BD!D:W,""select T where D='""&amp;D104&amp;""'"",1))"),0.0)</f>
        <v>0</v>
      </c>
    </row>
    <row r="105" ht="19.5" customHeight="1">
      <c r="A105" s="28"/>
      <c r="B105" s="29"/>
      <c r="C105" s="19">
        <v>104.0</v>
      </c>
      <c r="D105" s="20" t="s">
        <v>352</v>
      </c>
      <c r="E105" s="20" t="s">
        <v>58</v>
      </c>
      <c r="F105" s="20" t="s">
        <v>45</v>
      </c>
      <c r="G105" s="20" t="s">
        <v>353</v>
      </c>
      <c r="H105" s="19" t="s">
        <v>69</v>
      </c>
      <c r="I105" s="21" t="s">
        <v>41</v>
      </c>
      <c r="J105" s="19"/>
      <c r="K105" s="22"/>
      <c r="L105" s="23"/>
      <c r="M105" s="22"/>
      <c r="N105" s="19">
        <f>IFERROR(__xludf.DUMMYFUNCTION("SUM(QUERY(Entregas_BD!D:L,""select G where D='""&amp;D105&amp;""'"",1))"),0.0)</f>
        <v>0</v>
      </c>
      <c r="O105" s="19">
        <f>IFERROR(__xludf.DUMMYFUNCTION("SUM(QUERY(Entregas_BD!D:L,""select H where D='""&amp;D105&amp;""'"",1))"),0.0)</f>
        <v>0</v>
      </c>
      <c r="P105" s="19">
        <f>IFERROR(__xludf.DUMMYFUNCTION("SUM(QUERY(Entregas_BD!D:L,""select I where D='""&amp;D105&amp;""'"",1))"),0.0)</f>
        <v>0</v>
      </c>
      <c r="Q105" s="19">
        <f>IFERROR(__xludf.DUMMYFUNCTION("SUM(QUERY(Entregas_BD!D:L,""select J where D='""&amp;D105&amp;""'"",1))"),0.0)</f>
        <v>0</v>
      </c>
      <c r="R105" s="24">
        <f>IFERROR(__xludf.DUMMYFUNCTION("SUM(QUERY(Entregas_BD!D:L,""select K where D='""&amp;D105&amp;""'"",1))"),0.0)</f>
        <v>0</v>
      </c>
      <c r="S105" s="24">
        <f>IFERROR(__xludf.DUMMYFUNCTION("SUM(QUERY(Entregas_BD!D:L,""select L where D='""&amp;D105&amp;""'"",1))"),0.0)</f>
        <v>0</v>
      </c>
      <c r="T105" s="19">
        <f>IFERROR(__xludf.DUMMYFUNCTION("SUM(QUERY(Entregas_BD!D:AL,""select AG where D='""&amp;D105&amp;""'"",1))"),50.0)</f>
        <v>50</v>
      </c>
      <c r="U105" s="19">
        <f>IFERROR(__xludf.DUMMYFUNCTION("SUM(QUERY(Entregas_BD!D:AL,""select AH where D='""&amp;D105&amp;""'"",1))"),0.0)</f>
        <v>0</v>
      </c>
      <c r="V105" s="19">
        <f>IFERROR(__xludf.DUMMYFUNCTION("SUM(QUERY(Entregas_BD!D:AL,""select AI where D='""&amp;D105&amp;""'"",1))"),0.0)</f>
        <v>0</v>
      </c>
      <c r="W105" s="19">
        <f>IFERROR(__xludf.DUMMYFUNCTION("SUM(QUERY(Entregas_BD!D:AL,""select AJ where D='""&amp;D105&amp;""'"",1))"),0.0)</f>
        <v>0</v>
      </c>
      <c r="X105" s="19">
        <f>IFERROR(__xludf.DUMMYFUNCTION("SUM(QUERY(Entregas_BD!D:AL,""select AL where D='""&amp;D105&amp;""'"",1))"),0.0)</f>
        <v>0</v>
      </c>
      <c r="Y105" s="19">
        <f>IFERROR(__xludf.DUMMYFUNCTION("SUM(QUERY(Entregas_BD!D:AL,""select AK where D='""&amp;D105&amp;""'"",1))"),0.0)</f>
        <v>0</v>
      </c>
      <c r="Z105" s="19">
        <v>-50.0</v>
      </c>
      <c r="AA105" s="19">
        <v>0.0</v>
      </c>
      <c r="AB105" s="19">
        <v>0.0</v>
      </c>
      <c r="AC105" s="19">
        <v>0.0</v>
      </c>
      <c r="AD105" s="19">
        <v>0.0</v>
      </c>
      <c r="AE105" s="19">
        <v>0.0</v>
      </c>
      <c r="AF105" s="25" t="s">
        <v>354</v>
      </c>
      <c r="AG105" s="24">
        <f>IFERROR(__xludf.DUMMYFUNCTION("SUM(QUERY(Entregas_BD!D:W,""select U where D='""&amp;D105&amp;""'"",1))"),0.0)</f>
        <v>0</v>
      </c>
      <c r="AH105" s="24">
        <f>IFERROR(__xludf.DUMMYFUNCTION("SUM(QUERY(Entregas_BD!D:W,""select S where D='""&amp;D105&amp;""'"",1))"),0.0)</f>
        <v>0</v>
      </c>
      <c r="AI105" s="24">
        <f>IFERROR(__xludf.DUMMYFUNCTION("SUM(QUERY(Entregas_BD!D:W,""select T where D='""&amp;D105&amp;""'"",1))"),0.0)</f>
        <v>0</v>
      </c>
    </row>
    <row r="106" ht="19.5" customHeight="1">
      <c r="A106" s="26"/>
      <c r="B106" s="27"/>
      <c r="C106" s="9">
        <v>105.0</v>
      </c>
      <c r="D106" s="10" t="s">
        <v>355</v>
      </c>
      <c r="E106" s="10" t="s">
        <v>44</v>
      </c>
      <c r="F106" s="10" t="s">
        <v>45</v>
      </c>
      <c r="G106" s="10" t="s">
        <v>356</v>
      </c>
      <c r="H106" s="9" t="s">
        <v>69</v>
      </c>
      <c r="I106" s="11" t="s">
        <v>41</v>
      </c>
      <c r="J106" s="9"/>
      <c r="K106" s="12"/>
      <c r="L106" s="13"/>
      <c r="M106" s="12"/>
      <c r="N106" s="9">
        <f>IFERROR(__xludf.DUMMYFUNCTION("SUM(QUERY(Entregas_BD!D:L,""select G where D='""&amp;D106&amp;""'"",1))"),0.0)</f>
        <v>0</v>
      </c>
      <c r="O106" s="9">
        <f>IFERROR(__xludf.DUMMYFUNCTION("SUM(QUERY(Entregas_BD!D:L,""select H where D='""&amp;D106&amp;""'"",1))"),0.0)</f>
        <v>0</v>
      </c>
      <c r="P106" s="9">
        <f>IFERROR(__xludf.DUMMYFUNCTION("SUM(QUERY(Entregas_BD!D:L,""select I where D='""&amp;D106&amp;""'"",1))"),0.0)</f>
        <v>0</v>
      </c>
      <c r="Q106" s="9">
        <f>IFERROR(__xludf.DUMMYFUNCTION("SUM(QUERY(Entregas_BD!D:L,""select J where D='""&amp;D106&amp;""'"",1))"),0.0)</f>
        <v>0</v>
      </c>
      <c r="R106" s="15">
        <f>IFERROR(__xludf.DUMMYFUNCTION("SUM(QUERY(Entregas_BD!D:L,""select K where D='""&amp;D106&amp;""'"",1))"),0.0)</f>
        <v>0</v>
      </c>
      <c r="S106" s="15">
        <f>IFERROR(__xludf.DUMMYFUNCTION("SUM(QUERY(Entregas_BD!D:L,""select L where D='""&amp;D106&amp;""'"",1))"),0.0)</f>
        <v>0</v>
      </c>
      <c r="T106" s="9">
        <f>IFERROR(__xludf.DUMMYFUNCTION("SUM(QUERY(Entregas_BD!D:AL,""select AG where D='""&amp;D106&amp;""'"",1))"),250.0)</f>
        <v>250</v>
      </c>
      <c r="U106" s="9">
        <f>IFERROR(__xludf.DUMMYFUNCTION("SUM(QUERY(Entregas_BD!D:AL,""select AH where D='""&amp;D106&amp;""'"",1))"),0.0)</f>
        <v>0</v>
      </c>
      <c r="V106" s="9">
        <f>IFERROR(__xludf.DUMMYFUNCTION("SUM(QUERY(Entregas_BD!D:AL,""select AI where D='""&amp;D106&amp;""'"",1))"),0.0)</f>
        <v>0</v>
      </c>
      <c r="W106" s="9">
        <f>IFERROR(__xludf.DUMMYFUNCTION("SUM(QUERY(Entregas_BD!D:AL,""select AJ where D='""&amp;D106&amp;""'"",1))"),0.0)</f>
        <v>0</v>
      </c>
      <c r="X106" s="9">
        <f>IFERROR(__xludf.DUMMYFUNCTION("SUM(QUERY(Entregas_BD!D:AL,""select AL where D='""&amp;D106&amp;""'"",1))"),0.0)</f>
        <v>0</v>
      </c>
      <c r="Y106" s="9">
        <f>IFERROR(__xludf.DUMMYFUNCTION("SUM(QUERY(Entregas_BD!D:AL,""select AK where D='""&amp;D106&amp;""'"",1))"),0.0)</f>
        <v>0</v>
      </c>
      <c r="Z106" s="9">
        <v>-250.0</v>
      </c>
      <c r="AA106" s="9">
        <v>0.0</v>
      </c>
      <c r="AB106" s="9">
        <v>0.0</v>
      </c>
      <c r="AC106" s="9">
        <v>0.0</v>
      </c>
      <c r="AD106" s="9">
        <v>0.0</v>
      </c>
      <c r="AE106" s="9">
        <v>0.0</v>
      </c>
      <c r="AF106" s="16" t="s">
        <v>357</v>
      </c>
      <c r="AG106" s="15">
        <f>IFERROR(__xludf.DUMMYFUNCTION("SUM(QUERY(Entregas_BD!D:W,""select U where D='""&amp;D106&amp;""'"",1))"),0.0)</f>
        <v>0</v>
      </c>
      <c r="AH106" s="15">
        <f>IFERROR(__xludf.DUMMYFUNCTION("SUM(QUERY(Entregas_BD!D:W,""select S where D='""&amp;D106&amp;""'"",1))"),0.0)</f>
        <v>0</v>
      </c>
      <c r="AI106" s="15">
        <f>IFERROR(__xludf.DUMMYFUNCTION("SUM(QUERY(Entregas_BD!D:W,""select T where D='""&amp;D106&amp;""'"",1))"),0.0)</f>
        <v>0</v>
      </c>
    </row>
    <row r="107" ht="19.5" customHeight="1">
      <c r="A107" s="17"/>
      <c r="B107" s="18"/>
      <c r="C107" s="19">
        <v>106.0</v>
      </c>
      <c r="D107" s="20" t="s">
        <v>358</v>
      </c>
      <c r="E107" s="20" t="s">
        <v>44</v>
      </c>
      <c r="F107" s="20" t="s">
        <v>45</v>
      </c>
      <c r="G107" s="20" t="s">
        <v>359</v>
      </c>
      <c r="H107" s="19" t="s">
        <v>69</v>
      </c>
      <c r="I107" s="21" t="s">
        <v>41</v>
      </c>
      <c r="J107" s="19"/>
      <c r="K107" s="22"/>
      <c r="L107" s="23"/>
      <c r="M107" s="22"/>
      <c r="N107" s="19">
        <f>IFERROR(__xludf.DUMMYFUNCTION("SUM(QUERY(Entregas_BD!D:L,""select G where D='""&amp;D107&amp;""'"",1))"),0.0)</f>
        <v>0</v>
      </c>
      <c r="O107" s="19">
        <f>IFERROR(__xludf.DUMMYFUNCTION("SUM(QUERY(Entregas_BD!D:L,""select H where D='""&amp;D107&amp;""'"",1))"),0.0)</f>
        <v>0</v>
      </c>
      <c r="P107" s="19">
        <f>IFERROR(__xludf.DUMMYFUNCTION("SUM(QUERY(Entregas_BD!D:L,""select I where D='""&amp;D107&amp;""'"",1))"),0.0)</f>
        <v>0</v>
      </c>
      <c r="Q107" s="19">
        <f>IFERROR(__xludf.DUMMYFUNCTION("SUM(QUERY(Entregas_BD!D:L,""select J where D='""&amp;D107&amp;""'"",1))"),0.0)</f>
        <v>0</v>
      </c>
      <c r="R107" s="24">
        <f>IFERROR(__xludf.DUMMYFUNCTION("SUM(QUERY(Entregas_BD!D:L,""select K where D='""&amp;D107&amp;""'"",1))"),0.0)</f>
        <v>0</v>
      </c>
      <c r="S107" s="24">
        <f>IFERROR(__xludf.DUMMYFUNCTION("SUM(QUERY(Entregas_BD!D:L,""select L where D='""&amp;D107&amp;""'"",1))"),0.0)</f>
        <v>0</v>
      </c>
      <c r="T107" s="19">
        <f>IFERROR(__xludf.DUMMYFUNCTION("SUM(QUERY(Entregas_BD!D:AL,""select AG where D='""&amp;D107&amp;""'"",1))"),50.0)</f>
        <v>50</v>
      </c>
      <c r="U107" s="19">
        <f>IFERROR(__xludf.DUMMYFUNCTION("SUM(QUERY(Entregas_BD!D:AL,""select AH where D='""&amp;D107&amp;""'"",1))"),0.0)</f>
        <v>0</v>
      </c>
      <c r="V107" s="19">
        <f>IFERROR(__xludf.DUMMYFUNCTION("SUM(QUERY(Entregas_BD!D:AL,""select AI where D='""&amp;D107&amp;""'"",1))"),0.0)</f>
        <v>0</v>
      </c>
      <c r="W107" s="19">
        <f>IFERROR(__xludf.DUMMYFUNCTION("SUM(QUERY(Entregas_BD!D:AL,""select AJ where D='""&amp;D107&amp;""'"",1))"),0.0)</f>
        <v>0</v>
      </c>
      <c r="X107" s="19">
        <f>IFERROR(__xludf.DUMMYFUNCTION("SUM(QUERY(Entregas_BD!D:AL,""select AL where D='""&amp;D107&amp;""'"",1))"),0.0)</f>
        <v>0</v>
      </c>
      <c r="Y107" s="19">
        <f>IFERROR(__xludf.DUMMYFUNCTION("SUM(QUERY(Entregas_BD!D:AL,""select AK where D='""&amp;D107&amp;""'"",1))"),0.0)</f>
        <v>0</v>
      </c>
      <c r="Z107" s="19">
        <v>-50.0</v>
      </c>
      <c r="AA107" s="19">
        <v>0.0</v>
      </c>
      <c r="AB107" s="19">
        <v>0.0</v>
      </c>
      <c r="AC107" s="19">
        <v>0.0</v>
      </c>
      <c r="AD107" s="19">
        <v>0.0</v>
      </c>
      <c r="AE107" s="19">
        <v>0.0</v>
      </c>
      <c r="AF107" s="25" t="s">
        <v>360</v>
      </c>
      <c r="AG107" s="24">
        <f>IFERROR(__xludf.DUMMYFUNCTION("SUM(QUERY(Entregas_BD!D:W,""select U where D='""&amp;D107&amp;""'"",1))"),0.0)</f>
        <v>0</v>
      </c>
      <c r="AH107" s="24">
        <f>IFERROR(__xludf.DUMMYFUNCTION("SUM(QUERY(Entregas_BD!D:W,""select S where D='""&amp;D107&amp;""'"",1))"),0.0)</f>
        <v>0</v>
      </c>
      <c r="AI107" s="24">
        <f>IFERROR(__xludf.DUMMYFUNCTION("SUM(QUERY(Entregas_BD!D:W,""select T where D='""&amp;D107&amp;""'"",1))"),0.0)</f>
        <v>0</v>
      </c>
    </row>
    <row r="108" ht="19.5" customHeight="1">
      <c r="A108" s="26"/>
      <c r="B108" s="27"/>
      <c r="C108" s="9">
        <v>107.0</v>
      </c>
      <c r="D108" s="10" t="s">
        <v>361</v>
      </c>
      <c r="E108" s="10" t="s">
        <v>44</v>
      </c>
      <c r="F108" s="10" t="s">
        <v>45</v>
      </c>
      <c r="G108" s="10" t="s">
        <v>362</v>
      </c>
      <c r="H108" s="9" t="s">
        <v>69</v>
      </c>
      <c r="I108" s="11" t="s">
        <v>41</v>
      </c>
      <c r="J108" s="9"/>
      <c r="K108" s="12"/>
      <c r="L108" s="13"/>
      <c r="M108" s="12"/>
      <c r="N108" s="9">
        <f>IFERROR(__xludf.DUMMYFUNCTION("SUM(QUERY(Entregas_BD!D:L,""select G where D='""&amp;D108&amp;""'"",1))"),0.0)</f>
        <v>0</v>
      </c>
      <c r="O108" s="9">
        <f>IFERROR(__xludf.DUMMYFUNCTION("SUM(QUERY(Entregas_BD!D:L,""select H where D='""&amp;D108&amp;""'"",1))"),0.0)</f>
        <v>0</v>
      </c>
      <c r="P108" s="9">
        <f>IFERROR(__xludf.DUMMYFUNCTION("SUM(QUERY(Entregas_BD!D:L,""select I where D='""&amp;D108&amp;""'"",1))"),0.0)</f>
        <v>0</v>
      </c>
      <c r="Q108" s="9">
        <f>IFERROR(__xludf.DUMMYFUNCTION("SUM(QUERY(Entregas_BD!D:L,""select J where D='""&amp;D108&amp;""'"",1))"),0.0)</f>
        <v>0</v>
      </c>
      <c r="R108" s="15">
        <f>IFERROR(__xludf.DUMMYFUNCTION("SUM(QUERY(Entregas_BD!D:L,""select K where D='""&amp;D108&amp;""'"",1))"),0.0)</f>
        <v>0</v>
      </c>
      <c r="S108" s="15">
        <f>IFERROR(__xludf.DUMMYFUNCTION("SUM(QUERY(Entregas_BD!D:L,""select L where D='""&amp;D108&amp;""'"",1))"),0.0)</f>
        <v>0</v>
      </c>
      <c r="T108" s="9">
        <f>IFERROR(__xludf.DUMMYFUNCTION("SUM(QUERY(Entregas_BD!D:AL,""select AG where D='""&amp;D108&amp;""'"",1))"),200.0)</f>
        <v>200</v>
      </c>
      <c r="U108" s="9">
        <f>IFERROR(__xludf.DUMMYFUNCTION("SUM(QUERY(Entregas_BD!D:AL,""select AH where D='""&amp;D108&amp;""'"",1))"),0.0)</f>
        <v>0</v>
      </c>
      <c r="V108" s="9">
        <f>IFERROR(__xludf.DUMMYFUNCTION("SUM(QUERY(Entregas_BD!D:AL,""select AI where D='""&amp;D108&amp;""'"",1))"),0.0)</f>
        <v>0</v>
      </c>
      <c r="W108" s="9">
        <f>IFERROR(__xludf.DUMMYFUNCTION("SUM(QUERY(Entregas_BD!D:AL,""select AJ where D='""&amp;D108&amp;""'"",1))"),0.0)</f>
        <v>0</v>
      </c>
      <c r="X108" s="9">
        <f>IFERROR(__xludf.DUMMYFUNCTION("SUM(QUERY(Entregas_BD!D:AL,""select AL where D='""&amp;D108&amp;""'"",1))"),0.0)</f>
        <v>0</v>
      </c>
      <c r="Y108" s="9">
        <f>IFERROR(__xludf.DUMMYFUNCTION("SUM(QUERY(Entregas_BD!D:AL,""select AK where D='""&amp;D108&amp;""'"",1))"),0.0)</f>
        <v>0</v>
      </c>
      <c r="Z108" s="9">
        <v>-200.0</v>
      </c>
      <c r="AA108" s="9">
        <v>0.0</v>
      </c>
      <c r="AB108" s="9">
        <v>0.0</v>
      </c>
      <c r="AC108" s="9">
        <v>0.0</v>
      </c>
      <c r="AD108" s="9">
        <v>0.0</v>
      </c>
      <c r="AE108" s="9">
        <v>0.0</v>
      </c>
      <c r="AF108" s="16" t="s">
        <v>363</v>
      </c>
      <c r="AG108" s="15">
        <f>IFERROR(__xludf.DUMMYFUNCTION("SUM(QUERY(Entregas_BD!D:W,""select U where D='""&amp;D108&amp;""'"",1))"),0.0)</f>
        <v>0</v>
      </c>
      <c r="AH108" s="15">
        <f>IFERROR(__xludf.DUMMYFUNCTION("SUM(QUERY(Entregas_BD!D:W,""select S where D='""&amp;D108&amp;""'"",1))"),0.0)</f>
        <v>0</v>
      </c>
      <c r="AI108" s="15">
        <f>IFERROR(__xludf.DUMMYFUNCTION("SUM(QUERY(Entregas_BD!D:W,""select T where D='""&amp;D108&amp;""'"",1))"),0.0)</f>
        <v>0</v>
      </c>
    </row>
    <row r="109" ht="19.5" customHeight="1">
      <c r="A109" s="28"/>
      <c r="B109" s="29"/>
      <c r="C109" s="19">
        <v>108.0</v>
      </c>
      <c r="D109" s="20" t="s">
        <v>364</v>
      </c>
      <c r="E109" s="20" t="s">
        <v>58</v>
      </c>
      <c r="F109" s="20" t="s">
        <v>45</v>
      </c>
      <c r="G109" s="20" t="s">
        <v>365</v>
      </c>
      <c r="H109" s="19" t="s">
        <v>40</v>
      </c>
      <c r="I109" s="21" t="s">
        <v>41</v>
      </c>
      <c r="J109" s="19"/>
      <c r="K109" s="22"/>
      <c r="L109" s="23"/>
      <c r="M109" s="22"/>
      <c r="N109" s="19">
        <f>IFERROR(__xludf.DUMMYFUNCTION("SUM(QUERY(Entregas_BD!D:L,""select G where D='""&amp;D109&amp;""'"",1))"),0.0)</f>
        <v>0</v>
      </c>
      <c r="O109" s="19">
        <f>IFERROR(__xludf.DUMMYFUNCTION("SUM(QUERY(Entregas_BD!D:L,""select H where D='""&amp;D109&amp;""'"",1))"),0.0)</f>
        <v>0</v>
      </c>
      <c r="P109" s="19">
        <f>IFERROR(__xludf.DUMMYFUNCTION("SUM(QUERY(Entregas_BD!D:L,""select I where D='""&amp;D109&amp;""'"",1))"),0.0)</f>
        <v>0</v>
      </c>
      <c r="Q109" s="19">
        <f>IFERROR(__xludf.DUMMYFUNCTION("SUM(QUERY(Entregas_BD!D:L,""select J where D='""&amp;D109&amp;""'"",1))"),0.0)</f>
        <v>0</v>
      </c>
      <c r="R109" s="24">
        <f>IFERROR(__xludf.DUMMYFUNCTION("SUM(QUERY(Entregas_BD!D:L,""select K where D='""&amp;D109&amp;""'"",1))"),0.0)</f>
        <v>0</v>
      </c>
      <c r="S109" s="24">
        <f>IFERROR(__xludf.DUMMYFUNCTION("SUM(QUERY(Entregas_BD!D:L,""select L where D='""&amp;D109&amp;""'"",1))"),0.0)</f>
        <v>0</v>
      </c>
      <c r="T109" s="19">
        <f>IFERROR(__xludf.DUMMYFUNCTION("SUM(QUERY(Entregas_BD!D:AL,""select AG where D='""&amp;D109&amp;""'"",1))"),0.0)</f>
        <v>0</v>
      </c>
      <c r="U109" s="19">
        <f>IFERROR(__xludf.DUMMYFUNCTION("SUM(QUERY(Entregas_BD!D:AL,""select AH where D='""&amp;D109&amp;""'"",1))"),0.0)</f>
        <v>0</v>
      </c>
      <c r="V109" s="19">
        <f>IFERROR(__xludf.DUMMYFUNCTION("SUM(QUERY(Entregas_BD!D:AL,""select AI where D='""&amp;D109&amp;""'"",1))"),0.0)</f>
        <v>0</v>
      </c>
      <c r="W109" s="19">
        <f>IFERROR(__xludf.DUMMYFUNCTION("SUM(QUERY(Entregas_BD!D:AL,""select AJ where D='""&amp;D109&amp;""'"",1))"),0.0)</f>
        <v>0</v>
      </c>
      <c r="X109" s="19">
        <f>IFERROR(__xludf.DUMMYFUNCTION("SUM(QUERY(Entregas_BD!D:AL,""select AL where D='""&amp;D109&amp;""'"",1))"),0.0)</f>
        <v>0</v>
      </c>
      <c r="Y109" s="19">
        <f>IFERROR(__xludf.DUMMYFUNCTION("SUM(QUERY(Entregas_BD!D:AL,""select AK where D='""&amp;D109&amp;""'"",1))"),0.0)</f>
        <v>0</v>
      </c>
      <c r="Z109" s="19">
        <v>0.0</v>
      </c>
      <c r="AA109" s="19">
        <v>0.0</v>
      </c>
      <c r="AB109" s="19">
        <v>0.0</v>
      </c>
      <c r="AC109" s="19">
        <v>0.0</v>
      </c>
      <c r="AD109" s="19">
        <v>0.0</v>
      </c>
      <c r="AE109" s="19">
        <v>0.0</v>
      </c>
      <c r="AF109" s="31" t="s">
        <v>366</v>
      </c>
      <c r="AG109" s="24">
        <f>IFERROR(__xludf.DUMMYFUNCTION("SUM(QUERY(Entregas_BD!D:W,""select U where D='""&amp;D109&amp;""'"",1))"),0.0)</f>
        <v>0</v>
      </c>
      <c r="AH109" s="24">
        <f>IFERROR(__xludf.DUMMYFUNCTION("SUM(QUERY(Entregas_BD!D:W,""select S where D='""&amp;D109&amp;""'"",1))"),0.0)</f>
        <v>0</v>
      </c>
      <c r="AI109" s="24">
        <f>IFERROR(__xludf.DUMMYFUNCTION("SUM(QUERY(Entregas_BD!D:W,""select T where D='""&amp;D109&amp;""'"",1))"),0.0)</f>
        <v>0</v>
      </c>
    </row>
    <row r="110" ht="19.5" customHeight="1">
      <c r="A110" s="7"/>
      <c r="B110" s="8"/>
      <c r="C110" s="9">
        <v>109.0</v>
      </c>
      <c r="D110" s="10" t="s">
        <v>367</v>
      </c>
      <c r="E110" s="10" t="s">
        <v>58</v>
      </c>
      <c r="F110" s="10" t="s">
        <v>45</v>
      </c>
      <c r="G110" s="10" t="s">
        <v>365</v>
      </c>
      <c r="H110" s="9" t="s">
        <v>40</v>
      </c>
      <c r="I110" s="11" t="s">
        <v>41</v>
      </c>
      <c r="J110" s="9"/>
      <c r="K110" s="12"/>
      <c r="L110" s="13"/>
      <c r="M110" s="12"/>
      <c r="N110" s="9">
        <f>IFERROR(__xludf.DUMMYFUNCTION("SUM(QUERY(Entregas_BD!D:L,""select G where D='""&amp;D110&amp;""'"",1))"),0.0)</f>
        <v>0</v>
      </c>
      <c r="O110" s="9">
        <f>IFERROR(__xludf.DUMMYFUNCTION("SUM(QUERY(Entregas_BD!D:L,""select H where D='""&amp;D110&amp;""'"",1))"),0.0)</f>
        <v>0</v>
      </c>
      <c r="P110" s="9">
        <f>IFERROR(__xludf.DUMMYFUNCTION("SUM(QUERY(Entregas_BD!D:L,""select I where D='""&amp;D110&amp;""'"",1))"),0.0)</f>
        <v>0</v>
      </c>
      <c r="Q110" s="9">
        <f>IFERROR(__xludf.DUMMYFUNCTION("SUM(QUERY(Entregas_BD!D:L,""select J where D='""&amp;D110&amp;""'"",1))"),0.0)</f>
        <v>0</v>
      </c>
      <c r="R110" s="15">
        <f>IFERROR(__xludf.DUMMYFUNCTION("SUM(QUERY(Entregas_BD!D:L,""select K where D='""&amp;D110&amp;""'"",1))"),0.0)</f>
        <v>0</v>
      </c>
      <c r="S110" s="15">
        <f>IFERROR(__xludf.DUMMYFUNCTION("SUM(QUERY(Entregas_BD!D:L,""select L where D='""&amp;D110&amp;""'"",1))"),0.0)</f>
        <v>0</v>
      </c>
      <c r="T110" s="9">
        <f>IFERROR(__xludf.DUMMYFUNCTION("SUM(QUERY(Entregas_BD!D:AL,""select AG where D='""&amp;D110&amp;""'"",1))"),500.0)</f>
        <v>500</v>
      </c>
      <c r="U110" s="9">
        <f>IFERROR(__xludf.DUMMYFUNCTION("SUM(QUERY(Entregas_BD!D:AL,""select AH where D='""&amp;D110&amp;""'"",1))"),0.0)</f>
        <v>0</v>
      </c>
      <c r="V110" s="9">
        <f>IFERROR(__xludf.DUMMYFUNCTION("SUM(QUERY(Entregas_BD!D:AL,""select AI where D='""&amp;D110&amp;""'"",1))"),0.0)</f>
        <v>0</v>
      </c>
      <c r="W110" s="9">
        <f>IFERROR(__xludf.DUMMYFUNCTION("SUM(QUERY(Entregas_BD!D:AL,""select AJ where D='""&amp;D110&amp;""'"",1))"),0.0)</f>
        <v>0</v>
      </c>
      <c r="X110" s="9">
        <f>IFERROR(__xludf.DUMMYFUNCTION("SUM(QUERY(Entregas_BD!D:AL,""select AL where D='""&amp;D110&amp;""'"",1))"),0.0)</f>
        <v>0</v>
      </c>
      <c r="Y110" s="9">
        <f>IFERROR(__xludf.DUMMYFUNCTION("SUM(QUERY(Entregas_BD!D:AL,""select AK where D='""&amp;D110&amp;""'"",1))"),0.0)</f>
        <v>0</v>
      </c>
      <c r="Z110" s="9">
        <v>-500.0</v>
      </c>
      <c r="AA110" s="9">
        <v>0.0</v>
      </c>
      <c r="AB110" s="9">
        <v>0.0</v>
      </c>
      <c r="AC110" s="9">
        <v>0.0</v>
      </c>
      <c r="AD110" s="9">
        <v>0.0</v>
      </c>
      <c r="AE110" s="9">
        <v>0.0</v>
      </c>
      <c r="AF110" s="32" t="s">
        <v>366</v>
      </c>
      <c r="AG110" s="15">
        <f>IFERROR(__xludf.DUMMYFUNCTION("SUM(QUERY(Entregas_BD!D:W,""select U where D='""&amp;D110&amp;""'"",1))"),0.0)</f>
        <v>0</v>
      </c>
      <c r="AH110" s="15">
        <f>IFERROR(__xludf.DUMMYFUNCTION("SUM(QUERY(Entregas_BD!D:W,""select S where D='""&amp;D110&amp;""'"",1))"),0.0)</f>
        <v>0</v>
      </c>
      <c r="AI110" s="15">
        <f>IFERROR(__xludf.DUMMYFUNCTION("SUM(QUERY(Entregas_BD!D:W,""select T where D='""&amp;D110&amp;""'"",1))"),0.0)</f>
        <v>0</v>
      </c>
    </row>
    <row r="111" ht="19.5" customHeight="1">
      <c r="A111" s="28"/>
      <c r="B111" s="29"/>
      <c r="C111" s="19">
        <v>110.0</v>
      </c>
      <c r="D111" s="20" t="s">
        <v>368</v>
      </c>
      <c r="E111" s="20" t="s">
        <v>58</v>
      </c>
      <c r="F111" s="20" t="s">
        <v>45</v>
      </c>
      <c r="G111" s="20" t="s">
        <v>369</v>
      </c>
      <c r="H111" s="19" t="s">
        <v>69</v>
      </c>
      <c r="I111" s="21" t="s">
        <v>41</v>
      </c>
      <c r="J111" s="19"/>
      <c r="K111" s="22"/>
      <c r="L111" s="23"/>
      <c r="M111" s="22"/>
      <c r="N111" s="19">
        <f>IFERROR(__xludf.DUMMYFUNCTION("SUM(QUERY(Entregas_BD!D:L,""select G where D='""&amp;D111&amp;""'"",1))"),0.0)</f>
        <v>0</v>
      </c>
      <c r="O111" s="19">
        <f>IFERROR(__xludf.DUMMYFUNCTION("SUM(QUERY(Entregas_BD!D:L,""select H where D='""&amp;D111&amp;""'"",1))"),0.0)</f>
        <v>0</v>
      </c>
      <c r="P111" s="19">
        <f>IFERROR(__xludf.DUMMYFUNCTION("SUM(QUERY(Entregas_BD!D:L,""select I where D='""&amp;D111&amp;""'"",1))"),0.0)</f>
        <v>0</v>
      </c>
      <c r="Q111" s="19">
        <f>IFERROR(__xludf.DUMMYFUNCTION("SUM(QUERY(Entregas_BD!D:L,""select J where D='""&amp;D111&amp;""'"",1))"),0.0)</f>
        <v>0</v>
      </c>
      <c r="R111" s="24">
        <f>IFERROR(__xludf.DUMMYFUNCTION("SUM(QUERY(Entregas_BD!D:L,""select K where D='""&amp;D111&amp;""'"",1))"),0.0)</f>
        <v>0</v>
      </c>
      <c r="S111" s="24">
        <f>IFERROR(__xludf.DUMMYFUNCTION("SUM(QUERY(Entregas_BD!D:L,""select L where D='""&amp;D111&amp;""'"",1))"),0.0)</f>
        <v>0</v>
      </c>
      <c r="T111" s="19">
        <f>IFERROR(__xludf.DUMMYFUNCTION("SUM(QUERY(Entregas_BD!D:AL,""select AG where D='""&amp;D111&amp;""'"",1))"),380.0)</f>
        <v>380</v>
      </c>
      <c r="U111" s="19">
        <f>IFERROR(__xludf.DUMMYFUNCTION("SUM(QUERY(Entregas_BD!D:AL,""select AH where D='""&amp;D111&amp;""'"",1))"),0.0)</f>
        <v>0</v>
      </c>
      <c r="V111" s="19">
        <f>IFERROR(__xludf.DUMMYFUNCTION("SUM(QUERY(Entregas_BD!D:AL,""select AI where D='""&amp;D111&amp;""'"",1))"),0.0)</f>
        <v>0</v>
      </c>
      <c r="W111" s="19">
        <f>IFERROR(__xludf.DUMMYFUNCTION("SUM(QUERY(Entregas_BD!D:AL,""select AJ where D='""&amp;D111&amp;""'"",1))"),0.0)</f>
        <v>0</v>
      </c>
      <c r="X111" s="19">
        <f>IFERROR(__xludf.DUMMYFUNCTION("SUM(QUERY(Entregas_BD!D:AL,""select AL where D='""&amp;D111&amp;""'"",1))"),0.0)</f>
        <v>0</v>
      </c>
      <c r="Y111" s="19">
        <f>IFERROR(__xludf.DUMMYFUNCTION("SUM(QUERY(Entregas_BD!D:AL,""select AK where D='""&amp;D111&amp;""'"",1))"),0.0)</f>
        <v>0</v>
      </c>
      <c r="Z111" s="19">
        <v>-380.0</v>
      </c>
      <c r="AA111" s="19">
        <v>0.0</v>
      </c>
      <c r="AB111" s="19">
        <v>0.0</v>
      </c>
      <c r="AC111" s="19">
        <v>0.0</v>
      </c>
      <c r="AD111" s="19">
        <v>0.0</v>
      </c>
      <c r="AE111" s="19">
        <v>0.0</v>
      </c>
      <c r="AF111" s="31" t="s">
        <v>370</v>
      </c>
      <c r="AG111" s="24">
        <f>IFERROR(__xludf.DUMMYFUNCTION("SUM(QUERY(Entregas_BD!D:W,""select U where D='""&amp;D111&amp;""'"",1))"),0.0)</f>
        <v>0</v>
      </c>
      <c r="AH111" s="24">
        <f>IFERROR(__xludf.DUMMYFUNCTION("SUM(QUERY(Entregas_BD!D:W,""select S where D='""&amp;D111&amp;""'"",1))"),0.0)</f>
        <v>0</v>
      </c>
      <c r="AI111" s="24">
        <f>IFERROR(__xludf.DUMMYFUNCTION("SUM(QUERY(Entregas_BD!D:W,""select T where D='""&amp;D111&amp;""'"",1))"),0.0)</f>
        <v>0</v>
      </c>
    </row>
    <row r="112" ht="19.5" customHeight="1">
      <c r="A112" s="7"/>
      <c r="B112" s="8"/>
      <c r="C112" s="9">
        <v>111.0</v>
      </c>
      <c r="D112" s="10" t="s">
        <v>368</v>
      </c>
      <c r="E112" s="10" t="s">
        <v>58</v>
      </c>
      <c r="F112" s="10" t="s">
        <v>45</v>
      </c>
      <c r="G112" s="10" t="s">
        <v>371</v>
      </c>
      <c r="H112" s="9" t="s">
        <v>69</v>
      </c>
      <c r="I112" s="11" t="s">
        <v>41</v>
      </c>
      <c r="J112" s="9"/>
      <c r="K112" s="12"/>
      <c r="L112" s="13"/>
      <c r="M112" s="12"/>
      <c r="N112" s="9">
        <f>IFERROR(__xludf.DUMMYFUNCTION("SUM(QUERY(Entregas_BD!D:L,""select G where D='""&amp;D112&amp;""'"",1))"),0.0)</f>
        <v>0</v>
      </c>
      <c r="O112" s="9">
        <f>IFERROR(__xludf.DUMMYFUNCTION("SUM(QUERY(Entregas_BD!D:L,""select H where D='""&amp;D112&amp;""'"",1))"),0.0)</f>
        <v>0</v>
      </c>
      <c r="P112" s="9">
        <f>IFERROR(__xludf.DUMMYFUNCTION("SUM(QUERY(Entregas_BD!D:L,""select I where D='""&amp;D112&amp;""'"",1))"),0.0)</f>
        <v>0</v>
      </c>
      <c r="Q112" s="9">
        <f>IFERROR(__xludf.DUMMYFUNCTION("SUM(QUERY(Entregas_BD!D:L,""select J where D='""&amp;D112&amp;""'"",1))"),0.0)</f>
        <v>0</v>
      </c>
      <c r="R112" s="15">
        <f>IFERROR(__xludf.DUMMYFUNCTION("SUM(QUERY(Entregas_BD!D:L,""select K where D='""&amp;D112&amp;""'"",1))"),0.0)</f>
        <v>0</v>
      </c>
      <c r="S112" s="15">
        <f>IFERROR(__xludf.DUMMYFUNCTION("SUM(QUERY(Entregas_BD!D:L,""select L where D='""&amp;D112&amp;""'"",1))"),0.0)</f>
        <v>0</v>
      </c>
      <c r="T112" s="9">
        <f>IFERROR(__xludf.DUMMYFUNCTION("SUM(QUERY(Entregas_BD!D:AL,""select AG where D='""&amp;D112&amp;""'"",1))"),380.0)</f>
        <v>380</v>
      </c>
      <c r="U112" s="9">
        <f>IFERROR(__xludf.DUMMYFUNCTION("SUM(QUERY(Entregas_BD!D:AL,""select AH where D='""&amp;D112&amp;""'"",1))"),0.0)</f>
        <v>0</v>
      </c>
      <c r="V112" s="9">
        <f>IFERROR(__xludf.DUMMYFUNCTION("SUM(QUERY(Entregas_BD!D:AL,""select AI where D='""&amp;D112&amp;""'"",1))"),0.0)</f>
        <v>0</v>
      </c>
      <c r="W112" s="9">
        <f>IFERROR(__xludf.DUMMYFUNCTION("SUM(QUERY(Entregas_BD!D:AL,""select AJ where D='""&amp;D112&amp;""'"",1))"),0.0)</f>
        <v>0</v>
      </c>
      <c r="X112" s="9">
        <f>IFERROR(__xludf.DUMMYFUNCTION("SUM(QUERY(Entregas_BD!D:AL,""select AL where D='""&amp;D112&amp;""'"",1))"),0.0)</f>
        <v>0</v>
      </c>
      <c r="Y112" s="9">
        <f>IFERROR(__xludf.DUMMYFUNCTION("SUM(QUERY(Entregas_BD!D:AL,""select AK where D='""&amp;D112&amp;""'"",1))"),0.0)</f>
        <v>0</v>
      </c>
      <c r="Z112" s="9">
        <v>-380.0</v>
      </c>
      <c r="AA112" s="9">
        <v>0.0</v>
      </c>
      <c r="AB112" s="9">
        <v>0.0</v>
      </c>
      <c r="AC112" s="9">
        <v>0.0</v>
      </c>
      <c r="AD112" s="9">
        <v>0.0</v>
      </c>
      <c r="AE112" s="9">
        <v>0.0</v>
      </c>
      <c r="AF112" s="32" t="s">
        <v>370</v>
      </c>
      <c r="AG112" s="15">
        <f>IFERROR(__xludf.DUMMYFUNCTION("SUM(QUERY(Entregas_BD!D:W,""select U where D='""&amp;D112&amp;""'"",1))"),0.0)</f>
        <v>0</v>
      </c>
      <c r="AH112" s="15">
        <f>IFERROR(__xludf.DUMMYFUNCTION("SUM(QUERY(Entregas_BD!D:W,""select S where D='""&amp;D112&amp;""'"",1))"),0.0)</f>
        <v>0</v>
      </c>
      <c r="AI112" s="15">
        <f>IFERROR(__xludf.DUMMYFUNCTION("SUM(QUERY(Entregas_BD!D:W,""select T where D='""&amp;D112&amp;""'"",1))"),0.0)</f>
        <v>0</v>
      </c>
    </row>
    <row r="113" ht="19.5" customHeight="1">
      <c r="A113" s="28"/>
      <c r="B113" s="29"/>
      <c r="C113" s="19">
        <v>112.0</v>
      </c>
      <c r="D113" s="38" t="s">
        <v>372</v>
      </c>
      <c r="E113" s="20" t="s">
        <v>63</v>
      </c>
      <c r="F113" s="20" t="s">
        <v>373</v>
      </c>
      <c r="G113" s="20" t="s">
        <v>149</v>
      </c>
      <c r="H113" s="19" t="s">
        <v>40</v>
      </c>
      <c r="I113" s="21" t="s">
        <v>41</v>
      </c>
      <c r="J113" s="22"/>
      <c r="K113" s="22"/>
      <c r="L113" s="23"/>
      <c r="M113" s="22"/>
      <c r="N113" s="19">
        <f>IFERROR(__xludf.DUMMYFUNCTION("SUM(QUERY(Entregas_BD!D:L,""select G where D='""&amp;D113&amp;""'"",1))"),0.0)</f>
        <v>0</v>
      </c>
      <c r="O113" s="19">
        <f>IFERROR(__xludf.DUMMYFUNCTION("SUM(QUERY(Entregas_BD!D:L,""select H where D='""&amp;D113&amp;""'"",1))"),0.0)</f>
        <v>0</v>
      </c>
      <c r="P113" s="19">
        <f>IFERROR(__xludf.DUMMYFUNCTION("SUM(QUERY(Entregas_BD!D:L,""select I where D='""&amp;D113&amp;""'"",1))"),0.0)</f>
        <v>0</v>
      </c>
      <c r="Q113" s="19">
        <f>IFERROR(__xludf.DUMMYFUNCTION("SUM(QUERY(Entregas_BD!D:L,""select J where D='""&amp;D113&amp;""'"",1))"),0.0)</f>
        <v>0</v>
      </c>
      <c r="R113" s="24">
        <f>IFERROR(__xludf.DUMMYFUNCTION("SUM(QUERY(Entregas_BD!D:L,""select K where D='""&amp;D113&amp;""'"",1))"),0.0)</f>
        <v>0</v>
      </c>
      <c r="S113" s="24">
        <f>IFERROR(__xludf.DUMMYFUNCTION("SUM(QUERY(Entregas_BD!D:L,""select L where D='""&amp;D113&amp;""'"",1))"),0.0)</f>
        <v>0</v>
      </c>
      <c r="T113" s="19">
        <f>IFERROR(__xludf.DUMMYFUNCTION("SUM(QUERY(Entregas_BD!D:AL,""select AG where D='""&amp;D113&amp;""'"",1))"),100.0)</f>
        <v>100</v>
      </c>
      <c r="U113" s="19">
        <f>IFERROR(__xludf.DUMMYFUNCTION("SUM(QUERY(Entregas_BD!D:AL,""select AH where D='""&amp;D113&amp;""'"",1))"),0.0)</f>
        <v>0</v>
      </c>
      <c r="V113" s="19">
        <f>IFERROR(__xludf.DUMMYFUNCTION("SUM(QUERY(Entregas_BD!D:AL,""select AI where D='""&amp;D113&amp;""'"",1))"),0.0)</f>
        <v>0</v>
      </c>
      <c r="W113" s="19">
        <f>IFERROR(__xludf.DUMMYFUNCTION("SUM(QUERY(Entregas_BD!D:AL,""select AJ where D='""&amp;D113&amp;""'"",1))"),0.0)</f>
        <v>0</v>
      </c>
      <c r="X113" s="19">
        <f>IFERROR(__xludf.DUMMYFUNCTION("SUM(QUERY(Entregas_BD!D:AL,""select AL where D='""&amp;D113&amp;""'"",1))"),0.0)</f>
        <v>0</v>
      </c>
      <c r="Y113" s="19">
        <f>IFERROR(__xludf.DUMMYFUNCTION("SUM(QUERY(Entregas_BD!D:AL,""select AK where D='""&amp;D113&amp;""'"",1))"),0.0)</f>
        <v>0</v>
      </c>
      <c r="Z113" s="19">
        <v>-100.0</v>
      </c>
      <c r="AA113" s="19">
        <v>0.0</v>
      </c>
      <c r="AB113" s="19">
        <v>0.0</v>
      </c>
      <c r="AC113" s="19">
        <v>0.0</v>
      </c>
      <c r="AD113" s="19">
        <v>0.0</v>
      </c>
      <c r="AE113" s="19">
        <v>0.0</v>
      </c>
      <c r="AF113" s="31" t="s">
        <v>374</v>
      </c>
      <c r="AG113" s="24">
        <f>IFERROR(__xludf.DUMMYFUNCTION("SUM(QUERY(Entregas_BD!D:W,""select U where D='""&amp;D113&amp;""'"",1))"),0.0)</f>
        <v>0</v>
      </c>
      <c r="AH113" s="24">
        <f>IFERROR(__xludf.DUMMYFUNCTION("SUM(QUERY(Entregas_BD!D:W,""select S where D='""&amp;D113&amp;""'"",1))"),0.0)</f>
        <v>0</v>
      </c>
      <c r="AI113" s="24">
        <f>IFERROR(__xludf.DUMMYFUNCTION("SUM(QUERY(Entregas_BD!D:W,""select T where D='""&amp;D113&amp;""'"",1))"),0.0)</f>
        <v>0</v>
      </c>
    </row>
    <row r="114" ht="19.5" customHeight="1">
      <c r="A114" s="7"/>
      <c r="B114" s="8"/>
      <c r="C114" s="9">
        <v>113.0</v>
      </c>
      <c r="D114" s="10" t="s">
        <v>375</v>
      </c>
      <c r="E114" s="10" t="s">
        <v>72</v>
      </c>
      <c r="F114" s="10" t="s">
        <v>45</v>
      </c>
      <c r="G114" s="10" t="s">
        <v>149</v>
      </c>
      <c r="H114" s="9" t="s">
        <v>69</v>
      </c>
      <c r="I114" s="11" t="s">
        <v>41</v>
      </c>
      <c r="J114" s="12"/>
      <c r="K114" s="12"/>
      <c r="L114" s="13"/>
      <c r="M114" s="12"/>
      <c r="N114" s="9">
        <f>IFERROR(__xludf.DUMMYFUNCTION("SUM(QUERY(Entregas_BD!D:L,""select G where D='""&amp;D114&amp;""'"",1))"),0.0)</f>
        <v>0</v>
      </c>
      <c r="O114" s="9">
        <f>IFERROR(__xludf.DUMMYFUNCTION("SUM(QUERY(Entregas_BD!D:L,""select H where D='""&amp;D114&amp;""'"",1))"),0.0)</f>
        <v>0</v>
      </c>
      <c r="P114" s="9">
        <f>IFERROR(__xludf.DUMMYFUNCTION("SUM(QUERY(Entregas_BD!D:L,""select I where D='""&amp;D114&amp;""'"",1))"),0.0)</f>
        <v>0</v>
      </c>
      <c r="Q114" s="9">
        <f>IFERROR(__xludf.DUMMYFUNCTION("SUM(QUERY(Entregas_BD!D:L,""select J where D='""&amp;D114&amp;""'"",1))"),0.0)</f>
        <v>0</v>
      </c>
      <c r="R114" s="15">
        <f>IFERROR(__xludf.DUMMYFUNCTION("SUM(QUERY(Entregas_BD!D:L,""select K where D='""&amp;D114&amp;""'"",1))"),0.0)</f>
        <v>0</v>
      </c>
      <c r="S114" s="15">
        <f>IFERROR(__xludf.DUMMYFUNCTION("SUM(QUERY(Entregas_BD!D:L,""select L where D='""&amp;D114&amp;""'"",1))"),0.0)</f>
        <v>0</v>
      </c>
      <c r="T114" s="9">
        <f>IFERROR(__xludf.DUMMYFUNCTION("SUM(QUERY(Entregas_BD!D:AL,""select AG where D='""&amp;D114&amp;""'"",1))"),265.0)</f>
        <v>265</v>
      </c>
      <c r="U114" s="9">
        <f>IFERROR(__xludf.DUMMYFUNCTION("SUM(QUERY(Entregas_BD!D:AL,""select AH where D='""&amp;D114&amp;""'"",1))"),0.0)</f>
        <v>0</v>
      </c>
      <c r="V114" s="9">
        <f>IFERROR(__xludf.DUMMYFUNCTION("SUM(QUERY(Entregas_BD!D:AL,""select AI where D='""&amp;D114&amp;""'"",1))"),0.0)</f>
        <v>0</v>
      </c>
      <c r="W114" s="9">
        <f>IFERROR(__xludf.DUMMYFUNCTION("SUM(QUERY(Entregas_BD!D:AL,""select AJ where D='""&amp;D114&amp;""'"",1))"),0.0)</f>
        <v>0</v>
      </c>
      <c r="X114" s="9">
        <f>IFERROR(__xludf.DUMMYFUNCTION("SUM(QUERY(Entregas_BD!D:AL,""select AL where D='""&amp;D114&amp;""'"",1))"),0.0)</f>
        <v>0</v>
      </c>
      <c r="Y114" s="9">
        <f>IFERROR(__xludf.DUMMYFUNCTION("SUM(QUERY(Entregas_BD!D:AL,""select AK where D='""&amp;D114&amp;""'"",1))"),0.0)</f>
        <v>0</v>
      </c>
      <c r="Z114" s="9">
        <v>-265.0</v>
      </c>
      <c r="AA114" s="9">
        <v>0.0</v>
      </c>
      <c r="AB114" s="9">
        <v>0.0</v>
      </c>
      <c r="AC114" s="9">
        <v>0.0</v>
      </c>
      <c r="AD114" s="9">
        <v>0.0</v>
      </c>
      <c r="AE114" s="9">
        <v>0.0</v>
      </c>
      <c r="AF114" s="16" t="s">
        <v>376</v>
      </c>
      <c r="AG114" s="15">
        <f>IFERROR(__xludf.DUMMYFUNCTION("SUM(QUERY(Entregas_BD!D:W,""select U where D='""&amp;D114&amp;""'"",1))"),0.0)</f>
        <v>0</v>
      </c>
      <c r="AH114" s="15">
        <f>IFERROR(__xludf.DUMMYFUNCTION("SUM(QUERY(Entregas_BD!D:W,""select S where D='""&amp;D114&amp;""'"",1))"),0.0)</f>
        <v>0</v>
      </c>
      <c r="AI114" s="15">
        <f>IFERROR(__xludf.DUMMYFUNCTION("SUM(QUERY(Entregas_BD!D:W,""select T where D='""&amp;D114&amp;""'"",1))"),0.0)</f>
        <v>0</v>
      </c>
    </row>
    <row r="115" ht="19.5" customHeight="1">
      <c r="A115" s="28"/>
      <c r="B115" s="29"/>
      <c r="C115" s="19">
        <v>114.0</v>
      </c>
      <c r="D115" s="20" t="s">
        <v>377</v>
      </c>
      <c r="E115" s="20" t="s">
        <v>58</v>
      </c>
      <c r="F115" s="20" t="s">
        <v>45</v>
      </c>
      <c r="G115" s="20" t="s">
        <v>378</v>
      </c>
      <c r="H115" s="19" t="s">
        <v>51</v>
      </c>
      <c r="I115" s="21" t="s">
        <v>41</v>
      </c>
      <c r="J115" s="19"/>
      <c r="K115" s="22"/>
      <c r="L115" s="23"/>
      <c r="M115" s="22"/>
      <c r="N115" s="19">
        <f>IFERROR(__xludf.DUMMYFUNCTION("SUM(QUERY(Entregas_BD!D:L,""select G where D='""&amp;D115&amp;""'"",1))"),0.0)</f>
        <v>0</v>
      </c>
      <c r="O115" s="19">
        <f>IFERROR(__xludf.DUMMYFUNCTION("SUM(QUERY(Entregas_BD!D:L,""select H where D='""&amp;D115&amp;""'"",1))"),0.0)</f>
        <v>0</v>
      </c>
      <c r="P115" s="19">
        <f>IFERROR(__xludf.DUMMYFUNCTION("SUM(QUERY(Entregas_BD!D:L,""select I where D='""&amp;D115&amp;""'"",1))"),0.0)</f>
        <v>0</v>
      </c>
      <c r="Q115" s="19">
        <f>IFERROR(__xludf.DUMMYFUNCTION("SUM(QUERY(Entregas_BD!D:L,""select J where D='""&amp;D115&amp;""'"",1))"),0.0)</f>
        <v>0</v>
      </c>
      <c r="R115" s="24">
        <f>IFERROR(__xludf.DUMMYFUNCTION("SUM(QUERY(Entregas_BD!D:L,""select K where D='""&amp;D115&amp;""'"",1))"),0.0)</f>
        <v>0</v>
      </c>
      <c r="S115" s="24">
        <f>IFERROR(__xludf.DUMMYFUNCTION("SUM(QUERY(Entregas_BD!D:L,""select L where D='""&amp;D115&amp;""'"",1))"),0.0)</f>
        <v>0</v>
      </c>
      <c r="T115" s="19">
        <f>IFERROR(__xludf.DUMMYFUNCTION("SUM(QUERY(Entregas_BD!D:AL,""select AG where D='""&amp;D115&amp;""'"",1))"),100.0)</f>
        <v>100</v>
      </c>
      <c r="U115" s="19">
        <f>IFERROR(__xludf.DUMMYFUNCTION("SUM(QUERY(Entregas_BD!D:AL,""select AH where D='""&amp;D115&amp;""'"",1))"),0.0)</f>
        <v>0</v>
      </c>
      <c r="V115" s="19">
        <f>IFERROR(__xludf.DUMMYFUNCTION("SUM(QUERY(Entregas_BD!D:AL,""select AI where D='""&amp;D115&amp;""'"",1))"),0.0)</f>
        <v>0</v>
      </c>
      <c r="W115" s="19">
        <f>IFERROR(__xludf.DUMMYFUNCTION("SUM(QUERY(Entregas_BD!D:AL,""select AJ where D='""&amp;D115&amp;""'"",1))"),0.0)</f>
        <v>0</v>
      </c>
      <c r="X115" s="19">
        <f>IFERROR(__xludf.DUMMYFUNCTION("SUM(QUERY(Entregas_BD!D:AL,""select AL where D='""&amp;D115&amp;""'"",1))"),0.0)</f>
        <v>0</v>
      </c>
      <c r="Y115" s="19">
        <f>IFERROR(__xludf.DUMMYFUNCTION("SUM(QUERY(Entregas_BD!D:AL,""select AK where D='""&amp;D115&amp;""'"",1))"),0.0)</f>
        <v>0</v>
      </c>
      <c r="Z115" s="19">
        <v>-100.0</v>
      </c>
      <c r="AA115" s="19">
        <v>0.0</v>
      </c>
      <c r="AB115" s="19">
        <v>0.0</v>
      </c>
      <c r="AC115" s="19">
        <v>0.0</v>
      </c>
      <c r="AD115" s="19">
        <v>0.0</v>
      </c>
      <c r="AE115" s="19">
        <v>0.0</v>
      </c>
      <c r="AF115" s="31" t="s">
        <v>379</v>
      </c>
      <c r="AG115" s="24">
        <f>IFERROR(__xludf.DUMMYFUNCTION("SUM(QUERY(Entregas_BD!D:W,""select U where D='""&amp;D115&amp;""'"",1))"),0.0)</f>
        <v>0</v>
      </c>
      <c r="AH115" s="24">
        <f>IFERROR(__xludf.DUMMYFUNCTION("SUM(QUERY(Entregas_BD!D:W,""select S where D='""&amp;D115&amp;""'"",1))"),0.0)</f>
        <v>0</v>
      </c>
      <c r="AI115" s="24">
        <f>IFERROR(__xludf.DUMMYFUNCTION("SUM(QUERY(Entregas_BD!D:W,""select T where D='""&amp;D115&amp;""'"",1))"),0.0)</f>
        <v>0</v>
      </c>
    </row>
    <row r="116" ht="19.5" customHeight="1">
      <c r="A116" s="7"/>
      <c r="B116" s="8"/>
      <c r="C116" s="9">
        <v>115.0</v>
      </c>
      <c r="D116" s="10" t="s">
        <v>380</v>
      </c>
      <c r="E116" s="10" t="s">
        <v>153</v>
      </c>
      <c r="F116" s="10" t="s">
        <v>381</v>
      </c>
      <c r="G116" s="10" t="s">
        <v>382</v>
      </c>
      <c r="H116" s="12" t="s">
        <v>40</v>
      </c>
      <c r="I116" s="11" t="s">
        <v>41</v>
      </c>
      <c r="J116" s="12"/>
      <c r="K116" s="12"/>
      <c r="L116" s="13"/>
      <c r="M116" s="14"/>
      <c r="N116" s="9">
        <f>IFERROR(__xludf.DUMMYFUNCTION("SUM(QUERY(Entregas_BD!D:L,""select G where D='""&amp;D116&amp;""'"",1))"),0.0)</f>
        <v>0</v>
      </c>
      <c r="O116" s="9">
        <f>IFERROR(__xludf.DUMMYFUNCTION("SUM(QUERY(Entregas_BD!D:L,""select H where D='""&amp;D116&amp;""'"",1))"),0.0)</f>
        <v>0</v>
      </c>
      <c r="P116" s="9">
        <f>IFERROR(__xludf.DUMMYFUNCTION("SUM(QUERY(Entregas_BD!D:L,""select I where D='""&amp;D116&amp;""'"",1))"),0.0)</f>
        <v>0</v>
      </c>
      <c r="Q116" s="9">
        <f>IFERROR(__xludf.DUMMYFUNCTION("SUM(QUERY(Entregas_BD!D:L,""select J where D='""&amp;D116&amp;""'"",1))"),0.0)</f>
        <v>0</v>
      </c>
      <c r="R116" s="15">
        <f>IFERROR(__xludf.DUMMYFUNCTION("SUM(QUERY(Entregas_BD!D:L,""select K where D='""&amp;D116&amp;""'"",1))"),0.0)</f>
        <v>0</v>
      </c>
      <c r="S116" s="15">
        <f>IFERROR(__xludf.DUMMYFUNCTION("SUM(QUERY(Entregas_BD!D:L,""select L where D='""&amp;D116&amp;""'"",1))"),0.0)</f>
        <v>0</v>
      </c>
      <c r="T116" s="9">
        <f>IFERROR(__xludf.DUMMYFUNCTION("SUM(QUERY(Entregas_BD!D:AL,""select AG where D='""&amp;D116&amp;""'"",1))"),0.0)</f>
        <v>0</v>
      </c>
      <c r="U116" s="9">
        <f>IFERROR(__xludf.DUMMYFUNCTION("SUM(QUERY(Entregas_BD!D:AL,""select AH where D='""&amp;D116&amp;""'"",1))"),0.0)</f>
        <v>0</v>
      </c>
      <c r="V116" s="9">
        <f>IFERROR(__xludf.DUMMYFUNCTION("SUM(QUERY(Entregas_BD!D:AL,""select AI where D='""&amp;D116&amp;""'"",1))"),0.0)</f>
        <v>0</v>
      </c>
      <c r="W116" s="9">
        <f>IFERROR(__xludf.DUMMYFUNCTION("SUM(QUERY(Entregas_BD!D:AL,""select AJ where D='""&amp;D116&amp;""'"",1))"),0.0)</f>
        <v>0</v>
      </c>
      <c r="X116" s="9">
        <f>IFERROR(__xludf.DUMMYFUNCTION("SUM(QUERY(Entregas_BD!D:AL,""select AL where D='""&amp;D116&amp;""'"",1))"),0.0)</f>
        <v>0</v>
      </c>
      <c r="Y116" s="9">
        <f>IFERROR(__xludf.DUMMYFUNCTION("SUM(QUERY(Entregas_BD!D:AL,""select AK where D='""&amp;D116&amp;""'"",1))"),0.0)</f>
        <v>0</v>
      </c>
      <c r="Z116" s="9">
        <v>0.0</v>
      </c>
      <c r="AA116" s="9">
        <v>0.0</v>
      </c>
      <c r="AB116" s="9">
        <v>0.0</v>
      </c>
      <c r="AC116" s="9">
        <v>0.0</v>
      </c>
      <c r="AD116" s="9">
        <v>0.0</v>
      </c>
      <c r="AE116" s="9">
        <v>0.0</v>
      </c>
      <c r="AF116" s="32" t="s">
        <v>383</v>
      </c>
      <c r="AG116" s="15">
        <f>IFERROR(__xludf.DUMMYFUNCTION("SUM(QUERY(Entregas_BD!D:W,""select U where D='""&amp;D116&amp;""'"",1))"),0.0)</f>
        <v>0</v>
      </c>
      <c r="AH116" s="15">
        <f>IFERROR(__xludf.DUMMYFUNCTION("SUM(QUERY(Entregas_BD!D:W,""select S where D='""&amp;D116&amp;""'"",1))"),0.0)</f>
        <v>0</v>
      </c>
      <c r="AI116" s="15">
        <f>IFERROR(__xludf.DUMMYFUNCTION("SUM(QUERY(Entregas_BD!D:W,""select T where D='""&amp;D116&amp;""'"",1))"),0.0)</f>
        <v>0</v>
      </c>
    </row>
    <row r="117" ht="19.5" customHeight="1">
      <c r="A117" s="28"/>
      <c r="B117" s="29"/>
      <c r="C117" s="19">
        <v>116.0</v>
      </c>
      <c r="D117" s="20" t="s">
        <v>384</v>
      </c>
      <c r="E117" s="20" t="s">
        <v>63</v>
      </c>
      <c r="F117" s="20" t="s">
        <v>64</v>
      </c>
      <c r="G117" s="20" t="s">
        <v>385</v>
      </c>
      <c r="H117" s="19" t="s">
        <v>51</v>
      </c>
      <c r="I117" s="21" t="s">
        <v>41</v>
      </c>
      <c r="J117" s="22"/>
      <c r="K117" s="22"/>
      <c r="L117" s="23"/>
      <c r="M117" s="22"/>
      <c r="N117" s="19">
        <f>IFERROR(__xludf.DUMMYFUNCTION("SUM(QUERY(Entregas_BD!D:L,""select G where D='""&amp;D117&amp;""'"",1))"),0.0)</f>
        <v>0</v>
      </c>
      <c r="O117" s="19">
        <f>IFERROR(__xludf.DUMMYFUNCTION("SUM(QUERY(Entregas_BD!D:L,""select H where D='""&amp;D117&amp;""'"",1))"),0.0)</f>
        <v>0</v>
      </c>
      <c r="P117" s="19">
        <f>IFERROR(__xludf.DUMMYFUNCTION("SUM(QUERY(Entregas_BD!D:L,""select I where D='""&amp;D117&amp;""'"",1))"),0.0)</f>
        <v>0</v>
      </c>
      <c r="Q117" s="19">
        <f>IFERROR(__xludf.DUMMYFUNCTION("SUM(QUERY(Entregas_BD!D:L,""select J where D='""&amp;D117&amp;""'"",1))"),0.0)</f>
        <v>0</v>
      </c>
      <c r="R117" s="24">
        <f>IFERROR(__xludf.DUMMYFUNCTION("SUM(QUERY(Entregas_BD!D:L,""select K where D='""&amp;D117&amp;""'"",1))"),0.0)</f>
        <v>0</v>
      </c>
      <c r="S117" s="24">
        <f>IFERROR(__xludf.DUMMYFUNCTION("SUM(QUERY(Entregas_BD!D:L,""select L where D='""&amp;D117&amp;""'"",1))"),0.0)</f>
        <v>0</v>
      </c>
      <c r="T117" s="19">
        <f>IFERROR(__xludf.DUMMYFUNCTION("SUM(QUERY(Entregas_BD!D:AL,""select AG where D='""&amp;D117&amp;""'"",1))"),0.0)</f>
        <v>0</v>
      </c>
      <c r="U117" s="19">
        <f>IFERROR(__xludf.DUMMYFUNCTION("SUM(QUERY(Entregas_BD!D:AL,""select AH where D='""&amp;D117&amp;""'"",1))"),0.0)</f>
        <v>0</v>
      </c>
      <c r="V117" s="19">
        <f>IFERROR(__xludf.DUMMYFUNCTION("SUM(QUERY(Entregas_BD!D:AL,""select AI where D='""&amp;D117&amp;""'"",1))"),0.0)</f>
        <v>0</v>
      </c>
      <c r="W117" s="19">
        <f>IFERROR(__xludf.DUMMYFUNCTION("SUM(QUERY(Entregas_BD!D:AL,""select AJ where D='""&amp;D117&amp;""'"",1))"),0.0)</f>
        <v>0</v>
      </c>
      <c r="X117" s="19">
        <f>IFERROR(__xludf.DUMMYFUNCTION("SUM(QUERY(Entregas_BD!D:AL,""select AL where D='""&amp;D117&amp;""'"",1))"),0.0)</f>
        <v>0</v>
      </c>
      <c r="Y117" s="19">
        <f>IFERROR(__xludf.DUMMYFUNCTION("SUM(QUERY(Entregas_BD!D:AL,""select AK where D='""&amp;D117&amp;""'"",1))"),0.0)</f>
        <v>0</v>
      </c>
      <c r="Z117" s="19">
        <v>0.0</v>
      </c>
      <c r="AA117" s="19">
        <v>0.0</v>
      </c>
      <c r="AB117" s="19">
        <v>0.0</v>
      </c>
      <c r="AC117" s="19">
        <v>0.0</v>
      </c>
      <c r="AD117" s="19">
        <v>0.0</v>
      </c>
      <c r="AE117" s="19">
        <v>0.0</v>
      </c>
      <c r="AF117" s="31" t="s">
        <v>386</v>
      </c>
      <c r="AG117" s="24">
        <f>IFERROR(__xludf.DUMMYFUNCTION("SUM(QUERY(Entregas_BD!D:W,""select U where D='""&amp;D117&amp;""'"",1))"),0.0)</f>
        <v>0</v>
      </c>
      <c r="AH117" s="24">
        <f>IFERROR(__xludf.DUMMYFUNCTION("SUM(QUERY(Entregas_BD!D:W,""select S where D='""&amp;D117&amp;""'"",1))"),0.0)</f>
        <v>0</v>
      </c>
      <c r="AI117" s="24">
        <f>IFERROR(__xludf.DUMMYFUNCTION("SUM(QUERY(Entregas_BD!D:W,""select T where D='""&amp;D117&amp;""'"",1))"),0.0)</f>
        <v>0</v>
      </c>
    </row>
    <row r="118" ht="19.5" customHeight="1">
      <c r="A118" s="7"/>
      <c r="B118" s="8"/>
      <c r="C118" s="9">
        <v>117.0</v>
      </c>
      <c r="D118" s="10" t="s">
        <v>387</v>
      </c>
      <c r="E118" s="10" t="s">
        <v>38</v>
      </c>
      <c r="F118" s="10" t="s">
        <v>188</v>
      </c>
      <c r="G118" s="10" t="s">
        <v>72</v>
      </c>
      <c r="H118" s="12" t="s">
        <v>69</v>
      </c>
      <c r="I118" s="11" t="s">
        <v>47</v>
      </c>
      <c r="J118" s="13"/>
      <c r="K118" s="12"/>
      <c r="L118" s="13"/>
      <c r="M118" s="14"/>
      <c r="N118" s="9">
        <f>IFERROR(__xludf.DUMMYFUNCTION("SUM(QUERY(Entregas_BD!D:L,""select G where D='""&amp;D118&amp;""'"",1))"),0.0)</f>
        <v>0</v>
      </c>
      <c r="O118" s="9">
        <f>IFERROR(__xludf.DUMMYFUNCTION("SUM(QUERY(Entregas_BD!D:L,""select H where D='""&amp;D118&amp;""'"",1))"),0.0)</f>
        <v>0</v>
      </c>
      <c r="P118" s="9">
        <f>IFERROR(__xludf.DUMMYFUNCTION("SUM(QUERY(Entregas_BD!D:L,""select I where D='""&amp;D118&amp;""'"",1))"),0.0)</f>
        <v>0</v>
      </c>
      <c r="Q118" s="9">
        <f>IFERROR(__xludf.DUMMYFUNCTION("SUM(QUERY(Entregas_BD!D:L,""select J where D='""&amp;D118&amp;""'"",1))"),0.0)</f>
        <v>0</v>
      </c>
      <c r="R118" s="15">
        <f>IFERROR(__xludf.DUMMYFUNCTION("SUM(QUERY(Entregas_BD!D:L,""select K where D='""&amp;D118&amp;""'"",1))"),0.0)</f>
        <v>0</v>
      </c>
      <c r="S118" s="15">
        <f>IFERROR(__xludf.DUMMYFUNCTION("SUM(QUERY(Entregas_BD!D:L,""select L where D='""&amp;D118&amp;""'"",1))"),0.0)</f>
        <v>0</v>
      </c>
      <c r="T118" s="9">
        <f>IFERROR(__xludf.DUMMYFUNCTION("SUM(QUERY(Entregas_BD!D:AL,""select AG where D='""&amp;D118&amp;""'"",1))"),0.0)</f>
        <v>0</v>
      </c>
      <c r="U118" s="9">
        <f>IFERROR(__xludf.DUMMYFUNCTION("SUM(QUERY(Entregas_BD!D:AL,""select AH where D='""&amp;D118&amp;""'"",1))"),0.0)</f>
        <v>0</v>
      </c>
      <c r="V118" s="9">
        <f>IFERROR(__xludf.DUMMYFUNCTION("SUM(QUERY(Entregas_BD!D:AL,""select AI where D='""&amp;D118&amp;""'"",1))"),0.0)</f>
        <v>0</v>
      </c>
      <c r="W118" s="9">
        <f>IFERROR(__xludf.DUMMYFUNCTION("SUM(QUERY(Entregas_BD!D:AL,""select AJ where D='""&amp;D118&amp;""'"",1))"),0.0)</f>
        <v>0</v>
      </c>
      <c r="X118" s="9">
        <f>IFERROR(__xludf.DUMMYFUNCTION("SUM(QUERY(Entregas_BD!D:AL,""select AL where D='""&amp;D118&amp;""'"",1))"),0.0)</f>
        <v>0</v>
      </c>
      <c r="Y118" s="9">
        <f>IFERROR(__xludf.DUMMYFUNCTION("SUM(QUERY(Entregas_BD!D:AL,""select AK where D='""&amp;D118&amp;""'"",1))"),0.0)</f>
        <v>0</v>
      </c>
      <c r="Z118" s="9">
        <v>0.0</v>
      </c>
      <c r="AA118" s="9">
        <v>0.0</v>
      </c>
      <c r="AB118" s="9">
        <v>0.0</v>
      </c>
      <c r="AC118" s="9">
        <v>0.0</v>
      </c>
      <c r="AD118" s="9">
        <v>0.0</v>
      </c>
      <c r="AE118" s="9">
        <v>0.0</v>
      </c>
      <c r="AF118" s="32" t="s">
        <v>388</v>
      </c>
      <c r="AG118" s="15">
        <f>IFERROR(__xludf.DUMMYFUNCTION("SUM(QUERY(Entregas_BD!D:W,""select U where D='""&amp;D118&amp;""'"",1))"),0.0)</f>
        <v>0</v>
      </c>
      <c r="AH118" s="15">
        <f>IFERROR(__xludf.DUMMYFUNCTION("SUM(QUERY(Entregas_BD!D:W,""select S where D='""&amp;D118&amp;""'"",1))"),0.0)</f>
        <v>0</v>
      </c>
      <c r="AI118" s="15">
        <f>IFERROR(__xludf.DUMMYFUNCTION("SUM(QUERY(Entregas_BD!D:W,""select T where D='""&amp;D118&amp;""'"",1))"),0.0)</f>
        <v>0</v>
      </c>
    </row>
    <row r="119" ht="19.5" customHeight="1">
      <c r="A119" s="28"/>
      <c r="B119" s="29"/>
      <c r="C119" s="19">
        <v>118.0</v>
      </c>
      <c r="D119" s="20" t="s">
        <v>389</v>
      </c>
      <c r="E119" s="20" t="s">
        <v>63</v>
      </c>
      <c r="F119" s="20" t="s">
        <v>139</v>
      </c>
      <c r="G119" s="20" t="s">
        <v>204</v>
      </c>
      <c r="H119" s="19" t="s">
        <v>40</v>
      </c>
      <c r="I119" s="21" t="s">
        <v>47</v>
      </c>
      <c r="J119" s="22"/>
      <c r="K119" s="22"/>
      <c r="L119" s="23"/>
      <c r="M119" s="36"/>
      <c r="N119" s="19">
        <f>IFERROR(__xludf.DUMMYFUNCTION("SUM(QUERY(Entregas_BD!D:L,""select G where D='""&amp;D119&amp;""'"",1))"),0.0)</f>
        <v>0</v>
      </c>
      <c r="O119" s="19">
        <f>IFERROR(__xludf.DUMMYFUNCTION("SUM(QUERY(Entregas_BD!D:L,""select H where D='""&amp;D119&amp;""'"",1))"),0.0)</f>
        <v>0</v>
      </c>
      <c r="P119" s="19">
        <f>IFERROR(__xludf.DUMMYFUNCTION("SUM(QUERY(Entregas_BD!D:L,""select I where D='""&amp;D119&amp;""'"",1))"),0.0)</f>
        <v>0</v>
      </c>
      <c r="Q119" s="19">
        <f>IFERROR(__xludf.DUMMYFUNCTION("SUM(QUERY(Entregas_BD!D:L,""select J where D='""&amp;D119&amp;""'"",1))"),0.0)</f>
        <v>0</v>
      </c>
      <c r="R119" s="24">
        <f>IFERROR(__xludf.DUMMYFUNCTION("SUM(QUERY(Entregas_BD!D:L,""select K where D='""&amp;D119&amp;""'"",1))"),0.0)</f>
        <v>0</v>
      </c>
      <c r="S119" s="24">
        <f>IFERROR(__xludf.DUMMYFUNCTION("SUM(QUERY(Entregas_BD!D:L,""select L where D='""&amp;D119&amp;""'"",1))"),0.0)</f>
        <v>0</v>
      </c>
      <c r="T119" s="19">
        <f>IFERROR(__xludf.DUMMYFUNCTION("SUM(QUERY(Entregas_BD!D:AL,""select AG where D='""&amp;D119&amp;""'"",1))"),0.0)</f>
        <v>0</v>
      </c>
      <c r="U119" s="19">
        <f>IFERROR(__xludf.DUMMYFUNCTION("SUM(QUERY(Entregas_BD!D:AL,""select AH where D='""&amp;D119&amp;""'"",1))"),0.0)</f>
        <v>0</v>
      </c>
      <c r="V119" s="19">
        <f>IFERROR(__xludf.DUMMYFUNCTION("SUM(QUERY(Entregas_BD!D:AL,""select AI where D='""&amp;D119&amp;""'"",1))"),0.0)</f>
        <v>0</v>
      </c>
      <c r="W119" s="19">
        <f>IFERROR(__xludf.DUMMYFUNCTION("SUM(QUERY(Entregas_BD!D:AL,""select AJ where D='""&amp;D119&amp;""'"",1))"),0.0)</f>
        <v>0</v>
      </c>
      <c r="X119" s="19">
        <f>IFERROR(__xludf.DUMMYFUNCTION("SUM(QUERY(Entregas_BD!D:AL,""select AL where D='""&amp;D119&amp;""'"",1))"),0.0)</f>
        <v>0</v>
      </c>
      <c r="Y119" s="19">
        <f>IFERROR(__xludf.DUMMYFUNCTION("SUM(QUERY(Entregas_BD!D:AL,""select AK where D='""&amp;D119&amp;""'"",1))"),0.0)</f>
        <v>0</v>
      </c>
      <c r="Z119" s="19">
        <v>0.0</v>
      </c>
      <c r="AA119" s="19">
        <v>0.0</v>
      </c>
      <c r="AB119" s="19">
        <v>0.0</v>
      </c>
      <c r="AC119" s="19">
        <v>0.0</v>
      </c>
      <c r="AD119" s="19">
        <v>0.0</v>
      </c>
      <c r="AE119" s="19">
        <v>0.0</v>
      </c>
      <c r="AF119" s="31" t="s">
        <v>390</v>
      </c>
      <c r="AG119" s="24">
        <f>IFERROR(__xludf.DUMMYFUNCTION("SUM(QUERY(Entregas_BD!D:W,""select U where D='""&amp;D119&amp;""'"",1))"),0.0)</f>
        <v>0</v>
      </c>
      <c r="AH119" s="24">
        <f>IFERROR(__xludf.DUMMYFUNCTION("SUM(QUERY(Entregas_BD!D:W,""select S where D='""&amp;D119&amp;""'"",1))"),0.0)</f>
        <v>0</v>
      </c>
      <c r="AI119" s="24">
        <f>IFERROR(__xludf.DUMMYFUNCTION("SUM(QUERY(Entregas_BD!D:W,""select T where D='""&amp;D119&amp;""'"",1))"),0.0)</f>
        <v>0</v>
      </c>
    </row>
    <row r="120" ht="19.5" customHeight="1">
      <c r="A120" s="7"/>
      <c r="B120" s="8"/>
      <c r="C120" s="9">
        <v>119.0</v>
      </c>
      <c r="D120" s="10" t="s">
        <v>391</v>
      </c>
      <c r="E120" s="10" t="s">
        <v>63</v>
      </c>
      <c r="F120" s="10" t="s">
        <v>139</v>
      </c>
      <c r="G120" s="10" t="s">
        <v>392</v>
      </c>
      <c r="H120" s="9" t="s">
        <v>51</v>
      </c>
      <c r="I120" s="11" t="s">
        <v>47</v>
      </c>
      <c r="J120" s="12"/>
      <c r="K120" s="12"/>
      <c r="L120" s="13"/>
      <c r="M120" s="14"/>
      <c r="N120" s="9">
        <f>IFERROR(__xludf.DUMMYFUNCTION("SUM(QUERY(Entregas_BD!D:L,""select G where D='""&amp;D120&amp;""'"",1))"),0.0)</f>
        <v>0</v>
      </c>
      <c r="O120" s="9">
        <f>IFERROR(__xludf.DUMMYFUNCTION("SUM(QUERY(Entregas_BD!D:L,""select H where D='""&amp;D120&amp;""'"",1))"),0.0)</f>
        <v>0</v>
      </c>
      <c r="P120" s="9">
        <f>IFERROR(__xludf.DUMMYFUNCTION("SUM(QUERY(Entregas_BD!D:L,""select I where D='""&amp;D120&amp;""'"",1))"),0.0)</f>
        <v>0</v>
      </c>
      <c r="Q120" s="9">
        <f>IFERROR(__xludf.DUMMYFUNCTION("SUM(QUERY(Entregas_BD!D:L,""select J where D='""&amp;D120&amp;""'"",1))"),0.0)</f>
        <v>0</v>
      </c>
      <c r="R120" s="15">
        <f>IFERROR(__xludf.DUMMYFUNCTION("SUM(QUERY(Entregas_BD!D:L,""select K where D='""&amp;D120&amp;""'"",1))"),0.0)</f>
        <v>0</v>
      </c>
      <c r="S120" s="15">
        <f>IFERROR(__xludf.DUMMYFUNCTION("SUM(QUERY(Entregas_BD!D:L,""select L where D='""&amp;D120&amp;""'"",1))"),0.0)</f>
        <v>0</v>
      </c>
      <c r="T120" s="9">
        <f>IFERROR(__xludf.DUMMYFUNCTION("SUM(QUERY(Entregas_BD!D:AL,""select AG where D='""&amp;D120&amp;""'"",1))"),0.0)</f>
        <v>0</v>
      </c>
      <c r="U120" s="9">
        <f>IFERROR(__xludf.DUMMYFUNCTION("SUM(QUERY(Entregas_BD!D:AL,""select AH where D='""&amp;D120&amp;""'"",1))"),0.0)</f>
        <v>0</v>
      </c>
      <c r="V120" s="9">
        <f>IFERROR(__xludf.DUMMYFUNCTION("SUM(QUERY(Entregas_BD!D:AL,""select AI where D='""&amp;D120&amp;""'"",1))"),0.0)</f>
        <v>0</v>
      </c>
      <c r="W120" s="9">
        <f>IFERROR(__xludf.DUMMYFUNCTION("SUM(QUERY(Entregas_BD!D:AL,""select AJ where D='""&amp;D120&amp;""'"",1))"),0.0)</f>
        <v>0</v>
      </c>
      <c r="X120" s="9">
        <f>IFERROR(__xludf.DUMMYFUNCTION("SUM(QUERY(Entregas_BD!D:AL,""select AL where D='""&amp;D120&amp;""'"",1))"),0.0)</f>
        <v>0</v>
      </c>
      <c r="Y120" s="9">
        <f>IFERROR(__xludf.DUMMYFUNCTION("SUM(QUERY(Entregas_BD!D:AL,""select AK where D='""&amp;D120&amp;""'"",1))"),0.0)</f>
        <v>0</v>
      </c>
      <c r="Z120" s="9">
        <v>0.0</v>
      </c>
      <c r="AA120" s="9">
        <v>0.0</v>
      </c>
      <c r="AB120" s="9">
        <v>0.0</v>
      </c>
      <c r="AC120" s="9">
        <v>0.0</v>
      </c>
      <c r="AD120" s="9">
        <v>0.0</v>
      </c>
      <c r="AE120" s="9">
        <v>0.0</v>
      </c>
      <c r="AF120" s="16" t="s">
        <v>393</v>
      </c>
      <c r="AG120" s="15">
        <f>IFERROR(__xludf.DUMMYFUNCTION("SUM(QUERY(Entregas_BD!D:W,""select U where D='""&amp;D120&amp;""'"",1))"),0.0)</f>
        <v>0</v>
      </c>
      <c r="AH120" s="15">
        <f>IFERROR(__xludf.DUMMYFUNCTION("SUM(QUERY(Entregas_BD!D:W,""select S where D='""&amp;D120&amp;""'"",1))"),0.0)</f>
        <v>0</v>
      </c>
      <c r="AI120" s="15">
        <f>IFERROR(__xludf.DUMMYFUNCTION("SUM(QUERY(Entregas_BD!D:W,""select T where D='""&amp;D120&amp;""'"",1))"),0.0)</f>
        <v>0</v>
      </c>
    </row>
    <row r="121" ht="19.5" customHeight="1">
      <c r="A121" s="28"/>
      <c r="B121" s="29"/>
      <c r="C121" s="19">
        <v>120.0</v>
      </c>
      <c r="D121" s="20" t="s">
        <v>394</v>
      </c>
      <c r="E121" s="20" t="s">
        <v>58</v>
      </c>
      <c r="F121" s="20" t="s">
        <v>45</v>
      </c>
      <c r="G121" s="20" t="s">
        <v>59</v>
      </c>
      <c r="H121" s="19" t="s">
        <v>51</v>
      </c>
      <c r="I121" s="21" t="s">
        <v>47</v>
      </c>
      <c r="J121" s="19"/>
      <c r="K121" s="22"/>
      <c r="L121" s="23"/>
      <c r="M121" s="22"/>
      <c r="N121" s="19">
        <f>IFERROR(__xludf.DUMMYFUNCTION("SUM(QUERY(Entregas_BD!D:L,""select G where D='""&amp;D121&amp;""'"",1))"),0.0)</f>
        <v>0</v>
      </c>
      <c r="O121" s="19">
        <f>IFERROR(__xludf.DUMMYFUNCTION("SUM(QUERY(Entregas_BD!D:L,""select H where D='""&amp;D121&amp;""'"",1))"),0.0)</f>
        <v>0</v>
      </c>
      <c r="P121" s="19">
        <f>IFERROR(__xludf.DUMMYFUNCTION("SUM(QUERY(Entregas_BD!D:L,""select I where D='""&amp;D121&amp;""'"",1))"),0.0)</f>
        <v>0</v>
      </c>
      <c r="Q121" s="19">
        <f>IFERROR(__xludf.DUMMYFUNCTION("SUM(QUERY(Entregas_BD!D:L,""select J where D='""&amp;D121&amp;""'"",1))"),0.0)</f>
        <v>0</v>
      </c>
      <c r="R121" s="24">
        <f>IFERROR(__xludf.DUMMYFUNCTION("SUM(QUERY(Entregas_BD!D:L,""select K where D='""&amp;D121&amp;""'"",1))"),0.0)</f>
        <v>0</v>
      </c>
      <c r="S121" s="24">
        <f>IFERROR(__xludf.DUMMYFUNCTION("SUM(QUERY(Entregas_BD!D:L,""select L where D='""&amp;D121&amp;""'"",1))"),0.0)</f>
        <v>0</v>
      </c>
      <c r="T121" s="19">
        <f>IFERROR(__xludf.DUMMYFUNCTION("SUM(QUERY(Entregas_BD!D:AL,""select AG where D='""&amp;D121&amp;""'"",1))"),0.0)</f>
        <v>0</v>
      </c>
      <c r="U121" s="19">
        <f>IFERROR(__xludf.DUMMYFUNCTION("SUM(QUERY(Entregas_BD!D:AL,""select AH where D='""&amp;D121&amp;""'"",1))"),0.0)</f>
        <v>0</v>
      </c>
      <c r="V121" s="19">
        <f>IFERROR(__xludf.DUMMYFUNCTION("SUM(QUERY(Entregas_BD!D:AL,""select AI where D='""&amp;D121&amp;""'"",1))"),0.0)</f>
        <v>0</v>
      </c>
      <c r="W121" s="19">
        <f>IFERROR(__xludf.DUMMYFUNCTION("SUM(QUERY(Entregas_BD!D:AL,""select AJ where D='""&amp;D121&amp;""'"",1))"),0.0)</f>
        <v>0</v>
      </c>
      <c r="X121" s="19">
        <f>IFERROR(__xludf.DUMMYFUNCTION("SUM(QUERY(Entregas_BD!D:AL,""select AL where D='""&amp;D121&amp;""'"",1))"),0.0)</f>
        <v>0</v>
      </c>
      <c r="Y121" s="19">
        <f>IFERROR(__xludf.DUMMYFUNCTION("SUM(QUERY(Entregas_BD!D:AL,""select AK where D='""&amp;D121&amp;""'"",1))"),0.0)</f>
        <v>0</v>
      </c>
      <c r="Z121" s="19">
        <v>0.0</v>
      </c>
      <c r="AA121" s="19">
        <v>0.0</v>
      </c>
      <c r="AB121" s="19">
        <v>0.0</v>
      </c>
      <c r="AC121" s="19">
        <v>0.0</v>
      </c>
      <c r="AD121" s="19">
        <v>0.0</v>
      </c>
      <c r="AE121" s="19">
        <v>0.0</v>
      </c>
      <c r="AF121" s="31" t="s">
        <v>395</v>
      </c>
      <c r="AG121" s="24">
        <f>IFERROR(__xludf.DUMMYFUNCTION("SUM(QUERY(Entregas_BD!D:W,""select U where D='""&amp;D121&amp;""'"",1))"),0.0)</f>
        <v>0</v>
      </c>
      <c r="AH121" s="24">
        <f>IFERROR(__xludf.DUMMYFUNCTION("SUM(QUERY(Entregas_BD!D:W,""select S where D='""&amp;D121&amp;""'"",1))"),0.0)</f>
        <v>0</v>
      </c>
      <c r="AI121" s="24">
        <f>IFERROR(__xludf.DUMMYFUNCTION("SUM(QUERY(Entregas_BD!D:W,""select T where D='""&amp;D121&amp;""'"",1))"),0.0)</f>
        <v>0</v>
      </c>
    </row>
    <row r="122" ht="19.5" customHeight="1">
      <c r="A122" s="7"/>
      <c r="B122" s="8"/>
      <c r="C122" s="9">
        <v>121.0</v>
      </c>
      <c r="D122" s="10" t="s">
        <v>396</v>
      </c>
      <c r="E122" s="10" t="s">
        <v>58</v>
      </c>
      <c r="F122" s="10" t="s">
        <v>45</v>
      </c>
      <c r="G122" s="10" t="s">
        <v>59</v>
      </c>
      <c r="H122" s="9" t="s">
        <v>51</v>
      </c>
      <c r="I122" s="11" t="s">
        <v>47</v>
      </c>
      <c r="J122" s="9"/>
      <c r="K122" s="12"/>
      <c r="L122" s="13"/>
      <c r="M122" s="12"/>
      <c r="N122" s="9">
        <f>IFERROR(__xludf.DUMMYFUNCTION("SUM(QUERY(Entregas_BD!D:L,""select G where D='""&amp;D122&amp;""'"",1))"),0.0)</f>
        <v>0</v>
      </c>
      <c r="O122" s="9">
        <f>IFERROR(__xludf.DUMMYFUNCTION("SUM(QUERY(Entregas_BD!D:L,""select H where D='""&amp;D122&amp;""'"",1))"),0.0)</f>
        <v>0</v>
      </c>
      <c r="P122" s="9">
        <f>IFERROR(__xludf.DUMMYFUNCTION("SUM(QUERY(Entregas_BD!D:L,""select I where D='""&amp;D122&amp;""'"",1))"),0.0)</f>
        <v>0</v>
      </c>
      <c r="Q122" s="9">
        <f>IFERROR(__xludf.DUMMYFUNCTION("SUM(QUERY(Entregas_BD!D:L,""select J where D='""&amp;D122&amp;""'"",1))"),0.0)</f>
        <v>0</v>
      </c>
      <c r="R122" s="15">
        <f>IFERROR(__xludf.DUMMYFUNCTION("SUM(QUERY(Entregas_BD!D:L,""select K where D='""&amp;D122&amp;""'"",1))"),0.0)</f>
        <v>0</v>
      </c>
      <c r="S122" s="15">
        <f>IFERROR(__xludf.DUMMYFUNCTION("SUM(QUERY(Entregas_BD!D:L,""select L where D='""&amp;D122&amp;""'"",1))"),0.0)</f>
        <v>0</v>
      </c>
      <c r="T122" s="9">
        <f>IFERROR(__xludf.DUMMYFUNCTION("SUM(QUERY(Entregas_BD!D:AL,""select AG where D='""&amp;D122&amp;""'"",1))"),0.0)</f>
        <v>0</v>
      </c>
      <c r="U122" s="9">
        <f>IFERROR(__xludf.DUMMYFUNCTION("SUM(QUERY(Entregas_BD!D:AL,""select AH where D='""&amp;D122&amp;""'"",1))"),0.0)</f>
        <v>0</v>
      </c>
      <c r="V122" s="9">
        <f>IFERROR(__xludf.DUMMYFUNCTION("SUM(QUERY(Entregas_BD!D:AL,""select AI where D='""&amp;D122&amp;""'"",1))"),0.0)</f>
        <v>0</v>
      </c>
      <c r="W122" s="9">
        <f>IFERROR(__xludf.DUMMYFUNCTION("SUM(QUERY(Entregas_BD!D:AL,""select AJ where D='""&amp;D122&amp;""'"",1))"),0.0)</f>
        <v>0</v>
      </c>
      <c r="X122" s="9">
        <f>IFERROR(__xludf.DUMMYFUNCTION("SUM(QUERY(Entregas_BD!D:AL,""select AL where D='""&amp;D122&amp;""'"",1))"),0.0)</f>
        <v>0</v>
      </c>
      <c r="Y122" s="9">
        <f>IFERROR(__xludf.DUMMYFUNCTION("SUM(QUERY(Entregas_BD!D:AL,""select AK where D='""&amp;D122&amp;""'"",1))"),0.0)</f>
        <v>0</v>
      </c>
      <c r="Z122" s="9">
        <v>0.0</v>
      </c>
      <c r="AA122" s="9">
        <v>0.0</v>
      </c>
      <c r="AB122" s="9">
        <v>0.0</v>
      </c>
      <c r="AC122" s="9">
        <v>0.0</v>
      </c>
      <c r="AD122" s="9">
        <v>0.0</v>
      </c>
      <c r="AE122" s="9">
        <v>0.0</v>
      </c>
      <c r="AF122" s="32" t="s">
        <v>395</v>
      </c>
      <c r="AG122" s="15">
        <f>IFERROR(__xludf.DUMMYFUNCTION("SUM(QUERY(Entregas_BD!D:W,""select U where D='""&amp;D122&amp;""'"",1))"),0.0)</f>
        <v>0</v>
      </c>
      <c r="AH122" s="15">
        <f>IFERROR(__xludf.DUMMYFUNCTION("SUM(QUERY(Entregas_BD!D:W,""select S where D='""&amp;D122&amp;""'"",1))"),0.0)</f>
        <v>0</v>
      </c>
      <c r="AI122" s="15">
        <f>IFERROR(__xludf.DUMMYFUNCTION("SUM(QUERY(Entregas_BD!D:W,""select T where D='""&amp;D122&amp;""'"",1))"),0.0)</f>
        <v>0</v>
      </c>
    </row>
    <row r="123" ht="19.5" customHeight="1">
      <c r="A123" s="28"/>
      <c r="B123" s="29"/>
      <c r="C123" s="19">
        <v>122.0</v>
      </c>
      <c r="D123" s="20" t="s">
        <v>397</v>
      </c>
      <c r="E123" s="20" t="s">
        <v>38</v>
      </c>
      <c r="F123" s="20" t="s">
        <v>328</v>
      </c>
      <c r="G123" s="20" t="s">
        <v>149</v>
      </c>
      <c r="H123" s="19" t="s">
        <v>40</v>
      </c>
      <c r="I123" s="21" t="s">
        <v>47</v>
      </c>
      <c r="J123" s="23"/>
      <c r="K123" s="22"/>
      <c r="L123" s="23"/>
      <c r="M123" s="36"/>
      <c r="N123" s="19">
        <f>IFERROR(__xludf.DUMMYFUNCTION("SUM(QUERY(Entregas_BD!D:L,""select G where D='""&amp;D123&amp;""'"",1))"),0.0)</f>
        <v>0</v>
      </c>
      <c r="O123" s="19">
        <f>IFERROR(__xludf.DUMMYFUNCTION("SUM(QUERY(Entregas_BD!D:L,""select H where D='""&amp;D123&amp;""'"",1))"),0.0)</f>
        <v>0</v>
      </c>
      <c r="P123" s="19">
        <f>IFERROR(__xludf.DUMMYFUNCTION("SUM(QUERY(Entregas_BD!D:L,""select I where D='""&amp;D123&amp;""'"",1))"),0.0)</f>
        <v>0</v>
      </c>
      <c r="Q123" s="19">
        <f>IFERROR(__xludf.DUMMYFUNCTION("SUM(QUERY(Entregas_BD!D:L,""select J where D='""&amp;D123&amp;""'"",1))"),0.0)</f>
        <v>0</v>
      </c>
      <c r="R123" s="24">
        <f>IFERROR(__xludf.DUMMYFUNCTION("SUM(QUERY(Entregas_BD!D:L,""select K where D='""&amp;D123&amp;""'"",1))"),0.0)</f>
        <v>0</v>
      </c>
      <c r="S123" s="24">
        <f>IFERROR(__xludf.DUMMYFUNCTION("SUM(QUERY(Entregas_BD!D:L,""select L where D='""&amp;D123&amp;""'"",1))"),0.0)</f>
        <v>0</v>
      </c>
      <c r="T123" s="19">
        <f>IFERROR(__xludf.DUMMYFUNCTION("SUM(QUERY(Entregas_BD!D:AL,""select AG where D='""&amp;D123&amp;""'"",1))"),0.0)</f>
        <v>0</v>
      </c>
      <c r="U123" s="19">
        <f>IFERROR(__xludf.DUMMYFUNCTION("SUM(QUERY(Entregas_BD!D:AL,""select AH where D='""&amp;D123&amp;""'"",1))"),0.0)</f>
        <v>0</v>
      </c>
      <c r="V123" s="19">
        <f>IFERROR(__xludf.DUMMYFUNCTION("SUM(QUERY(Entregas_BD!D:AL,""select AI where D='""&amp;D123&amp;""'"",1))"),0.0)</f>
        <v>0</v>
      </c>
      <c r="W123" s="19">
        <f>IFERROR(__xludf.DUMMYFUNCTION("SUM(QUERY(Entregas_BD!D:AL,""select AJ where D='""&amp;D123&amp;""'"",1))"),0.0)</f>
        <v>0</v>
      </c>
      <c r="X123" s="19">
        <f>IFERROR(__xludf.DUMMYFUNCTION("SUM(QUERY(Entregas_BD!D:AL,""select AL where D='""&amp;D123&amp;""'"",1))"),0.0)</f>
        <v>0</v>
      </c>
      <c r="Y123" s="19">
        <f>IFERROR(__xludf.DUMMYFUNCTION("SUM(QUERY(Entregas_BD!D:AL,""select AK where D='""&amp;D123&amp;""'"",1))"),0.0)</f>
        <v>0</v>
      </c>
      <c r="Z123" s="19">
        <v>0.0</v>
      </c>
      <c r="AA123" s="19">
        <v>0.0</v>
      </c>
      <c r="AB123" s="19">
        <v>0.0</v>
      </c>
      <c r="AC123" s="19">
        <v>0.0</v>
      </c>
      <c r="AD123" s="19">
        <v>0.0</v>
      </c>
      <c r="AE123" s="19">
        <v>0.0</v>
      </c>
      <c r="AF123" s="31" t="s">
        <v>398</v>
      </c>
      <c r="AG123" s="24">
        <f>IFERROR(__xludf.DUMMYFUNCTION("SUM(QUERY(Entregas_BD!D:W,""select U where D='""&amp;D123&amp;""'"",1))"),0.0)</f>
        <v>0</v>
      </c>
      <c r="AH123" s="24">
        <f>IFERROR(__xludf.DUMMYFUNCTION("SUM(QUERY(Entregas_BD!D:W,""select S where D='""&amp;D123&amp;""'"",1))"),0.0)</f>
        <v>0</v>
      </c>
      <c r="AI123" s="24">
        <f>IFERROR(__xludf.DUMMYFUNCTION("SUM(QUERY(Entregas_BD!D:W,""select T where D='""&amp;D123&amp;""'"",1))"),0.0)</f>
        <v>0</v>
      </c>
    </row>
    <row r="124" ht="19.5" customHeight="1">
      <c r="A124" s="26"/>
      <c r="B124" s="27"/>
      <c r="C124" s="9">
        <v>123.0</v>
      </c>
      <c r="D124" s="10" t="s">
        <v>399</v>
      </c>
      <c r="E124" s="10" t="s">
        <v>44</v>
      </c>
      <c r="F124" s="10" t="s">
        <v>45</v>
      </c>
      <c r="G124" s="10" t="s">
        <v>46</v>
      </c>
      <c r="H124" s="9" t="s">
        <v>40</v>
      </c>
      <c r="I124" s="11" t="s">
        <v>47</v>
      </c>
      <c r="J124" s="9"/>
      <c r="K124" s="12"/>
      <c r="L124" s="13"/>
      <c r="M124" s="12"/>
      <c r="N124" s="9">
        <f>IFERROR(__xludf.DUMMYFUNCTION("SUM(QUERY(Entregas_BD!D:L,""select G where D='""&amp;D124&amp;""'"",1))"),0.0)</f>
        <v>0</v>
      </c>
      <c r="O124" s="9">
        <f>IFERROR(__xludf.DUMMYFUNCTION("SUM(QUERY(Entregas_BD!D:L,""select H where D='""&amp;D124&amp;""'"",1))"),0.0)</f>
        <v>0</v>
      </c>
      <c r="P124" s="9">
        <f>IFERROR(__xludf.DUMMYFUNCTION("SUM(QUERY(Entregas_BD!D:L,""select I where D='""&amp;D124&amp;""'"",1))"),0.0)</f>
        <v>0</v>
      </c>
      <c r="Q124" s="9">
        <f>IFERROR(__xludf.DUMMYFUNCTION("SUM(QUERY(Entregas_BD!D:L,""select J where D='""&amp;D124&amp;""'"",1))"),0.0)</f>
        <v>0</v>
      </c>
      <c r="R124" s="15">
        <f>IFERROR(__xludf.DUMMYFUNCTION("SUM(QUERY(Entregas_BD!D:L,""select K where D='""&amp;D124&amp;""'"",1))"),0.0)</f>
        <v>0</v>
      </c>
      <c r="S124" s="15">
        <f>IFERROR(__xludf.DUMMYFUNCTION("SUM(QUERY(Entregas_BD!D:L,""select L where D='""&amp;D124&amp;""'"",1))"),0.0)</f>
        <v>0</v>
      </c>
      <c r="T124" s="9">
        <f>IFERROR(__xludf.DUMMYFUNCTION("SUM(QUERY(Entregas_BD!D:AL,""select AG where D='""&amp;D124&amp;""'"",1))"),0.0)</f>
        <v>0</v>
      </c>
      <c r="U124" s="9">
        <f>IFERROR(__xludf.DUMMYFUNCTION("SUM(QUERY(Entregas_BD!D:AL,""select AH where D='""&amp;D124&amp;""'"",1))"),0.0)</f>
        <v>0</v>
      </c>
      <c r="V124" s="9">
        <f>IFERROR(__xludf.DUMMYFUNCTION("SUM(QUERY(Entregas_BD!D:AL,""select AI where D='""&amp;D124&amp;""'"",1))"),0.0)</f>
        <v>0</v>
      </c>
      <c r="W124" s="9">
        <f>IFERROR(__xludf.DUMMYFUNCTION("SUM(QUERY(Entregas_BD!D:AL,""select AJ where D='""&amp;D124&amp;""'"",1))"),0.0)</f>
        <v>0</v>
      </c>
      <c r="X124" s="9">
        <f>IFERROR(__xludf.DUMMYFUNCTION("SUM(QUERY(Entregas_BD!D:AL,""select AL where D='""&amp;D124&amp;""'"",1))"),0.0)</f>
        <v>0</v>
      </c>
      <c r="Y124" s="9">
        <f>IFERROR(__xludf.DUMMYFUNCTION("SUM(QUERY(Entregas_BD!D:AL,""select AK where D='""&amp;D124&amp;""'"",1))"),0.0)</f>
        <v>0</v>
      </c>
      <c r="Z124" s="9">
        <v>0.0</v>
      </c>
      <c r="AA124" s="9">
        <v>0.0</v>
      </c>
      <c r="AB124" s="9">
        <v>0.0</v>
      </c>
      <c r="AC124" s="9">
        <v>0.0</v>
      </c>
      <c r="AD124" s="9">
        <v>0.0</v>
      </c>
      <c r="AE124" s="9">
        <v>0.0</v>
      </c>
      <c r="AF124" s="32" t="s">
        <v>400</v>
      </c>
      <c r="AG124" s="15">
        <f>IFERROR(__xludf.DUMMYFUNCTION("SUM(QUERY(Entregas_BD!D:W,""select U where D='""&amp;D124&amp;""'"",1))"),0.0)</f>
        <v>0</v>
      </c>
      <c r="AH124" s="15">
        <f>IFERROR(__xludf.DUMMYFUNCTION("SUM(QUERY(Entregas_BD!D:W,""select S where D='""&amp;D124&amp;""'"",1))"),0.0)</f>
        <v>0</v>
      </c>
      <c r="AI124" s="15">
        <f>IFERROR(__xludf.DUMMYFUNCTION("SUM(QUERY(Entregas_BD!D:W,""select T where D='""&amp;D124&amp;""'"",1))"),0.0)</f>
        <v>0</v>
      </c>
    </row>
    <row r="125" ht="19.5" customHeight="1">
      <c r="A125" s="28"/>
      <c r="B125" s="29"/>
      <c r="C125" s="19">
        <v>124.0</v>
      </c>
      <c r="D125" s="20" t="s">
        <v>401</v>
      </c>
      <c r="E125" s="20" t="s">
        <v>153</v>
      </c>
      <c r="F125" s="20" t="s">
        <v>332</v>
      </c>
      <c r="G125" s="20" t="s">
        <v>402</v>
      </c>
      <c r="H125" s="22" t="s">
        <v>40</v>
      </c>
      <c r="I125" s="21" t="s">
        <v>41</v>
      </c>
      <c r="J125" s="22"/>
      <c r="K125" s="22"/>
      <c r="L125" s="23"/>
      <c r="M125" s="36"/>
      <c r="N125" s="19">
        <f>IFERROR(__xludf.DUMMYFUNCTION("SUM(QUERY(Entregas_BD!D:L,""select G where D='""&amp;D125&amp;""'"",1))"),0.0)</f>
        <v>0</v>
      </c>
      <c r="O125" s="19">
        <f>IFERROR(__xludf.DUMMYFUNCTION("SUM(QUERY(Entregas_BD!D:L,""select H where D='""&amp;D125&amp;""'"",1))"),0.0)</f>
        <v>0</v>
      </c>
      <c r="P125" s="19">
        <f>IFERROR(__xludf.DUMMYFUNCTION("SUM(QUERY(Entregas_BD!D:L,""select I where D='""&amp;D125&amp;""'"",1))"),0.0)</f>
        <v>0</v>
      </c>
      <c r="Q125" s="19">
        <f>IFERROR(__xludf.DUMMYFUNCTION("SUM(QUERY(Entregas_BD!D:L,""select J where D='""&amp;D125&amp;""'"",1))"),0.0)</f>
        <v>0</v>
      </c>
      <c r="R125" s="24">
        <f>IFERROR(__xludf.DUMMYFUNCTION("SUM(QUERY(Entregas_BD!D:L,""select K where D='""&amp;D125&amp;""'"",1))"),0.0)</f>
        <v>0</v>
      </c>
      <c r="S125" s="24">
        <f>IFERROR(__xludf.DUMMYFUNCTION("SUM(QUERY(Entregas_BD!D:L,""select L where D='""&amp;D125&amp;""'"",1))"),0.0)</f>
        <v>0</v>
      </c>
      <c r="T125" s="19">
        <f>IFERROR(__xludf.DUMMYFUNCTION("SUM(QUERY(Entregas_BD!D:AL,""select AG where D='""&amp;D125&amp;""'"",1))"),0.0)</f>
        <v>0</v>
      </c>
      <c r="U125" s="19">
        <f>IFERROR(__xludf.DUMMYFUNCTION("SUM(QUERY(Entregas_BD!D:AL,""select AH where D='""&amp;D125&amp;""'"",1))"),0.0)</f>
        <v>0</v>
      </c>
      <c r="V125" s="19">
        <f>IFERROR(__xludf.DUMMYFUNCTION("SUM(QUERY(Entregas_BD!D:AL,""select AI where D='""&amp;D125&amp;""'"",1))"),0.0)</f>
        <v>0</v>
      </c>
      <c r="W125" s="19">
        <f>IFERROR(__xludf.DUMMYFUNCTION("SUM(QUERY(Entregas_BD!D:AL,""select AJ where D='""&amp;D125&amp;""'"",1))"),0.0)</f>
        <v>0</v>
      </c>
      <c r="X125" s="19">
        <f>IFERROR(__xludf.DUMMYFUNCTION("SUM(QUERY(Entregas_BD!D:AL,""select AL where D='""&amp;D125&amp;""'"",1))"),0.0)</f>
        <v>0</v>
      </c>
      <c r="Y125" s="19">
        <f>IFERROR(__xludf.DUMMYFUNCTION("SUM(QUERY(Entregas_BD!D:AL,""select AK where D='""&amp;D125&amp;""'"",1))"),0.0)</f>
        <v>0</v>
      </c>
      <c r="Z125" s="19">
        <v>0.0</v>
      </c>
      <c r="AA125" s="19">
        <v>0.0</v>
      </c>
      <c r="AB125" s="19">
        <v>0.0</v>
      </c>
      <c r="AC125" s="19">
        <v>0.0</v>
      </c>
      <c r="AD125" s="19">
        <v>0.0</v>
      </c>
      <c r="AE125" s="19">
        <v>0.0</v>
      </c>
      <c r="AF125" s="31" t="s">
        <v>403</v>
      </c>
      <c r="AG125" s="24">
        <f>IFERROR(__xludf.DUMMYFUNCTION("SUM(QUERY(Entregas_BD!D:W,""select U where D='""&amp;D125&amp;""'"",1))"),0.0)</f>
        <v>0</v>
      </c>
      <c r="AH125" s="24">
        <f>IFERROR(__xludf.DUMMYFUNCTION("SUM(QUERY(Entregas_BD!D:W,""select S where D='""&amp;D125&amp;""'"",1))"),0.0)</f>
        <v>0</v>
      </c>
      <c r="AI125" s="24">
        <f>IFERROR(__xludf.DUMMYFUNCTION("SUM(QUERY(Entregas_BD!D:W,""select T where D='""&amp;D125&amp;""'"",1))"),0.0)</f>
        <v>0</v>
      </c>
    </row>
    <row r="126" ht="19.5" customHeight="1">
      <c r="A126" s="7"/>
      <c r="B126" s="8"/>
      <c r="C126" s="9">
        <v>125.0</v>
      </c>
      <c r="D126" s="10" t="s">
        <v>404</v>
      </c>
      <c r="E126" s="10" t="s">
        <v>58</v>
      </c>
      <c r="F126" s="10" t="s">
        <v>45</v>
      </c>
      <c r="G126" s="10" t="s">
        <v>59</v>
      </c>
      <c r="H126" s="9" t="s">
        <v>51</v>
      </c>
      <c r="I126" s="11" t="s">
        <v>47</v>
      </c>
      <c r="J126" s="9"/>
      <c r="K126" s="12"/>
      <c r="L126" s="13"/>
      <c r="M126" s="12"/>
      <c r="N126" s="9">
        <f>IFERROR(__xludf.DUMMYFUNCTION("SUM(QUERY(Entregas_BD!D:L,""select G where D='""&amp;D126&amp;""'"",1))"),0.0)</f>
        <v>0</v>
      </c>
      <c r="O126" s="9">
        <f>IFERROR(__xludf.DUMMYFUNCTION("SUM(QUERY(Entregas_BD!D:L,""select H where D='""&amp;D126&amp;""'"",1))"),0.0)</f>
        <v>0</v>
      </c>
      <c r="P126" s="9">
        <f>IFERROR(__xludf.DUMMYFUNCTION("SUM(QUERY(Entregas_BD!D:L,""select I where D='""&amp;D126&amp;""'"",1))"),0.0)</f>
        <v>0</v>
      </c>
      <c r="Q126" s="9">
        <f>IFERROR(__xludf.DUMMYFUNCTION("SUM(QUERY(Entregas_BD!D:L,""select J where D='""&amp;D126&amp;""'"",1))"),0.0)</f>
        <v>0</v>
      </c>
      <c r="R126" s="15">
        <f>IFERROR(__xludf.DUMMYFUNCTION("SUM(QUERY(Entregas_BD!D:L,""select K where D='""&amp;D126&amp;""'"",1))"),0.0)</f>
        <v>0</v>
      </c>
      <c r="S126" s="15">
        <f>IFERROR(__xludf.DUMMYFUNCTION("SUM(QUERY(Entregas_BD!D:L,""select L where D='""&amp;D126&amp;""'"",1))"),0.0)</f>
        <v>0</v>
      </c>
      <c r="T126" s="9">
        <f>IFERROR(__xludf.DUMMYFUNCTION("SUM(QUERY(Entregas_BD!D:AL,""select AG where D='""&amp;D126&amp;""'"",1))"),0.0)</f>
        <v>0</v>
      </c>
      <c r="U126" s="9">
        <f>IFERROR(__xludf.DUMMYFUNCTION("SUM(QUERY(Entregas_BD!D:AL,""select AH where D='""&amp;D126&amp;""'"",1))"),0.0)</f>
        <v>0</v>
      </c>
      <c r="V126" s="9">
        <f>IFERROR(__xludf.DUMMYFUNCTION("SUM(QUERY(Entregas_BD!D:AL,""select AI where D='""&amp;D126&amp;""'"",1))"),0.0)</f>
        <v>0</v>
      </c>
      <c r="W126" s="9">
        <f>IFERROR(__xludf.DUMMYFUNCTION("SUM(QUERY(Entregas_BD!D:AL,""select AJ where D='""&amp;D126&amp;""'"",1))"),0.0)</f>
        <v>0</v>
      </c>
      <c r="X126" s="9">
        <f>IFERROR(__xludf.DUMMYFUNCTION("SUM(QUERY(Entregas_BD!D:AL,""select AL where D='""&amp;D126&amp;""'"",1))"),0.0)</f>
        <v>0</v>
      </c>
      <c r="Y126" s="9">
        <f>IFERROR(__xludf.DUMMYFUNCTION("SUM(QUERY(Entregas_BD!D:AL,""select AK where D='""&amp;D126&amp;""'"",1))"),0.0)</f>
        <v>0</v>
      </c>
      <c r="Z126" s="9">
        <v>0.0</v>
      </c>
      <c r="AA126" s="9">
        <v>0.0</v>
      </c>
      <c r="AB126" s="9">
        <v>0.0</v>
      </c>
      <c r="AC126" s="9">
        <v>0.0</v>
      </c>
      <c r="AD126" s="9">
        <v>0.0</v>
      </c>
      <c r="AE126" s="9">
        <v>0.0</v>
      </c>
      <c r="AF126" s="16" t="s">
        <v>405</v>
      </c>
      <c r="AG126" s="15">
        <f>IFERROR(__xludf.DUMMYFUNCTION("SUM(QUERY(Entregas_BD!D:W,""select U where D='""&amp;D126&amp;""'"",1))"),0.0)</f>
        <v>0</v>
      </c>
      <c r="AH126" s="15">
        <f>IFERROR(__xludf.DUMMYFUNCTION("SUM(QUERY(Entregas_BD!D:W,""select S where D='""&amp;D126&amp;""'"",1))"),0.0)</f>
        <v>0</v>
      </c>
      <c r="AI126" s="15">
        <f>IFERROR(__xludf.DUMMYFUNCTION("SUM(QUERY(Entregas_BD!D:W,""select T where D='""&amp;D126&amp;""'"",1))"),0.0)</f>
        <v>0</v>
      </c>
    </row>
    <row r="127" ht="19.5" customHeight="1">
      <c r="A127" s="28"/>
      <c r="B127" s="29"/>
      <c r="C127" s="19">
        <v>126.0</v>
      </c>
      <c r="D127" s="20" t="s">
        <v>406</v>
      </c>
      <c r="E127" s="20" t="s">
        <v>58</v>
      </c>
      <c r="F127" s="20" t="s">
        <v>45</v>
      </c>
      <c r="G127" s="20" t="s">
        <v>407</v>
      </c>
      <c r="H127" s="19" t="s">
        <v>51</v>
      </c>
      <c r="I127" s="21" t="s">
        <v>47</v>
      </c>
      <c r="J127" s="19"/>
      <c r="K127" s="22"/>
      <c r="L127" s="23"/>
      <c r="M127" s="22"/>
      <c r="N127" s="19">
        <f>IFERROR(__xludf.DUMMYFUNCTION("SUM(QUERY(Entregas_BD!D:L,""select G where D='""&amp;D127&amp;""'"",1))"),0.0)</f>
        <v>0</v>
      </c>
      <c r="O127" s="19">
        <f>IFERROR(__xludf.DUMMYFUNCTION("SUM(QUERY(Entregas_BD!D:L,""select H where D='""&amp;D127&amp;""'"",1))"),0.0)</f>
        <v>0</v>
      </c>
      <c r="P127" s="19">
        <f>IFERROR(__xludf.DUMMYFUNCTION("SUM(QUERY(Entregas_BD!D:L,""select I where D='""&amp;D127&amp;""'"",1))"),0.0)</f>
        <v>0</v>
      </c>
      <c r="Q127" s="19">
        <f>IFERROR(__xludf.DUMMYFUNCTION("SUM(QUERY(Entregas_BD!D:L,""select J where D='""&amp;D127&amp;""'"",1))"),0.0)</f>
        <v>0</v>
      </c>
      <c r="R127" s="24">
        <f>IFERROR(__xludf.DUMMYFUNCTION("SUM(QUERY(Entregas_BD!D:L,""select K where D='""&amp;D127&amp;""'"",1))"),0.0)</f>
        <v>0</v>
      </c>
      <c r="S127" s="24">
        <f>IFERROR(__xludf.DUMMYFUNCTION("SUM(QUERY(Entregas_BD!D:L,""select L where D='""&amp;D127&amp;""'"",1))"),0.0)</f>
        <v>0</v>
      </c>
      <c r="T127" s="19">
        <f>IFERROR(__xludf.DUMMYFUNCTION("SUM(QUERY(Entregas_BD!D:AL,""select AG where D='""&amp;D127&amp;""'"",1))"),0.0)</f>
        <v>0</v>
      </c>
      <c r="U127" s="19">
        <f>IFERROR(__xludf.DUMMYFUNCTION("SUM(QUERY(Entregas_BD!D:AL,""select AH where D='""&amp;D127&amp;""'"",1))"),0.0)</f>
        <v>0</v>
      </c>
      <c r="V127" s="19">
        <f>IFERROR(__xludf.DUMMYFUNCTION("SUM(QUERY(Entregas_BD!D:AL,""select AI where D='""&amp;D127&amp;""'"",1))"),0.0)</f>
        <v>0</v>
      </c>
      <c r="W127" s="19">
        <f>IFERROR(__xludf.DUMMYFUNCTION("SUM(QUERY(Entregas_BD!D:AL,""select AJ where D='""&amp;D127&amp;""'"",1))"),0.0)</f>
        <v>0</v>
      </c>
      <c r="X127" s="19">
        <f>IFERROR(__xludf.DUMMYFUNCTION("SUM(QUERY(Entregas_BD!D:AL,""select AL where D='""&amp;D127&amp;""'"",1))"),0.0)</f>
        <v>0</v>
      </c>
      <c r="Y127" s="19">
        <f>IFERROR(__xludf.DUMMYFUNCTION("SUM(QUERY(Entregas_BD!D:AL,""select AK where D='""&amp;D127&amp;""'"",1))"),0.0)</f>
        <v>0</v>
      </c>
      <c r="Z127" s="19">
        <v>0.0</v>
      </c>
      <c r="AA127" s="19">
        <v>0.0</v>
      </c>
      <c r="AB127" s="19">
        <v>0.0</v>
      </c>
      <c r="AC127" s="19">
        <v>0.0</v>
      </c>
      <c r="AD127" s="19">
        <v>0.0</v>
      </c>
      <c r="AE127" s="19">
        <v>0.0</v>
      </c>
      <c r="AF127" s="31" t="s">
        <v>408</v>
      </c>
      <c r="AG127" s="24">
        <f>IFERROR(__xludf.DUMMYFUNCTION("SUM(QUERY(Entregas_BD!D:W,""select U where D='""&amp;D127&amp;""'"",1))"),0.0)</f>
        <v>0</v>
      </c>
      <c r="AH127" s="24">
        <f>IFERROR(__xludf.DUMMYFUNCTION("SUM(QUERY(Entregas_BD!D:W,""select S where D='""&amp;D127&amp;""'"",1))"),0.0)</f>
        <v>0</v>
      </c>
      <c r="AI127" s="24">
        <f>IFERROR(__xludf.DUMMYFUNCTION("SUM(QUERY(Entregas_BD!D:W,""select T where D='""&amp;D127&amp;""'"",1))"),0.0)</f>
        <v>0</v>
      </c>
    </row>
    <row r="128" ht="19.5" customHeight="1">
      <c r="A128" s="7"/>
      <c r="B128" s="8"/>
      <c r="C128" s="9">
        <v>127.0</v>
      </c>
      <c r="D128" s="10" t="s">
        <v>409</v>
      </c>
      <c r="E128" s="10" t="s">
        <v>58</v>
      </c>
      <c r="F128" s="10" t="s">
        <v>45</v>
      </c>
      <c r="G128" s="10" t="s">
        <v>59</v>
      </c>
      <c r="H128" s="9" t="s">
        <v>51</v>
      </c>
      <c r="I128" s="11" t="s">
        <v>47</v>
      </c>
      <c r="J128" s="9"/>
      <c r="K128" s="12"/>
      <c r="L128" s="13"/>
      <c r="M128" s="12"/>
      <c r="N128" s="9">
        <f>IFERROR(__xludf.DUMMYFUNCTION("SUM(QUERY(Entregas_BD!D:L,""select G where D='""&amp;D128&amp;""'"",1))"),0.0)</f>
        <v>0</v>
      </c>
      <c r="O128" s="9">
        <f>IFERROR(__xludf.DUMMYFUNCTION("SUM(QUERY(Entregas_BD!D:L,""select H where D='""&amp;D128&amp;""'"",1))"),0.0)</f>
        <v>0</v>
      </c>
      <c r="P128" s="9">
        <f>IFERROR(__xludf.DUMMYFUNCTION("SUM(QUERY(Entregas_BD!D:L,""select I where D='""&amp;D128&amp;""'"",1))"),0.0)</f>
        <v>0</v>
      </c>
      <c r="Q128" s="9">
        <f>IFERROR(__xludf.DUMMYFUNCTION("SUM(QUERY(Entregas_BD!D:L,""select J where D='""&amp;D128&amp;""'"",1))"),0.0)</f>
        <v>0</v>
      </c>
      <c r="R128" s="15">
        <f>IFERROR(__xludf.DUMMYFUNCTION("SUM(QUERY(Entregas_BD!D:L,""select K where D='""&amp;D128&amp;""'"",1))"),0.0)</f>
        <v>0</v>
      </c>
      <c r="S128" s="15">
        <f>IFERROR(__xludf.DUMMYFUNCTION("SUM(QUERY(Entregas_BD!D:L,""select L where D='""&amp;D128&amp;""'"",1))"),0.0)</f>
        <v>0</v>
      </c>
      <c r="T128" s="9">
        <f>IFERROR(__xludf.DUMMYFUNCTION("SUM(QUERY(Entregas_BD!D:AL,""select AG where D='""&amp;D128&amp;""'"",1))"),0.0)</f>
        <v>0</v>
      </c>
      <c r="U128" s="9">
        <f>IFERROR(__xludf.DUMMYFUNCTION("SUM(QUERY(Entregas_BD!D:AL,""select AH where D='""&amp;D128&amp;""'"",1))"),0.0)</f>
        <v>0</v>
      </c>
      <c r="V128" s="9">
        <f>IFERROR(__xludf.DUMMYFUNCTION("SUM(QUERY(Entregas_BD!D:AL,""select AI where D='""&amp;D128&amp;""'"",1))"),0.0)</f>
        <v>0</v>
      </c>
      <c r="W128" s="9">
        <f>IFERROR(__xludf.DUMMYFUNCTION("SUM(QUERY(Entregas_BD!D:AL,""select AJ where D='""&amp;D128&amp;""'"",1))"),0.0)</f>
        <v>0</v>
      </c>
      <c r="X128" s="9">
        <f>IFERROR(__xludf.DUMMYFUNCTION("SUM(QUERY(Entregas_BD!D:AL,""select AL where D='""&amp;D128&amp;""'"",1))"),0.0)</f>
        <v>0</v>
      </c>
      <c r="Y128" s="9">
        <f>IFERROR(__xludf.DUMMYFUNCTION("SUM(QUERY(Entregas_BD!D:AL,""select AK where D='""&amp;D128&amp;""'"",1))"),0.0)</f>
        <v>0</v>
      </c>
      <c r="Z128" s="9">
        <v>0.0</v>
      </c>
      <c r="AA128" s="9">
        <v>0.0</v>
      </c>
      <c r="AB128" s="9">
        <v>0.0</v>
      </c>
      <c r="AC128" s="9">
        <v>0.0</v>
      </c>
      <c r="AD128" s="9">
        <v>0.0</v>
      </c>
      <c r="AE128" s="9">
        <v>0.0</v>
      </c>
      <c r="AF128" s="32" t="s">
        <v>410</v>
      </c>
      <c r="AG128" s="15">
        <f>IFERROR(__xludf.DUMMYFUNCTION("SUM(QUERY(Entregas_BD!D:W,""select U where D='""&amp;D128&amp;""'"",1))"),0.0)</f>
        <v>0</v>
      </c>
      <c r="AH128" s="15">
        <f>IFERROR(__xludf.DUMMYFUNCTION("SUM(QUERY(Entregas_BD!D:W,""select S where D='""&amp;D128&amp;""'"",1))"),0.0)</f>
        <v>0</v>
      </c>
      <c r="AI128" s="15">
        <f>IFERROR(__xludf.DUMMYFUNCTION("SUM(QUERY(Entregas_BD!D:W,""select T where D='""&amp;D128&amp;""'"",1))"),0.0)</f>
        <v>0</v>
      </c>
    </row>
    <row r="129" ht="19.5" customHeight="1">
      <c r="A129" s="17"/>
      <c r="B129" s="18"/>
      <c r="C129" s="19">
        <v>128.0</v>
      </c>
      <c r="D129" s="20" t="s">
        <v>411</v>
      </c>
      <c r="E129" s="20" t="s">
        <v>44</v>
      </c>
      <c r="F129" s="20" t="s">
        <v>45</v>
      </c>
      <c r="G129" s="20" t="s">
        <v>177</v>
      </c>
      <c r="H129" s="19" t="s">
        <v>40</v>
      </c>
      <c r="I129" s="21" t="s">
        <v>47</v>
      </c>
      <c r="J129" s="19"/>
      <c r="K129" s="22"/>
      <c r="L129" s="23"/>
      <c r="M129" s="22"/>
      <c r="N129" s="19">
        <f>IFERROR(__xludf.DUMMYFUNCTION("SUM(QUERY(Entregas_BD!D:L,""select G where D='""&amp;D129&amp;""'"",1))"),0.0)</f>
        <v>0</v>
      </c>
      <c r="O129" s="19">
        <f>IFERROR(__xludf.DUMMYFUNCTION("SUM(QUERY(Entregas_BD!D:L,""select H where D='""&amp;D129&amp;""'"",1))"),0.0)</f>
        <v>0</v>
      </c>
      <c r="P129" s="19">
        <f>IFERROR(__xludf.DUMMYFUNCTION("SUM(QUERY(Entregas_BD!D:L,""select I where D='""&amp;D129&amp;""'"",1))"),0.0)</f>
        <v>0</v>
      </c>
      <c r="Q129" s="19">
        <f>IFERROR(__xludf.DUMMYFUNCTION("SUM(QUERY(Entregas_BD!D:L,""select J where D='""&amp;D129&amp;""'"",1))"),0.0)</f>
        <v>0</v>
      </c>
      <c r="R129" s="24">
        <f>IFERROR(__xludf.DUMMYFUNCTION("SUM(QUERY(Entregas_BD!D:L,""select K where D='""&amp;D129&amp;""'"",1))"),0.0)</f>
        <v>0</v>
      </c>
      <c r="S129" s="24">
        <f>IFERROR(__xludf.DUMMYFUNCTION("SUM(QUERY(Entregas_BD!D:L,""select L where D='""&amp;D129&amp;""'"",1))"),0.0)</f>
        <v>0</v>
      </c>
      <c r="T129" s="19">
        <f>IFERROR(__xludf.DUMMYFUNCTION("SUM(QUERY(Entregas_BD!D:AL,""select AG where D='""&amp;D129&amp;""'"",1))"),0.0)</f>
        <v>0</v>
      </c>
      <c r="U129" s="19">
        <f>IFERROR(__xludf.DUMMYFUNCTION("SUM(QUERY(Entregas_BD!D:AL,""select AH where D='""&amp;D129&amp;""'"",1))"),0.0)</f>
        <v>0</v>
      </c>
      <c r="V129" s="19">
        <f>IFERROR(__xludf.DUMMYFUNCTION("SUM(QUERY(Entregas_BD!D:AL,""select AI where D='""&amp;D129&amp;""'"",1))"),0.0)</f>
        <v>0</v>
      </c>
      <c r="W129" s="19">
        <f>IFERROR(__xludf.DUMMYFUNCTION("SUM(QUERY(Entregas_BD!D:AL,""select AJ where D='""&amp;D129&amp;""'"",1))"),0.0)</f>
        <v>0</v>
      </c>
      <c r="X129" s="19">
        <f>IFERROR(__xludf.DUMMYFUNCTION("SUM(QUERY(Entregas_BD!D:AL,""select AL where D='""&amp;D129&amp;""'"",1))"),0.0)</f>
        <v>0</v>
      </c>
      <c r="Y129" s="19">
        <f>IFERROR(__xludf.DUMMYFUNCTION("SUM(QUERY(Entregas_BD!D:AL,""select AK where D='""&amp;D129&amp;""'"",1))"),0.0)</f>
        <v>0</v>
      </c>
      <c r="Z129" s="19">
        <v>0.0</v>
      </c>
      <c r="AA129" s="19">
        <v>0.0</v>
      </c>
      <c r="AB129" s="19">
        <v>0.0</v>
      </c>
      <c r="AC129" s="19">
        <v>0.0</v>
      </c>
      <c r="AD129" s="19">
        <v>0.0</v>
      </c>
      <c r="AE129" s="19">
        <v>0.0</v>
      </c>
      <c r="AF129" s="31" t="s">
        <v>412</v>
      </c>
      <c r="AG129" s="24">
        <f>IFERROR(__xludf.DUMMYFUNCTION("SUM(QUERY(Entregas_BD!D:W,""select U where D='""&amp;D129&amp;""'"",1))"),0.0)</f>
        <v>0</v>
      </c>
      <c r="AH129" s="24">
        <f>IFERROR(__xludf.DUMMYFUNCTION("SUM(QUERY(Entregas_BD!D:W,""select S where D='""&amp;D129&amp;""'"",1))"),0.0)</f>
        <v>0</v>
      </c>
      <c r="AI129" s="24">
        <f>IFERROR(__xludf.DUMMYFUNCTION("SUM(QUERY(Entregas_BD!D:W,""select T where D='""&amp;D129&amp;""'"",1))"),0.0)</f>
        <v>0</v>
      </c>
    </row>
    <row r="130" ht="19.5" customHeight="1">
      <c r="A130" s="7"/>
      <c r="B130" s="8"/>
      <c r="C130" s="9">
        <v>129.0</v>
      </c>
      <c r="D130" s="10" t="s">
        <v>413</v>
      </c>
      <c r="E130" s="10" t="s">
        <v>324</v>
      </c>
      <c r="F130" s="10" t="s">
        <v>414</v>
      </c>
      <c r="G130" s="10" t="s">
        <v>415</v>
      </c>
      <c r="H130" s="9" t="s">
        <v>40</v>
      </c>
      <c r="I130" s="11" t="s">
        <v>47</v>
      </c>
      <c r="J130" s="12"/>
      <c r="K130" s="12"/>
      <c r="L130" s="13"/>
      <c r="M130" s="14"/>
      <c r="N130" s="9">
        <f>IFERROR(__xludf.DUMMYFUNCTION("SUM(QUERY(Entregas_BD!D:L,""select G where D='""&amp;D130&amp;""'"",1))"),0.0)</f>
        <v>0</v>
      </c>
      <c r="O130" s="9">
        <f>IFERROR(__xludf.DUMMYFUNCTION("SUM(QUERY(Entregas_BD!D:L,""select H where D='""&amp;D130&amp;""'"",1))"),0.0)</f>
        <v>0</v>
      </c>
      <c r="P130" s="9">
        <f>IFERROR(__xludf.DUMMYFUNCTION("SUM(QUERY(Entregas_BD!D:L,""select I where D='""&amp;D130&amp;""'"",1))"),0.0)</f>
        <v>0</v>
      </c>
      <c r="Q130" s="9">
        <f>IFERROR(__xludf.DUMMYFUNCTION("SUM(QUERY(Entregas_BD!D:L,""select J where D='""&amp;D130&amp;""'"",1))"),0.0)</f>
        <v>0</v>
      </c>
      <c r="R130" s="15">
        <f>IFERROR(__xludf.DUMMYFUNCTION("SUM(QUERY(Entregas_BD!D:L,""select K where D='""&amp;D130&amp;""'"",1))"),0.0)</f>
        <v>0</v>
      </c>
      <c r="S130" s="15">
        <f>IFERROR(__xludf.DUMMYFUNCTION("SUM(QUERY(Entregas_BD!D:L,""select L where D='""&amp;D130&amp;""'"",1))"),0.0)</f>
        <v>0</v>
      </c>
      <c r="T130" s="9">
        <f>IFERROR(__xludf.DUMMYFUNCTION("SUM(QUERY(Entregas_BD!D:AL,""select AG where D='""&amp;D130&amp;""'"",1))"),0.0)</f>
        <v>0</v>
      </c>
      <c r="U130" s="9">
        <f>IFERROR(__xludf.DUMMYFUNCTION("SUM(QUERY(Entregas_BD!D:AL,""select AH where D='""&amp;D130&amp;""'"",1))"),0.0)</f>
        <v>0</v>
      </c>
      <c r="V130" s="9">
        <f>IFERROR(__xludf.DUMMYFUNCTION("SUM(QUERY(Entregas_BD!D:AL,""select AI where D='""&amp;D130&amp;""'"",1))"),0.0)</f>
        <v>0</v>
      </c>
      <c r="W130" s="9">
        <f>IFERROR(__xludf.DUMMYFUNCTION("SUM(QUERY(Entregas_BD!D:AL,""select AJ where D='""&amp;D130&amp;""'"",1))"),0.0)</f>
        <v>0</v>
      </c>
      <c r="X130" s="9">
        <f>IFERROR(__xludf.DUMMYFUNCTION("SUM(QUERY(Entregas_BD!D:AL,""select AL where D='""&amp;D130&amp;""'"",1))"),0.0)</f>
        <v>0</v>
      </c>
      <c r="Y130" s="9">
        <f>IFERROR(__xludf.DUMMYFUNCTION("SUM(QUERY(Entregas_BD!D:AL,""select AK where D='""&amp;D130&amp;""'"",1))"),0.0)</f>
        <v>0</v>
      </c>
      <c r="Z130" s="9">
        <v>0.0</v>
      </c>
      <c r="AA130" s="9">
        <v>0.0</v>
      </c>
      <c r="AB130" s="9">
        <v>0.0</v>
      </c>
      <c r="AC130" s="9">
        <v>0.0</v>
      </c>
      <c r="AD130" s="9">
        <v>0.0</v>
      </c>
      <c r="AE130" s="9">
        <v>0.0</v>
      </c>
      <c r="AF130" s="32" t="s">
        <v>416</v>
      </c>
      <c r="AG130" s="15">
        <f>IFERROR(__xludf.DUMMYFUNCTION("SUM(QUERY(Entregas_BD!D:W,""select U where D='""&amp;D130&amp;""'"",1))"),0.0)</f>
        <v>0</v>
      </c>
      <c r="AH130" s="15">
        <f>IFERROR(__xludf.DUMMYFUNCTION("SUM(QUERY(Entregas_BD!D:W,""select S where D='""&amp;D130&amp;""'"",1))"),0.0)</f>
        <v>0</v>
      </c>
      <c r="AI130" s="15">
        <f>IFERROR(__xludf.DUMMYFUNCTION("SUM(QUERY(Entregas_BD!D:W,""select T where D='""&amp;D130&amp;""'"",1))"),0.0)</f>
        <v>0</v>
      </c>
    </row>
    <row r="131" ht="19.5" customHeight="1">
      <c r="A131" s="17"/>
      <c r="B131" s="18"/>
      <c r="C131" s="19">
        <v>130.0</v>
      </c>
      <c r="D131" s="20" t="s">
        <v>417</v>
      </c>
      <c r="E131" s="20" t="s">
        <v>44</v>
      </c>
      <c r="F131" s="20" t="s">
        <v>45</v>
      </c>
      <c r="G131" s="20" t="s">
        <v>418</v>
      </c>
      <c r="H131" s="19" t="s">
        <v>40</v>
      </c>
      <c r="I131" s="21" t="s">
        <v>47</v>
      </c>
      <c r="J131" s="19"/>
      <c r="K131" s="22"/>
      <c r="L131" s="23"/>
      <c r="M131" s="22"/>
      <c r="N131" s="19">
        <f>IFERROR(__xludf.DUMMYFUNCTION("SUM(QUERY(Entregas_BD!D:L,""select G where D='""&amp;D131&amp;""'"",1))"),0.0)</f>
        <v>0</v>
      </c>
      <c r="O131" s="19">
        <f>IFERROR(__xludf.DUMMYFUNCTION("SUM(QUERY(Entregas_BD!D:L,""select H where D='""&amp;D131&amp;""'"",1))"),0.0)</f>
        <v>0</v>
      </c>
      <c r="P131" s="19">
        <f>IFERROR(__xludf.DUMMYFUNCTION("SUM(QUERY(Entregas_BD!D:L,""select I where D='""&amp;D131&amp;""'"",1))"),0.0)</f>
        <v>0</v>
      </c>
      <c r="Q131" s="19">
        <f>IFERROR(__xludf.DUMMYFUNCTION("SUM(QUERY(Entregas_BD!D:L,""select J where D='""&amp;D131&amp;""'"",1))"),0.0)</f>
        <v>0</v>
      </c>
      <c r="R131" s="24">
        <f>IFERROR(__xludf.DUMMYFUNCTION("SUM(QUERY(Entregas_BD!D:L,""select K where D='""&amp;D131&amp;""'"",1))"),0.0)</f>
        <v>0</v>
      </c>
      <c r="S131" s="24">
        <f>IFERROR(__xludf.DUMMYFUNCTION("SUM(QUERY(Entregas_BD!D:L,""select L where D='""&amp;D131&amp;""'"",1))"),0.0)</f>
        <v>0</v>
      </c>
      <c r="T131" s="19">
        <f>IFERROR(__xludf.DUMMYFUNCTION("SUM(QUERY(Entregas_BD!D:AL,""select AG where D='""&amp;D131&amp;""'"",1))"),0.0)</f>
        <v>0</v>
      </c>
      <c r="U131" s="19">
        <f>IFERROR(__xludf.DUMMYFUNCTION("SUM(QUERY(Entregas_BD!D:AL,""select AH where D='""&amp;D131&amp;""'"",1))"),0.0)</f>
        <v>0</v>
      </c>
      <c r="V131" s="19">
        <f>IFERROR(__xludf.DUMMYFUNCTION("SUM(QUERY(Entregas_BD!D:AL,""select AI where D='""&amp;D131&amp;""'"",1))"),0.0)</f>
        <v>0</v>
      </c>
      <c r="W131" s="19">
        <f>IFERROR(__xludf.DUMMYFUNCTION("SUM(QUERY(Entregas_BD!D:AL,""select AJ where D='""&amp;D131&amp;""'"",1))"),0.0)</f>
        <v>0</v>
      </c>
      <c r="X131" s="19">
        <f>IFERROR(__xludf.DUMMYFUNCTION("SUM(QUERY(Entregas_BD!D:AL,""select AL where D='""&amp;D131&amp;""'"",1))"),0.0)</f>
        <v>0</v>
      </c>
      <c r="Y131" s="19">
        <f>IFERROR(__xludf.DUMMYFUNCTION("SUM(QUERY(Entregas_BD!D:AL,""select AK where D='""&amp;D131&amp;""'"",1))"),0.0)</f>
        <v>0</v>
      </c>
      <c r="Z131" s="19">
        <v>0.0</v>
      </c>
      <c r="AA131" s="19">
        <v>0.0</v>
      </c>
      <c r="AB131" s="19">
        <v>0.0</v>
      </c>
      <c r="AC131" s="19">
        <v>0.0</v>
      </c>
      <c r="AD131" s="19">
        <v>0.0</v>
      </c>
      <c r="AE131" s="19">
        <v>0.0</v>
      </c>
      <c r="AF131" s="31" t="s">
        <v>412</v>
      </c>
      <c r="AG131" s="24">
        <f>IFERROR(__xludf.DUMMYFUNCTION("SUM(QUERY(Entregas_BD!D:W,""select U where D='""&amp;D131&amp;""'"",1))"),0.0)</f>
        <v>0</v>
      </c>
      <c r="AH131" s="24">
        <f>IFERROR(__xludf.DUMMYFUNCTION("SUM(QUERY(Entregas_BD!D:W,""select S where D='""&amp;D131&amp;""'"",1))"),0.0)</f>
        <v>0</v>
      </c>
      <c r="AI131" s="24">
        <f>IFERROR(__xludf.DUMMYFUNCTION("SUM(QUERY(Entregas_BD!D:W,""select T where D='""&amp;D131&amp;""'"",1))"),0.0)</f>
        <v>0</v>
      </c>
    </row>
    <row r="132" ht="19.5" customHeight="1">
      <c r="A132" s="7"/>
      <c r="B132" s="8"/>
      <c r="C132" s="9">
        <v>131.0</v>
      </c>
      <c r="D132" s="10" t="s">
        <v>419</v>
      </c>
      <c r="E132" s="10" t="s">
        <v>58</v>
      </c>
      <c r="F132" s="10" t="s">
        <v>45</v>
      </c>
      <c r="G132" s="10" t="s">
        <v>420</v>
      </c>
      <c r="H132" s="9" t="s">
        <v>40</v>
      </c>
      <c r="I132" s="11" t="s">
        <v>41</v>
      </c>
      <c r="J132" s="9"/>
      <c r="K132" s="12"/>
      <c r="L132" s="13"/>
      <c r="M132" s="12"/>
      <c r="N132" s="9">
        <f>IFERROR(__xludf.DUMMYFUNCTION("SUM(QUERY(Entregas_BD!D:L,""select G where D='""&amp;D132&amp;""'"",1))"),0.0)</f>
        <v>0</v>
      </c>
      <c r="O132" s="9">
        <f>IFERROR(__xludf.DUMMYFUNCTION("SUM(QUERY(Entregas_BD!D:L,""select H where D='""&amp;D132&amp;""'"",1))"),0.0)</f>
        <v>0</v>
      </c>
      <c r="P132" s="9">
        <f>IFERROR(__xludf.DUMMYFUNCTION("SUM(QUERY(Entregas_BD!D:L,""select I where D='""&amp;D132&amp;""'"",1))"),0.0)</f>
        <v>0</v>
      </c>
      <c r="Q132" s="9">
        <f>IFERROR(__xludf.DUMMYFUNCTION("SUM(QUERY(Entregas_BD!D:L,""select J where D='""&amp;D132&amp;""'"",1))"),0.0)</f>
        <v>0</v>
      </c>
      <c r="R132" s="15">
        <f>IFERROR(__xludf.DUMMYFUNCTION("SUM(QUERY(Entregas_BD!D:L,""select K where D='""&amp;D132&amp;""'"",1))"),0.0)</f>
        <v>0</v>
      </c>
      <c r="S132" s="15">
        <f>IFERROR(__xludf.DUMMYFUNCTION("SUM(QUERY(Entregas_BD!D:L,""select L where D='""&amp;D132&amp;""'"",1))"),0.0)</f>
        <v>0</v>
      </c>
      <c r="T132" s="9">
        <f>IFERROR(__xludf.DUMMYFUNCTION("SUM(QUERY(Entregas_BD!D:AL,""select AG where D='""&amp;D132&amp;""'"",1))"),100.0)</f>
        <v>100</v>
      </c>
      <c r="U132" s="9">
        <f>IFERROR(__xludf.DUMMYFUNCTION("SUM(QUERY(Entregas_BD!D:AL,""select AH where D='""&amp;D132&amp;""'"",1))"),0.0)</f>
        <v>0</v>
      </c>
      <c r="V132" s="9">
        <f>IFERROR(__xludf.DUMMYFUNCTION("SUM(QUERY(Entregas_BD!D:AL,""select AI where D='""&amp;D132&amp;""'"",1))"),0.0)</f>
        <v>0</v>
      </c>
      <c r="W132" s="9">
        <f>IFERROR(__xludf.DUMMYFUNCTION("SUM(QUERY(Entregas_BD!D:AL,""select AJ where D='""&amp;D132&amp;""'"",1))"),0.0)</f>
        <v>0</v>
      </c>
      <c r="X132" s="9">
        <f>IFERROR(__xludf.DUMMYFUNCTION("SUM(QUERY(Entregas_BD!D:AL,""select AL where D='""&amp;D132&amp;""'"",1))"),0.0)</f>
        <v>0</v>
      </c>
      <c r="Y132" s="9">
        <f>IFERROR(__xludf.DUMMYFUNCTION("SUM(QUERY(Entregas_BD!D:AL,""select AK where D='""&amp;D132&amp;""'"",1))"),0.0)</f>
        <v>0</v>
      </c>
      <c r="Z132" s="9">
        <v>-100.0</v>
      </c>
      <c r="AA132" s="9">
        <v>0.0</v>
      </c>
      <c r="AB132" s="9">
        <v>0.0</v>
      </c>
      <c r="AC132" s="9">
        <v>0.0</v>
      </c>
      <c r="AD132" s="9">
        <v>0.0</v>
      </c>
      <c r="AE132" s="9">
        <v>0.0</v>
      </c>
      <c r="AF132" s="16" t="s">
        <v>421</v>
      </c>
      <c r="AG132" s="15">
        <f>IFERROR(__xludf.DUMMYFUNCTION("SUM(QUERY(Entregas_BD!D:W,""select U where D='""&amp;D132&amp;""'"",1))"),0.0)</f>
        <v>0</v>
      </c>
      <c r="AH132" s="15">
        <f>IFERROR(__xludf.DUMMYFUNCTION("SUM(QUERY(Entregas_BD!D:W,""select S where D='""&amp;D132&amp;""'"",1))"),0.0)</f>
        <v>0</v>
      </c>
      <c r="AI132" s="15">
        <f>IFERROR(__xludf.DUMMYFUNCTION("SUM(QUERY(Entregas_BD!D:W,""select T where D='""&amp;D132&amp;""'"",1))"),0.0)</f>
        <v>0</v>
      </c>
    </row>
    <row r="133" ht="19.5" customHeight="1">
      <c r="A133" s="28"/>
      <c r="B133" s="29"/>
      <c r="C133" s="19">
        <v>132.0</v>
      </c>
      <c r="D133" s="38" t="s">
        <v>422</v>
      </c>
      <c r="E133" s="20" t="s">
        <v>58</v>
      </c>
      <c r="F133" s="20" t="s">
        <v>45</v>
      </c>
      <c r="G133" s="20" t="s">
        <v>59</v>
      </c>
      <c r="H133" s="19" t="s">
        <v>40</v>
      </c>
      <c r="I133" s="21" t="s">
        <v>41</v>
      </c>
      <c r="J133" s="19"/>
      <c r="K133" s="22"/>
      <c r="L133" s="23"/>
      <c r="M133" s="22"/>
      <c r="N133" s="19">
        <f>IFERROR(__xludf.DUMMYFUNCTION("SUM(QUERY(Entregas_BD!D:L,""select G where D='""&amp;D133&amp;""'"",1))"),0.0)</f>
        <v>0</v>
      </c>
      <c r="O133" s="19">
        <f>IFERROR(__xludf.DUMMYFUNCTION("SUM(QUERY(Entregas_BD!D:L,""select H where D='""&amp;D133&amp;""'"",1))"),0.0)</f>
        <v>0</v>
      </c>
      <c r="P133" s="19">
        <f>IFERROR(__xludf.DUMMYFUNCTION("SUM(QUERY(Entregas_BD!D:L,""select I where D='""&amp;D133&amp;""'"",1))"),0.0)</f>
        <v>0</v>
      </c>
      <c r="Q133" s="19">
        <f>IFERROR(__xludf.DUMMYFUNCTION("SUM(QUERY(Entregas_BD!D:L,""select J where D='""&amp;D133&amp;""'"",1))"),0.0)</f>
        <v>0</v>
      </c>
      <c r="R133" s="24">
        <f>IFERROR(__xludf.DUMMYFUNCTION("SUM(QUERY(Entregas_BD!D:L,""select K where D='""&amp;D133&amp;""'"",1))"),0.0)</f>
        <v>0</v>
      </c>
      <c r="S133" s="24">
        <f>IFERROR(__xludf.DUMMYFUNCTION("SUM(QUERY(Entregas_BD!D:L,""select L where D='""&amp;D133&amp;""'"",1))"),0.0)</f>
        <v>0</v>
      </c>
      <c r="T133" s="19">
        <f>IFERROR(__xludf.DUMMYFUNCTION("SUM(QUERY(Entregas_BD!D:AL,""select AG where D='""&amp;D133&amp;""'"",1))"),90.0)</f>
        <v>90</v>
      </c>
      <c r="U133" s="19">
        <f>IFERROR(__xludf.DUMMYFUNCTION("SUM(QUERY(Entregas_BD!D:AL,""select AH where D='""&amp;D133&amp;""'"",1))"),0.0)</f>
        <v>0</v>
      </c>
      <c r="V133" s="19">
        <f>IFERROR(__xludf.DUMMYFUNCTION("SUM(QUERY(Entregas_BD!D:AL,""select AI where D='""&amp;D133&amp;""'"",1))"),0.0)</f>
        <v>0</v>
      </c>
      <c r="W133" s="19">
        <f>IFERROR(__xludf.DUMMYFUNCTION("SUM(QUERY(Entregas_BD!D:AL,""select AJ where D='""&amp;D133&amp;""'"",1))"),0.0)</f>
        <v>0</v>
      </c>
      <c r="X133" s="19">
        <f>IFERROR(__xludf.DUMMYFUNCTION("SUM(QUERY(Entregas_BD!D:AL,""select AL where D='""&amp;D133&amp;""'"",1))"),0.0)</f>
        <v>0</v>
      </c>
      <c r="Y133" s="19">
        <f>IFERROR(__xludf.DUMMYFUNCTION("SUM(QUERY(Entregas_BD!D:AL,""select AK where D='""&amp;D133&amp;""'"",1))"),0.0)</f>
        <v>0</v>
      </c>
      <c r="Z133" s="19">
        <v>-90.0</v>
      </c>
      <c r="AA133" s="19">
        <v>0.0</v>
      </c>
      <c r="AB133" s="19">
        <v>0.0</v>
      </c>
      <c r="AC133" s="19">
        <v>0.0</v>
      </c>
      <c r="AD133" s="19">
        <v>0.0</v>
      </c>
      <c r="AE133" s="19">
        <v>0.0</v>
      </c>
      <c r="AF133" s="25" t="s">
        <v>423</v>
      </c>
      <c r="AG133" s="24">
        <f>IFERROR(__xludf.DUMMYFUNCTION("SUM(QUERY(Entregas_BD!D:W,""select U where D='""&amp;D133&amp;""'"",1))"),0.0)</f>
        <v>0</v>
      </c>
      <c r="AH133" s="24">
        <f>IFERROR(__xludf.DUMMYFUNCTION("SUM(QUERY(Entregas_BD!D:W,""select S where D='""&amp;D133&amp;""'"",1))"),0.0)</f>
        <v>0</v>
      </c>
      <c r="AI133" s="24">
        <f>IFERROR(__xludf.DUMMYFUNCTION("SUM(QUERY(Entregas_BD!D:W,""select T where D='""&amp;D133&amp;""'"",1))"),0.0)</f>
        <v>0</v>
      </c>
    </row>
    <row r="134" ht="19.5" customHeight="1">
      <c r="A134" s="7"/>
      <c r="B134" s="8"/>
      <c r="C134" s="9">
        <v>133.0</v>
      </c>
      <c r="D134" s="37" t="s">
        <v>422</v>
      </c>
      <c r="E134" s="10" t="s">
        <v>58</v>
      </c>
      <c r="F134" s="10" t="s">
        <v>45</v>
      </c>
      <c r="G134" s="10" t="s">
        <v>59</v>
      </c>
      <c r="H134" s="9" t="s">
        <v>40</v>
      </c>
      <c r="I134" s="11" t="s">
        <v>41</v>
      </c>
      <c r="J134" s="9"/>
      <c r="K134" s="12"/>
      <c r="L134" s="13"/>
      <c r="M134" s="12"/>
      <c r="N134" s="9">
        <f>IFERROR(__xludf.DUMMYFUNCTION("SUM(QUERY(Entregas_BD!D:L,""select G where D='""&amp;D134&amp;""'"",1))"),0.0)</f>
        <v>0</v>
      </c>
      <c r="O134" s="9">
        <f>IFERROR(__xludf.DUMMYFUNCTION("SUM(QUERY(Entregas_BD!D:L,""select H where D='""&amp;D134&amp;""'"",1))"),0.0)</f>
        <v>0</v>
      </c>
      <c r="P134" s="9">
        <f>IFERROR(__xludf.DUMMYFUNCTION("SUM(QUERY(Entregas_BD!D:L,""select I where D='""&amp;D134&amp;""'"",1))"),0.0)</f>
        <v>0</v>
      </c>
      <c r="Q134" s="9">
        <f>IFERROR(__xludf.DUMMYFUNCTION("SUM(QUERY(Entregas_BD!D:L,""select J where D='""&amp;D134&amp;""'"",1))"),0.0)</f>
        <v>0</v>
      </c>
      <c r="R134" s="15">
        <f>IFERROR(__xludf.DUMMYFUNCTION("SUM(QUERY(Entregas_BD!D:L,""select K where D='""&amp;D134&amp;""'"",1))"),0.0)</f>
        <v>0</v>
      </c>
      <c r="S134" s="15">
        <f>IFERROR(__xludf.DUMMYFUNCTION("SUM(QUERY(Entregas_BD!D:L,""select L where D='""&amp;D134&amp;""'"",1))"),0.0)</f>
        <v>0</v>
      </c>
      <c r="T134" s="9">
        <f>IFERROR(__xludf.DUMMYFUNCTION("SUM(QUERY(Entregas_BD!D:AL,""select AG where D='""&amp;D134&amp;""'"",1))"),90.0)</f>
        <v>90</v>
      </c>
      <c r="U134" s="9">
        <f>IFERROR(__xludf.DUMMYFUNCTION("SUM(QUERY(Entregas_BD!D:AL,""select AH where D='""&amp;D134&amp;""'"",1))"),0.0)</f>
        <v>0</v>
      </c>
      <c r="V134" s="9">
        <f>IFERROR(__xludf.DUMMYFUNCTION("SUM(QUERY(Entregas_BD!D:AL,""select AI where D='""&amp;D134&amp;""'"",1))"),0.0)</f>
        <v>0</v>
      </c>
      <c r="W134" s="9">
        <f>IFERROR(__xludf.DUMMYFUNCTION("SUM(QUERY(Entregas_BD!D:AL,""select AJ where D='""&amp;D134&amp;""'"",1))"),0.0)</f>
        <v>0</v>
      </c>
      <c r="X134" s="9">
        <f>IFERROR(__xludf.DUMMYFUNCTION("SUM(QUERY(Entregas_BD!D:AL,""select AL where D='""&amp;D134&amp;""'"",1))"),0.0)</f>
        <v>0</v>
      </c>
      <c r="Y134" s="9">
        <f>IFERROR(__xludf.DUMMYFUNCTION("SUM(QUERY(Entregas_BD!D:AL,""select AK where D='""&amp;D134&amp;""'"",1))"),0.0)</f>
        <v>0</v>
      </c>
      <c r="Z134" s="9">
        <v>-90.0</v>
      </c>
      <c r="AA134" s="9">
        <v>0.0</v>
      </c>
      <c r="AB134" s="9">
        <v>0.0</v>
      </c>
      <c r="AC134" s="9">
        <v>0.0</v>
      </c>
      <c r="AD134" s="9">
        <v>0.0</v>
      </c>
      <c r="AE134" s="9">
        <v>0.0</v>
      </c>
      <c r="AF134" s="16" t="s">
        <v>423</v>
      </c>
      <c r="AG134" s="15">
        <f>IFERROR(__xludf.DUMMYFUNCTION("SUM(QUERY(Entregas_BD!D:W,""select U where D='""&amp;D134&amp;""'"",1))"),0.0)</f>
        <v>0</v>
      </c>
      <c r="AH134" s="15">
        <f>IFERROR(__xludf.DUMMYFUNCTION("SUM(QUERY(Entregas_BD!D:W,""select S where D='""&amp;D134&amp;""'"",1))"),0.0)</f>
        <v>0</v>
      </c>
      <c r="AI134" s="15">
        <f>IFERROR(__xludf.DUMMYFUNCTION("SUM(QUERY(Entregas_BD!D:W,""select T where D='""&amp;D134&amp;""'"",1))"),0.0)</f>
        <v>0</v>
      </c>
    </row>
    <row r="135" ht="19.5" customHeight="1">
      <c r="A135" s="28"/>
      <c r="B135" s="29"/>
      <c r="C135" s="19">
        <v>134.0</v>
      </c>
      <c r="D135" s="38" t="s">
        <v>422</v>
      </c>
      <c r="E135" s="20" t="s">
        <v>58</v>
      </c>
      <c r="F135" s="20" t="s">
        <v>45</v>
      </c>
      <c r="G135" s="20" t="s">
        <v>59</v>
      </c>
      <c r="H135" s="19" t="s">
        <v>40</v>
      </c>
      <c r="I135" s="21" t="s">
        <v>41</v>
      </c>
      <c r="J135" s="19"/>
      <c r="K135" s="22"/>
      <c r="L135" s="23"/>
      <c r="M135" s="22"/>
      <c r="N135" s="19">
        <f>IFERROR(__xludf.DUMMYFUNCTION("SUM(QUERY(Entregas_BD!D:L,""select G where D='""&amp;D135&amp;""'"",1))"),0.0)</f>
        <v>0</v>
      </c>
      <c r="O135" s="19">
        <f>IFERROR(__xludf.DUMMYFUNCTION("SUM(QUERY(Entregas_BD!D:L,""select H where D='""&amp;D135&amp;""'"",1))"),0.0)</f>
        <v>0</v>
      </c>
      <c r="P135" s="19">
        <f>IFERROR(__xludf.DUMMYFUNCTION("SUM(QUERY(Entregas_BD!D:L,""select I where D='""&amp;D135&amp;""'"",1))"),0.0)</f>
        <v>0</v>
      </c>
      <c r="Q135" s="19">
        <f>IFERROR(__xludf.DUMMYFUNCTION("SUM(QUERY(Entregas_BD!D:L,""select J where D='""&amp;D135&amp;""'"",1))"),0.0)</f>
        <v>0</v>
      </c>
      <c r="R135" s="24">
        <f>IFERROR(__xludf.DUMMYFUNCTION("SUM(QUERY(Entregas_BD!D:L,""select K where D='""&amp;D135&amp;""'"",1))"),0.0)</f>
        <v>0</v>
      </c>
      <c r="S135" s="24">
        <f>IFERROR(__xludf.DUMMYFUNCTION("SUM(QUERY(Entregas_BD!D:L,""select L where D='""&amp;D135&amp;""'"",1))"),0.0)</f>
        <v>0</v>
      </c>
      <c r="T135" s="19">
        <f>IFERROR(__xludf.DUMMYFUNCTION("SUM(QUERY(Entregas_BD!D:AL,""select AG where D='""&amp;D135&amp;""'"",1))"),90.0)</f>
        <v>90</v>
      </c>
      <c r="U135" s="19">
        <f>IFERROR(__xludf.DUMMYFUNCTION("SUM(QUERY(Entregas_BD!D:AL,""select AH where D='""&amp;D135&amp;""'"",1))"),0.0)</f>
        <v>0</v>
      </c>
      <c r="V135" s="19">
        <f>IFERROR(__xludf.DUMMYFUNCTION("SUM(QUERY(Entregas_BD!D:AL,""select AI where D='""&amp;D135&amp;""'"",1))"),0.0)</f>
        <v>0</v>
      </c>
      <c r="W135" s="19">
        <f>IFERROR(__xludf.DUMMYFUNCTION("SUM(QUERY(Entregas_BD!D:AL,""select AJ where D='""&amp;D135&amp;""'"",1))"),0.0)</f>
        <v>0</v>
      </c>
      <c r="X135" s="19">
        <f>IFERROR(__xludf.DUMMYFUNCTION("SUM(QUERY(Entregas_BD!D:AL,""select AL where D='""&amp;D135&amp;""'"",1))"),0.0)</f>
        <v>0</v>
      </c>
      <c r="Y135" s="19">
        <f>IFERROR(__xludf.DUMMYFUNCTION("SUM(QUERY(Entregas_BD!D:AL,""select AK where D='""&amp;D135&amp;""'"",1))"),0.0)</f>
        <v>0</v>
      </c>
      <c r="Z135" s="19">
        <v>-90.0</v>
      </c>
      <c r="AA135" s="19">
        <v>0.0</v>
      </c>
      <c r="AB135" s="19">
        <v>0.0</v>
      </c>
      <c r="AC135" s="19">
        <v>0.0</v>
      </c>
      <c r="AD135" s="19">
        <v>0.0</v>
      </c>
      <c r="AE135" s="19">
        <v>0.0</v>
      </c>
      <c r="AF135" s="25" t="s">
        <v>423</v>
      </c>
      <c r="AG135" s="24">
        <f>IFERROR(__xludf.DUMMYFUNCTION("SUM(QUERY(Entregas_BD!D:W,""select U where D='""&amp;D135&amp;""'"",1))"),0.0)</f>
        <v>0</v>
      </c>
      <c r="AH135" s="24">
        <f>IFERROR(__xludf.DUMMYFUNCTION("SUM(QUERY(Entregas_BD!D:W,""select S where D='""&amp;D135&amp;""'"",1))"),0.0)</f>
        <v>0</v>
      </c>
      <c r="AI135" s="24">
        <f>IFERROR(__xludf.DUMMYFUNCTION("SUM(QUERY(Entregas_BD!D:W,""select T where D='""&amp;D135&amp;""'"",1))"),0.0)</f>
        <v>0</v>
      </c>
    </row>
    <row r="136" ht="19.5" customHeight="1">
      <c r="A136" s="7"/>
      <c r="B136" s="8"/>
      <c r="C136" s="9">
        <v>135.0</v>
      </c>
      <c r="D136" s="10" t="s">
        <v>424</v>
      </c>
      <c r="E136" s="10" t="s">
        <v>58</v>
      </c>
      <c r="F136" s="10" t="s">
        <v>45</v>
      </c>
      <c r="G136" s="10" t="s">
        <v>218</v>
      </c>
      <c r="H136" s="9" t="s">
        <v>40</v>
      </c>
      <c r="I136" s="11" t="s">
        <v>41</v>
      </c>
      <c r="J136" s="9"/>
      <c r="K136" s="12"/>
      <c r="L136" s="13"/>
      <c r="M136" s="12"/>
      <c r="N136" s="9">
        <f>IFERROR(__xludf.DUMMYFUNCTION("SUM(QUERY(Entregas_BD!D:L,""select G where D='""&amp;D136&amp;""'"",1))"),0.0)</f>
        <v>0</v>
      </c>
      <c r="O136" s="9">
        <f>IFERROR(__xludf.DUMMYFUNCTION("SUM(QUERY(Entregas_BD!D:L,""select H where D='""&amp;D136&amp;""'"",1))"),0.0)</f>
        <v>0</v>
      </c>
      <c r="P136" s="9">
        <f>IFERROR(__xludf.DUMMYFUNCTION("SUM(QUERY(Entregas_BD!D:L,""select I where D='""&amp;D136&amp;""'"",1))"),0.0)</f>
        <v>0</v>
      </c>
      <c r="Q136" s="9">
        <f>IFERROR(__xludf.DUMMYFUNCTION("SUM(QUERY(Entregas_BD!D:L,""select J where D='""&amp;D136&amp;""'"",1))"),0.0)</f>
        <v>0</v>
      </c>
      <c r="R136" s="15">
        <f>IFERROR(__xludf.DUMMYFUNCTION("SUM(QUERY(Entregas_BD!D:L,""select K where D='""&amp;D136&amp;""'"",1))"),0.0)</f>
        <v>0</v>
      </c>
      <c r="S136" s="15">
        <f>IFERROR(__xludf.DUMMYFUNCTION("SUM(QUERY(Entregas_BD!D:L,""select L where D='""&amp;D136&amp;""'"",1))"),0.0)</f>
        <v>0</v>
      </c>
      <c r="T136" s="9">
        <f>IFERROR(__xludf.DUMMYFUNCTION("SUM(QUERY(Entregas_BD!D:AL,""select AG where D='""&amp;D136&amp;""'"",1))"),100.0)</f>
        <v>100</v>
      </c>
      <c r="U136" s="9">
        <f>IFERROR(__xludf.DUMMYFUNCTION("SUM(QUERY(Entregas_BD!D:AL,""select AH where D='""&amp;D136&amp;""'"",1))"),0.0)</f>
        <v>0</v>
      </c>
      <c r="V136" s="9">
        <f>IFERROR(__xludf.DUMMYFUNCTION("SUM(QUERY(Entregas_BD!D:AL,""select AI where D='""&amp;D136&amp;""'"",1))"),0.0)</f>
        <v>0</v>
      </c>
      <c r="W136" s="9">
        <f>IFERROR(__xludf.DUMMYFUNCTION("SUM(QUERY(Entregas_BD!D:AL,""select AJ where D='""&amp;D136&amp;""'"",1))"),0.0)</f>
        <v>0</v>
      </c>
      <c r="X136" s="9">
        <f>IFERROR(__xludf.DUMMYFUNCTION("SUM(QUERY(Entregas_BD!D:AL,""select AL where D='""&amp;D136&amp;""'"",1))"),0.0)</f>
        <v>0</v>
      </c>
      <c r="Y136" s="9">
        <f>IFERROR(__xludf.DUMMYFUNCTION("SUM(QUERY(Entregas_BD!D:AL,""select AK where D='""&amp;D136&amp;""'"",1))"),0.0)</f>
        <v>0</v>
      </c>
      <c r="Z136" s="9">
        <v>-100.0</v>
      </c>
      <c r="AA136" s="9">
        <v>0.0</v>
      </c>
      <c r="AB136" s="9">
        <v>0.0</v>
      </c>
      <c r="AC136" s="9">
        <v>0.0</v>
      </c>
      <c r="AD136" s="9">
        <v>0.0</v>
      </c>
      <c r="AE136" s="9">
        <v>0.0</v>
      </c>
      <c r="AF136" s="16" t="s">
        <v>425</v>
      </c>
      <c r="AG136" s="15">
        <f>IFERROR(__xludf.DUMMYFUNCTION("SUM(QUERY(Entregas_BD!D:W,""select U where D='""&amp;D136&amp;""'"",1))"),0.0)</f>
        <v>0</v>
      </c>
      <c r="AH136" s="15">
        <f>IFERROR(__xludf.DUMMYFUNCTION("SUM(QUERY(Entregas_BD!D:W,""select S where D='""&amp;D136&amp;""'"",1))"),0.0)</f>
        <v>0</v>
      </c>
      <c r="AI136" s="15">
        <f>IFERROR(__xludf.DUMMYFUNCTION("SUM(QUERY(Entregas_BD!D:W,""select T where D='""&amp;D136&amp;""'"",1))"),0.0)</f>
        <v>0</v>
      </c>
    </row>
    <row r="137" ht="19.5" customHeight="1">
      <c r="A137" s="28"/>
      <c r="B137" s="29"/>
      <c r="C137" s="19">
        <v>136.0</v>
      </c>
      <c r="D137" s="20" t="s">
        <v>424</v>
      </c>
      <c r="E137" s="20" t="s">
        <v>58</v>
      </c>
      <c r="F137" s="20" t="s">
        <v>45</v>
      </c>
      <c r="G137" s="20" t="s">
        <v>218</v>
      </c>
      <c r="H137" s="19" t="s">
        <v>40</v>
      </c>
      <c r="I137" s="21" t="s">
        <v>41</v>
      </c>
      <c r="J137" s="19"/>
      <c r="K137" s="22"/>
      <c r="L137" s="23"/>
      <c r="M137" s="22"/>
      <c r="N137" s="19">
        <f>IFERROR(__xludf.DUMMYFUNCTION("SUM(QUERY(Entregas_BD!D:L,""select G where D='""&amp;D137&amp;""'"",1))"),0.0)</f>
        <v>0</v>
      </c>
      <c r="O137" s="19">
        <f>IFERROR(__xludf.DUMMYFUNCTION("SUM(QUERY(Entregas_BD!D:L,""select H where D='""&amp;D137&amp;""'"",1))"),0.0)</f>
        <v>0</v>
      </c>
      <c r="P137" s="19">
        <f>IFERROR(__xludf.DUMMYFUNCTION("SUM(QUERY(Entregas_BD!D:L,""select I where D='""&amp;D137&amp;""'"",1))"),0.0)</f>
        <v>0</v>
      </c>
      <c r="Q137" s="19">
        <f>IFERROR(__xludf.DUMMYFUNCTION("SUM(QUERY(Entregas_BD!D:L,""select J where D='""&amp;D137&amp;""'"",1))"),0.0)</f>
        <v>0</v>
      </c>
      <c r="R137" s="24">
        <f>IFERROR(__xludf.DUMMYFUNCTION("SUM(QUERY(Entregas_BD!D:L,""select K where D='""&amp;D137&amp;""'"",1))"),0.0)</f>
        <v>0</v>
      </c>
      <c r="S137" s="24">
        <f>IFERROR(__xludf.DUMMYFUNCTION("SUM(QUERY(Entregas_BD!D:L,""select L where D='""&amp;D137&amp;""'"",1))"),0.0)</f>
        <v>0</v>
      </c>
      <c r="T137" s="19">
        <f>IFERROR(__xludf.DUMMYFUNCTION("SUM(QUERY(Entregas_BD!D:AL,""select AG where D='""&amp;D137&amp;""'"",1))"),100.0)</f>
        <v>100</v>
      </c>
      <c r="U137" s="19">
        <f>IFERROR(__xludf.DUMMYFUNCTION("SUM(QUERY(Entregas_BD!D:AL,""select AH where D='""&amp;D137&amp;""'"",1))"),0.0)</f>
        <v>0</v>
      </c>
      <c r="V137" s="19">
        <f>IFERROR(__xludf.DUMMYFUNCTION("SUM(QUERY(Entregas_BD!D:AL,""select AI where D='""&amp;D137&amp;""'"",1))"),0.0)</f>
        <v>0</v>
      </c>
      <c r="W137" s="19">
        <f>IFERROR(__xludf.DUMMYFUNCTION("SUM(QUERY(Entregas_BD!D:AL,""select AJ where D='""&amp;D137&amp;""'"",1))"),0.0)</f>
        <v>0</v>
      </c>
      <c r="X137" s="19">
        <f>IFERROR(__xludf.DUMMYFUNCTION("SUM(QUERY(Entregas_BD!D:AL,""select AL where D='""&amp;D137&amp;""'"",1))"),0.0)</f>
        <v>0</v>
      </c>
      <c r="Y137" s="19">
        <f>IFERROR(__xludf.DUMMYFUNCTION("SUM(QUERY(Entregas_BD!D:AL,""select AK where D='""&amp;D137&amp;""'"",1))"),0.0)</f>
        <v>0</v>
      </c>
      <c r="Z137" s="19">
        <v>-100.0</v>
      </c>
      <c r="AA137" s="19">
        <v>0.0</v>
      </c>
      <c r="AB137" s="19">
        <v>0.0</v>
      </c>
      <c r="AC137" s="19">
        <v>0.0</v>
      </c>
      <c r="AD137" s="19">
        <v>0.0</v>
      </c>
      <c r="AE137" s="19">
        <v>0.0</v>
      </c>
      <c r="AF137" s="31" t="s">
        <v>425</v>
      </c>
      <c r="AG137" s="24">
        <f>IFERROR(__xludf.DUMMYFUNCTION("SUM(QUERY(Entregas_BD!D:W,""select U where D='""&amp;D137&amp;""'"",1))"),0.0)</f>
        <v>0</v>
      </c>
      <c r="AH137" s="24">
        <f>IFERROR(__xludf.DUMMYFUNCTION("SUM(QUERY(Entregas_BD!D:W,""select S where D='""&amp;D137&amp;""'"",1))"),0.0)</f>
        <v>0</v>
      </c>
      <c r="AI137" s="24">
        <f>IFERROR(__xludf.DUMMYFUNCTION("SUM(QUERY(Entregas_BD!D:W,""select T where D='""&amp;D137&amp;""'"",1))"),0.0)</f>
        <v>0</v>
      </c>
    </row>
    <row r="138" ht="19.5" customHeight="1">
      <c r="A138" s="7"/>
      <c r="B138" s="8"/>
      <c r="C138" s="9">
        <v>137.0</v>
      </c>
      <c r="D138" s="10" t="s">
        <v>426</v>
      </c>
      <c r="E138" s="10" t="s">
        <v>153</v>
      </c>
      <c r="F138" s="10" t="s">
        <v>381</v>
      </c>
      <c r="G138" s="10" t="s">
        <v>427</v>
      </c>
      <c r="H138" s="12" t="s">
        <v>40</v>
      </c>
      <c r="I138" s="11" t="s">
        <v>41</v>
      </c>
      <c r="J138" s="12"/>
      <c r="K138" s="12"/>
      <c r="L138" s="13"/>
      <c r="M138" s="14"/>
      <c r="N138" s="9">
        <f>IFERROR(__xludf.DUMMYFUNCTION("SUM(QUERY(Entregas_BD!D:L,""select G where D='""&amp;D138&amp;""'"",1))"),0.0)</f>
        <v>0</v>
      </c>
      <c r="O138" s="9">
        <f>IFERROR(__xludf.DUMMYFUNCTION("SUM(QUERY(Entregas_BD!D:L,""select H where D='""&amp;D138&amp;""'"",1))"),0.0)</f>
        <v>0</v>
      </c>
      <c r="P138" s="9">
        <f>IFERROR(__xludf.DUMMYFUNCTION("SUM(QUERY(Entregas_BD!D:L,""select I where D='""&amp;D138&amp;""'"",1))"),0.0)</f>
        <v>0</v>
      </c>
      <c r="Q138" s="9">
        <f>IFERROR(__xludf.DUMMYFUNCTION("SUM(QUERY(Entregas_BD!D:L,""select J where D='""&amp;D138&amp;""'"",1))"),0.0)</f>
        <v>0</v>
      </c>
      <c r="R138" s="15">
        <f>IFERROR(__xludf.DUMMYFUNCTION("SUM(QUERY(Entregas_BD!D:L,""select K where D='""&amp;D138&amp;""'"",1))"),0.0)</f>
        <v>0</v>
      </c>
      <c r="S138" s="15">
        <f>IFERROR(__xludf.DUMMYFUNCTION("SUM(QUERY(Entregas_BD!D:L,""select L where D='""&amp;D138&amp;""'"",1))"),0.0)</f>
        <v>0</v>
      </c>
      <c r="T138" s="9">
        <f>IFERROR(__xludf.DUMMYFUNCTION("SUM(QUERY(Entregas_BD!D:AL,""select AG where D='""&amp;D138&amp;""'"",1))"),0.0)</f>
        <v>0</v>
      </c>
      <c r="U138" s="9">
        <f>IFERROR(__xludf.DUMMYFUNCTION("SUM(QUERY(Entregas_BD!D:AL,""select AH where D='""&amp;D138&amp;""'"",1))"),0.0)</f>
        <v>0</v>
      </c>
      <c r="V138" s="9">
        <f>IFERROR(__xludf.DUMMYFUNCTION("SUM(QUERY(Entregas_BD!D:AL,""select AI where D='""&amp;D138&amp;""'"",1))"),0.0)</f>
        <v>0</v>
      </c>
      <c r="W138" s="9">
        <f>IFERROR(__xludf.DUMMYFUNCTION("SUM(QUERY(Entregas_BD!D:AL,""select AJ where D='""&amp;D138&amp;""'"",1))"),0.0)</f>
        <v>0</v>
      </c>
      <c r="X138" s="9">
        <f>IFERROR(__xludf.DUMMYFUNCTION("SUM(QUERY(Entregas_BD!D:AL,""select AL where D='""&amp;D138&amp;""'"",1))"),0.0)</f>
        <v>0</v>
      </c>
      <c r="Y138" s="9">
        <f>IFERROR(__xludf.DUMMYFUNCTION("SUM(QUERY(Entregas_BD!D:AL,""select AK where D='""&amp;D138&amp;""'"",1))"),0.0)</f>
        <v>0</v>
      </c>
      <c r="Z138" s="9">
        <v>0.0</v>
      </c>
      <c r="AA138" s="9">
        <v>0.0</v>
      </c>
      <c r="AB138" s="9">
        <v>0.0</v>
      </c>
      <c r="AC138" s="9">
        <v>0.0</v>
      </c>
      <c r="AD138" s="9">
        <v>0.0</v>
      </c>
      <c r="AE138" s="9">
        <v>0.0</v>
      </c>
      <c r="AF138" s="16" t="s">
        <v>428</v>
      </c>
      <c r="AG138" s="15">
        <f>IFERROR(__xludf.DUMMYFUNCTION("SUM(QUERY(Entregas_BD!D:W,""select U where D='""&amp;D138&amp;""'"",1))"),0.0)</f>
        <v>0</v>
      </c>
      <c r="AH138" s="15">
        <f>IFERROR(__xludf.DUMMYFUNCTION("SUM(QUERY(Entregas_BD!D:W,""select S where D='""&amp;D138&amp;""'"",1))"),0.0)</f>
        <v>0</v>
      </c>
      <c r="AI138" s="15">
        <f>IFERROR(__xludf.DUMMYFUNCTION("SUM(QUERY(Entregas_BD!D:W,""select T where D='""&amp;D138&amp;""'"",1))"),0.0)</f>
        <v>0</v>
      </c>
    </row>
    <row r="139" ht="19.5" customHeight="1">
      <c r="A139" s="28"/>
      <c r="B139" s="29"/>
      <c r="C139" s="19">
        <v>138.0</v>
      </c>
      <c r="D139" s="20" t="s">
        <v>429</v>
      </c>
      <c r="E139" s="20" t="s">
        <v>54</v>
      </c>
      <c r="F139" s="20" t="s">
        <v>45</v>
      </c>
      <c r="G139" s="20" t="s">
        <v>430</v>
      </c>
      <c r="H139" s="19" t="s">
        <v>40</v>
      </c>
      <c r="I139" s="21" t="s">
        <v>41</v>
      </c>
      <c r="J139" s="22"/>
      <c r="K139" s="22"/>
      <c r="L139" s="23"/>
      <c r="M139" s="22"/>
      <c r="N139" s="19">
        <f>IFERROR(__xludf.DUMMYFUNCTION("SUM(QUERY(Entregas_BD!D:L,""select G where D='""&amp;D139&amp;""'"",1))"),0.0)</f>
        <v>0</v>
      </c>
      <c r="O139" s="19">
        <f>IFERROR(__xludf.DUMMYFUNCTION("SUM(QUERY(Entregas_BD!D:L,""select H where D='""&amp;D139&amp;""'"",1))"),0.0)</f>
        <v>0</v>
      </c>
      <c r="P139" s="19">
        <f>IFERROR(__xludf.DUMMYFUNCTION("SUM(QUERY(Entregas_BD!D:L,""select I where D='""&amp;D139&amp;""'"",1))"),0.0)</f>
        <v>0</v>
      </c>
      <c r="Q139" s="19">
        <f>IFERROR(__xludf.DUMMYFUNCTION("SUM(QUERY(Entregas_BD!D:L,""select J where D='""&amp;D139&amp;""'"",1))"),0.0)</f>
        <v>0</v>
      </c>
      <c r="R139" s="24">
        <f>IFERROR(__xludf.DUMMYFUNCTION("SUM(QUERY(Entregas_BD!D:L,""select K where D='""&amp;D139&amp;""'"",1))"),0.0)</f>
        <v>0</v>
      </c>
      <c r="S139" s="24">
        <f>IFERROR(__xludf.DUMMYFUNCTION("SUM(QUERY(Entregas_BD!D:L,""select L where D='""&amp;D139&amp;""'"",1))"),0.0)</f>
        <v>0</v>
      </c>
      <c r="T139" s="19">
        <f>IFERROR(__xludf.DUMMYFUNCTION("SUM(QUERY(Entregas_BD!D:AL,""select AG where D='""&amp;D139&amp;""'"",1))"),0.0)</f>
        <v>0</v>
      </c>
      <c r="U139" s="19">
        <f>IFERROR(__xludf.DUMMYFUNCTION("SUM(QUERY(Entregas_BD!D:AL,""select AH where D='""&amp;D139&amp;""'"",1))"),0.0)</f>
        <v>0</v>
      </c>
      <c r="V139" s="19">
        <f>IFERROR(__xludf.DUMMYFUNCTION("SUM(QUERY(Entregas_BD!D:AL,""select AI where D='""&amp;D139&amp;""'"",1))"),0.0)</f>
        <v>0</v>
      </c>
      <c r="W139" s="19">
        <f>IFERROR(__xludf.DUMMYFUNCTION("SUM(QUERY(Entregas_BD!D:AL,""select AJ where D='""&amp;D139&amp;""'"",1))"),0.0)</f>
        <v>0</v>
      </c>
      <c r="X139" s="19">
        <f>IFERROR(__xludf.DUMMYFUNCTION("SUM(QUERY(Entregas_BD!D:AL,""select AL where D='""&amp;D139&amp;""'"",1))"),0.0)</f>
        <v>0</v>
      </c>
      <c r="Y139" s="19">
        <f>IFERROR(__xludf.DUMMYFUNCTION("SUM(QUERY(Entregas_BD!D:AL,""select AK where D='""&amp;D139&amp;""'"",1))"),0.0)</f>
        <v>0</v>
      </c>
      <c r="Z139" s="19">
        <v>0.0</v>
      </c>
      <c r="AA139" s="19">
        <v>0.0</v>
      </c>
      <c r="AB139" s="19">
        <v>0.0</v>
      </c>
      <c r="AC139" s="19">
        <v>0.0</v>
      </c>
      <c r="AD139" s="19">
        <v>0.0</v>
      </c>
      <c r="AE139" s="19">
        <v>0.0</v>
      </c>
      <c r="AF139" s="25" t="s">
        <v>431</v>
      </c>
      <c r="AG139" s="24">
        <f>IFERROR(__xludf.DUMMYFUNCTION("SUM(QUERY(Entregas_BD!D:W,""select U where D='""&amp;D139&amp;""'"",1))"),0.0)</f>
        <v>0</v>
      </c>
      <c r="AH139" s="24">
        <f>IFERROR(__xludf.DUMMYFUNCTION("SUM(QUERY(Entregas_BD!D:W,""select S where D='""&amp;D139&amp;""'"",1))"),0.0)</f>
        <v>0</v>
      </c>
      <c r="AI139" s="24">
        <f>IFERROR(__xludf.DUMMYFUNCTION("SUM(QUERY(Entregas_BD!D:W,""select T where D='""&amp;D139&amp;""'"",1))"),0.0)</f>
        <v>0</v>
      </c>
    </row>
    <row r="140" ht="19.5" customHeight="1">
      <c r="A140" s="7"/>
      <c r="B140" s="8"/>
      <c r="C140" s="9">
        <v>139.0</v>
      </c>
      <c r="D140" s="10" t="s">
        <v>432</v>
      </c>
      <c r="E140" s="10" t="s">
        <v>153</v>
      </c>
      <c r="F140" s="10" t="s">
        <v>433</v>
      </c>
      <c r="G140" s="10" t="s">
        <v>434</v>
      </c>
      <c r="H140" s="12" t="s">
        <v>40</v>
      </c>
      <c r="I140" s="11" t="s">
        <v>41</v>
      </c>
      <c r="J140" s="12"/>
      <c r="K140" s="12"/>
      <c r="L140" s="13"/>
      <c r="M140" s="14"/>
      <c r="N140" s="9">
        <f>IFERROR(__xludf.DUMMYFUNCTION("SUM(QUERY(Entregas_BD!D:L,""select G where D='""&amp;D140&amp;""'"",1))"),0.0)</f>
        <v>0</v>
      </c>
      <c r="O140" s="9">
        <f>IFERROR(__xludf.DUMMYFUNCTION("SUM(QUERY(Entregas_BD!D:L,""select H where D='""&amp;D140&amp;""'"",1))"),0.0)</f>
        <v>0</v>
      </c>
      <c r="P140" s="9">
        <f>IFERROR(__xludf.DUMMYFUNCTION("SUM(QUERY(Entregas_BD!D:L,""select I where D='""&amp;D140&amp;""'"",1))"),0.0)</f>
        <v>0</v>
      </c>
      <c r="Q140" s="9">
        <f>IFERROR(__xludf.DUMMYFUNCTION("SUM(QUERY(Entregas_BD!D:L,""select J where D='""&amp;D140&amp;""'"",1))"),0.0)</f>
        <v>0</v>
      </c>
      <c r="R140" s="15">
        <f>IFERROR(__xludf.DUMMYFUNCTION("SUM(QUERY(Entregas_BD!D:L,""select K where D='""&amp;D140&amp;""'"",1))"),0.0)</f>
        <v>0</v>
      </c>
      <c r="S140" s="15">
        <f>IFERROR(__xludf.DUMMYFUNCTION("SUM(QUERY(Entregas_BD!D:L,""select L where D='""&amp;D140&amp;""'"",1))"),0.0)</f>
        <v>0</v>
      </c>
      <c r="T140" s="9">
        <f>IFERROR(__xludf.DUMMYFUNCTION("SUM(QUERY(Entregas_BD!D:AL,""select AG where D='""&amp;D140&amp;""'"",1))"),0.0)</f>
        <v>0</v>
      </c>
      <c r="U140" s="9">
        <f>IFERROR(__xludf.DUMMYFUNCTION("SUM(QUERY(Entregas_BD!D:AL,""select AH where D='""&amp;D140&amp;""'"",1))"),0.0)</f>
        <v>0</v>
      </c>
      <c r="V140" s="9">
        <f>IFERROR(__xludf.DUMMYFUNCTION("SUM(QUERY(Entregas_BD!D:AL,""select AI where D='""&amp;D140&amp;""'"",1))"),0.0)</f>
        <v>0</v>
      </c>
      <c r="W140" s="9">
        <f>IFERROR(__xludf.DUMMYFUNCTION("SUM(QUERY(Entregas_BD!D:AL,""select AJ where D='""&amp;D140&amp;""'"",1))"),0.0)</f>
        <v>0</v>
      </c>
      <c r="X140" s="9">
        <f>IFERROR(__xludf.DUMMYFUNCTION("SUM(QUERY(Entregas_BD!D:AL,""select AL where D='""&amp;D140&amp;""'"",1))"),0.0)</f>
        <v>0</v>
      </c>
      <c r="Y140" s="9">
        <f>IFERROR(__xludf.DUMMYFUNCTION("SUM(QUERY(Entregas_BD!D:AL,""select AK where D='""&amp;D140&amp;""'"",1))"),0.0)</f>
        <v>0</v>
      </c>
      <c r="Z140" s="9">
        <v>0.0</v>
      </c>
      <c r="AA140" s="9">
        <v>0.0</v>
      </c>
      <c r="AB140" s="9">
        <v>0.0</v>
      </c>
      <c r="AC140" s="9">
        <v>0.0</v>
      </c>
      <c r="AD140" s="9">
        <v>0.0</v>
      </c>
      <c r="AE140" s="9">
        <v>0.0</v>
      </c>
      <c r="AF140" s="32" t="s">
        <v>435</v>
      </c>
      <c r="AG140" s="15">
        <f>IFERROR(__xludf.DUMMYFUNCTION("SUM(QUERY(Entregas_BD!D:W,""select U where D='""&amp;D140&amp;""'"",1))"),0.0)</f>
        <v>0</v>
      </c>
      <c r="AH140" s="15">
        <f>IFERROR(__xludf.DUMMYFUNCTION("SUM(QUERY(Entregas_BD!D:W,""select S where D='""&amp;D140&amp;""'"",1))"),0.0)</f>
        <v>0</v>
      </c>
      <c r="AI140" s="15">
        <f>IFERROR(__xludf.DUMMYFUNCTION("SUM(QUERY(Entregas_BD!D:W,""select T where D='""&amp;D140&amp;""'"",1))"),0.0)</f>
        <v>0</v>
      </c>
    </row>
    <row r="141" ht="19.5" customHeight="1">
      <c r="A141" s="28"/>
      <c r="B141" s="29"/>
      <c r="C141" s="19">
        <v>140.0</v>
      </c>
      <c r="D141" s="20" t="s">
        <v>436</v>
      </c>
      <c r="E141" s="20" t="s">
        <v>58</v>
      </c>
      <c r="F141" s="20" t="s">
        <v>45</v>
      </c>
      <c r="G141" s="20" t="s">
        <v>437</v>
      </c>
      <c r="H141" s="19" t="s">
        <v>51</v>
      </c>
      <c r="I141" s="21" t="s">
        <v>47</v>
      </c>
      <c r="J141" s="19"/>
      <c r="K141" s="22"/>
      <c r="L141" s="23"/>
      <c r="M141" s="22"/>
      <c r="N141" s="19">
        <f>IFERROR(__xludf.DUMMYFUNCTION("SUM(QUERY(Entregas_BD!D:L,""select G where D='""&amp;D141&amp;""'"",1))"),0.0)</f>
        <v>0</v>
      </c>
      <c r="O141" s="19">
        <f>IFERROR(__xludf.DUMMYFUNCTION("SUM(QUERY(Entregas_BD!D:L,""select H where D='""&amp;D141&amp;""'"",1))"),0.0)</f>
        <v>0</v>
      </c>
      <c r="P141" s="19">
        <f>IFERROR(__xludf.DUMMYFUNCTION("SUM(QUERY(Entregas_BD!D:L,""select I where D='""&amp;D141&amp;""'"",1))"),0.0)</f>
        <v>0</v>
      </c>
      <c r="Q141" s="19">
        <f>IFERROR(__xludf.DUMMYFUNCTION("SUM(QUERY(Entregas_BD!D:L,""select J where D='""&amp;D141&amp;""'"",1))"),0.0)</f>
        <v>0</v>
      </c>
      <c r="R141" s="24">
        <f>IFERROR(__xludf.DUMMYFUNCTION("SUM(QUERY(Entregas_BD!D:L,""select K where D='""&amp;D141&amp;""'"",1))"),0.0)</f>
        <v>0</v>
      </c>
      <c r="S141" s="24">
        <f>IFERROR(__xludf.DUMMYFUNCTION("SUM(QUERY(Entregas_BD!D:L,""select L where D='""&amp;D141&amp;""'"",1))"),0.0)</f>
        <v>0</v>
      </c>
      <c r="T141" s="19">
        <f>IFERROR(__xludf.DUMMYFUNCTION("SUM(QUERY(Entregas_BD!D:AL,""select AG where D='""&amp;D141&amp;""'"",1))"),0.0)</f>
        <v>0</v>
      </c>
      <c r="U141" s="19">
        <f>IFERROR(__xludf.DUMMYFUNCTION("SUM(QUERY(Entregas_BD!D:AL,""select AH where D='""&amp;D141&amp;""'"",1))"),0.0)</f>
        <v>0</v>
      </c>
      <c r="V141" s="19">
        <f>IFERROR(__xludf.DUMMYFUNCTION("SUM(QUERY(Entregas_BD!D:AL,""select AI where D='""&amp;D141&amp;""'"",1))"),0.0)</f>
        <v>0</v>
      </c>
      <c r="W141" s="19">
        <f>IFERROR(__xludf.DUMMYFUNCTION("SUM(QUERY(Entregas_BD!D:AL,""select AJ where D='""&amp;D141&amp;""'"",1))"),0.0)</f>
        <v>0</v>
      </c>
      <c r="X141" s="19">
        <f>IFERROR(__xludf.DUMMYFUNCTION("SUM(QUERY(Entregas_BD!D:AL,""select AL where D='""&amp;D141&amp;""'"",1))"),0.0)</f>
        <v>0</v>
      </c>
      <c r="Y141" s="19">
        <f>IFERROR(__xludf.DUMMYFUNCTION("SUM(QUERY(Entregas_BD!D:AL,""select AK where D='""&amp;D141&amp;""'"",1))"),0.0)</f>
        <v>0</v>
      </c>
      <c r="Z141" s="19">
        <v>0.0</v>
      </c>
      <c r="AA141" s="19">
        <v>0.0</v>
      </c>
      <c r="AB141" s="19">
        <v>0.0</v>
      </c>
      <c r="AC141" s="19">
        <v>0.0</v>
      </c>
      <c r="AD141" s="19">
        <v>0.0</v>
      </c>
      <c r="AE141" s="19">
        <v>0.0</v>
      </c>
      <c r="AF141" s="31" t="s">
        <v>438</v>
      </c>
      <c r="AG141" s="24">
        <f>IFERROR(__xludf.DUMMYFUNCTION("SUM(QUERY(Entregas_BD!D:W,""select U where D='""&amp;D141&amp;""'"",1))"),0.0)</f>
        <v>0</v>
      </c>
      <c r="AH141" s="24">
        <f>IFERROR(__xludf.DUMMYFUNCTION("SUM(QUERY(Entregas_BD!D:W,""select S where D='""&amp;D141&amp;""'"",1))"),0.0)</f>
        <v>0</v>
      </c>
      <c r="AI141" s="24">
        <f>IFERROR(__xludf.DUMMYFUNCTION("SUM(QUERY(Entregas_BD!D:W,""select T where D='""&amp;D141&amp;""'"",1))"),0.0)</f>
        <v>0</v>
      </c>
    </row>
    <row r="142" ht="19.5" customHeight="1">
      <c r="A142" s="7"/>
      <c r="B142" s="8"/>
      <c r="C142" s="9">
        <v>141.0</v>
      </c>
      <c r="D142" s="10" t="s">
        <v>439</v>
      </c>
      <c r="E142" s="10" t="s">
        <v>54</v>
      </c>
      <c r="F142" s="10" t="s">
        <v>45</v>
      </c>
      <c r="G142" s="10" t="s">
        <v>440</v>
      </c>
      <c r="H142" s="9" t="s">
        <v>51</v>
      </c>
      <c r="I142" s="11" t="s">
        <v>41</v>
      </c>
      <c r="J142" s="12"/>
      <c r="K142" s="12"/>
      <c r="L142" s="13"/>
      <c r="M142" s="12"/>
      <c r="N142" s="9">
        <f>IFERROR(__xludf.DUMMYFUNCTION("SUM(QUERY(Entregas_BD!D:L,""select G where D='""&amp;D142&amp;""'"",1))"),0.0)</f>
        <v>0</v>
      </c>
      <c r="O142" s="9">
        <f>IFERROR(__xludf.DUMMYFUNCTION("SUM(QUERY(Entregas_BD!D:L,""select H where D='""&amp;D142&amp;""'"",1))"),0.0)</f>
        <v>0</v>
      </c>
      <c r="P142" s="9">
        <f>IFERROR(__xludf.DUMMYFUNCTION("SUM(QUERY(Entregas_BD!D:L,""select I where D='""&amp;D142&amp;""'"",1))"),0.0)</f>
        <v>0</v>
      </c>
      <c r="Q142" s="9">
        <f>IFERROR(__xludf.DUMMYFUNCTION("SUM(QUERY(Entregas_BD!D:L,""select J where D='""&amp;D142&amp;""'"",1))"),0.0)</f>
        <v>0</v>
      </c>
      <c r="R142" s="15">
        <f>IFERROR(__xludf.DUMMYFUNCTION("SUM(QUERY(Entregas_BD!D:L,""select K where D='""&amp;D142&amp;""'"",1))"),0.0)</f>
        <v>0</v>
      </c>
      <c r="S142" s="15">
        <f>IFERROR(__xludf.DUMMYFUNCTION("SUM(QUERY(Entregas_BD!D:L,""select L where D='""&amp;D142&amp;""'"",1))"),0.0)</f>
        <v>0</v>
      </c>
      <c r="T142" s="9">
        <f>IFERROR(__xludf.DUMMYFUNCTION("SUM(QUERY(Entregas_BD!D:AL,""select AG where D='""&amp;D142&amp;""'"",1))"),0.0)</f>
        <v>0</v>
      </c>
      <c r="U142" s="9">
        <f>IFERROR(__xludf.DUMMYFUNCTION("SUM(QUERY(Entregas_BD!D:AL,""select AH where D='""&amp;D142&amp;""'"",1))"),0.0)</f>
        <v>0</v>
      </c>
      <c r="V142" s="9">
        <f>IFERROR(__xludf.DUMMYFUNCTION("SUM(QUERY(Entregas_BD!D:AL,""select AI where D='""&amp;D142&amp;""'"",1))"),0.0)</f>
        <v>0</v>
      </c>
      <c r="W142" s="9">
        <f>IFERROR(__xludf.DUMMYFUNCTION("SUM(QUERY(Entregas_BD!D:AL,""select AJ where D='""&amp;D142&amp;""'"",1))"),0.0)</f>
        <v>0</v>
      </c>
      <c r="X142" s="9">
        <f>IFERROR(__xludf.DUMMYFUNCTION("SUM(QUERY(Entregas_BD!D:AL,""select AL where D='""&amp;D142&amp;""'"",1))"),0.0)</f>
        <v>0</v>
      </c>
      <c r="Y142" s="9">
        <f>IFERROR(__xludf.DUMMYFUNCTION("SUM(QUERY(Entregas_BD!D:AL,""select AK where D='""&amp;D142&amp;""'"",1))"),0.0)</f>
        <v>0</v>
      </c>
      <c r="Z142" s="9">
        <v>0.0</v>
      </c>
      <c r="AA142" s="9">
        <v>0.0</v>
      </c>
      <c r="AB142" s="9">
        <v>0.0</v>
      </c>
      <c r="AC142" s="9">
        <v>0.0</v>
      </c>
      <c r="AD142" s="9">
        <v>0.0</v>
      </c>
      <c r="AE142" s="9">
        <v>0.0</v>
      </c>
      <c r="AF142" s="16" t="s">
        <v>441</v>
      </c>
      <c r="AG142" s="15">
        <f>IFERROR(__xludf.DUMMYFUNCTION("SUM(QUERY(Entregas_BD!D:W,""select U where D='""&amp;D142&amp;""'"",1))"),0.0)</f>
        <v>0</v>
      </c>
      <c r="AH142" s="15">
        <f>IFERROR(__xludf.DUMMYFUNCTION("SUM(QUERY(Entregas_BD!D:W,""select S where D='""&amp;D142&amp;""'"",1))"),0.0)</f>
        <v>0</v>
      </c>
      <c r="AI142" s="15">
        <f>IFERROR(__xludf.DUMMYFUNCTION("SUM(QUERY(Entregas_BD!D:W,""select T where D='""&amp;D142&amp;""'"",1))"),0.0)</f>
        <v>0</v>
      </c>
    </row>
    <row r="143" ht="19.5" customHeight="1">
      <c r="A143" s="28"/>
      <c r="B143" s="29"/>
      <c r="C143" s="19">
        <v>142.0</v>
      </c>
      <c r="D143" s="20" t="s">
        <v>442</v>
      </c>
      <c r="E143" s="20" t="s">
        <v>54</v>
      </c>
      <c r="F143" s="20" t="s">
        <v>45</v>
      </c>
      <c r="G143" s="20" t="s">
        <v>440</v>
      </c>
      <c r="H143" s="19" t="s">
        <v>51</v>
      </c>
      <c r="I143" s="21" t="s">
        <v>41</v>
      </c>
      <c r="J143" s="40"/>
      <c r="K143" s="22"/>
      <c r="L143" s="23"/>
      <c r="M143" s="22"/>
      <c r="N143" s="19">
        <f>IFERROR(__xludf.DUMMYFUNCTION("SUM(QUERY(Entregas_BD!D:L,""select G where D='""&amp;D143&amp;""'"",1))"),0.0)</f>
        <v>0</v>
      </c>
      <c r="O143" s="19">
        <f>IFERROR(__xludf.DUMMYFUNCTION("SUM(QUERY(Entregas_BD!D:L,""select H where D='""&amp;D143&amp;""'"",1))"),0.0)</f>
        <v>0</v>
      </c>
      <c r="P143" s="19">
        <f>IFERROR(__xludf.DUMMYFUNCTION("SUM(QUERY(Entregas_BD!D:L,""select I where D='""&amp;D143&amp;""'"",1))"),0.0)</f>
        <v>0</v>
      </c>
      <c r="Q143" s="19">
        <f>IFERROR(__xludf.DUMMYFUNCTION("SUM(QUERY(Entregas_BD!D:L,""select J where D='""&amp;D143&amp;""'"",1))"),0.0)</f>
        <v>0</v>
      </c>
      <c r="R143" s="24">
        <f>IFERROR(__xludf.DUMMYFUNCTION("SUM(QUERY(Entregas_BD!D:L,""select K where D='""&amp;D143&amp;""'"",1))"),0.0)</f>
        <v>0</v>
      </c>
      <c r="S143" s="24">
        <f>IFERROR(__xludf.DUMMYFUNCTION("SUM(QUERY(Entregas_BD!D:L,""select L where D='""&amp;D143&amp;""'"",1))"),0.0)</f>
        <v>0</v>
      </c>
      <c r="T143" s="19">
        <f>IFERROR(__xludf.DUMMYFUNCTION("SUM(QUERY(Entregas_BD!D:AL,""select AG where D='""&amp;D143&amp;""'"",1))"),0.0)</f>
        <v>0</v>
      </c>
      <c r="U143" s="19">
        <f>IFERROR(__xludf.DUMMYFUNCTION("SUM(QUERY(Entregas_BD!D:AL,""select AH where D='""&amp;D143&amp;""'"",1))"),0.0)</f>
        <v>0</v>
      </c>
      <c r="V143" s="19">
        <f>IFERROR(__xludf.DUMMYFUNCTION("SUM(QUERY(Entregas_BD!D:AL,""select AI where D='""&amp;D143&amp;""'"",1))"),0.0)</f>
        <v>0</v>
      </c>
      <c r="W143" s="19">
        <f>IFERROR(__xludf.DUMMYFUNCTION("SUM(QUERY(Entregas_BD!D:AL,""select AJ where D='""&amp;D143&amp;""'"",1))"),0.0)</f>
        <v>0</v>
      </c>
      <c r="X143" s="19">
        <f>IFERROR(__xludf.DUMMYFUNCTION("SUM(QUERY(Entregas_BD!D:AL,""select AL where D='""&amp;D143&amp;""'"",1))"),0.0)</f>
        <v>0</v>
      </c>
      <c r="Y143" s="19">
        <f>IFERROR(__xludf.DUMMYFUNCTION("SUM(QUERY(Entregas_BD!D:AL,""select AK where D='""&amp;D143&amp;""'"",1))"),0.0)</f>
        <v>0</v>
      </c>
      <c r="Z143" s="19">
        <v>0.0</v>
      </c>
      <c r="AA143" s="19">
        <v>0.0</v>
      </c>
      <c r="AB143" s="19">
        <v>0.0</v>
      </c>
      <c r="AC143" s="19">
        <v>0.0</v>
      </c>
      <c r="AD143" s="19">
        <v>0.0</v>
      </c>
      <c r="AE143" s="19">
        <v>0.0</v>
      </c>
      <c r="AF143" s="31" t="s">
        <v>443</v>
      </c>
      <c r="AG143" s="24">
        <f>IFERROR(__xludf.DUMMYFUNCTION("SUM(QUERY(Entregas_BD!D:W,""select U where D='""&amp;D143&amp;""'"",1))"),0.0)</f>
        <v>0</v>
      </c>
      <c r="AH143" s="24">
        <f>IFERROR(__xludf.DUMMYFUNCTION("SUM(QUERY(Entregas_BD!D:W,""select S where D='""&amp;D143&amp;""'"",1))"),0.0)</f>
        <v>0</v>
      </c>
      <c r="AI143" s="24">
        <f>IFERROR(__xludf.DUMMYFUNCTION("SUM(QUERY(Entregas_BD!D:W,""select T where D='""&amp;D143&amp;""'"",1))"),0.0)</f>
        <v>0</v>
      </c>
    </row>
    <row r="144" ht="19.5" customHeight="1">
      <c r="A144" s="7"/>
      <c r="B144" s="8"/>
      <c r="C144" s="9">
        <v>143.0</v>
      </c>
      <c r="D144" s="10" t="s">
        <v>444</v>
      </c>
      <c r="E144" s="10" t="s">
        <v>58</v>
      </c>
      <c r="F144" s="10" t="s">
        <v>45</v>
      </c>
      <c r="G144" s="10" t="s">
        <v>353</v>
      </c>
      <c r="H144" s="9" t="s">
        <v>40</v>
      </c>
      <c r="I144" s="11" t="s">
        <v>41</v>
      </c>
      <c r="J144" s="9"/>
      <c r="K144" s="12"/>
      <c r="L144" s="13"/>
      <c r="M144" s="12"/>
      <c r="N144" s="9">
        <f>IFERROR(__xludf.DUMMYFUNCTION("SUM(QUERY(Entregas_BD!D:L,""select G where D='""&amp;D144&amp;""'"",1))"),0.0)</f>
        <v>0</v>
      </c>
      <c r="O144" s="9">
        <f>IFERROR(__xludf.DUMMYFUNCTION("SUM(QUERY(Entregas_BD!D:L,""select H where D='""&amp;D144&amp;""'"",1))"),0.0)</f>
        <v>0</v>
      </c>
      <c r="P144" s="9">
        <f>IFERROR(__xludf.DUMMYFUNCTION("SUM(QUERY(Entregas_BD!D:L,""select I where D='""&amp;D144&amp;""'"",1))"),0.0)</f>
        <v>0</v>
      </c>
      <c r="Q144" s="9">
        <f>IFERROR(__xludf.DUMMYFUNCTION("SUM(QUERY(Entregas_BD!D:L,""select J where D='""&amp;D144&amp;""'"",1))"),0.0)</f>
        <v>0</v>
      </c>
      <c r="R144" s="15">
        <f>IFERROR(__xludf.DUMMYFUNCTION("SUM(QUERY(Entregas_BD!D:L,""select K where D='""&amp;D144&amp;""'"",1))"),0.0)</f>
        <v>0</v>
      </c>
      <c r="S144" s="15">
        <f>IFERROR(__xludf.DUMMYFUNCTION("SUM(QUERY(Entregas_BD!D:L,""select L where D='""&amp;D144&amp;""'"",1))"),0.0)</f>
        <v>0</v>
      </c>
      <c r="T144" s="9">
        <f>IFERROR(__xludf.DUMMYFUNCTION("SUM(QUERY(Entregas_BD!D:AL,""select AG where D='""&amp;D144&amp;""'"",1))"),0.0)</f>
        <v>0</v>
      </c>
      <c r="U144" s="9">
        <f>IFERROR(__xludf.DUMMYFUNCTION("SUM(QUERY(Entregas_BD!D:AL,""select AH where D='""&amp;D144&amp;""'"",1))"),0.0)</f>
        <v>0</v>
      </c>
      <c r="V144" s="9">
        <f>IFERROR(__xludf.DUMMYFUNCTION("SUM(QUERY(Entregas_BD!D:AL,""select AI where D='""&amp;D144&amp;""'"",1))"),0.0)</f>
        <v>0</v>
      </c>
      <c r="W144" s="9">
        <f>IFERROR(__xludf.DUMMYFUNCTION("SUM(QUERY(Entregas_BD!D:AL,""select AJ where D='""&amp;D144&amp;""'"",1))"),0.0)</f>
        <v>0</v>
      </c>
      <c r="X144" s="9">
        <f>IFERROR(__xludf.DUMMYFUNCTION("SUM(QUERY(Entregas_BD!D:AL,""select AL where D='""&amp;D144&amp;""'"",1))"),0.0)</f>
        <v>0</v>
      </c>
      <c r="Y144" s="9">
        <f>IFERROR(__xludf.DUMMYFUNCTION("SUM(QUERY(Entregas_BD!D:AL,""select AK where D='""&amp;D144&amp;""'"",1))"),0.0)</f>
        <v>0</v>
      </c>
      <c r="Z144" s="9">
        <v>0.0</v>
      </c>
      <c r="AA144" s="9">
        <v>0.0</v>
      </c>
      <c r="AB144" s="9">
        <v>0.0</v>
      </c>
      <c r="AC144" s="9">
        <v>0.0</v>
      </c>
      <c r="AD144" s="9">
        <v>0.0</v>
      </c>
      <c r="AE144" s="9">
        <v>0.0</v>
      </c>
      <c r="AF144" s="32" t="s">
        <v>445</v>
      </c>
      <c r="AG144" s="15">
        <f>IFERROR(__xludf.DUMMYFUNCTION("SUM(QUERY(Entregas_BD!D:W,""select U where D='""&amp;D144&amp;""'"",1))"),0.0)</f>
        <v>0</v>
      </c>
      <c r="AH144" s="15">
        <f>IFERROR(__xludf.DUMMYFUNCTION("SUM(QUERY(Entregas_BD!D:W,""select S where D='""&amp;D144&amp;""'"",1))"),0.0)</f>
        <v>0</v>
      </c>
      <c r="AI144" s="15">
        <f>IFERROR(__xludf.DUMMYFUNCTION("SUM(QUERY(Entregas_BD!D:W,""select T where D='""&amp;D144&amp;""'"",1))"),0.0)</f>
        <v>0</v>
      </c>
    </row>
    <row r="145" ht="19.5" customHeight="1">
      <c r="A145" s="28"/>
      <c r="B145" s="29"/>
      <c r="C145" s="19">
        <v>144.0</v>
      </c>
      <c r="D145" s="20" t="s">
        <v>446</v>
      </c>
      <c r="E145" s="20" t="s">
        <v>54</v>
      </c>
      <c r="F145" s="20" t="s">
        <v>45</v>
      </c>
      <c r="G145" s="20" t="s">
        <v>55</v>
      </c>
      <c r="H145" s="19" t="s">
        <v>51</v>
      </c>
      <c r="I145" s="21" t="s">
        <v>41</v>
      </c>
      <c r="J145" s="22"/>
      <c r="K145" s="22"/>
      <c r="L145" s="23"/>
      <c r="M145" s="22"/>
      <c r="N145" s="19">
        <f>IFERROR(__xludf.DUMMYFUNCTION("SUM(QUERY(Entregas_BD!D:L,""select G where D='""&amp;D145&amp;""'"",1))"),0.0)</f>
        <v>0</v>
      </c>
      <c r="O145" s="19">
        <f>IFERROR(__xludf.DUMMYFUNCTION("SUM(QUERY(Entregas_BD!D:L,""select H where D='""&amp;D145&amp;""'"",1))"),0.0)</f>
        <v>0</v>
      </c>
      <c r="P145" s="19">
        <f>IFERROR(__xludf.DUMMYFUNCTION("SUM(QUERY(Entregas_BD!D:L,""select I where D='""&amp;D145&amp;""'"",1))"),0.0)</f>
        <v>0</v>
      </c>
      <c r="Q145" s="19">
        <f>IFERROR(__xludf.DUMMYFUNCTION("SUM(QUERY(Entregas_BD!D:L,""select J where D='""&amp;D145&amp;""'"",1))"),0.0)</f>
        <v>0</v>
      </c>
      <c r="R145" s="24">
        <f>IFERROR(__xludf.DUMMYFUNCTION("SUM(QUERY(Entregas_BD!D:L,""select K where D='""&amp;D145&amp;""'"",1))"),0.0)</f>
        <v>0</v>
      </c>
      <c r="S145" s="24">
        <f>IFERROR(__xludf.DUMMYFUNCTION("SUM(QUERY(Entregas_BD!D:L,""select L where D='""&amp;D145&amp;""'"",1))"),0.0)</f>
        <v>0</v>
      </c>
      <c r="T145" s="19">
        <f>IFERROR(__xludf.DUMMYFUNCTION("SUM(QUERY(Entregas_BD!D:AL,""select AG where D='""&amp;D145&amp;""'"",1))"),100.0)</f>
        <v>100</v>
      </c>
      <c r="U145" s="19">
        <f>IFERROR(__xludf.DUMMYFUNCTION("SUM(QUERY(Entregas_BD!D:AL,""select AH where D='""&amp;D145&amp;""'"",1))"),0.0)</f>
        <v>0</v>
      </c>
      <c r="V145" s="19">
        <f>IFERROR(__xludf.DUMMYFUNCTION("SUM(QUERY(Entregas_BD!D:AL,""select AI where D='""&amp;D145&amp;""'"",1))"),0.0)</f>
        <v>0</v>
      </c>
      <c r="W145" s="19">
        <f>IFERROR(__xludf.DUMMYFUNCTION("SUM(QUERY(Entregas_BD!D:AL,""select AJ where D='""&amp;D145&amp;""'"",1))"),0.0)</f>
        <v>0</v>
      </c>
      <c r="X145" s="19">
        <f>IFERROR(__xludf.DUMMYFUNCTION("SUM(QUERY(Entregas_BD!D:AL,""select AL where D='""&amp;D145&amp;""'"",1))"),0.0)</f>
        <v>0</v>
      </c>
      <c r="Y145" s="19">
        <f>IFERROR(__xludf.DUMMYFUNCTION("SUM(QUERY(Entregas_BD!D:AL,""select AK where D='""&amp;D145&amp;""'"",1))"),0.0)</f>
        <v>0</v>
      </c>
      <c r="Z145" s="19">
        <v>-100.0</v>
      </c>
      <c r="AA145" s="19">
        <v>0.0</v>
      </c>
      <c r="AB145" s="19">
        <v>0.0</v>
      </c>
      <c r="AC145" s="19">
        <v>0.0</v>
      </c>
      <c r="AD145" s="19">
        <v>0.0</v>
      </c>
      <c r="AE145" s="19">
        <v>0.0</v>
      </c>
      <c r="AF145" s="31" t="s">
        <v>447</v>
      </c>
      <c r="AG145" s="24">
        <f>IFERROR(__xludf.DUMMYFUNCTION("SUM(QUERY(Entregas_BD!D:W,""select U where D='""&amp;D145&amp;""'"",1))"),0.0)</f>
        <v>0</v>
      </c>
      <c r="AH145" s="24">
        <f>IFERROR(__xludf.DUMMYFUNCTION("SUM(QUERY(Entregas_BD!D:W,""select S where D='""&amp;D145&amp;""'"",1))"),0.0)</f>
        <v>0</v>
      </c>
      <c r="AI145" s="24">
        <f>IFERROR(__xludf.DUMMYFUNCTION("SUM(QUERY(Entregas_BD!D:W,""select T where D='""&amp;D145&amp;""'"",1))"),0.0)</f>
        <v>0</v>
      </c>
    </row>
    <row r="146" ht="19.5" customHeight="1">
      <c r="A146" s="26"/>
      <c r="B146" s="27"/>
      <c r="C146" s="9">
        <v>145.0</v>
      </c>
      <c r="D146" s="41" t="s">
        <v>448</v>
      </c>
      <c r="E146" s="10" t="s">
        <v>44</v>
      </c>
      <c r="F146" s="10" t="s">
        <v>45</v>
      </c>
      <c r="G146" s="10" t="s">
        <v>449</v>
      </c>
      <c r="H146" s="9" t="s">
        <v>51</v>
      </c>
      <c r="I146" s="11" t="s">
        <v>41</v>
      </c>
      <c r="J146" s="9"/>
      <c r="K146" s="12"/>
      <c r="L146" s="13"/>
      <c r="M146" s="12"/>
      <c r="N146" s="9">
        <f>IFERROR(__xludf.DUMMYFUNCTION("SUM(QUERY(Entregas_BD!D:L,""select G where D='""&amp;D146&amp;""'"",1))"),0.0)</f>
        <v>0</v>
      </c>
      <c r="O146" s="9">
        <f>IFERROR(__xludf.DUMMYFUNCTION("SUM(QUERY(Entregas_BD!D:L,""select H where D='""&amp;D146&amp;""'"",1))"),0.0)</f>
        <v>0</v>
      </c>
      <c r="P146" s="9">
        <f>IFERROR(__xludf.DUMMYFUNCTION("SUM(QUERY(Entregas_BD!D:L,""select I where D='""&amp;D146&amp;""'"",1))"),0.0)</f>
        <v>0</v>
      </c>
      <c r="Q146" s="9">
        <f>IFERROR(__xludf.DUMMYFUNCTION("SUM(QUERY(Entregas_BD!D:L,""select J where D='""&amp;D146&amp;""'"",1))"),0.0)</f>
        <v>0</v>
      </c>
      <c r="R146" s="15">
        <f>IFERROR(__xludf.DUMMYFUNCTION("SUM(QUERY(Entregas_BD!D:L,""select K where D='""&amp;D146&amp;""'"",1))"),0.0)</f>
        <v>0</v>
      </c>
      <c r="S146" s="15">
        <f>IFERROR(__xludf.DUMMYFUNCTION("SUM(QUERY(Entregas_BD!D:L,""select L where D='""&amp;D146&amp;""'"",1))"),0.0)</f>
        <v>0</v>
      </c>
      <c r="T146" s="9">
        <f>IFERROR(__xludf.DUMMYFUNCTION("SUM(QUERY(Entregas_BD!D:AL,""select AG where D='""&amp;D146&amp;""'"",1))"),50.0)</f>
        <v>50</v>
      </c>
      <c r="U146" s="9">
        <f>IFERROR(__xludf.DUMMYFUNCTION("SUM(QUERY(Entregas_BD!D:AL,""select AH where D='""&amp;D146&amp;""'"",1))"),0.0)</f>
        <v>0</v>
      </c>
      <c r="V146" s="9">
        <f>IFERROR(__xludf.DUMMYFUNCTION("SUM(QUERY(Entregas_BD!D:AL,""select AI where D='""&amp;D146&amp;""'"",1))"),0.0)</f>
        <v>0</v>
      </c>
      <c r="W146" s="9">
        <f>IFERROR(__xludf.DUMMYFUNCTION("SUM(QUERY(Entregas_BD!D:AL,""select AJ where D='""&amp;D146&amp;""'"",1))"),0.0)</f>
        <v>0</v>
      </c>
      <c r="X146" s="9">
        <f>IFERROR(__xludf.DUMMYFUNCTION("SUM(QUERY(Entregas_BD!D:AL,""select AL where D='""&amp;D146&amp;""'"",1))"),0.0)</f>
        <v>0</v>
      </c>
      <c r="Y146" s="9">
        <f>IFERROR(__xludf.DUMMYFUNCTION("SUM(QUERY(Entregas_BD!D:AL,""select AK where D='""&amp;D146&amp;""'"",1))"),0.0)</f>
        <v>0</v>
      </c>
      <c r="Z146" s="9">
        <v>-50.0</v>
      </c>
      <c r="AA146" s="9">
        <v>0.0</v>
      </c>
      <c r="AB146" s="9">
        <v>0.0</v>
      </c>
      <c r="AC146" s="9">
        <v>0.0</v>
      </c>
      <c r="AD146" s="9">
        <v>0.0</v>
      </c>
      <c r="AE146" s="9">
        <v>0.0</v>
      </c>
      <c r="AF146" s="32" t="s">
        <v>450</v>
      </c>
      <c r="AG146" s="15">
        <f>IFERROR(__xludf.DUMMYFUNCTION("SUM(QUERY(Entregas_BD!D:W,""select U where D='""&amp;D146&amp;""'"",1))"),0.0)</f>
        <v>0</v>
      </c>
      <c r="AH146" s="15">
        <f>IFERROR(__xludf.DUMMYFUNCTION("SUM(QUERY(Entregas_BD!D:W,""select S where D='""&amp;D146&amp;""'"",1))"),0.0)</f>
        <v>0</v>
      </c>
      <c r="AI146" s="15">
        <f>IFERROR(__xludf.DUMMYFUNCTION("SUM(QUERY(Entregas_BD!D:W,""select T where D='""&amp;D146&amp;""'"",1))"),0.0)</f>
        <v>0</v>
      </c>
    </row>
    <row r="147" ht="19.5" customHeight="1">
      <c r="A147" s="28"/>
      <c r="B147" s="29"/>
      <c r="C147" s="19">
        <v>146.0</v>
      </c>
      <c r="D147" s="20" t="s">
        <v>451</v>
      </c>
      <c r="E147" s="20" t="s">
        <v>72</v>
      </c>
      <c r="F147" s="20" t="s">
        <v>45</v>
      </c>
      <c r="G147" s="20" t="s">
        <v>452</v>
      </c>
      <c r="H147" s="19" t="s">
        <v>51</v>
      </c>
      <c r="I147" s="21" t="s">
        <v>41</v>
      </c>
      <c r="J147" s="22"/>
      <c r="K147" s="22"/>
      <c r="L147" s="23"/>
      <c r="M147" s="22"/>
      <c r="N147" s="19">
        <f>IFERROR(__xludf.DUMMYFUNCTION("SUM(QUERY(Entregas_BD!D:L,""select G where D='""&amp;D147&amp;""'"",1))"),0.0)</f>
        <v>0</v>
      </c>
      <c r="O147" s="19">
        <f>IFERROR(__xludf.DUMMYFUNCTION("SUM(QUERY(Entregas_BD!D:L,""select H where D='""&amp;D147&amp;""'"",1))"),0.0)</f>
        <v>0</v>
      </c>
      <c r="P147" s="19">
        <f>IFERROR(__xludf.DUMMYFUNCTION("SUM(QUERY(Entregas_BD!D:L,""select I where D='""&amp;D147&amp;""'"",1))"),0.0)</f>
        <v>0</v>
      </c>
      <c r="Q147" s="19">
        <f>IFERROR(__xludf.DUMMYFUNCTION("SUM(QUERY(Entregas_BD!D:L,""select J where D='""&amp;D147&amp;""'"",1))"),0.0)</f>
        <v>0</v>
      </c>
      <c r="R147" s="24">
        <f>IFERROR(__xludf.DUMMYFUNCTION("SUM(QUERY(Entregas_BD!D:L,""select K where D='""&amp;D147&amp;""'"",1))"),0.0)</f>
        <v>0</v>
      </c>
      <c r="S147" s="24">
        <f>IFERROR(__xludf.DUMMYFUNCTION("SUM(QUERY(Entregas_BD!D:L,""select L where D='""&amp;D147&amp;""'"",1))"),0.0)</f>
        <v>0</v>
      </c>
      <c r="T147" s="19">
        <f>IFERROR(__xludf.DUMMYFUNCTION("SUM(QUERY(Entregas_BD!D:AL,""select AG where D='""&amp;D147&amp;""'"",1))"),50.0)</f>
        <v>50</v>
      </c>
      <c r="U147" s="19">
        <f>IFERROR(__xludf.DUMMYFUNCTION("SUM(QUERY(Entregas_BD!D:AL,""select AH where D='""&amp;D147&amp;""'"",1))"),0.0)</f>
        <v>0</v>
      </c>
      <c r="V147" s="19">
        <f>IFERROR(__xludf.DUMMYFUNCTION("SUM(QUERY(Entregas_BD!D:AL,""select AI where D='""&amp;D147&amp;""'"",1))"),0.0)</f>
        <v>0</v>
      </c>
      <c r="W147" s="19">
        <f>IFERROR(__xludf.DUMMYFUNCTION("SUM(QUERY(Entregas_BD!D:AL,""select AJ where D='""&amp;D147&amp;""'"",1))"),0.0)</f>
        <v>0</v>
      </c>
      <c r="X147" s="19">
        <f>IFERROR(__xludf.DUMMYFUNCTION("SUM(QUERY(Entregas_BD!D:AL,""select AL where D='""&amp;D147&amp;""'"",1))"),0.0)</f>
        <v>0</v>
      </c>
      <c r="Y147" s="19">
        <f>IFERROR(__xludf.DUMMYFUNCTION("SUM(QUERY(Entregas_BD!D:AL,""select AK where D='""&amp;D147&amp;""'"",1))"),0.0)</f>
        <v>0</v>
      </c>
      <c r="Z147" s="19">
        <v>-50.0</v>
      </c>
      <c r="AA147" s="19">
        <v>0.0</v>
      </c>
      <c r="AB147" s="19">
        <v>0.0</v>
      </c>
      <c r="AC147" s="19">
        <v>0.0</v>
      </c>
      <c r="AD147" s="19">
        <v>0.0</v>
      </c>
      <c r="AE147" s="19">
        <v>0.0</v>
      </c>
      <c r="AF147" s="31" t="s">
        <v>453</v>
      </c>
      <c r="AG147" s="24">
        <f>IFERROR(__xludf.DUMMYFUNCTION("SUM(QUERY(Entregas_BD!D:W,""select U where D='""&amp;D147&amp;""'"",1))"),0.0)</f>
        <v>0</v>
      </c>
      <c r="AH147" s="24">
        <f>IFERROR(__xludf.DUMMYFUNCTION("SUM(QUERY(Entregas_BD!D:W,""select S where D='""&amp;D147&amp;""'"",1))"),0.0)</f>
        <v>0</v>
      </c>
      <c r="AI147" s="24">
        <f>IFERROR(__xludf.DUMMYFUNCTION("SUM(QUERY(Entregas_BD!D:W,""select T where D='""&amp;D147&amp;""'"",1))"),0.0)</f>
        <v>0</v>
      </c>
    </row>
    <row r="148" ht="19.5" customHeight="1">
      <c r="A148" s="7"/>
      <c r="B148" s="8"/>
      <c r="C148" s="9">
        <v>147.0</v>
      </c>
      <c r="D148" s="37" t="s">
        <v>454</v>
      </c>
      <c r="E148" s="10" t="s">
        <v>63</v>
      </c>
      <c r="F148" s="10" t="s">
        <v>64</v>
      </c>
      <c r="G148" s="10" t="s">
        <v>455</v>
      </c>
      <c r="H148" s="9" t="s">
        <v>40</v>
      </c>
      <c r="I148" s="11" t="s">
        <v>41</v>
      </c>
      <c r="J148" s="12"/>
      <c r="K148" s="12"/>
      <c r="L148" s="13"/>
      <c r="M148" s="12"/>
      <c r="N148" s="9">
        <f>IFERROR(__xludf.DUMMYFUNCTION("SUM(QUERY(Entregas_BD!D:L,""select G where D='""&amp;D148&amp;""'"",1))"),0.0)</f>
        <v>0</v>
      </c>
      <c r="O148" s="9">
        <f>IFERROR(__xludf.DUMMYFUNCTION("SUM(QUERY(Entregas_BD!D:L,""select H where D='""&amp;D148&amp;""'"",1))"),0.0)</f>
        <v>0</v>
      </c>
      <c r="P148" s="9">
        <f>IFERROR(__xludf.DUMMYFUNCTION("SUM(QUERY(Entregas_BD!D:L,""select I where D='""&amp;D148&amp;""'"",1))"),0.0)</f>
        <v>0</v>
      </c>
      <c r="Q148" s="9">
        <f>IFERROR(__xludf.DUMMYFUNCTION("SUM(QUERY(Entregas_BD!D:L,""select J where D='""&amp;D148&amp;""'"",1))"),0.0)</f>
        <v>0</v>
      </c>
      <c r="R148" s="15">
        <f>IFERROR(__xludf.DUMMYFUNCTION("SUM(QUERY(Entregas_BD!D:L,""select K where D='""&amp;D148&amp;""'"",1))"),0.0)</f>
        <v>0</v>
      </c>
      <c r="S148" s="15">
        <f>IFERROR(__xludf.DUMMYFUNCTION("SUM(QUERY(Entregas_BD!D:L,""select L where D='""&amp;D148&amp;""'"",1))"),0.0)</f>
        <v>0</v>
      </c>
      <c r="T148" s="9">
        <f>IFERROR(__xludf.DUMMYFUNCTION("SUM(QUERY(Entregas_BD!D:AL,""select AG where D='""&amp;D148&amp;""'"",1))"),150.0)</f>
        <v>150</v>
      </c>
      <c r="U148" s="9">
        <f>IFERROR(__xludf.DUMMYFUNCTION("SUM(QUERY(Entregas_BD!D:AL,""select AH where D='""&amp;D148&amp;""'"",1))"),0.0)</f>
        <v>0</v>
      </c>
      <c r="V148" s="9">
        <f>IFERROR(__xludf.DUMMYFUNCTION("SUM(QUERY(Entregas_BD!D:AL,""select AI where D='""&amp;D148&amp;""'"",1))"),0.0)</f>
        <v>0</v>
      </c>
      <c r="W148" s="9">
        <f>IFERROR(__xludf.DUMMYFUNCTION("SUM(QUERY(Entregas_BD!D:AL,""select AJ where D='""&amp;D148&amp;""'"",1))"),0.0)</f>
        <v>0</v>
      </c>
      <c r="X148" s="9">
        <f>IFERROR(__xludf.DUMMYFUNCTION("SUM(QUERY(Entregas_BD!D:AL,""select AL where D='""&amp;D148&amp;""'"",1))"),0.0)</f>
        <v>0</v>
      </c>
      <c r="Y148" s="9">
        <f>IFERROR(__xludf.DUMMYFUNCTION("SUM(QUERY(Entregas_BD!D:AL,""select AK where D='""&amp;D148&amp;""'"",1))"),0.0)</f>
        <v>0</v>
      </c>
      <c r="Z148" s="9">
        <v>-150.0</v>
      </c>
      <c r="AA148" s="9">
        <v>0.0</v>
      </c>
      <c r="AB148" s="9">
        <v>0.0</v>
      </c>
      <c r="AC148" s="9">
        <v>0.0</v>
      </c>
      <c r="AD148" s="9">
        <v>0.0</v>
      </c>
      <c r="AE148" s="9">
        <v>0.0</v>
      </c>
      <c r="AF148" s="16" t="s">
        <v>456</v>
      </c>
      <c r="AG148" s="15">
        <f>IFERROR(__xludf.DUMMYFUNCTION("SUM(QUERY(Entregas_BD!D:W,""select U where D='""&amp;D148&amp;""'"",1))"),0.0)</f>
        <v>0</v>
      </c>
      <c r="AH148" s="15">
        <f>IFERROR(__xludf.DUMMYFUNCTION("SUM(QUERY(Entregas_BD!D:W,""select S where D='""&amp;D148&amp;""'"",1))"),0.0)</f>
        <v>0</v>
      </c>
      <c r="AI148" s="15">
        <f>IFERROR(__xludf.DUMMYFUNCTION("SUM(QUERY(Entregas_BD!D:W,""select T where D='""&amp;D148&amp;""'"",1))"),0.0)</f>
        <v>0</v>
      </c>
    </row>
    <row r="149" ht="19.5" customHeight="1">
      <c r="A149" s="28"/>
      <c r="B149" s="29"/>
      <c r="C149" s="19">
        <v>148.0</v>
      </c>
      <c r="D149" s="20" t="s">
        <v>457</v>
      </c>
      <c r="E149" s="20" t="s">
        <v>72</v>
      </c>
      <c r="F149" s="20" t="s">
        <v>45</v>
      </c>
      <c r="G149" s="20" t="s">
        <v>76</v>
      </c>
      <c r="H149" s="19" t="s">
        <v>40</v>
      </c>
      <c r="I149" s="21" t="s">
        <v>41</v>
      </c>
      <c r="J149" s="22"/>
      <c r="K149" s="22"/>
      <c r="L149" s="23"/>
      <c r="M149" s="22"/>
      <c r="N149" s="19">
        <f>IFERROR(__xludf.DUMMYFUNCTION("SUM(QUERY(Entregas_BD!D:L,""select G where D='""&amp;D149&amp;""'"",1))"),0.0)</f>
        <v>0</v>
      </c>
      <c r="O149" s="19">
        <f>IFERROR(__xludf.DUMMYFUNCTION("SUM(QUERY(Entregas_BD!D:L,""select H where D='""&amp;D149&amp;""'"",1))"),0.0)</f>
        <v>0</v>
      </c>
      <c r="P149" s="19">
        <f>IFERROR(__xludf.DUMMYFUNCTION("SUM(QUERY(Entregas_BD!D:L,""select I where D='""&amp;D149&amp;""'"",1))"),0.0)</f>
        <v>0</v>
      </c>
      <c r="Q149" s="19">
        <f>IFERROR(__xludf.DUMMYFUNCTION("SUM(QUERY(Entregas_BD!D:L,""select J where D='""&amp;D149&amp;""'"",1))"),0.0)</f>
        <v>0</v>
      </c>
      <c r="R149" s="24">
        <f>IFERROR(__xludf.DUMMYFUNCTION("SUM(QUERY(Entregas_BD!D:L,""select K where D='""&amp;D149&amp;""'"",1))"),0.0)</f>
        <v>0</v>
      </c>
      <c r="S149" s="24">
        <f>IFERROR(__xludf.DUMMYFUNCTION("SUM(QUERY(Entregas_BD!D:L,""select L where D='""&amp;D149&amp;""'"",1))"),0.0)</f>
        <v>0</v>
      </c>
      <c r="T149" s="19">
        <f>IFERROR(__xludf.DUMMYFUNCTION("SUM(QUERY(Entregas_BD!D:AL,""select AG where D='""&amp;D149&amp;""'"",1))"),50.0)</f>
        <v>50</v>
      </c>
      <c r="U149" s="19">
        <f>IFERROR(__xludf.DUMMYFUNCTION("SUM(QUERY(Entregas_BD!D:AL,""select AH where D='""&amp;D149&amp;""'"",1))"),0.0)</f>
        <v>0</v>
      </c>
      <c r="V149" s="19">
        <f>IFERROR(__xludf.DUMMYFUNCTION("SUM(QUERY(Entregas_BD!D:AL,""select AI where D='""&amp;D149&amp;""'"",1))"),0.0)</f>
        <v>0</v>
      </c>
      <c r="W149" s="19">
        <f>IFERROR(__xludf.DUMMYFUNCTION("SUM(QUERY(Entregas_BD!D:AL,""select AJ where D='""&amp;D149&amp;""'"",1))"),0.0)</f>
        <v>0</v>
      </c>
      <c r="X149" s="19">
        <f>IFERROR(__xludf.DUMMYFUNCTION("SUM(QUERY(Entregas_BD!D:AL,""select AL where D='""&amp;D149&amp;""'"",1))"),0.0)</f>
        <v>0</v>
      </c>
      <c r="Y149" s="19">
        <f>IFERROR(__xludf.DUMMYFUNCTION("SUM(QUERY(Entregas_BD!D:AL,""select AK where D='""&amp;D149&amp;""'"",1))"),0.0)</f>
        <v>0</v>
      </c>
      <c r="Z149" s="19">
        <v>-50.0</v>
      </c>
      <c r="AA149" s="19">
        <v>0.0</v>
      </c>
      <c r="AB149" s="19">
        <v>0.0</v>
      </c>
      <c r="AC149" s="19">
        <v>0.0</v>
      </c>
      <c r="AD149" s="19">
        <v>0.0</v>
      </c>
      <c r="AE149" s="19">
        <v>0.0</v>
      </c>
      <c r="AF149" s="31" t="s">
        <v>458</v>
      </c>
      <c r="AG149" s="24">
        <f>IFERROR(__xludf.DUMMYFUNCTION("SUM(QUERY(Entregas_BD!D:W,""select U where D='""&amp;D149&amp;""'"",1))"),0.0)</f>
        <v>0</v>
      </c>
      <c r="AH149" s="24">
        <f>IFERROR(__xludf.DUMMYFUNCTION("SUM(QUERY(Entregas_BD!D:W,""select S where D='""&amp;D149&amp;""'"",1))"),0.0)</f>
        <v>0</v>
      </c>
      <c r="AI149" s="24">
        <f>IFERROR(__xludf.DUMMYFUNCTION("SUM(QUERY(Entregas_BD!D:W,""select T where D='""&amp;D149&amp;""'"",1))"),0.0)</f>
        <v>0</v>
      </c>
    </row>
    <row r="150" ht="19.5" customHeight="1">
      <c r="A150" s="7"/>
      <c r="B150" s="8"/>
      <c r="C150" s="9">
        <v>149.0</v>
      </c>
      <c r="D150" s="10" t="s">
        <v>459</v>
      </c>
      <c r="E150" s="10" t="s">
        <v>153</v>
      </c>
      <c r="F150" s="10" t="s">
        <v>460</v>
      </c>
      <c r="G150" s="10" t="s">
        <v>461</v>
      </c>
      <c r="H150" s="12" t="s">
        <v>40</v>
      </c>
      <c r="I150" s="11" t="s">
        <v>41</v>
      </c>
      <c r="J150" s="12"/>
      <c r="K150" s="12"/>
      <c r="L150" s="13"/>
      <c r="M150" s="14"/>
      <c r="N150" s="9">
        <f>IFERROR(__xludf.DUMMYFUNCTION("SUM(QUERY(Entregas_BD!D:L,""select G where D='""&amp;D150&amp;""'"",1))"),0.0)</f>
        <v>0</v>
      </c>
      <c r="O150" s="9">
        <f>IFERROR(__xludf.DUMMYFUNCTION("SUM(QUERY(Entregas_BD!D:L,""select H where D='""&amp;D150&amp;""'"",1))"),0.0)</f>
        <v>0</v>
      </c>
      <c r="P150" s="9">
        <f>IFERROR(__xludf.DUMMYFUNCTION("SUM(QUERY(Entregas_BD!D:L,""select I where D='""&amp;D150&amp;""'"",1))"),0.0)</f>
        <v>0</v>
      </c>
      <c r="Q150" s="9">
        <f>IFERROR(__xludf.DUMMYFUNCTION("SUM(QUERY(Entregas_BD!D:L,""select J where D='""&amp;D150&amp;""'"",1))"),0.0)</f>
        <v>0</v>
      </c>
      <c r="R150" s="15">
        <f>IFERROR(__xludf.DUMMYFUNCTION("SUM(QUERY(Entregas_BD!D:L,""select K where D='""&amp;D150&amp;""'"",1))"),0.0)</f>
        <v>0</v>
      </c>
      <c r="S150" s="15">
        <f>IFERROR(__xludf.DUMMYFUNCTION("SUM(QUERY(Entregas_BD!D:L,""select L where D='""&amp;D150&amp;""'"",1))"),0.0)</f>
        <v>0</v>
      </c>
      <c r="T150" s="9">
        <f>IFERROR(__xludf.DUMMYFUNCTION("SUM(QUERY(Entregas_BD!D:AL,""select AG where D='""&amp;D150&amp;""'"",1))"),0.0)</f>
        <v>0</v>
      </c>
      <c r="U150" s="9">
        <f>IFERROR(__xludf.DUMMYFUNCTION("SUM(QUERY(Entregas_BD!D:AL,""select AH where D='""&amp;D150&amp;""'"",1))"),0.0)</f>
        <v>0</v>
      </c>
      <c r="V150" s="9">
        <f>IFERROR(__xludf.DUMMYFUNCTION("SUM(QUERY(Entregas_BD!D:AL,""select AI where D='""&amp;D150&amp;""'"",1))"),0.0)</f>
        <v>0</v>
      </c>
      <c r="W150" s="9">
        <f>IFERROR(__xludf.DUMMYFUNCTION("SUM(QUERY(Entregas_BD!D:AL,""select AJ where D='""&amp;D150&amp;""'"",1))"),0.0)</f>
        <v>0</v>
      </c>
      <c r="X150" s="9">
        <f>IFERROR(__xludf.DUMMYFUNCTION("SUM(QUERY(Entregas_BD!D:AL,""select AL where D='""&amp;D150&amp;""'"",1))"),0.0)</f>
        <v>0</v>
      </c>
      <c r="Y150" s="9">
        <f>IFERROR(__xludf.DUMMYFUNCTION("SUM(QUERY(Entregas_BD!D:AL,""select AK where D='""&amp;D150&amp;""'"",1))"),0.0)</f>
        <v>0</v>
      </c>
      <c r="Z150" s="9">
        <v>0.0</v>
      </c>
      <c r="AA150" s="9">
        <v>0.0</v>
      </c>
      <c r="AB150" s="9">
        <v>0.0</v>
      </c>
      <c r="AC150" s="9">
        <v>0.0</v>
      </c>
      <c r="AD150" s="9">
        <v>0.0</v>
      </c>
      <c r="AE150" s="9">
        <v>0.0</v>
      </c>
      <c r="AF150" s="32" t="s">
        <v>462</v>
      </c>
      <c r="AG150" s="15">
        <f>IFERROR(__xludf.DUMMYFUNCTION("SUM(QUERY(Entregas_BD!D:W,""select U where D='""&amp;D150&amp;""'"",1))"),0.0)</f>
        <v>0</v>
      </c>
      <c r="AH150" s="15">
        <f>IFERROR(__xludf.DUMMYFUNCTION("SUM(QUERY(Entregas_BD!D:W,""select S where D='""&amp;D150&amp;""'"",1))"),0.0)</f>
        <v>0</v>
      </c>
      <c r="AI150" s="15">
        <f>IFERROR(__xludf.DUMMYFUNCTION("SUM(QUERY(Entregas_BD!D:W,""select T where D='""&amp;D150&amp;""'"",1))"),0.0)</f>
        <v>0</v>
      </c>
    </row>
    <row r="151" ht="19.5" customHeight="1">
      <c r="A151" s="28"/>
      <c r="B151" s="29"/>
      <c r="C151" s="19">
        <v>150.0</v>
      </c>
      <c r="D151" s="20" t="s">
        <v>463</v>
      </c>
      <c r="E151" s="20" t="s">
        <v>464</v>
      </c>
      <c r="F151" s="20" t="s">
        <v>465</v>
      </c>
      <c r="G151" s="20" t="s">
        <v>466</v>
      </c>
      <c r="H151" s="22" t="s">
        <v>40</v>
      </c>
      <c r="I151" s="21" t="s">
        <v>41</v>
      </c>
      <c r="J151" s="22"/>
      <c r="K151" s="22"/>
      <c r="L151" s="23"/>
      <c r="M151" s="36"/>
      <c r="N151" s="19">
        <f>IFERROR(__xludf.DUMMYFUNCTION("SUM(QUERY(Entregas_BD!D:L,""select G where D='""&amp;D151&amp;""'"",1))"),0.0)</f>
        <v>0</v>
      </c>
      <c r="O151" s="19">
        <f>IFERROR(__xludf.DUMMYFUNCTION("SUM(QUERY(Entregas_BD!D:L,""select H where D='""&amp;D151&amp;""'"",1))"),0.0)</f>
        <v>0</v>
      </c>
      <c r="P151" s="19">
        <f>IFERROR(__xludf.DUMMYFUNCTION("SUM(QUERY(Entregas_BD!D:L,""select I where D='""&amp;D151&amp;""'"",1))"),0.0)</f>
        <v>0</v>
      </c>
      <c r="Q151" s="19">
        <f>IFERROR(__xludf.DUMMYFUNCTION("SUM(QUERY(Entregas_BD!D:L,""select J where D='""&amp;D151&amp;""'"",1))"),0.0)</f>
        <v>0</v>
      </c>
      <c r="R151" s="24">
        <f>IFERROR(__xludf.DUMMYFUNCTION("SUM(QUERY(Entregas_BD!D:L,""select K where D='""&amp;D151&amp;""'"",1))"),0.0)</f>
        <v>0</v>
      </c>
      <c r="S151" s="24">
        <f>IFERROR(__xludf.DUMMYFUNCTION("SUM(QUERY(Entregas_BD!D:L,""select L where D='""&amp;D151&amp;""'"",1))"),0.0)</f>
        <v>0</v>
      </c>
      <c r="T151" s="19">
        <f>IFERROR(__xludf.DUMMYFUNCTION("SUM(QUERY(Entregas_BD!D:AL,""select AG where D='""&amp;D151&amp;""'"",1))"),0.0)</f>
        <v>0</v>
      </c>
      <c r="U151" s="19">
        <f>IFERROR(__xludf.DUMMYFUNCTION("SUM(QUERY(Entregas_BD!D:AL,""select AH where D='""&amp;D151&amp;""'"",1))"),0.0)</f>
        <v>0</v>
      </c>
      <c r="V151" s="19">
        <f>IFERROR(__xludf.DUMMYFUNCTION("SUM(QUERY(Entregas_BD!D:AL,""select AI where D='""&amp;D151&amp;""'"",1))"),0.0)</f>
        <v>0</v>
      </c>
      <c r="W151" s="19">
        <f>IFERROR(__xludf.DUMMYFUNCTION("SUM(QUERY(Entregas_BD!D:AL,""select AJ where D='""&amp;D151&amp;""'"",1))"),0.0)</f>
        <v>0</v>
      </c>
      <c r="X151" s="19">
        <f>IFERROR(__xludf.DUMMYFUNCTION("SUM(QUERY(Entregas_BD!D:AL,""select AL where D='""&amp;D151&amp;""'"",1))"),0.0)</f>
        <v>0</v>
      </c>
      <c r="Y151" s="19">
        <f>IFERROR(__xludf.DUMMYFUNCTION("SUM(QUERY(Entregas_BD!D:AL,""select AK where D='""&amp;D151&amp;""'"",1))"),0.0)</f>
        <v>0</v>
      </c>
      <c r="Z151" s="19">
        <v>0.0</v>
      </c>
      <c r="AA151" s="19">
        <v>0.0</v>
      </c>
      <c r="AB151" s="19">
        <v>0.0</v>
      </c>
      <c r="AC151" s="19">
        <v>0.0</v>
      </c>
      <c r="AD151" s="19">
        <v>0.0</v>
      </c>
      <c r="AE151" s="19">
        <v>0.0</v>
      </c>
      <c r="AF151" s="31" t="s">
        <v>467</v>
      </c>
      <c r="AG151" s="24">
        <f>IFERROR(__xludf.DUMMYFUNCTION("SUM(QUERY(Entregas_BD!D:W,""select U where D='""&amp;D151&amp;""'"",1))"),0.0)</f>
        <v>0</v>
      </c>
      <c r="AH151" s="24">
        <f>IFERROR(__xludf.DUMMYFUNCTION("SUM(QUERY(Entregas_BD!D:W,""select S where D='""&amp;D151&amp;""'"",1))"),0.0)</f>
        <v>0</v>
      </c>
      <c r="AI151" s="24">
        <f>IFERROR(__xludf.DUMMYFUNCTION("SUM(QUERY(Entregas_BD!D:W,""select T where D='""&amp;D151&amp;""'"",1))"),0.0)</f>
        <v>0</v>
      </c>
    </row>
    <row r="152" ht="19.5" customHeight="1">
      <c r="A152" s="7"/>
      <c r="B152" s="8"/>
      <c r="C152" s="9">
        <v>151.0</v>
      </c>
      <c r="D152" s="10" t="s">
        <v>468</v>
      </c>
      <c r="E152" s="10" t="s">
        <v>54</v>
      </c>
      <c r="F152" s="10" t="s">
        <v>45</v>
      </c>
      <c r="G152" s="10" t="s">
        <v>430</v>
      </c>
      <c r="H152" s="9" t="s">
        <v>40</v>
      </c>
      <c r="I152" s="11" t="s">
        <v>41</v>
      </c>
      <c r="J152" s="12"/>
      <c r="K152" s="12"/>
      <c r="L152" s="13"/>
      <c r="M152" s="12"/>
      <c r="N152" s="9">
        <f>IFERROR(__xludf.DUMMYFUNCTION("SUM(QUERY(Entregas_BD!D:L,""select G where D='""&amp;D152&amp;""'"",1))"),0.0)</f>
        <v>0</v>
      </c>
      <c r="O152" s="9">
        <f>IFERROR(__xludf.DUMMYFUNCTION("SUM(QUERY(Entregas_BD!D:L,""select H where D='""&amp;D152&amp;""'"",1))"),0.0)</f>
        <v>0</v>
      </c>
      <c r="P152" s="9">
        <f>IFERROR(__xludf.DUMMYFUNCTION("SUM(QUERY(Entregas_BD!D:L,""select I where D='""&amp;D152&amp;""'"",1))"),0.0)</f>
        <v>0</v>
      </c>
      <c r="Q152" s="9">
        <f>IFERROR(__xludf.DUMMYFUNCTION("SUM(QUERY(Entregas_BD!D:L,""select J where D='""&amp;D152&amp;""'"",1))"),0.0)</f>
        <v>0</v>
      </c>
      <c r="R152" s="15">
        <f>IFERROR(__xludf.DUMMYFUNCTION("SUM(QUERY(Entregas_BD!D:L,""select K where D='""&amp;D152&amp;""'"",1))"),0.0)</f>
        <v>0</v>
      </c>
      <c r="S152" s="15">
        <f>IFERROR(__xludf.DUMMYFUNCTION("SUM(QUERY(Entregas_BD!D:L,""select L where D='""&amp;D152&amp;""'"",1))"),0.0)</f>
        <v>0</v>
      </c>
      <c r="T152" s="9">
        <f>IFERROR(__xludf.DUMMYFUNCTION("SUM(QUERY(Entregas_BD!D:AL,""select AG where D='""&amp;D152&amp;""'"",1))"),200.0)</f>
        <v>200</v>
      </c>
      <c r="U152" s="9">
        <f>IFERROR(__xludf.DUMMYFUNCTION("SUM(QUERY(Entregas_BD!D:AL,""select AH where D='""&amp;D152&amp;""'"",1))"),0.0)</f>
        <v>0</v>
      </c>
      <c r="V152" s="9">
        <f>IFERROR(__xludf.DUMMYFUNCTION("SUM(QUERY(Entregas_BD!D:AL,""select AI where D='""&amp;D152&amp;""'"",1))"),0.0)</f>
        <v>0</v>
      </c>
      <c r="W152" s="9">
        <f>IFERROR(__xludf.DUMMYFUNCTION("SUM(QUERY(Entregas_BD!D:AL,""select AJ where D='""&amp;D152&amp;""'"",1))"),0.0)</f>
        <v>0</v>
      </c>
      <c r="X152" s="9">
        <f>IFERROR(__xludf.DUMMYFUNCTION("SUM(QUERY(Entregas_BD!D:AL,""select AL where D='""&amp;D152&amp;""'"",1))"),0.0)</f>
        <v>0</v>
      </c>
      <c r="Y152" s="9">
        <f>IFERROR(__xludf.DUMMYFUNCTION("SUM(QUERY(Entregas_BD!D:AL,""select AK where D='""&amp;D152&amp;""'"",1))"),0.0)</f>
        <v>0</v>
      </c>
      <c r="Z152" s="9">
        <v>-200.0</v>
      </c>
      <c r="AA152" s="9">
        <v>0.0</v>
      </c>
      <c r="AB152" s="9">
        <v>0.0</v>
      </c>
      <c r="AC152" s="9">
        <v>0.0</v>
      </c>
      <c r="AD152" s="9">
        <v>0.0</v>
      </c>
      <c r="AE152" s="9">
        <v>0.0</v>
      </c>
      <c r="AF152" s="32" t="s">
        <v>431</v>
      </c>
      <c r="AG152" s="15">
        <f>IFERROR(__xludf.DUMMYFUNCTION("SUM(QUERY(Entregas_BD!D:W,""select U where D='""&amp;D152&amp;""'"",1))"),0.0)</f>
        <v>0</v>
      </c>
      <c r="AH152" s="15">
        <f>IFERROR(__xludf.DUMMYFUNCTION("SUM(QUERY(Entregas_BD!D:W,""select S where D='""&amp;D152&amp;""'"",1))"),0.0)</f>
        <v>0</v>
      </c>
      <c r="AI152" s="15">
        <f>IFERROR(__xludf.DUMMYFUNCTION("SUM(QUERY(Entregas_BD!D:W,""select T where D='""&amp;D152&amp;""'"",1))"),0.0)</f>
        <v>0</v>
      </c>
    </row>
    <row r="153" ht="19.5" customHeight="1">
      <c r="A153" s="28"/>
      <c r="B153" s="29"/>
      <c r="C153" s="19">
        <v>152.0</v>
      </c>
      <c r="D153" s="20" t="s">
        <v>469</v>
      </c>
      <c r="E153" s="20" t="s">
        <v>54</v>
      </c>
      <c r="F153" s="20" t="s">
        <v>45</v>
      </c>
      <c r="G153" s="20" t="s">
        <v>470</v>
      </c>
      <c r="H153" s="19" t="s">
        <v>51</v>
      </c>
      <c r="I153" s="21" t="s">
        <v>41</v>
      </c>
      <c r="J153" s="40"/>
      <c r="K153" s="22"/>
      <c r="L153" s="23"/>
      <c r="M153" s="22"/>
      <c r="N153" s="19">
        <f>IFERROR(__xludf.DUMMYFUNCTION("SUM(QUERY(Entregas_BD!D:L,""select G where D='""&amp;D153&amp;""'"",1))"),0.0)</f>
        <v>0</v>
      </c>
      <c r="O153" s="19">
        <f>IFERROR(__xludf.DUMMYFUNCTION("SUM(QUERY(Entregas_BD!D:L,""select H where D='""&amp;D153&amp;""'"",1))"),0.0)</f>
        <v>0</v>
      </c>
      <c r="P153" s="19">
        <f>IFERROR(__xludf.DUMMYFUNCTION("SUM(QUERY(Entregas_BD!D:L,""select I where D='""&amp;D153&amp;""'"",1))"),0.0)</f>
        <v>0</v>
      </c>
      <c r="Q153" s="19">
        <f>IFERROR(__xludf.DUMMYFUNCTION("SUM(QUERY(Entregas_BD!D:L,""select J where D='""&amp;D153&amp;""'"",1))"),0.0)</f>
        <v>0</v>
      </c>
      <c r="R153" s="24">
        <f>IFERROR(__xludf.DUMMYFUNCTION("SUM(QUERY(Entregas_BD!D:L,""select K where D='""&amp;D153&amp;""'"",1))"),0.0)</f>
        <v>0</v>
      </c>
      <c r="S153" s="24">
        <f>IFERROR(__xludf.DUMMYFUNCTION("SUM(QUERY(Entregas_BD!D:L,""select L where D='""&amp;D153&amp;""'"",1))"),0.0)</f>
        <v>0</v>
      </c>
      <c r="T153" s="19">
        <f>IFERROR(__xludf.DUMMYFUNCTION("SUM(QUERY(Entregas_BD!D:AL,""select AG where D='""&amp;D153&amp;""'"",1))"),0.0)</f>
        <v>0</v>
      </c>
      <c r="U153" s="19">
        <f>IFERROR(__xludf.DUMMYFUNCTION("SUM(QUERY(Entregas_BD!D:AL,""select AH where D='""&amp;D153&amp;""'"",1))"),0.0)</f>
        <v>0</v>
      </c>
      <c r="V153" s="19">
        <f>IFERROR(__xludf.DUMMYFUNCTION("SUM(QUERY(Entregas_BD!D:AL,""select AI where D='""&amp;D153&amp;""'"",1))"),0.0)</f>
        <v>0</v>
      </c>
      <c r="W153" s="19">
        <f>IFERROR(__xludf.DUMMYFUNCTION("SUM(QUERY(Entregas_BD!D:AL,""select AJ where D='""&amp;D153&amp;""'"",1))"),0.0)</f>
        <v>0</v>
      </c>
      <c r="X153" s="19">
        <f>IFERROR(__xludf.DUMMYFUNCTION("SUM(QUERY(Entregas_BD!D:AL,""select AL where D='""&amp;D153&amp;""'"",1))"),0.0)</f>
        <v>0</v>
      </c>
      <c r="Y153" s="19">
        <f>IFERROR(__xludf.DUMMYFUNCTION("SUM(QUERY(Entregas_BD!D:AL,""select AK where D='""&amp;D153&amp;""'"",1))"),0.0)</f>
        <v>0</v>
      </c>
      <c r="Z153" s="19">
        <v>0.0</v>
      </c>
      <c r="AA153" s="19">
        <v>0.0</v>
      </c>
      <c r="AB153" s="19">
        <v>0.0</v>
      </c>
      <c r="AC153" s="19">
        <v>0.0</v>
      </c>
      <c r="AD153" s="19">
        <v>0.0</v>
      </c>
      <c r="AE153" s="19">
        <v>0.0</v>
      </c>
      <c r="AF153" s="31" t="s">
        <v>471</v>
      </c>
      <c r="AG153" s="24">
        <f>IFERROR(__xludf.DUMMYFUNCTION("SUM(QUERY(Entregas_BD!D:W,""select U where D='""&amp;D153&amp;""'"",1))"),0.0)</f>
        <v>0</v>
      </c>
      <c r="AH153" s="24">
        <f>IFERROR(__xludf.DUMMYFUNCTION("SUM(QUERY(Entregas_BD!D:W,""select S where D='""&amp;D153&amp;""'"",1))"),0.0)</f>
        <v>0</v>
      </c>
      <c r="AI153" s="24">
        <f>IFERROR(__xludf.DUMMYFUNCTION("SUM(QUERY(Entregas_BD!D:W,""select T where D='""&amp;D153&amp;""'"",1))"),0.0)</f>
        <v>0</v>
      </c>
    </row>
    <row r="154" ht="19.5" customHeight="1">
      <c r="A154" s="7"/>
      <c r="B154" s="8"/>
      <c r="C154" s="9">
        <v>153.0</v>
      </c>
      <c r="D154" s="10" t="s">
        <v>472</v>
      </c>
      <c r="E154" s="10" t="s">
        <v>54</v>
      </c>
      <c r="F154" s="10" t="s">
        <v>45</v>
      </c>
      <c r="G154" s="10" t="s">
        <v>430</v>
      </c>
      <c r="H154" s="9" t="s">
        <v>40</v>
      </c>
      <c r="I154" s="11" t="s">
        <v>41</v>
      </c>
      <c r="J154" s="12"/>
      <c r="K154" s="12"/>
      <c r="L154" s="13"/>
      <c r="M154" s="12"/>
      <c r="N154" s="9">
        <f>IFERROR(__xludf.DUMMYFUNCTION("SUM(QUERY(Entregas_BD!D:L,""select G where D='""&amp;D154&amp;""'"",1))"),0.0)</f>
        <v>0</v>
      </c>
      <c r="O154" s="9">
        <f>IFERROR(__xludf.DUMMYFUNCTION("SUM(QUERY(Entregas_BD!D:L,""select H where D='""&amp;D154&amp;""'"",1))"),0.0)</f>
        <v>0</v>
      </c>
      <c r="P154" s="9">
        <f>IFERROR(__xludf.DUMMYFUNCTION("SUM(QUERY(Entregas_BD!D:L,""select I where D='""&amp;D154&amp;""'"",1))"),0.0)</f>
        <v>0</v>
      </c>
      <c r="Q154" s="9">
        <f>IFERROR(__xludf.DUMMYFUNCTION("SUM(QUERY(Entregas_BD!D:L,""select J where D='""&amp;D154&amp;""'"",1))"),0.0)</f>
        <v>0</v>
      </c>
      <c r="R154" s="15">
        <f>IFERROR(__xludf.DUMMYFUNCTION("SUM(QUERY(Entregas_BD!D:L,""select K where D='""&amp;D154&amp;""'"",1))"),0.0)</f>
        <v>0</v>
      </c>
      <c r="S154" s="15">
        <f>IFERROR(__xludf.DUMMYFUNCTION("SUM(QUERY(Entregas_BD!D:L,""select L where D='""&amp;D154&amp;""'"",1))"),0.0)</f>
        <v>0</v>
      </c>
      <c r="T154" s="9">
        <f>IFERROR(__xludf.DUMMYFUNCTION("SUM(QUERY(Entregas_BD!D:AL,""select AG where D='""&amp;D154&amp;""'"",1))"),0.0)</f>
        <v>0</v>
      </c>
      <c r="U154" s="9">
        <f>IFERROR(__xludf.DUMMYFUNCTION("SUM(QUERY(Entregas_BD!D:AL,""select AH where D='""&amp;D154&amp;""'"",1))"),0.0)</f>
        <v>0</v>
      </c>
      <c r="V154" s="9">
        <f>IFERROR(__xludf.DUMMYFUNCTION("SUM(QUERY(Entregas_BD!D:AL,""select AI where D='""&amp;D154&amp;""'"",1))"),0.0)</f>
        <v>0</v>
      </c>
      <c r="W154" s="9">
        <f>IFERROR(__xludf.DUMMYFUNCTION("SUM(QUERY(Entregas_BD!D:AL,""select AJ where D='""&amp;D154&amp;""'"",1))"),0.0)</f>
        <v>0</v>
      </c>
      <c r="X154" s="9">
        <f>IFERROR(__xludf.DUMMYFUNCTION("SUM(QUERY(Entregas_BD!D:AL,""select AL where D='""&amp;D154&amp;""'"",1))"),0.0)</f>
        <v>0</v>
      </c>
      <c r="Y154" s="9">
        <f>IFERROR(__xludf.DUMMYFUNCTION("SUM(QUERY(Entregas_BD!D:AL,""select AK where D='""&amp;D154&amp;""'"",1))"),0.0)</f>
        <v>0</v>
      </c>
      <c r="Z154" s="9">
        <v>0.0</v>
      </c>
      <c r="AA154" s="9">
        <v>0.0</v>
      </c>
      <c r="AB154" s="9">
        <v>0.0</v>
      </c>
      <c r="AC154" s="9">
        <v>0.0</v>
      </c>
      <c r="AD154" s="9">
        <v>0.0</v>
      </c>
      <c r="AE154" s="9">
        <v>0.0</v>
      </c>
      <c r="AF154" s="16" t="s">
        <v>431</v>
      </c>
      <c r="AG154" s="15">
        <f>IFERROR(__xludf.DUMMYFUNCTION("SUM(QUERY(Entregas_BD!D:W,""select U where D='""&amp;D154&amp;""'"",1))"),0.0)</f>
        <v>0</v>
      </c>
      <c r="AH154" s="15">
        <f>IFERROR(__xludf.DUMMYFUNCTION("SUM(QUERY(Entregas_BD!D:W,""select S where D='""&amp;D154&amp;""'"",1))"),0.0)</f>
        <v>0</v>
      </c>
      <c r="AI154" s="15">
        <f>IFERROR(__xludf.DUMMYFUNCTION("SUM(QUERY(Entregas_BD!D:W,""select T where D='""&amp;D154&amp;""'"",1))"),0.0)</f>
        <v>0</v>
      </c>
    </row>
    <row r="155" ht="19.5" customHeight="1">
      <c r="A155" s="28"/>
      <c r="B155" s="29"/>
      <c r="C155" s="19">
        <v>154.0</v>
      </c>
      <c r="D155" s="20" t="s">
        <v>473</v>
      </c>
      <c r="E155" s="20" t="s">
        <v>153</v>
      </c>
      <c r="F155" s="42"/>
      <c r="G155" s="42"/>
      <c r="H155" s="22" t="s">
        <v>159</v>
      </c>
      <c r="I155" s="21" t="s">
        <v>41</v>
      </c>
      <c r="J155" s="22"/>
      <c r="K155" s="22"/>
      <c r="L155" s="23"/>
      <c r="M155" s="36"/>
      <c r="N155" s="19">
        <f>IFERROR(__xludf.DUMMYFUNCTION("SUM(QUERY(Entregas_BD!D:L,""select G where D='""&amp;D155&amp;""'"",1))"),0.0)</f>
        <v>0</v>
      </c>
      <c r="O155" s="19">
        <f>IFERROR(__xludf.DUMMYFUNCTION("SUM(QUERY(Entregas_BD!D:L,""select H where D='""&amp;D155&amp;""'"",1))"),0.0)</f>
        <v>0</v>
      </c>
      <c r="P155" s="19">
        <f>IFERROR(__xludf.DUMMYFUNCTION("SUM(QUERY(Entregas_BD!D:L,""select I where D='""&amp;D155&amp;""'"",1))"),0.0)</f>
        <v>0</v>
      </c>
      <c r="Q155" s="19">
        <f>IFERROR(__xludf.DUMMYFUNCTION("SUM(QUERY(Entregas_BD!D:L,""select J where D='""&amp;D155&amp;""'"",1))"),0.0)</f>
        <v>0</v>
      </c>
      <c r="R155" s="24">
        <f>IFERROR(__xludf.DUMMYFUNCTION("SUM(QUERY(Entregas_BD!D:L,""select K where D='""&amp;D155&amp;""'"",1))"),0.0)</f>
        <v>0</v>
      </c>
      <c r="S155" s="24">
        <f>IFERROR(__xludf.DUMMYFUNCTION("SUM(QUERY(Entregas_BD!D:L,""select L where D='""&amp;D155&amp;""'"",1))"),0.0)</f>
        <v>0</v>
      </c>
      <c r="T155" s="19">
        <f>IFERROR(__xludf.DUMMYFUNCTION("SUM(QUERY(Entregas_BD!D:AL,""select AG where D='""&amp;D155&amp;""'"",1))"),0.0)</f>
        <v>0</v>
      </c>
      <c r="U155" s="19">
        <f>IFERROR(__xludf.DUMMYFUNCTION("SUM(QUERY(Entregas_BD!D:AL,""select AH where D='""&amp;D155&amp;""'"",1))"),0.0)</f>
        <v>0</v>
      </c>
      <c r="V155" s="19">
        <f>IFERROR(__xludf.DUMMYFUNCTION("SUM(QUERY(Entregas_BD!D:AL,""select AI where D='""&amp;D155&amp;""'"",1))"),0.0)</f>
        <v>0</v>
      </c>
      <c r="W155" s="19">
        <f>IFERROR(__xludf.DUMMYFUNCTION("SUM(QUERY(Entregas_BD!D:AL,""select AJ where D='""&amp;D155&amp;""'"",1))"),0.0)</f>
        <v>0</v>
      </c>
      <c r="X155" s="19">
        <f>IFERROR(__xludf.DUMMYFUNCTION("SUM(QUERY(Entregas_BD!D:AL,""select AL where D='""&amp;D155&amp;""'"",1))"),0.0)</f>
        <v>0</v>
      </c>
      <c r="Y155" s="19">
        <f>IFERROR(__xludf.DUMMYFUNCTION("SUM(QUERY(Entregas_BD!D:AL,""select AK where D='""&amp;D155&amp;""'"",1))"),0.0)</f>
        <v>0</v>
      </c>
      <c r="Z155" s="19">
        <v>0.0</v>
      </c>
      <c r="AA155" s="19">
        <v>0.0</v>
      </c>
      <c r="AB155" s="19">
        <v>0.0</v>
      </c>
      <c r="AC155" s="19">
        <v>0.0</v>
      </c>
      <c r="AD155" s="19">
        <v>0.0</v>
      </c>
      <c r="AE155" s="19">
        <v>0.0</v>
      </c>
      <c r="AF155" s="24"/>
      <c r="AG155" s="24">
        <f>IFERROR(__xludf.DUMMYFUNCTION("SUM(QUERY(Entregas_BD!D:W,""select U where D='""&amp;D155&amp;""'"",1))"),0.0)</f>
        <v>0</v>
      </c>
      <c r="AH155" s="24">
        <f>IFERROR(__xludf.DUMMYFUNCTION("SUM(QUERY(Entregas_BD!D:W,""select S where D='""&amp;D155&amp;""'"",1))"),0.0)</f>
        <v>0</v>
      </c>
      <c r="AI155" s="24">
        <f>IFERROR(__xludf.DUMMYFUNCTION("SUM(QUERY(Entregas_BD!D:W,""select T where D='""&amp;D155&amp;""'"",1))"),0.0)</f>
        <v>0</v>
      </c>
    </row>
    <row r="156" ht="19.5" customHeight="1">
      <c r="A156" s="7"/>
      <c r="B156" s="8"/>
      <c r="C156" s="9">
        <v>155.0</v>
      </c>
      <c r="D156" s="10" t="s">
        <v>474</v>
      </c>
      <c r="E156" s="10" t="s">
        <v>153</v>
      </c>
      <c r="F156" s="10" t="s">
        <v>475</v>
      </c>
      <c r="G156" s="10" t="s">
        <v>476</v>
      </c>
      <c r="H156" s="12" t="s">
        <v>40</v>
      </c>
      <c r="I156" s="11" t="s">
        <v>41</v>
      </c>
      <c r="J156" s="12"/>
      <c r="K156" s="12"/>
      <c r="L156" s="13"/>
      <c r="M156" s="14"/>
      <c r="N156" s="9">
        <f>IFERROR(__xludf.DUMMYFUNCTION("SUM(QUERY(Entregas_BD!D:L,""select G where D='""&amp;D156&amp;""'"",1))"),0.0)</f>
        <v>0</v>
      </c>
      <c r="O156" s="9">
        <f>IFERROR(__xludf.DUMMYFUNCTION("SUM(QUERY(Entregas_BD!D:L,""select H where D='""&amp;D156&amp;""'"",1))"),0.0)</f>
        <v>0</v>
      </c>
      <c r="P156" s="9">
        <f>IFERROR(__xludf.DUMMYFUNCTION("SUM(QUERY(Entregas_BD!D:L,""select I where D='""&amp;D156&amp;""'"",1))"),0.0)</f>
        <v>0</v>
      </c>
      <c r="Q156" s="9">
        <f>IFERROR(__xludf.DUMMYFUNCTION("SUM(QUERY(Entregas_BD!D:L,""select J where D='""&amp;D156&amp;""'"",1))"),0.0)</f>
        <v>0</v>
      </c>
      <c r="R156" s="15">
        <f>IFERROR(__xludf.DUMMYFUNCTION("SUM(QUERY(Entregas_BD!D:L,""select K where D='""&amp;D156&amp;""'"",1))"),0.0)</f>
        <v>0</v>
      </c>
      <c r="S156" s="15">
        <f>IFERROR(__xludf.DUMMYFUNCTION("SUM(QUERY(Entregas_BD!D:L,""select L where D='""&amp;D156&amp;""'"",1))"),0.0)</f>
        <v>0</v>
      </c>
      <c r="T156" s="9">
        <f>IFERROR(__xludf.DUMMYFUNCTION("SUM(QUERY(Entregas_BD!D:AL,""select AG where D='""&amp;D156&amp;""'"",1))"),0.0)</f>
        <v>0</v>
      </c>
      <c r="U156" s="9">
        <f>IFERROR(__xludf.DUMMYFUNCTION("SUM(QUERY(Entregas_BD!D:AL,""select AH where D='""&amp;D156&amp;""'"",1))"),0.0)</f>
        <v>0</v>
      </c>
      <c r="V156" s="9">
        <f>IFERROR(__xludf.DUMMYFUNCTION("SUM(QUERY(Entregas_BD!D:AL,""select AI where D='""&amp;D156&amp;""'"",1))"),0.0)</f>
        <v>0</v>
      </c>
      <c r="W156" s="9">
        <f>IFERROR(__xludf.DUMMYFUNCTION("SUM(QUERY(Entregas_BD!D:AL,""select AJ where D='""&amp;D156&amp;""'"",1))"),0.0)</f>
        <v>0</v>
      </c>
      <c r="X156" s="9">
        <f>IFERROR(__xludf.DUMMYFUNCTION("SUM(QUERY(Entregas_BD!D:AL,""select AL where D='""&amp;D156&amp;""'"",1))"),0.0)</f>
        <v>0</v>
      </c>
      <c r="Y156" s="9">
        <f>IFERROR(__xludf.DUMMYFUNCTION("SUM(QUERY(Entregas_BD!D:AL,""select AK where D='""&amp;D156&amp;""'"",1))"),0.0)</f>
        <v>0</v>
      </c>
      <c r="Z156" s="9">
        <v>0.0</v>
      </c>
      <c r="AA156" s="9">
        <v>0.0</v>
      </c>
      <c r="AB156" s="9">
        <v>0.0</v>
      </c>
      <c r="AC156" s="9">
        <v>0.0</v>
      </c>
      <c r="AD156" s="9">
        <v>0.0</v>
      </c>
      <c r="AE156" s="9">
        <v>0.0</v>
      </c>
      <c r="AF156" s="12"/>
      <c r="AG156" s="15">
        <f>IFERROR(__xludf.DUMMYFUNCTION("SUM(QUERY(Entregas_BD!D:W,""select U where D='""&amp;D156&amp;""'"",1))"),0.0)</f>
        <v>0</v>
      </c>
      <c r="AH156" s="15">
        <f>IFERROR(__xludf.DUMMYFUNCTION("SUM(QUERY(Entregas_BD!D:W,""select S where D='""&amp;D156&amp;""'"",1))"),0.0)</f>
        <v>0</v>
      </c>
      <c r="AI156" s="15">
        <f>IFERROR(__xludf.DUMMYFUNCTION("SUM(QUERY(Entregas_BD!D:W,""select T where D='""&amp;D156&amp;""'"",1))"),0.0)</f>
        <v>0</v>
      </c>
    </row>
    <row r="157" ht="19.5" customHeight="1">
      <c r="A157" s="28"/>
      <c r="B157" s="29"/>
      <c r="C157" s="19">
        <v>156.0</v>
      </c>
      <c r="D157" s="20" t="s">
        <v>477</v>
      </c>
      <c r="E157" s="20" t="s">
        <v>72</v>
      </c>
      <c r="F157" s="20" t="s">
        <v>45</v>
      </c>
      <c r="G157" s="20" t="s">
        <v>72</v>
      </c>
      <c r="H157" s="19" t="s">
        <v>51</v>
      </c>
      <c r="I157" s="21" t="s">
        <v>41</v>
      </c>
      <c r="J157" s="22"/>
      <c r="K157" s="22"/>
      <c r="L157" s="23"/>
      <c r="M157" s="22"/>
      <c r="N157" s="19">
        <f>IFERROR(__xludf.DUMMYFUNCTION("SUM(QUERY(Entregas_BD!D:L,""select G where D='""&amp;D157&amp;""'"",1))"),0.0)</f>
        <v>0</v>
      </c>
      <c r="O157" s="19">
        <f>IFERROR(__xludf.DUMMYFUNCTION("SUM(QUERY(Entregas_BD!D:L,""select H where D='""&amp;D157&amp;""'"",1))"),0.0)</f>
        <v>0</v>
      </c>
      <c r="P157" s="19">
        <f>IFERROR(__xludf.DUMMYFUNCTION("SUM(QUERY(Entregas_BD!D:L,""select I where D='""&amp;D157&amp;""'"",1))"),0.0)</f>
        <v>0</v>
      </c>
      <c r="Q157" s="19">
        <f>IFERROR(__xludf.DUMMYFUNCTION("SUM(QUERY(Entregas_BD!D:L,""select J where D='""&amp;D157&amp;""'"",1))"),0.0)</f>
        <v>0</v>
      </c>
      <c r="R157" s="24">
        <f>IFERROR(__xludf.DUMMYFUNCTION("SUM(QUERY(Entregas_BD!D:L,""select K where D='""&amp;D157&amp;""'"",1))"),0.0)</f>
        <v>0</v>
      </c>
      <c r="S157" s="24">
        <f>IFERROR(__xludf.DUMMYFUNCTION("SUM(QUERY(Entregas_BD!D:L,""select L where D='""&amp;D157&amp;""'"",1))"),0.0)</f>
        <v>0</v>
      </c>
      <c r="T157" s="19">
        <f>IFERROR(__xludf.DUMMYFUNCTION("SUM(QUERY(Entregas_BD!D:AL,""select AG where D='""&amp;D157&amp;""'"",1))"),0.0)</f>
        <v>0</v>
      </c>
      <c r="U157" s="19">
        <f>IFERROR(__xludf.DUMMYFUNCTION("SUM(QUERY(Entregas_BD!D:AL,""select AH where D='""&amp;D157&amp;""'"",1))"),0.0)</f>
        <v>0</v>
      </c>
      <c r="V157" s="19">
        <f>IFERROR(__xludf.DUMMYFUNCTION("SUM(QUERY(Entregas_BD!D:AL,""select AI where D='""&amp;D157&amp;""'"",1))"),0.0)</f>
        <v>0</v>
      </c>
      <c r="W157" s="19">
        <f>IFERROR(__xludf.DUMMYFUNCTION("SUM(QUERY(Entregas_BD!D:AL,""select AJ where D='""&amp;D157&amp;""'"",1))"),0.0)</f>
        <v>0</v>
      </c>
      <c r="X157" s="19">
        <f>IFERROR(__xludf.DUMMYFUNCTION("SUM(QUERY(Entregas_BD!D:AL,""select AL where D='""&amp;D157&amp;""'"",1))"),0.0)</f>
        <v>0</v>
      </c>
      <c r="Y157" s="19">
        <f>IFERROR(__xludf.DUMMYFUNCTION("SUM(QUERY(Entregas_BD!D:AL,""select AK where D='""&amp;D157&amp;""'"",1))"),0.0)</f>
        <v>0</v>
      </c>
      <c r="Z157" s="19">
        <v>0.0</v>
      </c>
      <c r="AA157" s="19">
        <v>0.0</v>
      </c>
      <c r="AB157" s="19">
        <v>0.0</v>
      </c>
      <c r="AC157" s="19">
        <v>0.0</v>
      </c>
      <c r="AD157" s="19">
        <v>0.0</v>
      </c>
      <c r="AE157" s="19">
        <v>0.0</v>
      </c>
      <c r="AF157" s="24"/>
      <c r="AG157" s="24">
        <f>IFERROR(__xludf.DUMMYFUNCTION("SUM(QUERY(Entregas_BD!D:W,""select U where D='""&amp;D157&amp;""'"",1))"),0.0)</f>
        <v>0</v>
      </c>
      <c r="AH157" s="24">
        <f>IFERROR(__xludf.DUMMYFUNCTION("SUM(QUERY(Entregas_BD!D:W,""select S where D='""&amp;D157&amp;""'"",1))"),0.0)</f>
        <v>0</v>
      </c>
      <c r="AI157" s="24">
        <f>IFERROR(__xludf.DUMMYFUNCTION("SUM(QUERY(Entregas_BD!D:W,""select T where D='""&amp;D157&amp;""'"",1))"),0.0)</f>
        <v>0</v>
      </c>
    </row>
    <row r="158" ht="19.5" customHeight="1">
      <c r="A158" s="7"/>
      <c r="B158" s="8"/>
      <c r="C158" s="9">
        <v>157.0</v>
      </c>
      <c r="D158" s="10" t="s">
        <v>478</v>
      </c>
      <c r="E158" s="10" t="s">
        <v>479</v>
      </c>
      <c r="F158" s="10" t="s">
        <v>39</v>
      </c>
      <c r="G158" s="10" t="s">
        <v>480</v>
      </c>
      <c r="H158" s="12" t="s">
        <v>69</v>
      </c>
      <c r="I158" s="11" t="s">
        <v>47</v>
      </c>
      <c r="J158" s="13"/>
      <c r="K158" s="12"/>
      <c r="L158" s="13"/>
      <c r="M158" s="14"/>
      <c r="N158" s="9">
        <f>IFERROR(__xludf.DUMMYFUNCTION("SUM(QUERY(Entregas_BD!D:L,""select G where D='""&amp;D158&amp;""'"",1))"),0.0)</f>
        <v>0</v>
      </c>
      <c r="O158" s="9">
        <f>IFERROR(__xludf.DUMMYFUNCTION("SUM(QUERY(Entregas_BD!D:L,""select H where D='""&amp;D158&amp;""'"",1))"),0.0)</f>
        <v>0</v>
      </c>
      <c r="P158" s="9">
        <f>IFERROR(__xludf.DUMMYFUNCTION("SUM(QUERY(Entregas_BD!D:L,""select I where D='""&amp;D158&amp;""'"",1))"),0.0)</f>
        <v>0</v>
      </c>
      <c r="Q158" s="9">
        <f>IFERROR(__xludf.DUMMYFUNCTION("SUM(QUERY(Entregas_BD!D:L,""select J where D='""&amp;D158&amp;""'"",1))"),0.0)</f>
        <v>0</v>
      </c>
      <c r="R158" s="15">
        <f>IFERROR(__xludf.DUMMYFUNCTION("SUM(QUERY(Entregas_BD!D:L,""select K where D='""&amp;D158&amp;""'"",1))"),0.0)</f>
        <v>0</v>
      </c>
      <c r="S158" s="15">
        <f>IFERROR(__xludf.DUMMYFUNCTION("SUM(QUERY(Entregas_BD!D:L,""select L where D='""&amp;D158&amp;""'"",1))"),0.0)</f>
        <v>0</v>
      </c>
      <c r="T158" s="9">
        <f>IFERROR(__xludf.DUMMYFUNCTION("SUM(QUERY(Entregas_BD!D:AL,""select AG where D='""&amp;D158&amp;""'"",1))"),0.0)</f>
        <v>0</v>
      </c>
      <c r="U158" s="9">
        <f>IFERROR(__xludf.DUMMYFUNCTION("SUM(QUERY(Entregas_BD!D:AL,""select AH where D='""&amp;D158&amp;""'"",1))"),0.0)</f>
        <v>0</v>
      </c>
      <c r="V158" s="9">
        <f>IFERROR(__xludf.DUMMYFUNCTION("SUM(QUERY(Entregas_BD!D:AL,""select AI where D='""&amp;D158&amp;""'"",1))"),0.0)</f>
        <v>0</v>
      </c>
      <c r="W158" s="9">
        <f>IFERROR(__xludf.DUMMYFUNCTION("SUM(QUERY(Entregas_BD!D:AL,""select AJ where D='""&amp;D158&amp;""'"",1))"),0.0)</f>
        <v>0</v>
      </c>
      <c r="X158" s="9">
        <f>IFERROR(__xludf.DUMMYFUNCTION("SUM(QUERY(Entregas_BD!D:AL,""select AL where D='""&amp;D158&amp;""'"",1))"),0.0)</f>
        <v>0</v>
      </c>
      <c r="Y158" s="9">
        <f>IFERROR(__xludf.DUMMYFUNCTION("SUM(QUERY(Entregas_BD!D:AL,""select AK where D='""&amp;D158&amp;""'"",1))"),0.0)</f>
        <v>0</v>
      </c>
      <c r="Z158" s="9">
        <v>0.0</v>
      </c>
      <c r="AA158" s="9">
        <v>0.0</v>
      </c>
      <c r="AB158" s="9">
        <v>0.0</v>
      </c>
      <c r="AC158" s="9">
        <v>0.0</v>
      </c>
      <c r="AD158" s="9">
        <v>0.0</v>
      </c>
      <c r="AE158" s="9">
        <v>0.0</v>
      </c>
      <c r="AF158" s="12"/>
      <c r="AG158" s="15">
        <f>IFERROR(__xludf.DUMMYFUNCTION("SUM(QUERY(Entregas_BD!D:W,""select U where D='""&amp;D158&amp;""'"",1))"),0.0)</f>
        <v>0</v>
      </c>
      <c r="AH158" s="15">
        <f>IFERROR(__xludf.DUMMYFUNCTION("SUM(QUERY(Entregas_BD!D:W,""select S where D='""&amp;D158&amp;""'"",1))"),0.0)</f>
        <v>0</v>
      </c>
      <c r="AI158" s="15">
        <f>IFERROR(__xludf.DUMMYFUNCTION("SUM(QUERY(Entregas_BD!D:W,""select T where D='""&amp;D158&amp;""'"",1))"),0.0)</f>
        <v>0</v>
      </c>
    </row>
    <row r="159" ht="19.5" customHeight="1">
      <c r="A159" s="17"/>
      <c r="B159" s="18"/>
      <c r="C159" s="19">
        <v>158.0</v>
      </c>
      <c r="D159" s="20" t="s">
        <v>481</v>
      </c>
      <c r="E159" s="20" t="s">
        <v>44</v>
      </c>
      <c r="F159" s="20" t="s">
        <v>45</v>
      </c>
      <c r="G159" s="20" t="s">
        <v>112</v>
      </c>
      <c r="H159" s="19" t="s">
        <v>51</v>
      </c>
      <c r="I159" s="21" t="s">
        <v>41</v>
      </c>
      <c r="J159" s="19"/>
      <c r="K159" s="22"/>
      <c r="L159" s="23"/>
      <c r="M159" s="22"/>
      <c r="N159" s="19">
        <f>IFERROR(__xludf.DUMMYFUNCTION("SUM(QUERY(Entregas_BD!D:L,""select G where D='""&amp;D159&amp;""'"",1))"),0.0)</f>
        <v>0</v>
      </c>
      <c r="O159" s="19">
        <f>IFERROR(__xludf.DUMMYFUNCTION("SUM(QUERY(Entregas_BD!D:L,""select H where D='""&amp;D159&amp;""'"",1))"),0.0)</f>
        <v>0</v>
      </c>
      <c r="P159" s="19">
        <f>IFERROR(__xludf.DUMMYFUNCTION("SUM(QUERY(Entregas_BD!D:L,""select I where D='""&amp;D159&amp;""'"",1))"),0.0)</f>
        <v>0</v>
      </c>
      <c r="Q159" s="19">
        <f>IFERROR(__xludf.DUMMYFUNCTION("SUM(QUERY(Entregas_BD!D:L,""select J where D='""&amp;D159&amp;""'"",1))"),0.0)</f>
        <v>0</v>
      </c>
      <c r="R159" s="24">
        <f>IFERROR(__xludf.DUMMYFUNCTION("SUM(QUERY(Entregas_BD!D:L,""select K where D='""&amp;D159&amp;""'"",1))"),0.0)</f>
        <v>0</v>
      </c>
      <c r="S159" s="24">
        <f>IFERROR(__xludf.DUMMYFUNCTION("SUM(QUERY(Entregas_BD!D:L,""select L where D='""&amp;D159&amp;""'"",1))"),0.0)</f>
        <v>0</v>
      </c>
      <c r="T159" s="19">
        <f>IFERROR(__xludf.DUMMYFUNCTION("SUM(QUERY(Entregas_BD!D:AL,""select AG where D='""&amp;D159&amp;""'"",1))"),0.0)</f>
        <v>0</v>
      </c>
      <c r="U159" s="19">
        <f>IFERROR(__xludf.DUMMYFUNCTION("SUM(QUERY(Entregas_BD!D:AL,""select AH where D='""&amp;D159&amp;""'"",1))"),0.0)</f>
        <v>0</v>
      </c>
      <c r="V159" s="19">
        <f>IFERROR(__xludf.DUMMYFUNCTION("SUM(QUERY(Entregas_BD!D:AL,""select AI where D='""&amp;D159&amp;""'"",1))"),0.0)</f>
        <v>0</v>
      </c>
      <c r="W159" s="19">
        <f>IFERROR(__xludf.DUMMYFUNCTION("SUM(QUERY(Entregas_BD!D:AL,""select AJ where D='""&amp;D159&amp;""'"",1))"),0.0)</f>
        <v>0</v>
      </c>
      <c r="X159" s="19">
        <f>IFERROR(__xludf.DUMMYFUNCTION("SUM(QUERY(Entregas_BD!D:AL,""select AL where D='""&amp;D159&amp;""'"",1))"),0.0)</f>
        <v>0</v>
      </c>
      <c r="Y159" s="19">
        <f>IFERROR(__xludf.DUMMYFUNCTION("SUM(QUERY(Entregas_BD!D:AL,""select AK where D='""&amp;D159&amp;""'"",1))"),0.0)</f>
        <v>0</v>
      </c>
      <c r="Z159" s="19">
        <v>0.0</v>
      </c>
      <c r="AA159" s="19">
        <v>0.0</v>
      </c>
      <c r="AB159" s="19">
        <v>0.0</v>
      </c>
      <c r="AC159" s="19">
        <v>0.0</v>
      </c>
      <c r="AD159" s="19">
        <v>0.0</v>
      </c>
      <c r="AE159" s="19">
        <v>0.0</v>
      </c>
      <c r="AF159" s="24"/>
      <c r="AG159" s="24">
        <f>IFERROR(__xludf.DUMMYFUNCTION("SUM(QUERY(Entregas_BD!D:W,""select U where D='""&amp;D159&amp;""'"",1))"),0.0)</f>
        <v>0</v>
      </c>
      <c r="AH159" s="24">
        <f>IFERROR(__xludf.DUMMYFUNCTION("SUM(QUERY(Entregas_BD!D:W,""select S where D='""&amp;D159&amp;""'"",1))"),0.0)</f>
        <v>0</v>
      </c>
      <c r="AI159" s="24">
        <f>IFERROR(__xludf.DUMMYFUNCTION("SUM(QUERY(Entregas_BD!D:W,""select T where D='""&amp;D159&amp;""'"",1))"),0.0)</f>
        <v>0</v>
      </c>
    </row>
    <row r="160" ht="19.5" customHeight="1">
      <c r="A160" s="7"/>
      <c r="B160" s="8"/>
      <c r="C160" s="9">
        <v>159.0</v>
      </c>
      <c r="D160" s="10" t="s">
        <v>482</v>
      </c>
      <c r="E160" s="10" t="s">
        <v>58</v>
      </c>
      <c r="F160" s="10" t="s">
        <v>45</v>
      </c>
      <c r="G160" s="10" t="s">
        <v>59</v>
      </c>
      <c r="H160" s="9" t="s">
        <v>51</v>
      </c>
      <c r="I160" s="11" t="s">
        <v>47</v>
      </c>
      <c r="J160" s="9"/>
      <c r="K160" s="12"/>
      <c r="L160" s="13"/>
      <c r="M160" s="12"/>
      <c r="N160" s="9">
        <f>IFERROR(__xludf.DUMMYFUNCTION("SUM(QUERY(Entregas_BD!D:L,""select G where D='""&amp;D160&amp;""'"",1))"),0.0)</f>
        <v>0</v>
      </c>
      <c r="O160" s="9">
        <f>IFERROR(__xludf.DUMMYFUNCTION("SUM(QUERY(Entregas_BD!D:L,""select H where D='""&amp;D160&amp;""'"",1))"),0.0)</f>
        <v>0</v>
      </c>
      <c r="P160" s="9">
        <f>IFERROR(__xludf.DUMMYFUNCTION("SUM(QUERY(Entregas_BD!D:L,""select I where D='""&amp;D160&amp;""'"",1))"),0.0)</f>
        <v>0</v>
      </c>
      <c r="Q160" s="9">
        <f>IFERROR(__xludf.DUMMYFUNCTION("SUM(QUERY(Entregas_BD!D:L,""select J where D='""&amp;D160&amp;""'"",1))"),0.0)</f>
        <v>0</v>
      </c>
      <c r="R160" s="15">
        <f>IFERROR(__xludf.DUMMYFUNCTION("SUM(QUERY(Entregas_BD!D:L,""select K where D='""&amp;D160&amp;""'"",1))"),0.0)</f>
        <v>0</v>
      </c>
      <c r="S160" s="15">
        <f>IFERROR(__xludf.DUMMYFUNCTION("SUM(QUERY(Entregas_BD!D:L,""select L where D='""&amp;D160&amp;""'"",1))"),0.0)</f>
        <v>0</v>
      </c>
      <c r="T160" s="9">
        <f>IFERROR(__xludf.DUMMYFUNCTION("SUM(QUERY(Entregas_BD!D:AL,""select AG where D='""&amp;D160&amp;""'"",1))"),0.0)</f>
        <v>0</v>
      </c>
      <c r="U160" s="9">
        <f>IFERROR(__xludf.DUMMYFUNCTION("SUM(QUERY(Entregas_BD!D:AL,""select AH where D='""&amp;D160&amp;""'"",1))"),0.0)</f>
        <v>0</v>
      </c>
      <c r="V160" s="9">
        <f>IFERROR(__xludf.DUMMYFUNCTION("SUM(QUERY(Entregas_BD!D:AL,""select AI where D='""&amp;D160&amp;""'"",1))"),0.0)</f>
        <v>0</v>
      </c>
      <c r="W160" s="9">
        <f>IFERROR(__xludf.DUMMYFUNCTION("SUM(QUERY(Entregas_BD!D:AL,""select AJ where D='""&amp;D160&amp;""'"",1))"),0.0)</f>
        <v>0</v>
      </c>
      <c r="X160" s="9">
        <f>IFERROR(__xludf.DUMMYFUNCTION("SUM(QUERY(Entregas_BD!D:AL,""select AL where D='""&amp;D160&amp;""'"",1))"),0.0)</f>
        <v>0</v>
      </c>
      <c r="Y160" s="9">
        <f>IFERROR(__xludf.DUMMYFUNCTION("SUM(QUERY(Entregas_BD!D:AL,""select AK where D='""&amp;D160&amp;""'"",1))"),0.0)</f>
        <v>0</v>
      </c>
      <c r="Z160" s="9">
        <v>0.0</v>
      </c>
      <c r="AA160" s="9">
        <v>0.0</v>
      </c>
      <c r="AB160" s="9">
        <v>0.0</v>
      </c>
      <c r="AC160" s="9">
        <v>0.0</v>
      </c>
      <c r="AD160" s="9">
        <v>0.0</v>
      </c>
      <c r="AE160" s="9">
        <v>0.0</v>
      </c>
      <c r="AF160" s="15"/>
      <c r="AG160" s="15">
        <f>IFERROR(__xludf.DUMMYFUNCTION("SUM(QUERY(Entregas_BD!D:W,""select U where D='""&amp;D160&amp;""'"",1))"),0.0)</f>
        <v>0</v>
      </c>
      <c r="AH160" s="15">
        <f>IFERROR(__xludf.DUMMYFUNCTION("SUM(QUERY(Entregas_BD!D:W,""select S where D='""&amp;D160&amp;""'"",1))"),0.0)</f>
        <v>0</v>
      </c>
      <c r="AI160" s="15">
        <f>IFERROR(__xludf.DUMMYFUNCTION("SUM(QUERY(Entregas_BD!D:W,""select T where D='""&amp;D160&amp;""'"",1))"),0.0)</f>
        <v>0</v>
      </c>
    </row>
    <row r="161" ht="19.5" customHeight="1">
      <c r="A161" s="28"/>
      <c r="B161" s="29"/>
      <c r="C161" s="19">
        <v>160.0</v>
      </c>
      <c r="D161" s="20" t="s">
        <v>483</v>
      </c>
      <c r="E161" s="20" t="s">
        <v>58</v>
      </c>
      <c r="F161" s="20" t="s">
        <v>45</v>
      </c>
      <c r="G161" s="20" t="s">
        <v>136</v>
      </c>
      <c r="H161" s="19" t="s">
        <v>51</v>
      </c>
      <c r="I161" s="21" t="s">
        <v>47</v>
      </c>
      <c r="J161" s="19"/>
      <c r="K161" s="22"/>
      <c r="L161" s="23"/>
      <c r="M161" s="22"/>
      <c r="N161" s="19">
        <f>IFERROR(__xludf.DUMMYFUNCTION("SUM(QUERY(Entregas_BD!D:L,""select G where D='""&amp;D161&amp;""'"",1))"),0.0)</f>
        <v>0</v>
      </c>
      <c r="O161" s="19">
        <f>IFERROR(__xludf.DUMMYFUNCTION("SUM(QUERY(Entregas_BD!D:L,""select H where D='""&amp;D161&amp;""'"",1))"),0.0)</f>
        <v>0</v>
      </c>
      <c r="P161" s="19">
        <f>IFERROR(__xludf.DUMMYFUNCTION("SUM(QUERY(Entregas_BD!D:L,""select I where D='""&amp;D161&amp;""'"",1))"),0.0)</f>
        <v>0</v>
      </c>
      <c r="Q161" s="19">
        <f>IFERROR(__xludf.DUMMYFUNCTION("SUM(QUERY(Entregas_BD!D:L,""select J where D='""&amp;D161&amp;""'"",1))"),0.0)</f>
        <v>0</v>
      </c>
      <c r="R161" s="24">
        <f>IFERROR(__xludf.DUMMYFUNCTION("SUM(QUERY(Entregas_BD!D:L,""select K where D='""&amp;D161&amp;""'"",1))"),0.0)</f>
        <v>0</v>
      </c>
      <c r="S161" s="24">
        <f>IFERROR(__xludf.DUMMYFUNCTION("SUM(QUERY(Entregas_BD!D:L,""select L where D='""&amp;D161&amp;""'"",1))"),0.0)</f>
        <v>0</v>
      </c>
      <c r="T161" s="19">
        <f>IFERROR(__xludf.DUMMYFUNCTION("SUM(QUERY(Entregas_BD!D:AL,""select AG where D='""&amp;D161&amp;""'"",1))"),0.0)</f>
        <v>0</v>
      </c>
      <c r="U161" s="19">
        <f>IFERROR(__xludf.DUMMYFUNCTION("SUM(QUERY(Entregas_BD!D:AL,""select AH where D='""&amp;D161&amp;""'"",1))"),0.0)</f>
        <v>0</v>
      </c>
      <c r="V161" s="19">
        <f>IFERROR(__xludf.DUMMYFUNCTION("SUM(QUERY(Entregas_BD!D:AL,""select AI where D='""&amp;D161&amp;""'"",1))"),0.0)</f>
        <v>0</v>
      </c>
      <c r="W161" s="19">
        <f>IFERROR(__xludf.DUMMYFUNCTION("SUM(QUERY(Entregas_BD!D:AL,""select AJ where D='""&amp;D161&amp;""'"",1))"),0.0)</f>
        <v>0</v>
      </c>
      <c r="X161" s="19">
        <f>IFERROR(__xludf.DUMMYFUNCTION("SUM(QUERY(Entregas_BD!D:AL,""select AL where D='""&amp;D161&amp;""'"",1))"),0.0)</f>
        <v>0</v>
      </c>
      <c r="Y161" s="19">
        <f>IFERROR(__xludf.DUMMYFUNCTION("SUM(QUERY(Entregas_BD!D:AL,""select AK where D='""&amp;D161&amp;""'"",1))"),0.0)</f>
        <v>0</v>
      </c>
      <c r="Z161" s="19">
        <v>0.0</v>
      </c>
      <c r="AA161" s="19">
        <v>0.0</v>
      </c>
      <c r="AB161" s="19">
        <v>0.0</v>
      </c>
      <c r="AC161" s="19">
        <v>0.0</v>
      </c>
      <c r="AD161" s="19">
        <v>0.0</v>
      </c>
      <c r="AE161" s="19">
        <v>0.0</v>
      </c>
      <c r="AF161" s="24"/>
      <c r="AG161" s="24">
        <f>IFERROR(__xludf.DUMMYFUNCTION("SUM(QUERY(Entregas_BD!D:W,""select U where D='""&amp;D161&amp;""'"",1))"),0.0)</f>
        <v>0</v>
      </c>
      <c r="AH161" s="24">
        <f>IFERROR(__xludf.DUMMYFUNCTION("SUM(QUERY(Entregas_BD!D:W,""select S where D='""&amp;D161&amp;""'"",1))"),0.0)</f>
        <v>0</v>
      </c>
      <c r="AI161" s="24">
        <f>IFERROR(__xludf.DUMMYFUNCTION("SUM(QUERY(Entregas_BD!D:W,""select T where D='""&amp;D161&amp;""'"",1))"),0.0)</f>
        <v>0</v>
      </c>
    </row>
    <row r="162" ht="19.5" customHeight="1">
      <c r="A162" s="7"/>
      <c r="B162" s="8"/>
      <c r="C162" s="9">
        <v>161.0</v>
      </c>
      <c r="D162" s="10" t="s">
        <v>484</v>
      </c>
      <c r="E162" s="10" t="s">
        <v>54</v>
      </c>
      <c r="F162" s="10" t="s">
        <v>45</v>
      </c>
      <c r="G162" s="10" t="s">
        <v>430</v>
      </c>
      <c r="H162" s="9" t="s">
        <v>51</v>
      </c>
      <c r="I162" s="11" t="s">
        <v>41</v>
      </c>
      <c r="J162" s="12"/>
      <c r="K162" s="12"/>
      <c r="L162" s="13"/>
      <c r="M162" s="12"/>
      <c r="N162" s="9">
        <f>IFERROR(__xludf.DUMMYFUNCTION("SUM(QUERY(Entregas_BD!D:L,""select G where D='""&amp;D162&amp;""'"",1))"),0.0)</f>
        <v>0</v>
      </c>
      <c r="O162" s="9">
        <f>IFERROR(__xludf.DUMMYFUNCTION("SUM(QUERY(Entregas_BD!D:L,""select H where D='""&amp;D162&amp;""'"",1))"),0.0)</f>
        <v>0</v>
      </c>
      <c r="P162" s="9">
        <f>IFERROR(__xludf.DUMMYFUNCTION("SUM(QUERY(Entregas_BD!D:L,""select I where D='""&amp;D162&amp;""'"",1))"),0.0)</f>
        <v>0</v>
      </c>
      <c r="Q162" s="9">
        <f>IFERROR(__xludf.DUMMYFUNCTION("SUM(QUERY(Entregas_BD!D:L,""select J where D='""&amp;D162&amp;""'"",1))"),0.0)</f>
        <v>0</v>
      </c>
      <c r="R162" s="15">
        <f>IFERROR(__xludf.DUMMYFUNCTION("SUM(QUERY(Entregas_BD!D:L,""select K where D='""&amp;D162&amp;""'"",1))"),0.0)</f>
        <v>0</v>
      </c>
      <c r="S162" s="15">
        <f>IFERROR(__xludf.DUMMYFUNCTION("SUM(QUERY(Entregas_BD!D:L,""select L where D='""&amp;D162&amp;""'"",1))"),0.0)</f>
        <v>0</v>
      </c>
      <c r="T162" s="9">
        <f>IFERROR(__xludf.DUMMYFUNCTION("SUM(QUERY(Entregas_BD!D:AL,""select AG where D='""&amp;D162&amp;""'"",1))"),0.0)</f>
        <v>0</v>
      </c>
      <c r="U162" s="9">
        <f>IFERROR(__xludf.DUMMYFUNCTION("SUM(QUERY(Entregas_BD!D:AL,""select AH where D='""&amp;D162&amp;""'"",1))"),0.0)</f>
        <v>0</v>
      </c>
      <c r="V162" s="9">
        <f>IFERROR(__xludf.DUMMYFUNCTION("SUM(QUERY(Entregas_BD!D:AL,""select AI where D='""&amp;D162&amp;""'"",1))"),0.0)</f>
        <v>0</v>
      </c>
      <c r="W162" s="9">
        <f>IFERROR(__xludf.DUMMYFUNCTION("SUM(QUERY(Entregas_BD!D:AL,""select AJ where D='""&amp;D162&amp;""'"",1))"),0.0)</f>
        <v>0</v>
      </c>
      <c r="X162" s="9">
        <f>IFERROR(__xludf.DUMMYFUNCTION("SUM(QUERY(Entregas_BD!D:AL,""select AL where D='""&amp;D162&amp;""'"",1))"),0.0)</f>
        <v>0</v>
      </c>
      <c r="Y162" s="9">
        <f>IFERROR(__xludf.DUMMYFUNCTION("SUM(QUERY(Entregas_BD!D:AL,""select AK where D='""&amp;D162&amp;""'"",1))"),0.0)</f>
        <v>0</v>
      </c>
      <c r="Z162" s="9">
        <v>0.0</v>
      </c>
      <c r="AA162" s="9">
        <v>0.0</v>
      </c>
      <c r="AB162" s="9">
        <v>0.0</v>
      </c>
      <c r="AC162" s="9">
        <v>0.0</v>
      </c>
      <c r="AD162" s="9">
        <v>0.0</v>
      </c>
      <c r="AE162" s="9">
        <v>0.0</v>
      </c>
      <c r="AF162" s="12"/>
      <c r="AG162" s="15">
        <f>IFERROR(__xludf.DUMMYFUNCTION("SUM(QUERY(Entregas_BD!D:W,""select U where D='""&amp;D162&amp;""'"",1))"),0.0)</f>
        <v>0</v>
      </c>
      <c r="AH162" s="15">
        <f>IFERROR(__xludf.DUMMYFUNCTION("SUM(QUERY(Entregas_BD!D:W,""select S where D='""&amp;D162&amp;""'"",1))"),0.0)</f>
        <v>0</v>
      </c>
      <c r="AI162" s="15">
        <f>IFERROR(__xludf.DUMMYFUNCTION("SUM(QUERY(Entregas_BD!D:W,""select T where D='""&amp;D162&amp;""'"",1))"),0.0)</f>
        <v>0</v>
      </c>
    </row>
    <row r="163" ht="19.5" customHeight="1">
      <c r="A163" s="28"/>
      <c r="B163" s="29"/>
      <c r="C163" s="19">
        <v>162.0</v>
      </c>
      <c r="D163" s="20" t="s">
        <v>485</v>
      </c>
      <c r="E163" s="20" t="s">
        <v>153</v>
      </c>
      <c r="F163" s="20" t="s">
        <v>486</v>
      </c>
      <c r="G163" s="20" t="s">
        <v>486</v>
      </c>
      <c r="H163" s="22" t="s">
        <v>40</v>
      </c>
      <c r="I163" s="21" t="s">
        <v>41</v>
      </c>
      <c r="J163" s="22"/>
      <c r="K163" s="22"/>
      <c r="L163" s="23"/>
      <c r="M163" s="36"/>
      <c r="N163" s="19">
        <f>IFERROR(__xludf.DUMMYFUNCTION("SUM(QUERY(Entregas_BD!D:L,""select G where D='""&amp;D163&amp;""'"",1))"),0.0)</f>
        <v>0</v>
      </c>
      <c r="O163" s="19">
        <f>IFERROR(__xludf.DUMMYFUNCTION("SUM(QUERY(Entregas_BD!D:L,""select H where D='""&amp;D163&amp;""'"",1))"),0.0)</f>
        <v>0</v>
      </c>
      <c r="P163" s="19">
        <f>IFERROR(__xludf.DUMMYFUNCTION("SUM(QUERY(Entregas_BD!D:L,""select I where D='""&amp;D163&amp;""'"",1))"),0.0)</f>
        <v>0</v>
      </c>
      <c r="Q163" s="19">
        <f>IFERROR(__xludf.DUMMYFUNCTION("SUM(QUERY(Entregas_BD!D:L,""select J where D='""&amp;D163&amp;""'"",1))"),0.0)</f>
        <v>0</v>
      </c>
      <c r="R163" s="24">
        <f>IFERROR(__xludf.DUMMYFUNCTION("SUM(QUERY(Entregas_BD!D:L,""select K where D='""&amp;D163&amp;""'"",1))"),0.0)</f>
        <v>0</v>
      </c>
      <c r="S163" s="24">
        <f>IFERROR(__xludf.DUMMYFUNCTION("SUM(QUERY(Entregas_BD!D:L,""select L where D='""&amp;D163&amp;""'"",1))"),0.0)</f>
        <v>0</v>
      </c>
      <c r="T163" s="19">
        <f>IFERROR(__xludf.DUMMYFUNCTION("SUM(QUERY(Entregas_BD!D:AL,""select AG where D='""&amp;D163&amp;""'"",1))"),0.0)</f>
        <v>0</v>
      </c>
      <c r="U163" s="19">
        <f>IFERROR(__xludf.DUMMYFUNCTION("SUM(QUERY(Entregas_BD!D:AL,""select AH where D='""&amp;D163&amp;""'"",1))"),0.0)</f>
        <v>0</v>
      </c>
      <c r="V163" s="19">
        <f>IFERROR(__xludf.DUMMYFUNCTION("SUM(QUERY(Entregas_BD!D:AL,""select AI where D='""&amp;D163&amp;""'"",1))"),0.0)</f>
        <v>0</v>
      </c>
      <c r="W163" s="19">
        <f>IFERROR(__xludf.DUMMYFUNCTION("SUM(QUERY(Entregas_BD!D:AL,""select AJ where D='""&amp;D163&amp;""'"",1))"),0.0)</f>
        <v>0</v>
      </c>
      <c r="X163" s="19">
        <f>IFERROR(__xludf.DUMMYFUNCTION("SUM(QUERY(Entregas_BD!D:AL,""select AL where D='""&amp;D163&amp;""'"",1))"),0.0)</f>
        <v>0</v>
      </c>
      <c r="Y163" s="19">
        <f>IFERROR(__xludf.DUMMYFUNCTION("SUM(QUERY(Entregas_BD!D:AL,""select AK where D='""&amp;D163&amp;""'"",1))"),0.0)</f>
        <v>0</v>
      </c>
      <c r="Z163" s="19">
        <v>0.0</v>
      </c>
      <c r="AA163" s="19">
        <v>0.0</v>
      </c>
      <c r="AB163" s="19">
        <v>0.0</v>
      </c>
      <c r="AC163" s="19">
        <v>0.0</v>
      </c>
      <c r="AD163" s="19">
        <v>0.0</v>
      </c>
      <c r="AE163" s="19">
        <v>0.0</v>
      </c>
      <c r="AF163" s="24"/>
      <c r="AG163" s="24">
        <f>IFERROR(__xludf.DUMMYFUNCTION("SUM(QUERY(Entregas_BD!D:W,""select U where D='""&amp;D163&amp;""'"",1))"),0.0)</f>
        <v>0</v>
      </c>
      <c r="AH163" s="24">
        <f>IFERROR(__xludf.DUMMYFUNCTION("SUM(QUERY(Entregas_BD!D:W,""select S where D='""&amp;D163&amp;""'"",1))"),0.0)</f>
        <v>0</v>
      </c>
      <c r="AI163" s="24">
        <f>IFERROR(__xludf.DUMMYFUNCTION("SUM(QUERY(Entregas_BD!D:W,""select T where D='""&amp;D163&amp;""'"",1))"),0.0)</f>
        <v>0</v>
      </c>
    </row>
    <row r="164" ht="19.5" customHeight="1">
      <c r="A164" s="7"/>
      <c r="B164" s="8"/>
      <c r="C164" s="9">
        <v>163.0</v>
      </c>
      <c r="D164" s="10" t="s">
        <v>487</v>
      </c>
      <c r="E164" s="10" t="s">
        <v>72</v>
      </c>
      <c r="F164" s="10" t="s">
        <v>45</v>
      </c>
      <c r="G164" s="10" t="s">
        <v>149</v>
      </c>
      <c r="H164" s="9" t="s">
        <v>51</v>
      </c>
      <c r="I164" s="11" t="s">
        <v>41</v>
      </c>
      <c r="J164" s="12"/>
      <c r="K164" s="12"/>
      <c r="L164" s="13"/>
      <c r="M164" s="12"/>
      <c r="N164" s="9">
        <f>IFERROR(__xludf.DUMMYFUNCTION("SUM(QUERY(Entregas_BD!D:L,""select G where D='""&amp;D164&amp;""'"",1))"),0.0)</f>
        <v>0</v>
      </c>
      <c r="O164" s="9">
        <f>IFERROR(__xludf.DUMMYFUNCTION("SUM(QUERY(Entregas_BD!D:L,""select H where D='""&amp;D164&amp;""'"",1))"),0.0)</f>
        <v>0</v>
      </c>
      <c r="P164" s="9">
        <f>IFERROR(__xludf.DUMMYFUNCTION("SUM(QUERY(Entregas_BD!D:L,""select I where D='""&amp;D164&amp;""'"",1))"),0.0)</f>
        <v>0</v>
      </c>
      <c r="Q164" s="9">
        <f>IFERROR(__xludf.DUMMYFUNCTION("SUM(QUERY(Entregas_BD!D:L,""select J where D='""&amp;D164&amp;""'"",1))"),0.0)</f>
        <v>0</v>
      </c>
      <c r="R164" s="15">
        <f>IFERROR(__xludf.DUMMYFUNCTION("SUM(QUERY(Entregas_BD!D:L,""select K where D='""&amp;D164&amp;""'"",1))"),0.0)</f>
        <v>0</v>
      </c>
      <c r="S164" s="15">
        <f>IFERROR(__xludf.DUMMYFUNCTION("SUM(QUERY(Entregas_BD!D:L,""select L where D='""&amp;D164&amp;""'"",1))"),0.0)</f>
        <v>0</v>
      </c>
      <c r="T164" s="9">
        <f>IFERROR(__xludf.DUMMYFUNCTION("SUM(QUERY(Entregas_BD!D:AL,""select AG where D='""&amp;D164&amp;""'"",1))"),0.0)</f>
        <v>0</v>
      </c>
      <c r="U164" s="9">
        <f>IFERROR(__xludf.DUMMYFUNCTION("SUM(QUERY(Entregas_BD!D:AL,""select AH where D='""&amp;D164&amp;""'"",1))"),0.0)</f>
        <v>0</v>
      </c>
      <c r="V164" s="9">
        <f>IFERROR(__xludf.DUMMYFUNCTION("SUM(QUERY(Entregas_BD!D:AL,""select AI where D='""&amp;D164&amp;""'"",1))"),0.0)</f>
        <v>0</v>
      </c>
      <c r="W164" s="9">
        <f>IFERROR(__xludf.DUMMYFUNCTION("SUM(QUERY(Entregas_BD!D:AL,""select AJ where D='""&amp;D164&amp;""'"",1))"),0.0)</f>
        <v>0</v>
      </c>
      <c r="X164" s="9">
        <f>IFERROR(__xludf.DUMMYFUNCTION("SUM(QUERY(Entregas_BD!D:AL,""select AL where D='""&amp;D164&amp;""'"",1))"),0.0)</f>
        <v>0</v>
      </c>
      <c r="Y164" s="9">
        <f>IFERROR(__xludf.DUMMYFUNCTION("SUM(QUERY(Entregas_BD!D:AL,""select AK where D='""&amp;D164&amp;""'"",1))"),0.0)</f>
        <v>0</v>
      </c>
      <c r="Z164" s="9">
        <v>0.0</v>
      </c>
      <c r="AA164" s="9">
        <v>0.0</v>
      </c>
      <c r="AB164" s="9">
        <v>0.0</v>
      </c>
      <c r="AC164" s="9">
        <v>0.0</v>
      </c>
      <c r="AD164" s="9">
        <v>0.0</v>
      </c>
      <c r="AE164" s="9">
        <v>0.0</v>
      </c>
      <c r="AF164" s="12"/>
      <c r="AG164" s="15">
        <f>IFERROR(__xludf.DUMMYFUNCTION("SUM(QUERY(Entregas_BD!D:W,""select U where D='""&amp;D164&amp;""'"",1))"),0.0)</f>
        <v>0</v>
      </c>
      <c r="AH164" s="15">
        <f>IFERROR(__xludf.DUMMYFUNCTION("SUM(QUERY(Entregas_BD!D:W,""select S where D='""&amp;D164&amp;""'"",1))"),0.0)</f>
        <v>0</v>
      </c>
      <c r="AI164" s="15">
        <f>IFERROR(__xludf.DUMMYFUNCTION("SUM(QUERY(Entregas_BD!D:W,""select T where D='""&amp;D164&amp;""'"",1))"),0.0)</f>
        <v>0</v>
      </c>
    </row>
    <row r="165" ht="19.5" customHeight="1">
      <c r="A165" s="28"/>
      <c r="B165" s="29"/>
      <c r="C165" s="19">
        <v>164.0</v>
      </c>
      <c r="D165" s="20" t="s">
        <v>488</v>
      </c>
      <c r="E165" s="20" t="s">
        <v>197</v>
      </c>
      <c r="F165" s="42"/>
      <c r="G165" s="20" t="s">
        <v>489</v>
      </c>
      <c r="H165" s="19" t="s">
        <v>51</v>
      </c>
      <c r="I165" s="21" t="s">
        <v>47</v>
      </c>
      <c r="J165" s="22"/>
      <c r="K165" s="22"/>
      <c r="L165" s="23"/>
      <c r="M165" s="36"/>
      <c r="N165" s="19">
        <f>IFERROR(__xludf.DUMMYFUNCTION("SUM(QUERY(Entregas_BD!D:L,""select G where D='""&amp;D165&amp;""'"",1))"),0.0)</f>
        <v>0</v>
      </c>
      <c r="O165" s="19">
        <f>IFERROR(__xludf.DUMMYFUNCTION("SUM(QUERY(Entregas_BD!D:L,""select H where D='""&amp;D165&amp;""'"",1))"),0.0)</f>
        <v>0</v>
      </c>
      <c r="P165" s="19">
        <f>IFERROR(__xludf.DUMMYFUNCTION("SUM(QUERY(Entregas_BD!D:L,""select I where D='""&amp;D165&amp;""'"",1))"),0.0)</f>
        <v>0</v>
      </c>
      <c r="Q165" s="19">
        <f>IFERROR(__xludf.DUMMYFUNCTION("SUM(QUERY(Entregas_BD!D:L,""select J where D='""&amp;D165&amp;""'"",1))"),0.0)</f>
        <v>0</v>
      </c>
      <c r="R165" s="24">
        <f>IFERROR(__xludf.DUMMYFUNCTION("SUM(QUERY(Entregas_BD!D:L,""select K where D='""&amp;D165&amp;""'"",1))"),0.0)</f>
        <v>0</v>
      </c>
      <c r="S165" s="24">
        <f>IFERROR(__xludf.DUMMYFUNCTION("SUM(QUERY(Entregas_BD!D:L,""select L where D='""&amp;D165&amp;""'"",1))"),0.0)</f>
        <v>0</v>
      </c>
      <c r="T165" s="19">
        <f>IFERROR(__xludf.DUMMYFUNCTION("SUM(QUERY(Entregas_BD!D:AL,""select AG where D='""&amp;D165&amp;""'"",1))"),0.0)</f>
        <v>0</v>
      </c>
      <c r="U165" s="19">
        <f>IFERROR(__xludf.DUMMYFUNCTION("SUM(QUERY(Entregas_BD!D:AL,""select AH where D='""&amp;D165&amp;""'"",1))"),0.0)</f>
        <v>0</v>
      </c>
      <c r="V165" s="19">
        <f>IFERROR(__xludf.DUMMYFUNCTION("SUM(QUERY(Entregas_BD!D:AL,""select AI where D='""&amp;D165&amp;""'"",1))"),0.0)</f>
        <v>0</v>
      </c>
      <c r="W165" s="19">
        <f>IFERROR(__xludf.DUMMYFUNCTION("SUM(QUERY(Entregas_BD!D:AL,""select AJ where D='""&amp;D165&amp;""'"",1))"),0.0)</f>
        <v>0</v>
      </c>
      <c r="X165" s="19">
        <f>IFERROR(__xludf.DUMMYFUNCTION("SUM(QUERY(Entregas_BD!D:AL,""select AL where D='""&amp;D165&amp;""'"",1))"),0.0)</f>
        <v>0</v>
      </c>
      <c r="Y165" s="19">
        <f>IFERROR(__xludf.DUMMYFUNCTION("SUM(QUERY(Entregas_BD!D:AL,""select AK where D='""&amp;D165&amp;""'"",1))"),0.0)</f>
        <v>0</v>
      </c>
      <c r="Z165" s="19">
        <v>0.0</v>
      </c>
      <c r="AA165" s="19">
        <v>0.0</v>
      </c>
      <c r="AB165" s="19">
        <v>0.0</v>
      </c>
      <c r="AC165" s="19">
        <v>0.0</v>
      </c>
      <c r="AD165" s="19">
        <v>0.0</v>
      </c>
      <c r="AE165" s="19">
        <v>0.0</v>
      </c>
      <c r="AF165" s="24"/>
      <c r="AG165" s="24">
        <f>IFERROR(__xludf.DUMMYFUNCTION("SUM(QUERY(Entregas_BD!D:W,""select U where D='""&amp;D165&amp;""'"",1))"),0.0)</f>
        <v>0</v>
      </c>
      <c r="AH165" s="24">
        <f>IFERROR(__xludf.DUMMYFUNCTION("SUM(QUERY(Entregas_BD!D:W,""select S where D='""&amp;D165&amp;""'"",1))"),0.0)</f>
        <v>0</v>
      </c>
      <c r="AI165" s="24">
        <f>IFERROR(__xludf.DUMMYFUNCTION("SUM(QUERY(Entregas_BD!D:W,""select T where D='""&amp;D165&amp;""'"",1))"),0.0)</f>
        <v>0</v>
      </c>
    </row>
    <row r="166" ht="19.5" customHeight="1">
      <c r="A166" s="7"/>
      <c r="B166" s="8"/>
      <c r="C166" s="9">
        <v>165.0</v>
      </c>
      <c r="D166" s="10" t="s">
        <v>490</v>
      </c>
      <c r="E166" s="10" t="s">
        <v>63</v>
      </c>
      <c r="F166" s="10" t="s">
        <v>491</v>
      </c>
      <c r="G166" s="10" t="s">
        <v>492</v>
      </c>
      <c r="H166" s="9" t="s">
        <v>69</v>
      </c>
      <c r="I166" s="11" t="s">
        <v>41</v>
      </c>
      <c r="J166" s="12"/>
      <c r="K166" s="12"/>
      <c r="L166" s="13"/>
      <c r="M166" s="12"/>
      <c r="N166" s="9">
        <f>IFERROR(__xludf.DUMMYFUNCTION("SUM(QUERY(Entregas_BD!D:L,""select G where D='""&amp;D166&amp;""'"",1))"),0.0)</f>
        <v>0</v>
      </c>
      <c r="O166" s="9">
        <f>IFERROR(__xludf.DUMMYFUNCTION("SUM(QUERY(Entregas_BD!D:L,""select H where D='""&amp;D166&amp;""'"",1))"),0.0)</f>
        <v>0</v>
      </c>
      <c r="P166" s="9">
        <f>IFERROR(__xludf.DUMMYFUNCTION("SUM(QUERY(Entregas_BD!D:L,""select I where D='""&amp;D166&amp;""'"",1))"),0.0)</f>
        <v>0</v>
      </c>
      <c r="Q166" s="9">
        <f>IFERROR(__xludf.DUMMYFUNCTION("SUM(QUERY(Entregas_BD!D:L,""select J where D='""&amp;D166&amp;""'"",1))"),0.0)</f>
        <v>0</v>
      </c>
      <c r="R166" s="15">
        <f>IFERROR(__xludf.DUMMYFUNCTION("SUM(QUERY(Entregas_BD!D:L,""select K where D='""&amp;D166&amp;""'"",1))"),0.0)</f>
        <v>0</v>
      </c>
      <c r="S166" s="15">
        <f>IFERROR(__xludf.DUMMYFUNCTION("SUM(QUERY(Entregas_BD!D:L,""select L where D='""&amp;D166&amp;""'"",1))"),0.0)</f>
        <v>0</v>
      </c>
      <c r="T166" s="9">
        <f>IFERROR(__xludf.DUMMYFUNCTION("SUM(QUERY(Entregas_BD!D:AL,""select AG where D='""&amp;D166&amp;""'"",1))"),0.0)</f>
        <v>0</v>
      </c>
      <c r="U166" s="9">
        <f>IFERROR(__xludf.DUMMYFUNCTION("SUM(QUERY(Entregas_BD!D:AL,""select AH where D='""&amp;D166&amp;""'"",1))"),0.0)</f>
        <v>0</v>
      </c>
      <c r="V166" s="9">
        <f>IFERROR(__xludf.DUMMYFUNCTION("SUM(QUERY(Entregas_BD!D:AL,""select AI where D='""&amp;D166&amp;""'"",1))"),0.0)</f>
        <v>0</v>
      </c>
      <c r="W166" s="9">
        <f>IFERROR(__xludf.DUMMYFUNCTION("SUM(QUERY(Entregas_BD!D:AL,""select AJ where D='""&amp;D166&amp;""'"",1))"),0.0)</f>
        <v>0</v>
      </c>
      <c r="X166" s="9">
        <f>IFERROR(__xludf.DUMMYFUNCTION("SUM(QUERY(Entregas_BD!D:AL,""select AL where D='""&amp;D166&amp;""'"",1))"),0.0)</f>
        <v>0</v>
      </c>
      <c r="Y166" s="9">
        <f>IFERROR(__xludf.DUMMYFUNCTION("SUM(QUERY(Entregas_BD!D:AL,""select AK where D='""&amp;D166&amp;""'"",1))"),0.0)</f>
        <v>0</v>
      </c>
      <c r="Z166" s="9">
        <v>0.0</v>
      </c>
      <c r="AA166" s="9">
        <v>0.0</v>
      </c>
      <c r="AB166" s="9">
        <v>0.0</v>
      </c>
      <c r="AC166" s="9">
        <v>0.0</v>
      </c>
      <c r="AD166" s="9">
        <v>0.0</v>
      </c>
      <c r="AE166" s="9">
        <v>0.0</v>
      </c>
      <c r="AF166" s="15"/>
      <c r="AG166" s="15">
        <f>IFERROR(__xludf.DUMMYFUNCTION("SUM(QUERY(Entregas_BD!D:W,""select U where D='""&amp;D166&amp;""'"",1))"),0.0)</f>
        <v>0</v>
      </c>
      <c r="AH166" s="15">
        <f>IFERROR(__xludf.DUMMYFUNCTION("SUM(QUERY(Entregas_BD!D:W,""select S where D='""&amp;D166&amp;""'"",1))"),0.0)</f>
        <v>0</v>
      </c>
      <c r="AI166" s="15">
        <f>IFERROR(__xludf.DUMMYFUNCTION("SUM(QUERY(Entregas_BD!D:W,""select T where D='""&amp;D166&amp;""'"",1))"),0.0)</f>
        <v>0</v>
      </c>
    </row>
    <row r="167" ht="19.5" customHeight="1">
      <c r="A167" s="28"/>
      <c r="B167" s="29"/>
      <c r="C167" s="19">
        <v>166.0</v>
      </c>
      <c r="D167" s="20" t="s">
        <v>493</v>
      </c>
      <c r="E167" s="20" t="s">
        <v>197</v>
      </c>
      <c r="F167" s="20" t="s">
        <v>494</v>
      </c>
      <c r="G167" s="20" t="s">
        <v>495</v>
      </c>
      <c r="H167" s="19" t="s">
        <v>51</v>
      </c>
      <c r="I167" s="21" t="s">
        <v>47</v>
      </c>
      <c r="J167" s="22"/>
      <c r="K167" s="22"/>
      <c r="L167" s="23"/>
      <c r="M167" s="36"/>
      <c r="N167" s="19">
        <f>IFERROR(__xludf.DUMMYFUNCTION("SUM(QUERY(Entregas_BD!D:L,""select G where D='""&amp;D167&amp;""'"",1))"),0.0)</f>
        <v>0</v>
      </c>
      <c r="O167" s="19">
        <f>IFERROR(__xludf.DUMMYFUNCTION("SUM(QUERY(Entregas_BD!D:L,""select H where D='""&amp;D167&amp;""'"",1))"),0.0)</f>
        <v>0</v>
      </c>
      <c r="P167" s="19">
        <f>IFERROR(__xludf.DUMMYFUNCTION("SUM(QUERY(Entregas_BD!D:L,""select I where D='""&amp;D167&amp;""'"",1))"),0.0)</f>
        <v>0</v>
      </c>
      <c r="Q167" s="19">
        <f>IFERROR(__xludf.DUMMYFUNCTION("SUM(QUERY(Entregas_BD!D:L,""select J where D='""&amp;D167&amp;""'"",1))"),0.0)</f>
        <v>0</v>
      </c>
      <c r="R167" s="24">
        <f>IFERROR(__xludf.DUMMYFUNCTION("SUM(QUERY(Entregas_BD!D:L,""select K where D='""&amp;D167&amp;""'"",1))"),0.0)</f>
        <v>0</v>
      </c>
      <c r="S167" s="24">
        <f>IFERROR(__xludf.DUMMYFUNCTION("SUM(QUERY(Entregas_BD!D:L,""select L where D='""&amp;D167&amp;""'"",1))"),0.0)</f>
        <v>0</v>
      </c>
      <c r="T167" s="19">
        <f>IFERROR(__xludf.DUMMYFUNCTION("SUM(QUERY(Entregas_BD!D:AL,""select AG where D='""&amp;D167&amp;""'"",1))"),0.0)</f>
        <v>0</v>
      </c>
      <c r="U167" s="19">
        <f>IFERROR(__xludf.DUMMYFUNCTION("SUM(QUERY(Entregas_BD!D:AL,""select AH where D='""&amp;D167&amp;""'"",1))"),0.0)</f>
        <v>0</v>
      </c>
      <c r="V167" s="19">
        <f>IFERROR(__xludf.DUMMYFUNCTION("SUM(QUERY(Entregas_BD!D:AL,""select AI where D='""&amp;D167&amp;""'"",1))"),0.0)</f>
        <v>0</v>
      </c>
      <c r="W167" s="19">
        <f>IFERROR(__xludf.DUMMYFUNCTION("SUM(QUERY(Entregas_BD!D:AL,""select AJ where D='""&amp;D167&amp;""'"",1))"),0.0)</f>
        <v>0</v>
      </c>
      <c r="X167" s="19">
        <f>IFERROR(__xludf.DUMMYFUNCTION("SUM(QUERY(Entregas_BD!D:AL,""select AL where D='""&amp;D167&amp;""'"",1))"),0.0)</f>
        <v>0</v>
      </c>
      <c r="Y167" s="19">
        <f>IFERROR(__xludf.DUMMYFUNCTION("SUM(QUERY(Entregas_BD!D:AL,""select AK where D='""&amp;D167&amp;""'"",1))"),0.0)</f>
        <v>0</v>
      </c>
      <c r="Z167" s="19">
        <v>0.0</v>
      </c>
      <c r="AA167" s="19">
        <v>0.0</v>
      </c>
      <c r="AB167" s="19">
        <v>0.0</v>
      </c>
      <c r="AC167" s="19">
        <v>0.0</v>
      </c>
      <c r="AD167" s="19">
        <v>0.0</v>
      </c>
      <c r="AE167" s="19">
        <v>0.0</v>
      </c>
      <c r="AF167" s="24"/>
      <c r="AG167" s="24">
        <f>IFERROR(__xludf.DUMMYFUNCTION("SUM(QUERY(Entregas_BD!D:W,""select U where D='""&amp;D167&amp;""'"",1))"),0.0)</f>
        <v>0</v>
      </c>
      <c r="AH167" s="24">
        <f>IFERROR(__xludf.DUMMYFUNCTION("SUM(QUERY(Entregas_BD!D:W,""select S where D='""&amp;D167&amp;""'"",1))"),0.0)</f>
        <v>0</v>
      </c>
      <c r="AI167" s="24">
        <f>IFERROR(__xludf.DUMMYFUNCTION("SUM(QUERY(Entregas_BD!D:W,""select T where D='""&amp;D167&amp;""'"",1))"),0.0)</f>
        <v>0</v>
      </c>
    </row>
    <row r="168" ht="19.5" customHeight="1">
      <c r="A168" s="7"/>
      <c r="B168" s="8"/>
      <c r="C168" s="9">
        <v>167.0</v>
      </c>
      <c r="D168" s="10" t="s">
        <v>496</v>
      </c>
      <c r="E168" s="10" t="s">
        <v>58</v>
      </c>
      <c r="F168" s="10" t="s">
        <v>45</v>
      </c>
      <c r="G168" s="10" t="s">
        <v>497</v>
      </c>
      <c r="H168" s="9" t="s">
        <v>51</v>
      </c>
      <c r="I168" s="11" t="s">
        <v>47</v>
      </c>
      <c r="J168" s="9"/>
      <c r="K168" s="12"/>
      <c r="L168" s="13"/>
      <c r="M168" s="12"/>
      <c r="N168" s="9">
        <f>IFERROR(__xludf.DUMMYFUNCTION("SUM(QUERY(Entregas_BD!D:L,""select G where D='""&amp;D168&amp;""'"",1))"),0.0)</f>
        <v>0</v>
      </c>
      <c r="O168" s="9">
        <f>IFERROR(__xludf.DUMMYFUNCTION("SUM(QUERY(Entregas_BD!D:L,""select H where D='""&amp;D168&amp;""'"",1))"),0.0)</f>
        <v>0</v>
      </c>
      <c r="P168" s="9">
        <f>IFERROR(__xludf.DUMMYFUNCTION("SUM(QUERY(Entregas_BD!D:L,""select I where D='""&amp;D168&amp;""'"",1))"),0.0)</f>
        <v>0</v>
      </c>
      <c r="Q168" s="9">
        <f>IFERROR(__xludf.DUMMYFUNCTION("SUM(QUERY(Entregas_BD!D:L,""select J where D='""&amp;D168&amp;""'"",1))"),0.0)</f>
        <v>0</v>
      </c>
      <c r="R168" s="15">
        <f>IFERROR(__xludf.DUMMYFUNCTION("SUM(QUERY(Entregas_BD!D:L,""select K where D='""&amp;D168&amp;""'"",1))"),0.0)</f>
        <v>0</v>
      </c>
      <c r="S168" s="15">
        <f>IFERROR(__xludf.DUMMYFUNCTION("SUM(QUERY(Entregas_BD!D:L,""select L where D='""&amp;D168&amp;""'"",1))"),0.0)</f>
        <v>0</v>
      </c>
      <c r="T168" s="9">
        <f>IFERROR(__xludf.DUMMYFUNCTION("SUM(QUERY(Entregas_BD!D:AL,""select AG where D='""&amp;D168&amp;""'"",1))"),0.0)</f>
        <v>0</v>
      </c>
      <c r="U168" s="9">
        <f>IFERROR(__xludf.DUMMYFUNCTION("SUM(QUERY(Entregas_BD!D:AL,""select AH where D='""&amp;D168&amp;""'"",1))"),0.0)</f>
        <v>0</v>
      </c>
      <c r="V168" s="9">
        <f>IFERROR(__xludf.DUMMYFUNCTION("SUM(QUERY(Entregas_BD!D:AL,""select AI where D='""&amp;D168&amp;""'"",1))"),0.0)</f>
        <v>0</v>
      </c>
      <c r="W168" s="9">
        <f>IFERROR(__xludf.DUMMYFUNCTION("SUM(QUERY(Entregas_BD!D:AL,""select AJ where D='""&amp;D168&amp;""'"",1))"),0.0)</f>
        <v>0</v>
      </c>
      <c r="X168" s="9">
        <f>IFERROR(__xludf.DUMMYFUNCTION("SUM(QUERY(Entregas_BD!D:AL,""select AL where D='""&amp;D168&amp;""'"",1))"),0.0)</f>
        <v>0</v>
      </c>
      <c r="Y168" s="9">
        <f>IFERROR(__xludf.DUMMYFUNCTION("SUM(QUERY(Entregas_BD!D:AL,""select AK where D='""&amp;D168&amp;""'"",1))"),0.0)</f>
        <v>0</v>
      </c>
      <c r="Z168" s="9">
        <v>0.0</v>
      </c>
      <c r="AA168" s="9">
        <v>0.0</v>
      </c>
      <c r="AB168" s="9">
        <v>0.0</v>
      </c>
      <c r="AC168" s="9">
        <v>0.0</v>
      </c>
      <c r="AD168" s="9">
        <v>0.0</v>
      </c>
      <c r="AE168" s="9">
        <v>0.0</v>
      </c>
      <c r="AF168" s="12"/>
      <c r="AG168" s="15">
        <f>IFERROR(__xludf.DUMMYFUNCTION("SUM(QUERY(Entregas_BD!D:W,""select U where D='""&amp;D168&amp;""'"",1))"),0.0)</f>
        <v>0</v>
      </c>
      <c r="AH168" s="15">
        <f>IFERROR(__xludf.DUMMYFUNCTION("SUM(QUERY(Entregas_BD!D:W,""select S where D='""&amp;D168&amp;""'"",1))"),0.0)</f>
        <v>0</v>
      </c>
      <c r="AI168" s="15">
        <f>IFERROR(__xludf.DUMMYFUNCTION("SUM(QUERY(Entregas_BD!D:W,""select T where D='""&amp;D168&amp;""'"",1))"),0.0)</f>
        <v>0</v>
      </c>
    </row>
    <row r="169" ht="19.5" customHeight="1">
      <c r="A169" s="28"/>
      <c r="B169" s="29"/>
      <c r="C169" s="19">
        <v>168.0</v>
      </c>
      <c r="D169" s="20" t="s">
        <v>498</v>
      </c>
      <c r="E169" s="20" t="s">
        <v>54</v>
      </c>
      <c r="F169" s="20" t="s">
        <v>45</v>
      </c>
      <c r="G169" s="20" t="s">
        <v>499</v>
      </c>
      <c r="H169" s="19" t="s">
        <v>51</v>
      </c>
      <c r="I169" s="21" t="s">
        <v>47</v>
      </c>
      <c r="J169" s="22"/>
      <c r="K169" s="22"/>
      <c r="L169" s="23"/>
      <c r="M169" s="22"/>
      <c r="N169" s="19">
        <f>IFERROR(__xludf.DUMMYFUNCTION("SUM(QUERY(Entregas_BD!D:L,""select G where D='""&amp;D169&amp;""'"",1))"),0.0)</f>
        <v>0</v>
      </c>
      <c r="O169" s="19">
        <f>IFERROR(__xludf.DUMMYFUNCTION("SUM(QUERY(Entregas_BD!D:L,""select H where D='""&amp;D169&amp;""'"",1))"),0.0)</f>
        <v>0</v>
      </c>
      <c r="P169" s="19">
        <f>IFERROR(__xludf.DUMMYFUNCTION("SUM(QUERY(Entregas_BD!D:L,""select I where D='""&amp;D169&amp;""'"",1))"),0.0)</f>
        <v>0</v>
      </c>
      <c r="Q169" s="19">
        <f>IFERROR(__xludf.DUMMYFUNCTION("SUM(QUERY(Entregas_BD!D:L,""select J where D='""&amp;D169&amp;""'"",1))"),0.0)</f>
        <v>0</v>
      </c>
      <c r="R169" s="24">
        <f>IFERROR(__xludf.DUMMYFUNCTION("SUM(QUERY(Entregas_BD!D:L,""select K where D='""&amp;D169&amp;""'"",1))"),0.0)</f>
        <v>0</v>
      </c>
      <c r="S169" s="24">
        <f>IFERROR(__xludf.DUMMYFUNCTION("SUM(QUERY(Entregas_BD!D:L,""select L where D='""&amp;D169&amp;""'"",1))"),0.0)</f>
        <v>0</v>
      </c>
      <c r="T169" s="19">
        <f>IFERROR(__xludf.DUMMYFUNCTION("SUM(QUERY(Entregas_BD!D:AL,""select AG where D='""&amp;D169&amp;""'"",1))"),0.0)</f>
        <v>0</v>
      </c>
      <c r="U169" s="19">
        <f>IFERROR(__xludf.DUMMYFUNCTION("SUM(QUERY(Entregas_BD!D:AL,""select AH where D='""&amp;D169&amp;""'"",1))"),0.0)</f>
        <v>0</v>
      </c>
      <c r="V169" s="19">
        <f>IFERROR(__xludf.DUMMYFUNCTION("SUM(QUERY(Entregas_BD!D:AL,""select AI where D='""&amp;D169&amp;""'"",1))"),0.0)</f>
        <v>0</v>
      </c>
      <c r="W169" s="19">
        <f>IFERROR(__xludf.DUMMYFUNCTION("SUM(QUERY(Entregas_BD!D:AL,""select AJ where D='""&amp;D169&amp;""'"",1))"),0.0)</f>
        <v>0</v>
      </c>
      <c r="X169" s="19">
        <f>IFERROR(__xludf.DUMMYFUNCTION("SUM(QUERY(Entregas_BD!D:AL,""select AL where D='""&amp;D169&amp;""'"",1))"),0.0)</f>
        <v>0</v>
      </c>
      <c r="Y169" s="19">
        <f>IFERROR(__xludf.DUMMYFUNCTION("SUM(QUERY(Entregas_BD!D:AL,""select AK where D='""&amp;D169&amp;""'"",1))"),0.0)</f>
        <v>0</v>
      </c>
      <c r="Z169" s="19">
        <v>0.0</v>
      </c>
      <c r="AA169" s="19">
        <v>0.0</v>
      </c>
      <c r="AB169" s="19">
        <v>0.0</v>
      </c>
      <c r="AC169" s="19">
        <v>0.0</v>
      </c>
      <c r="AD169" s="19">
        <v>0.0</v>
      </c>
      <c r="AE169" s="19">
        <v>0.0</v>
      </c>
      <c r="AF169" s="22"/>
      <c r="AG169" s="24">
        <f>IFERROR(__xludf.DUMMYFUNCTION("SUM(QUERY(Entregas_BD!D:W,""select U where D='""&amp;D169&amp;""'"",1))"),0.0)</f>
        <v>0</v>
      </c>
      <c r="AH169" s="24">
        <f>IFERROR(__xludf.DUMMYFUNCTION("SUM(QUERY(Entregas_BD!D:W,""select S where D='""&amp;D169&amp;""'"",1))"),0.0)</f>
        <v>0</v>
      </c>
      <c r="AI169" s="24">
        <f>IFERROR(__xludf.DUMMYFUNCTION("SUM(QUERY(Entregas_BD!D:W,""select T where D='""&amp;D169&amp;""'"",1))"),0.0)</f>
        <v>0</v>
      </c>
    </row>
    <row r="170" ht="19.5" customHeight="1">
      <c r="A170" s="7"/>
      <c r="B170" s="8"/>
      <c r="C170" s="9">
        <v>169.0</v>
      </c>
      <c r="D170" s="43" t="s">
        <v>500</v>
      </c>
      <c r="E170" s="10" t="s">
        <v>58</v>
      </c>
      <c r="F170" s="10" t="s">
        <v>45</v>
      </c>
      <c r="G170" s="10" t="s">
        <v>501</v>
      </c>
      <c r="H170" s="9" t="s">
        <v>51</v>
      </c>
      <c r="I170" s="11" t="s">
        <v>41</v>
      </c>
      <c r="J170" s="9"/>
      <c r="K170" s="12"/>
      <c r="L170" s="13"/>
      <c r="M170" s="12"/>
      <c r="N170" s="9">
        <f>IFERROR(__xludf.DUMMYFUNCTION("SUM(QUERY(Entregas_BD!D:L,""select G where D='""&amp;D170&amp;""'"",1))"),0.0)</f>
        <v>0</v>
      </c>
      <c r="O170" s="9">
        <f>IFERROR(__xludf.DUMMYFUNCTION("SUM(QUERY(Entregas_BD!D:L,""select H where D='""&amp;D170&amp;""'"",1))"),0.0)</f>
        <v>0</v>
      </c>
      <c r="P170" s="9">
        <f>IFERROR(__xludf.DUMMYFUNCTION("SUM(QUERY(Entregas_BD!D:L,""select I where D='""&amp;D170&amp;""'"",1))"),0.0)</f>
        <v>0</v>
      </c>
      <c r="Q170" s="9">
        <f>IFERROR(__xludf.DUMMYFUNCTION("SUM(QUERY(Entregas_BD!D:L,""select J where D='""&amp;D170&amp;""'"",1))"),0.0)</f>
        <v>0</v>
      </c>
      <c r="R170" s="15">
        <f>IFERROR(__xludf.DUMMYFUNCTION("SUM(QUERY(Entregas_BD!D:L,""select K where D='""&amp;D170&amp;""'"",1))"),0.0)</f>
        <v>0</v>
      </c>
      <c r="S170" s="15">
        <f>IFERROR(__xludf.DUMMYFUNCTION("SUM(QUERY(Entregas_BD!D:L,""select L where D='""&amp;D170&amp;""'"",1))"),0.0)</f>
        <v>0</v>
      </c>
      <c r="T170" s="9">
        <f>IFERROR(__xludf.DUMMYFUNCTION("SUM(QUERY(Entregas_BD!D:AL,""select AG where D='""&amp;D170&amp;""'"",1))"),6.0)</f>
        <v>6</v>
      </c>
      <c r="U170" s="9">
        <f>IFERROR(__xludf.DUMMYFUNCTION("SUM(QUERY(Entregas_BD!D:AL,""select AH where D='""&amp;D170&amp;""'"",1))"),0.0)</f>
        <v>0</v>
      </c>
      <c r="V170" s="9">
        <f>IFERROR(__xludf.DUMMYFUNCTION("SUM(QUERY(Entregas_BD!D:AL,""select AI where D='""&amp;D170&amp;""'"",1))"),0.0)</f>
        <v>0</v>
      </c>
      <c r="W170" s="9">
        <f>IFERROR(__xludf.DUMMYFUNCTION("SUM(QUERY(Entregas_BD!D:AL,""select AJ where D='""&amp;D170&amp;""'"",1))"),0.0)</f>
        <v>0</v>
      </c>
      <c r="X170" s="9">
        <f>IFERROR(__xludf.DUMMYFUNCTION("SUM(QUERY(Entregas_BD!D:AL,""select AL where D='""&amp;D170&amp;""'"",1))"),0.0)</f>
        <v>0</v>
      </c>
      <c r="Y170" s="9">
        <f>IFERROR(__xludf.DUMMYFUNCTION("SUM(QUERY(Entregas_BD!D:AL,""select AK where D='""&amp;D170&amp;""'"",1))"),0.0)</f>
        <v>0</v>
      </c>
      <c r="Z170" s="9">
        <v>-6.0</v>
      </c>
      <c r="AA170" s="9">
        <v>0.0</v>
      </c>
      <c r="AB170" s="9">
        <v>0.0</v>
      </c>
      <c r="AC170" s="9">
        <v>0.0</v>
      </c>
      <c r="AD170" s="9">
        <v>0.0</v>
      </c>
      <c r="AE170" s="9">
        <v>0.0</v>
      </c>
      <c r="AF170" s="15"/>
      <c r="AG170" s="15">
        <f>IFERROR(__xludf.DUMMYFUNCTION("SUM(QUERY(Entregas_BD!D:W,""select U where D='""&amp;D170&amp;""'"",1))"),0.0)</f>
        <v>0</v>
      </c>
      <c r="AH170" s="15">
        <f>IFERROR(__xludf.DUMMYFUNCTION("SUM(QUERY(Entregas_BD!D:W,""select S where D='""&amp;D170&amp;""'"",1))"),0.0)</f>
        <v>0</v>
      </c>
      <c r="AI170" s="15">
        <f>IFERROR(__xludf.DUMMYFUNCTION("SUM(QUERY(Entregas_BD!D:W,""select T where D='""&amp;D170&amp;""'"",1))"),0.0)</f>
        <v>0</v>
      </c>
    </row>
    <row r="171" ht="19.5" customHeight="1">
      <c r="A171" s="28"/>
      <c r="B171" s="29"/>
      <c r="C171" s="19">
        <v>170.0</v>
      </c>
      <c r="D171" s="20" t="s">
        <v>502</v>
      </c>
      <c r="E171" s="20" t="s">
        <v>58</v>
      </c>
      <c r="F171" s="20" t="s">
        <v>45</v>
      </c>
      <c r="G171" s="20" t="s">
        <v>59</v>
      </c>
      <c r="H171" s="19" t="s">
        <v>51</v>
      </c>
      <c r="I171" s="21" t="s">
        <v>41</v>
      </c>
      <c r="J171" s="19"/>
      <c r="K171" s="22"/>
      <c r="L171" s="23"/>
      <c r="M171" s="22"/>
      <c r="N171" s="19">
        <f>IFERROR(__xludf.DUMMYFUNCTION("SUM(QUERY(Entregas_BD!D:L,""select G where D='""&amp;D171&amp;""'"",1))"),0.0)</f>
        <v>0</v>
      </c>
      <c r="O171" s="19">
        <f>IFERROR(__xludf.DUMMYFUNCTION("SUM(QUERY(Entregas_BD!D:L,""select H where D='""&amp;D171&amp;""'"",1))"),0.0)</f>
        <v>0</v>
      </c>
      <c r="P171" s="19">
        <f>IFERROR(__xludf.DUMMYFUNCTION("SUM(QUERY(Entregas_BD!D:L,""select I where D='""&amp;D171&amp;""'"",1))"),0.0)</f>
        <v>0</v>
      </c>
      <c r="Q171" s="19">
        <f>IFERROR(__xludf.DUMMYFUNCTION("SUM(QUERY(Entregas_BD!D:L,""select J where D='""&amp;D171&amp;""'"",1))"),0.0)</f>
        <v>0</v>
      </c>
      <c r="R171" s="24">
        <f>IFERROR(__xludf.DUMMYFUNCTION("SUM(QUERY(Entregas_BD!D:L,""select K where D='""&amp;D171&amp;""'"",1))"),0.0)</f>
        <v>0</v>
      </c>
      <c r="S171" s="24">
        <f>IFERROR(__xludf.DUMMYFUNCTION("SUM(QUERY(Entregas_BD!D:L,""select L where D='""&amp;D171&amp;""'"",1))"),0.0)</f>
        <v>0</v>
      </c>
      <c r="T171" s="19">
        <f>IFERROR(__xludf.DUMMYFUNCTION("SUM(QUERY(Entregas_BD!D:AL,""select AG where D='""&amp;D171&amp;""'"",1))"),0.0)</f>
        <v>0</v>
      </c>
      <c r="U171" s="19">
        <f>IFERROR(__xludf.DUMMYFUNCTION("SUM(QUERY(Entregas_BD!D:AL,""select AH where D='""&amp;D171&amp;""'"",1))"),0.0)</f>
        <v>0</v>
      </c>
      <c r="V171" s="19">
        <f>IFERROR(__xludf.DUMMYFUNCTION("SUM(QUERY(Entregas_BD!D:AL,""select AI where D='""&amp;D171&amp;""'"",1))"),0.0)</f>
        <v>0</v>
      </c>
      <c r="W171" s="19">
        <f>IFERROR(__xludf.DUMMYFUNCTION("SUM(QUERY(Entregas_BD!D:AL,""select AJ where D='""&amp;D171&amp;""'"",1))"),0.0)</f>
        <v>0</v>
      </c>
      <c r="X171" s="19">
        <f>IFERROR(__xludf.DUMMYFUNCTION("SUM(QUERY(Entregas_BD!D:AL,""select AL where D='""&amp;D171&amp;""'"",1))"),0.0)</f>
        <v>0</v>
      </c>
      <c r="Y171" s="19">
        <f>IFERROR(__xludf.DUMMYFUNCTION("SUM(QUERY(Entregas_BD!D:AL,""select AK where D='""&amp;D171&amp;""'"",1))"),0.0)</f>
        <v>0</v>
      </c>
      <c r="Z171" s="19">
        <v>0.0</v>
      </c>
      <c r="AA171" s="19">
        <v>0.0</v>
      </c>
      <c r="AB171" s="19">
        <v>0.0</v>
      </c>
      <c r="AC171" s="19">
        <v>0.0</v>
      </c>
      <c r="AD171" s="19">
        <v>0.0</v>
      </c>
      <c r="AE171" s="19">
        <v>0.0</v>
      </c>
      <c r="AF171" s="24"/>
      <c r="AG171" s="24">
        <f>IFERROR(__xludf.DUMMYFUNCTION("SUM(QUERY(Entregas_BD!D:W,""select U where D='""&amp;D171&amp;""'"",1))"),0.0)</f>
        <v>0</v>
      </c>
      <c r="AH171" s="24">
        <f>IFERROR(__xludf.DUMMYFUNCTION("SUM(QUERY(Entregas_BD!D:W,""select S where D='""&amp;D171&amp;""'"",1))"),0.0)</f>
        <v>0</v>
      </c>
      <c r="AI171" s="24">
        <f>IFERROR(__xludf.DUMMYFUNCTION("SUM(QUERY(Entregas_BD!D:W,""select T where D='""&amp;D171&amp;""'"",1))"),0.0)</f>
        <v>0</v>
      </c>
    </row>
    <row r="172" ht="19.5" customHeight="1">
      <c r="A172" s="7"/>
      <c r="B172" s="8"/>
      <c r="C172" s="9">
        <v>171.0</v>
      </c>
      <c r="D172" s="44" t="s">
        <v>503</v>
      </c>
      <c r="E172" s="10" t="s">
        <v>63</v>
      </c>
      <c r="F172" s="10" t="s">
        <v>185</v>
      </c>
      <c r="G172" s="45" t="s">
        <v>504</v>
      </c>
      <c r="H172" s="9" t="s">
        <v>51</v>
      </c>
      <c r="I172" s="11" t="s">
        <v>41</v>
      </c>
      <c r="J172" s="12"/>
      <c r="K172" s="12"/>
      <c r="L172" s="13"/>
      <c r="M172" s="12"/>
      <c r="N172" s="9">
        <f>IFERROR(__xludf.DUMMYFUNCTION("SUM(QUERY(Entregas_BD!D:L,""select G where D='""&amp;D172&amp;""'"",1))"),0.0)</f>
        <v>0</v>
      </c>
      <c r="O172" s="9">
        <f>IFERROR(__xludf.DUMMYFUNCTION("SUM(QUERY(Entregas_BD!D:L,""select H where D='""&amp;D172&amp;""'"",1))"),0.0)</f>
        <v>0</v>
      </c>
      <c r="P172" s="9">
        <f>IFERROR(__xludf.DUMMYFUNCTION("SUM(QUERY(Entregas_BD!D:L,""select I where D='""&amp;D172&amp;""'"",1))"),0.0)</f>
        <v>0</v>
      </c>
      <c r="Q172" s="9">
        <f>IFERROR(__xludf.DUMMYFUNCTION("SUM(QUERY(Entregas_BD!D:L,""select J where D='""&amp;D172&amp;""'"",1))"),0.0)</f>
        <v>0</v>
      </c>
      <c r="R172" s="15">
        <f>IFERROR(__xludf.DUMMYFUNCTION("SUM(QUERY(Entregas_BD!D:L,""select K where D='""&amp;D172&amp;""'"",1))"),0.0)</f>
        <v>0</v>
      </c>
      <c r="S172" s="15">
        <f>IFERROR(__xludf.DUMMYFUNCTION("SUM(QUERY(Entregas_BD!D:L,""select L where D='""&amp;D172&amp;""'"",1))"),0.0)</f>
        <v>0</v>
      </c>
      <c r="T172" s="9">
        <f>IFERROR(__xludf.DUMMYFUNCTION("SUM(QUERY(Entregas_BD!D:AL,""select AG where D='""&amp;D172&amp;""'"",1))"),100.0)</f>
        <v>100</v>
      </c>
      <c r="U172" s="9">
        <f>IFERROR(__xludf.DUMMYFUNCTION("SUM(QUERY(Entregas_BD!D:AL,""select AH where D='""&amp;D172&amp;""'"",1))"),0.0)</f>
        <v>0</v>
      </c>
      <c r="V172" s="9">
        <f>IFERROR(__xludf.DUMMYFUNCTION("SUM(QUERY(Entregas_BD!D:AL,""select AI where D='""&amp;D172&amp;""'"",1))"),0.0)</f>
        <v>0</v>
      </c>
      <c r="W172" s="9">
        <f>IFERROR(__xludf.DUMMYFUNCTION("SUM(QUERY(Entregas_BD!D:AL,""select AJ where D='""&amp;D172&amp;""'"",1))"),50.0)</f>
        <v>50</v>
      </c>
      <c r="X172" s="9">
        <f>IFERROR(__xludf.DUMMYFUNCTION("SUM(QUERY(Entregas_BD!D:AL,""select AL where D='""&amp;D172&amp;""'"",1))"),0.0)</f>
        <v>0</v>
      </c>
      <c r="Y172" s="9">
        <f>IFERROR(__xludf.DUMMYFUNCTION("SUM(QUERY(Entregas_BD!D:AL,""select AK where D='""&amp;D172&amp;""'"",1))"),0.0)</f>
        <v>0</v>
      </c>
      <c r="Z172" s="9">
        <v>-100.0</v>
      </c>
      <c r="AA172" s="9">
        <v>0.0</v>
      </c>
      <c r="AB172" s="9">
        <v>0.0</v>
      </c>
      <c r="AC172" s="9">
        <v>-50.0</v>
      </c>
      <c r="AD172" s="9">
        <v>0.0</v>
      </c>
      <c r="AE172" s="9">
        <v>0.0</v>
      </c>
      <c r="AF172" s="15"/>
      <c r="AG172" s="15">
        <f>IFERROR(__xludf.DUMMYFUNCTION("SUM(QUERY(Entregas_BD!D:W,""select U where D='""&amp;D172&amp;""'"",1))"),0.0)</f>
        <v>0</v>
      </c>
      <c r="AH172" s="15">
        <f>IFERROR(__xludf.DUMMYFUNCTION("SUM(QUERY(Entregas_BD!D:W,""select S where D='""&amp;D172&amp;""'"",1))"),0.0)</f>
        <v>0</v>
      </c>
      <c r="AI172" s="15">
        <f>IFERROR(__xludf.DUMMYFUNCTION("SUM(QUERY(Entregas_BD!D:W,""select T where D='""&amp;D172&amp;""'"",1))"),0.0)</f>
        <v>0</v>
      </c>
    </row>
    <row r="173" ht="19.5" customHeight="1">
      <c r="A173" s="28"/>
      <c r="B173" s="29"/>
      <c r="C173" s="19">
        <v>172.0</v>
      </c>
      <c r="D173" s="20" t="s">
        <v>505</v>
      </c>
      <c r="E173" s="20" t="s">
        <v>153</v>
      </c>
      <c r="F173" s="20" t="s">
        <v>506</v>
      </c>
      <c r="G173" s="20" t="s">
        <v>507</v>
      </c>
      <c r="H173" s="22" t="s">
        <v>40</v>
      </c>
      <c r="I173" s="21" t="s">
        <v>41</v>
      </c>
      <c r="J173" s="22"/>
      <c r="K173" s="22"/>
      <c r="L173" s="23"/>
      <c r="M173" s="36"/>
      <c r="N173" s="19">
        <f>IFERROR(__xludf.DUMMYFUNCTION("SUM(QUERY(Entregas_BD!D:L,""select G where D='""&amp;D173&amp;""'"",1))"),0.0)</f>
        <v>0</v>
      </c>
      <c r="O173" s="19">
        <f>IFERROR(__xludf.DUMMYFUNCTION("SUM(QUERY(Entregas_BD!D:L,""select H where D='""&amp;D173&amp;""'"",1))"),0.0)</f>
        <v>0</v>
      </c>
      <c r="P173" s="19">
        <f>IFERROR(__xludf.DUMMYFUNCTION("SUM(QUERY(Entregas_BD!D:L,""select I where D='""&amp;D173&amp;""'"",1))"),0.0)</f>
        <v>0</v>
      </c>
      <c r="Q173" s="19">
        <f>IFERROR(__xludf.DUMMYFUNCTION("SUM(QUERY(Entregas_BD!D:L,""select J where D='""&amp;D173&amp;""'"",1))"),0.0)</f>
        <v>0</v>
      </c>
      <c r="R173" s="24">
        <f>IFERROR(__xludf.DUMMYFUNCTION("SUM(QUERY(Entregas_BD!D:L,""select K where D='""&amp;D173&amp;""'"",1))"),0.0)</f>
        <v>0</v>
      </c>
      <c r="S173" s="24">
        <f>IFERROR(__xludf.DUMMYFUNCTION("SUM(QUERY(Entregas_BD!D:L,""select L where D='""&amp;D173&amp;""'"",1))"),0.0)</f>
        <v>0</v>
      </c>
      <c r="T173" s="19">
        <f>IFERROR(__xludf.DUMMYFUNCTION("SUM(QUERY(Entregas_BD!D:AL,""select AG where D='""&amp;D173&amp;""'"",1))"),0.0)</f>
        <v>0</v>
      </c>
      <c r="U173" s="19">
        <f>IFERROR(__xludf.DUMMYFUNCTION("SUM(QUERY(Entregas_BD!D:AL,""select AH where D='""&amp;D173&amp;""'"",1))"),0.0)</f>
        <v>0</v>
      </c>
      <c r="V173" s="19">
        <f>IFERROR(__xludf.DUMMYFUNCTION("SUM(QUERY(Entregas_BD!D:AL,""select AI where D='""&amp;D173&amp;""'"",1))"),0.0)</f>
        <v>0</v>
      </c>
      <c r="W173" s="19">
        <f>IFERROR(__xludf.DUMMYFUNCTION("SUM(QUERY(Entregas_BD!D:AL,""select AJ where D='""&amp;D173&amp;""'"",1))"),0.0)</f>
        <v>0</v>
      </c>
      <c r="X173" s="19">
        <f>IFERROR(__xludf.DUMMYFUNCTION("SUM(QUERY(Entregas_BD!D:AL,""select AL where D='""&amp;D173&amp;""'"",1))"),0.0)</f>
        <v>0</v>
      </c>
      <c r="Y173" s="19">
        <f>IFERROR(__xludf.DUMMYFUNCTION("SUM(QUERY(Entregas_BD!D:AL,""select AK where D='""&amp;D173&amp;""'"",1))"),0.0)</f>
        <v>0</v>
      </c>
      <c r="Z173" s="19">
        <v>0.0</v>
      </c>
      <c r="AA173" s="19">
        <v>0.0</v>
      </c>
      <c r="AB173" s="19">
        <v>0.0</v>
      </c>
      <c r="AC173" s="19">
        <v>0.0</v>
      </c>
      <c r="AD173" s="19">
        <v>0.0</v>
      </c>
      <c r="AE173" s="19">
        <v>0.0</v>
      </c>
      <c r="AF173" s="22"/>
      <c r="AG173" s="24">
        <f>IFERROR(__xludf.DUMMYFUNCTION("SUM(QUERY(Entregas_BD!D:W,""select U where D='""&amp;D173&amp;""'"",1))"),0.0)</f>
        <v>0</v>
      </c>
      <c r="AH173" s="24">
        <f>IFERROR(__xludf.DUMMYFUNCTION("SUM(QUERY(Entregas_BD!D:W,""select S where D='""&amp;D173&amp;""'"",1))"),0.0)</f>
        <v>0</v>
      </c>
      <c r="AI173" s="24">
        <f>IFERROR(__xludf.DUMMYFUNCTION("SUM(QUERY(Entregas_BD!D:W,""select T where D='""&amp;D173&amp;""'"",1))"),0.0)</f>
        <v>0</v>
      </c>
    </row>
    <row r="174" ht="19.5" customHeight="1">
      <c r="A174" s="7"/>
      <c r="B174" s="8"/>
      <c r="C174" s="9">
        <v>173.0</v>
      </c>
      <c r="D174" s="10" t="s">
        <v>508</v>
      </c>
      <c r="E174" s="10" t="s">
        <v>197</v>
      </c>
      <c r="F174" s="10" t="s">
        <v>243</v>
      </c>
      <c r="G174" s="10" t="s">
        <v>509</v>
      </c>
      <c r="H174" s="9" t="s">
        <v>51</v>
      </c>
      <c r="I174" s="11" t="s">
        <v>47</v>
      </c>
      <c r="J174" s="12"/>
      <c r="K174" s="12"/>
      <c r="L174" s="13"/>
      <c r="M174" s="14"/>
      <c r="N174" s="9">
        <f>IFERROR(__xludf.DUMMYFUNCTION("SUM(QUERY(Entregas_BD!D:L,""select G where D='""&amp;D174&amp;""'"",1))"),0.0)</f>
        <v>0</v>
      </c>
      <c r="O174" s="9">
        <f>IFERROR(__xludf.DUMMYFUNCTION("SUM(QUERY(Entregas_BD!D:L,""select H where D='""&amp;D174&amp;""'"",1))"),0.0)</f>
        <v>0</v>
      </c>
      <c r="P174" s="9">
        <f>IFERROR(__xludf.DUMMYFUNCTION("SUM(QUERY(Entregas_BD!D:L,""select I where D='""&amp;D174&amp;""'"",1))"),0.0)</f>
        <v>0</v>
      </c>
      <c r="Q174" s="9">
        <f>IFERROR(__xludf.DUMMYFUNCTION("SUM(QUERY(Entregas_BD!D:L,""select J where D='""&amp;D174&amp;""'"",1))"),0.0)</f>
        <v>0</v>
      </c>
      <c r="R174" s="15">
        <f>IFERROR(__xludf.DUMMYFUNCTION("SUM(QUERY(Entregas_BD!D:L,""select K where D='""&amp;D174&amp;""'"",1))"),0.0)</f>
        <v>0</v>
      </c>
      <c r="S174" s="15">
        <f>IFERROR(__xludf.DUMMYFUNCTION("SUM(QUERY(Entregas_BD!D:L,""select L where D='""&amp;D174&amp;""'"",1))"),0.0)</f>
        <v>0</v>
      </c>
      <c r="T174" s="9">
        <f>IFERROR(__xludf.DUMMYFUNCTION("SUM(QUERY(Entregas_BD!D:AL,""select AG where D='""&amp;D174&amp;""'"",1))"),0.0)</f>
        <v>0</v>
      </c>
      <c r="U174" s="9">
        <f>IFERROR(__xludf.DUMMYFUNCTION("SUM(QUERY(Entregas_BD!D:AL,""select AH where D='""&amp;D174&amp;""'"",1))"),0.0)</f>
        <v>0</v>
      </c>
      <c r="V174" s="9">
        <f>IFERROR(__xludf.DUMMYFUNCTION("SUM(QUERY(Entregas_BD!D:AL,""select AI where D='""&amp;D174&amp;""'"",1))"),0.0)</f>
        <v>0</v>
      </c>
      <c r="W174" s="9">
        <f>IFERROR(__xludf.DUMMYFUNCTION("SUM(QUERY(Entregas_BD!D:AL,""select AJ where D='""&amp;D174&amp;""'"",1))"),0.0)</f>
        <v>0</v>
      </c>
      <c r="X174" s="9">
        <f>IFERROR(__xludf.DUMMYFUNCTION("SUM(QUERY(Entregas_BD!D:AL,""select AL where D='""&amp;D174&amp;""'"",1))"),0.0)</f>
        <v>0</v>
      </c>
      <c r="Y174" s="9">
        <f>IFERROR(__xludf.DUMMYFUNCTION("SUM(QUERY(Entregas_BD!D:AL,""select AK where D='""&amp;D174&amp;""'"",1))"),0.0)</f>
        <v>0</v>
      </c>
      <c r="Z174" s="9">
        <v>0.0</v>
      </c>
      <c r="AA174" s="9">
        <v>0.0</v>
      </c>
      <c r="AB174" s="9">
        <v>0.0</v>
      </c>
      <c r="AC174" s="9">
        <v>0.0</v>
      </c>
      <c r="AD174" s="9">
        <v>0.0</v>
      </c>
      <c r="AE174" s="9">
        <v>0.0</v>
      </c>
      <c r="AF174" s="15"/>
      <c r="AG174" s="15">
        <f>IFERROR(__xludf.DUMMYFUNCTION("SUM(QUERY(Entregas_BD!D:W,""select U where D='""&amp;D174&amp;""'"",1))"),0.0)</f>
        <v>0</v>
      </c>
      <c r="AH174" s="15">
        <f>IFERROR(__xludf.DUMMYFUNCTION("SUM(QUERY(Entregas_BD!D:W,""select S where D='""&amp;D174&amp;""'"",1))"),0.0)</f>
        <v>0</v>
      </c>
      <c r="AI174" s="15">
        <f>IFERROR(__xludf.DUMMYFUNCTION("SUM(QUERY(Entregas_BD!D:W,""select T where D='""&amp;D174&amp;""'"",1))"),0.0)</f>
        <v>0</v>
      </c>
    </row>
    <row r="175" ht="19.5" customHeight="1">
      <c r="A175" s="28"/>
      <c r="B175" s="29"/>
      <c r="C175" s="19">
        <v>174.0</v>
      </c>
      <c r="D175" s="20" t="s">
        <v>510</v>
      </c>
      <c r="E175" s="20" t="s">
        <v>72</v>
      </c>
      <c r="F175" s="20" t="s">
        <v>45</v>
      </c>
      <c r="G175" s="20" t="s">
        <v>511</v>
      </c>
      <c r="H175" s="19" t="s">
        <v>51</v>
      </c>
      <c r="I175" s="21" t="s">
        <v>41</v>
      </c>
      <c r="J175" s="22"/>
      <c r="K175" s="22"/>
      <c r="L175" s="23"/>
      <c r="M175" s="22"/>
      <c r="N175" s="19">
        <f>IFERROR(__xludf.DUMMYFUNCTION("SUM(QUERY(Entregas_BD!D:L,""select G where D='""&amp;D175&amp;""'"",1))"),0.0)</f>
        <v>0</v>
      </c>
      <c r="O175" s="19">
        <f>IFERROR(__xludf.DUMMYFUNCTION("SUM(QUERY(Entregas_BD!D:L,""select H where D='""&amp;D175&amp;""'"",1))"),0.0)</f>
        <v>0</v>
      </c>
      <c r="P175" s="19">
        <f>IFERROR(__xludf.DUMMYFUNCTION("SUM(QUERY(Entregas_BD!D:L,""select I where D='""&amp;D175&amp;""'"",1))"),0.0)</f>
        <v>0</v>
      </c>
      <c r="Q175" s="19">
        <f>IFERROR(__xludf.DUMMYFUNCTION("SUM(QUERY(Entregas_BD!D:L,""select J where D='""&amp;D175&amp;""'"",1))"),0.0)</f>
        <v>0</v>
      </c>
      <c r="R175" s="24">
        <f>IFERROR(__xludf.DUMMYFUNCTION("SUM(QUERY(Entregas_BD!D:L,""select K where D='""&amp;D175&amp;""'"",1))"),0.0)</f>
        <v>0</v>
      </c>
      <c r="S175" s="24">
        <f>IFERROR(__xludf.DUMMYFUNCTION("SUM(QUERY(Entregas_BD!D:L,""select L where D='""&amp;D175&amp;""'"",1))"),0.0)</f>
        <v>0</v>
      </c>
      <c r="T175" s="19">
        <f>IFERROR(__xludf.DUMMYFUNCTION("SUM(QUERY(Entregas_BD!D:AL,""select AG where D='""&amp;D175&amp;""'"",1))"),0.0)</f>
        <v>0</v>
      </c>
      <c r="U175" s="19">
        <f>IFERROR(__xludf.DUMMYFUNCTION("SUM(QUERY(Entregas_BD!D:AL,""select AH where D='""&amp;D175&amp;""'"",1))"),0.0)</f>
        <v>0</v>
      </c>
      <c r="V175" s="19">
        <f>IFERROR(__xludf.DUMMYFUNCTION("SUM(QUERY(Entregas_BD!D:AL,""select AI where D='""&amp;D175&amp;""'"",1))"),0.0)</f>
        <v>0</v>
      </c>
      <c r="W175" s="19">
        <f>IFERROR(__xludf.DUMMYFUNCTION("SUM(QUERY(Entregas_BD!D:AL,""select AJ where D='""&amp;D175&amp;""'"",1))"),0.0)</f>
        <v>0</v>
      </c>
      <c r="X175" s="19">
        <f>IFERROR(__xludf.DUMMYFUNCTION("SUM(QUERY(Entregas_BD!D:AL,""select AL where D='""&amp;D175&amp;""'"",1))"),0.0)</f>
        <v>0</v>
      </c>
      <c r="Y175" s="19">
        <f>IFERROR(__xludf.DUMMYFUNCTION("SUM(QUERY(Entregas_BD!D:AL,""select AK where D='""&amp;D175&amp;""'"",1))"),0.0)</f>
        <v>0</v>
      </c>
      <c r="Z175" s="19">
        <v>0.0</v>
      </c>
      <c r="AA175" s="19">
        <v>0.0</v>
      </c>
      <c r="AB175" s="19">
        <v>0.0</v>
      </c>
      <c r="AC175" s="19">
        <v>0.0</v>
      </c>
      <c r="AD175" s="19">
        <v>0.0</v>
      </c>
      <c r="AE175" s="19">
        <v>0.0</v>
      </c>
      <c r="AF175" s="22"/>
      <c r="AG175" s="24">
        <f>IFERROR(__xludf.DUMMYFUNCTION("SUM(QUERY(Entregas_BD!D:W,""select U where D='""&amp;D175&amp;""'"",1))"),0.0)</f>
        <v>0</v>
      </c>
      <c r="AH175" s="24">
        <f>IFERROR(__xludf.DUMMYFUNCTION("SUM(QUERY(Entregas_BD!D:W,""select S where D='""&amp;D175&amp;""'"",1))"),0.0)</f>
        <v>0</v>
      </c>
      <c r="AI175" s="24">
        <f>IFERROR(__xludf.DUMMYFUNCTION("SUM(QUERY(Entregas_BD!D:W,""select T where D='""&amp;D175&amp;""'"",1))"),0.0)</f>
        <v>0</v>
      </c>
    </row>
    <row r="176" ht="19.5" customHeight="1">
      <c r="A176" s="7"/>
      <c r="B176" s="8"/>
      <c r="C176" s="9">
        <v>175.0</v>
      </c>
      <c r="D176" s="10" t="s">
        <v>512</v>
      </c>
      <c r="E176" s="10" t="s">
        <v>58</v>
      </c>
      <c r="F176" s="10" t="s">
        <v>45</v>
      </c>
      <c r="G176" s="10" t="s">
        <v>112</v>
      </c>
      <c r="H176" s="9" t="s">
        <v>51</v>
      </c>
      <c r="I176" s="11" t="s">
        <v>47</v>
      </c>
      <c r="J176" s="9"/>
      <c r="K176" s="12"/>
      <c r="L176" s="13"/>
      <c r="M176" s="12"/>
      <c r="N176" s="9">
        <f>IFERROR(__xludf.DUMMYFUNCTION("SUM(QUERY(Entregas_BD!D:L,""select G where D='""&amp;D176&amp;""'"",1))"),0.0)</f>
        <v>0</v>
      </c>
      <c r="O176" s="9">
        <f>IFERROR(__xludf.DUMMYFUNCTION("SUM(QUERY(Entregas_BD!D:L,""select H where D='""&amp;D176&amp;""'"",1))"),0.0)</f>
        <v>0</v>
      </c>
      <c r="P176" s="9">
        <f>IFERROR(__xludf.DUMMYFUNCTION("SUM(QUERY(Entregas_BD!D:L,""select I where D='""&amp;D176&amp;""'"",1))"),0.0)</f>
        <v>0</v>
      </c>
      <c r="Q176" s="9">
        <f>IFERROR(__xludf.DUMMYFUNCTION("SUM(QUERY(Entregas_BD!D:L,""select J where D='""&amp;D176&amp;""'"",1))"),0.0)</f>
        <v>0</v>
      </c>
      <c r="R176" s="15">
        <f>IFERROR(__xludf.DUMMYFUNCTION("SUM(QUERY(Entregas_BD!D:L,""select K where D='""&amp;D176&amp;""'"",1))"),0.0)</f>
        <v>0</v>
      </c>
      <c r="S176" s="15">
        <f>IFERROR(__xludf.DUMMYFUNCTION("SUM(QUERY(Entregas_BD!D:L,""select L where D='""&amp;D176&amp;""'"",1))"),0.0)</f>
        <v>0</v>
      </c>
      <c r="T176" s="9">
        <f>IFERROR(__xludf.DUMMYFUNCTION("SUM(QUERY(Entregas_BD!D:AL,""select AG where D='""&amp;D176&amp;""'"",1))"),0.0)</f>
        <v>0</v>
      </c>
      <c r="U176" s="9">
        <f>IFERROR(__xludf.DUMMYFUNCTION("SUM(QUERY(Entregas_BD!D:AL,""select AH where D='""&amp;D176&amp;""'"",1))"),0.0)</f>
        <v>0</v>
      </c>
      <c r="V176" s="9">
        <f>IFERROR(__xludf.DUMMYFUNCTION("SUM(QUERY(Entregas_BD!D:AL,""select AI where D='""&amp;D176&amp;""'"",1))"),0.0)</f>
        <v>0</v>
      </c>
      <c r="W176" s="9">
        <f>IFERROR(__xludf.DUMMYFUNCTION("SUM(QUERY(Entregas_BD!D:AL,""select AJ where D='""&amp;D176&amp;""'"",1))"),0.0)</f>
        <v>0</v>
      </c>
      <c r="X176" s="9">
        <f>IFERROR(__xludf.DUMMYFUNCTION("SUM(QUERY(Entregas_BD!D:AL,""select AL where D='""&amp;D176&amp;""'"",1))"),0.0)</f>
        <v>0</v>
      </c>
      <c r="Y176" s="9">
        <f>IFERROR(__xludf.DUMMYFUNCTION("SUM(QUERY(Entregas_BD!D:AL,""select AK where D='""&amp;D176&amp;""'"",1))"),0.0)</f>
        <v>0</v>
      </c>
      <c r="Z176" s="9">
        <v>0.0</v>
      </c>
      <c r="AA176" s="9">
        <v>0.0</v>
      </c>
      <c r="AB176" s="9">
        <v>0.0</v>
      </c>
      <c r="AC176" s="9">
        <v>0.0</v>
      </c>
      <c r="AD176" s="9">
        <v>0.0</v>
      </c>
      <c r="AE176" s="9">
        <v>0.0</v>
      </c>
      <c r="AF176" s="15"/>
      <c r="AG176" s="15">
        <f>IFERROR(__xludf.DUMMYFUNCTION("SUM(QUERY(Entregas_BD!D:W,""select U where D='""&amp;D176&amp;""'"",1))"),0.0)</f>
        <v>0</v>
      </c>
      <c r="AH176" s="15">
        <f>IFERROR(__xludf.DUMMYFUNCTION("SUM(QUERY(Entregas_BD!D:W,""select S where D='""&amp;D176&amp;""'"",1))"),0.0)</f>
        <v>0</v>
      </c>
      <c r="AI176" s="15">
        <f>IFERROR(__xludf.DUMMYFUNCTION("SUM(QUERY(Entregas_BD!D:W,""select T where D='""&amp;D176&amp;""'"",1))"),0.0)</f>
        <v>0</v>
      </c>
    </row>
    <row r="177" ht="19.5" customHeight="1">
      <c r="A177" s="28"/>
      <c r="B177" s="29"/>
      <c r="C177" s="19">
        <v>176.0</v>
      </c>
      <c r="D177" s="20" t="s">
        <v>513</v>
      </c>
      <c r="E177" s="20" t="s">
        <v>63</v>
      </c>
      <c r="F177" s="20" t="s">
        <v>139</v>
      </c>
      <c r="G177" s="20" t="s">
        <v>139</v>
      </c>
      <c r="H177" s="19" t="s">
        <v>51</v>
      </c>
      <c r="I177" s="21" t="s">
        <v>47</v>
      </c>
      <c r="J177" s="22"/>
      <c r="K177" s="22"/>
      <c r="L177" s="23"/>
      <c r="M177" s="36"/>
      <c r="N177" s="19">
        <f>IFERROR(__xludf.DUMMYFUNCTION("SUM(QUERY(Entregas_BD!D:L,""select G where D='""&amp;D177&amp;""'"",1))"),0.0)</f>
        <v>0</v>
      </c>
      <c r="O177" s="19">
        <f>IFERROR(__xludf.DUMMYFUNCTION("SUM(QUERY(Entregas_BD!D:L,""select H where D='""&amp;D177&amp;""'"",1))"),0.0)</f>
        <v>0</v>
      </c>
      <c r="P177" s="19">
        <f>IFERROR(__xludf.DUMMYFUNCTION("SUM(QUERY(Entregas_BD!D:L,""select I where D='""&amp;D177&amp;""'"",1))"),0.0)</f>
        <v>0</v>
      </c>
      <c r="Q177" s="19">
        <f>IFERROR(__xludf.DUMMYFUNCTION("SUM(QUERY(Entregas_BD!D:L,""select J where D='""&amp;D177&amp;""'"",1))"),0.0)</f>
        <v>0</v>
      </c>
      <c r="R177" s="24">
        <f>IFERROR(__xludf.DUMMYFUNCTION("SUM(QUERY(Entregas_BD!D:L,""select K where D='""&amp;D177&amp;""'"",1))"),0.0)</f>
        <v>0</v>
      </c>
      <c r="S177" s="24">
        <f>IFERROR(__xludf.DUMMYFUNCTION("SUM(QUERY(Entregas_BD!D:L,""select L where D='""&amp;D177&amp;""'"",1))"),0.0)</f>
        <v>0</v>
      </c>
      <c r="T177" s="19">
        <f>IFERROR(__xludf.DUMMYFUNCTION("SUM(QUERY(Entregas_BD!D:AL,""select AG where D='""&amp;D177&amp;""'"",1))"),0.0)</f>
        <v>0</v>
      </c>
      <c r="U177" s="19">
        <f>IFERROR(__xludf.DUMMYFUNCTION("SUM(QUERY(Entregas_BD!D:AL,""select AH where D='""&amp;D177&amp;""'"",1))"),0.0)</f>
        <v>0</v>
      </c>
      <c r="V177" s="19">
        <f>IFERROR(__xludf.DUMMYFUNCTION("SUM(QUERY(Entregas_BD!D:AL,""select AI where D='""&amp;D177&amp;""'"",1))"),0.0)</f>
        <v>0</v>
      </c>
      <c r="W177" s="19">
        <f>IFERROR(__xludf.DUMMYFUNCTION("SUM(QUERY(Entregas_BD!D:AL,""select AJ where D='""&amp;D177&amp;""'"",1))"),0.0)</f>
        <v>0</v>
      </c>
      <c r="X177" s="19">
        <f>IFERROR(__xludf.DUMMYFUNCTION("SUM(QUERY(Entregas_BD!D:AL,""select AL where D='""&amp;D177&amp;""'"",1))"),0.0)</f>
        <v>0</v>
      </c>
      <c r="Y177" s="19">
        <f>IFERROR(__xludf.DUMMYFUNCTION("SUM(QUERY(Entregas_BD!D:AL,""select AK where D='""&amp;D177&amp;""'"",1))"),0.0)</f>
        <v>0</v>
      </c>
      <c r="Z177" s="19">
        <v>0.0</v>
      </c>
      <c r="AA177" s="19">
        <v>0.0</v>
      </c>
      <c r="AB177" s="19">
        <v>0.0</v>
      </c>
      <c r="AC177" s="19">
        <v>0.0</v>
      </c>
      <c r="AD177" s="19">
        <v>0.0</v>
      </c>
      <c r="AE177" s="19">
        <v>0.0</v>
      </c>
      <c r="AF177" s="24"/>
      <c r="AG177" s="24">
        <f>IFERROR(__xludf.DUMMYFUNCTION("SUM(QUERY(Entregas_BD!D:W,""select U where D='""&amp;D177&amp;""'"",1))"),0.0)</f>
        <v>0</v>
      </c>
      <c r="AH177" s="24">
        <f>IFERROR(__xludf.DUMMYFUNCTION("SUM(QUERY(Entregas_BD!D:W,""select S where D='""&amp;D177&amp;""'"",1))"),0.0)</f>
        <v>0</v>
      </c>
      <c r="AI177" s="24">
        <f>IFERROR(__xludf.DUMMYFUNCTION("SUM(QUERY(Entregas_BD!D:W,""select T where D='""&amp;D177&amp;""'"",1))"),0.0)</f>
        <v>0</v>
      </c>
    </row>
    <row r="178" ht="19.5" customHeight="1">
      <c r="A178" s="7"/>
      <c r="B178" s="8"/>
      <c r="C178" s="9">
        <v>177.0</v>
      </c>
      <c r="D178" s="10" t="s">
        <v>514</v>
      </c>
      <c r="E178" s="10" t="s">
        <v>197</v>
      </c>
      <c r="F178" s="10" t="s">
        <v>243</v>
      </c>
      <c r="G178" s="10" t="s">
        <v>515</v>
      </c>
      <c r="H178" s="9" t="s">
        <v>51</v>
      </c>
      <c r="I178" s="11" t="s">
        <v>41</v>
      </c>
      <c r="J178" s="12"/>
      <c r="K178" s="12"/>
      <c r="L178" s="13"/>
      <c r="M178" s="14"/>
      <c r="N178" s="9">
        <f>IFERROR(__xludf.DUMMYFUNCTION("SUM(QUERY(Entregas_BD!D:L,""select G where D='""&amp;D178&amp;""'"",1))"),0.0)</f>
        <v>0</v>
      </c>
      <c r="O178" s="9">
        <f>IFERROR(__xludf.DUMMYFUNCTION("SUM(QUERY(Entregas_BD!D:L,""select H where D='""&amp;D178&amp;""'"",1))"),0.0)</f>
        <v>0</v>
      </c>
      <c r="P178" s="9">
        <f>IFERROR(__xludf.DUMMYFUNCTION("SUM(QUERY(Entregas_BD!D:L,""select I where D='""&amp;D178&amp;""'"",1))"),0.0)</f>
        <v>0</v>
      </c>
      <c r="Q178" s="9">
        <f>IFERROR(__xludf.DUMMYFUNCTION("SUM(QUERY(Entregas_BD!D:L,""select J where D='""&amp;D178&amp;""'"",1))"),0.0)</f>
        <v>0</v>
      </c>
      <c r="R178" s="15">
        <f>IFERROR(__xludf.DUMMYFUNCTION("SUM(QUERY(Entregas_BD!D:L,""select K where D='""&amp;D178&amp;""'"",1))"),0.0)</f>
        <v>0</v>
      </c>
      <c r="S178" s="15">
        <f>IFERROR(__xludf.DUMMYFUNCTION("SUM(QUERY(Entregas_BD!D:L,""select L where D='""&amp;D178&amp;""'"",1))"),0.0)</f>
        <v>0</v>
      </c>
      <c r="T178" s="9">
        <f>IFERROR(__xludf.DUMMYFUNCTION("SUM(QUERY(Entregas_BD!D:AL,""select AG where D='""&amp;D178&amp;""'"",1))"),120.0)</f>
        <v>120</v>
      </c>
      <c r="U178" s="9">
        <f>IFERROR(__xludf.DUMMYFUNCTION("SUM(QUERY(Entregas_BD!D:AL,""select AH where D='""&amp;D178&amp;""'"",1))"),0.0)</f>
        <v>0</v>
      </c>
      <c r="V178" s="9">
        <f>IFERROR(__xludf.DUMMYFUNCTION("SUM(QUERY(Entregas_BD!D:AL,""select AI where D='""&amp;D178&amp;""'"",1))"),0.0)</f>
        <v>0</v>
      </c>
      <c r="W178" s="9">
        <f>IFERROR(__xludf.DUMMYFUNCTION("SUM(QUERY(Entregas_BD!D:AL,""select AJ where D='""&amp;D178&amp;""'"",1))"),0.0)</f>
        <v>0</v>
      </c>
      <c r="X178" s="9">
        <f>IFERROR(__xludf.DUMMYFUNCTION("SUM(QUERY(Entregas_BD!D:AL,""select AL where D='""&amp;D178&amp;""'"",1))"),0.0)</f>
        <v>0</v>
      </c>
      <c r="Y178" s="9">
        <f>IFERROR(__xludf.DUMMYFUNCTION("SUM(QUERY(Entregas_BD!D:AL,""select AK where D='""&amp;D178&amp;""'"",1))"),0.0)</f>
        <v>0</v>
      </c>
      <c r="Z178" s="9">
        <v>-120.0</v>
      </c>
      <c r="AA178" s="9">
        <v>0.0</v>
      </c>
      <c r="AB178" s="9">
        <v>0.0</v>
      </c>
      <c r="AC178" s="9">
        <v>0.0</v>
      </c>
      <c r="AD178" s="9">
        <v>0.0</v>
      </c>
      <c r="AE178" s="9">
        <v>0.0</v>
      </c>
      <c r="AF178" s="15"/>
      <c r="AG178" s="15">
        <f>IFERROR(__xludf.DUMMYFUNCTION("SUM(QUERY(Entregas_BD!D:W,""select U where D='""&amp;D178&amp;""'"",1))"),0.0)</f>
        <v>0</v>
      </c>
      <c r="AH178" s="15">
        <f>IFERROR(__xludf.DUMMYFUNCTION("SUM(QUERY(Entregas_BD!D:W,""select S where D='""&amp;D178&amp;""'"",1))"),0.0)</f>
        <v>0</v>
      </c>
      <c r="AI178" s="15">
        <f>IFERROR(__xludf.DUMMYFUNCTION("SUM(QUERY(Entregas_BD!D:W,""select T where D='""&amp;D178&amp;""'"",1))"),0.0)</f>
        <v>0</v>
      </c>
    </row>
    <row r="179" ht="19.5" customHeight="1">
      <c r="A179" s="28"/>
      <c r="B179" s="29"/>
      <c r="C179" s="19">
        <v>178.0</v>
      </c>
      <c r="D179" s="30" t="s">
        <v>516</v>
      </c>
      <c r="E179" s="20" t="s">
        <v>197</v>
      </c>
      <c r="F179" s="20" t="s">
        <v>198</v>
      </c>
      <c r="G179" s="20" t="s">
        <v>517</v>
      </c>
      <c r="H179" s="19" t="s">
        <v>51</v>
      </c>
      <c r="I179" s="21" t="s">
        <v>41</v>
      </c>
      <c r="J179" s="22"/>
      <c r="K179" s="22"/>
      <c r="L179" s="23"/>
      <c r="M179" s="36"/>
      <c r="N179" s="19">
        <f>IFERROR(__xludf.DUMMYFUNCTION("SUM(QUERY(Entregas_BD!D:L,""select G where D='""&amp;D179&amp;""'"",1))"),0.0)</f>
        <v>0</v>
      </c>
      <c r="O179" s="19">
        <f>IFERROR(__xludf.DUMMYFUNCTION("SUM(QUERY(Entregas_BD!D:L,""select H where D='""&amp;D179&amp;""'"",1))"),0.0)</f>
        <v>0</v>
      </c>
      <c r="P179" s="19">
        <f>IFERROR(__xludf.DUMMYFUNCTION("SUM(QUERY(Entregas_BD!D:L,""select I where D='""&amp;D179&amp;""'"",1))"),0.0)</f>
        <v>0</v>
      </c>
      <c r="Q179" s="19">
        <f>IFERROR(__xludf.DUMMYFUNCTION("SUM(QUERY(Entregas_BD!D:L,""select J where D='""&amp;D179&amp;""'"",1))"),0.0)</f>
        <v>0</v>
      </c>
      <c r="R179" s="24">
        <f>IFERROR(__xludf.DUMMYFUNCTION("SUM(QUERY(Entregas_BD!D:L,""select K where D='""&amp;D179&amp;""'"",1))"),0.0)</f>
        <v>0</v>
      </c>
      <c r="S179" s="24">
        <f>IFERROR(__xludf.DUMMYFUNCTION("SUM(QUERY(Entregas_BD!D:L,""select L where D='""&amp;D179&amp;""'"",1))"),0.0)</f>
        <v>0</v>
      </c>
      <c r="T179" s="19">
        <f>IFERROR(__xludf.DUMMYFUNCTION("SUM(QUERY(Entregas_BD!D:AL,""select AG where D='""&amp;D179&amp;""'"",1))"),120.0)</f>
        <v>120</v>
      </c>
      <c r="U179" s="19">
        <f>IFERROR(__xludf.DUMMYFUNCTION("SUM(QUERY(Entregas_BD!D:AL,""select AH where D='""&amp;D179&amp;""'"",1))"),0.0)</f>
        <v>0</v>
      </c>
      <c r="V179" s="19">
        <f>IFERROR(__xludf.DUMMYFUNCTION("SUM(QUERY(Entregas_BD!D:AL,""select AI where D='""&amp;D179&amp;""'"",1))"),0.0)</f>
        <v>0</v>
      </c>
      <c r="W179" s="19">
        <f>IFERROR(__xludf.DUMMYFUNCTION("SUM(QUERY(Entregas_BD!D:AL,""select AJ where D='""&amp;D179&amp;""'"",1))"),0.0)</f>
        <v>0</v>
      </c>
      <c r="X179" s="19">
        <f>IFERROR(__xludf.DUMMYFUNCTION("SUM(QUERY(Entregas_BD!D:AL,""select AL where D='""&amp;D179&amp;""'"",1))"),0.0)</f>
        <v>0</v>
      </c>
      <c r="Y179" s="19">
        <f>IFERROR(__xludf.DUMMYFUNCTION("SUM(QUERY(Entregas_BD!D:AL,""select AK where D='""&amp;D179&amp;""'"",1))"),0.0)</f>
        <v>0</v>
      </c>
      <c r="Z179" s="19">
        <v>-120.0</v>
      </c>
      <c r="AA179" s="19">
        <v>0.0</v>
      </c>
      <c r="AB179" s="19">
        <v>0.0</v>
      </c>
      <c r="AC179" s="19">
        <v>0.0</v>
      </c>
      <c r="AD179" s="19">
        <v>0.0</v>
      </c>
      <c r="AE179" s="19">
        <v>0.0</v>
      </c>
      <c r="AF179" s="22"/>
      <c r="AG179" s="24">
        <f>IFERROR(__xludf.DUMMYFUNCTION("SUM(QUERY(Entregas_BD!D:W,""select U where D='""&amp;D179&amp;""'"",1))"),0.0)</f>
        <v>0</v>
      </c>
      <c r="AH179" s="24">
        <f>IFERROR(__xludf.DUMMYFUNCTION("SUM(QUERY(Entregas_BD!D:W,""select S where D='""&amp;D179&amp;""'"",1))"),0.0)</f>
        <v>0</v>
      </c>
      <c r="AI179" s="24">
        <f>IFERROR(__xludf.DUMMYFUNCTION("SUM(QUERY(Entregas_BD!D:W,""select T where D='""&amp;D179&amp;""'"",1))"),0.0)</f>
        <v>0</v>
      </c>
    </row>
    <row r="180" ht="19.5" customHeight="1">
      <c r="A180" s="7"/>
      <c r="B180" s="8"/>
      <c r="C180" s="9">
        <v>179.0</v>
      </c>
      <c r="D180" s="10" t="s">
        <v>518</v>
      </c>
      <c r="E180" s="10" t="s">
        <v>153</v>
      </c>
      <c r="F180" s="10" t="s">
        <v>519</v>
      </c>
      <c r="G180" s="10" t="s">
        <v>520</v>
      </c>
      <c r="H180" s="12" t="s">
        <v>40</v>
      </c>
      <c r="I180" s="11" t="s">
        <v>41</v>
      </c>
      <c r="J180" s="12"/>
      <c r="K180" s="12"/>
      <c r="L180" s="13"/>
      <c r="M180" s="14"/>
      <c r="N180" s="9">
        <f>IFERROR(__xludf.DUMMYFUNCTION("SUM(QUERY(Entregas_BD!D:L,""select G where D='""&amp;D180&amp;""'"",1))"),0.0)</f>
        <v>0</v>
      </c>
      <c r="O180" s="9">
        <f>IFERROR(__xludf.DUMMYFUNCTION("SUM(QUERY(Entregas_BD!D:L,""select H where D='""&amp;D180&amp;""'"",1))"),0.0)</f>
        <v>0</v>
      </c>
      <c r="P180" s="9">
        <f>IFERROR(__xludf.DUMMYFUNCTION("SUM(QUERY(Entregas_BD!D:L,""select I where D='""&amp;D180&amp;""'"",1))"),0.0)</f>
        <v>0</v>
      </c>
      <c r="Q180" s="9">
        <f>IFERROR(__xludf.DUMMYFUNCTION("SUM(QUERY(Entregas_BD!D:L,""select J where D='""&amp;D180&amp;""'"",1))"),0.0)</f>
        <v>0</v>
      </c>
      <c r="R180" s="15">
        <f>IFERROR(__xludf.DUMMYFUNCTION("SUM(QUERY(Entregas_BD!D:L,""select K where D='""&amp;D180&amp;""'"",1))"),0.0)</f>
        <v>0</v>
      </c>
      <c r="S180" s="15">
        <f>IFERROR(__xludf.DUMMYFUNCTION("SUM(QUERY(Entregas_BD!D:L,""select L where D='""&amp;D180&amp;""'"",1))"),0.0)</f>
        <v>0</v>
      </c>
      <c r="T180" s="9">
        <f>IFERROR(__xludf.DUMMYFUNCTION("SUM(QUERY(Entregas_BD!D:AL,""select AG where D='""&amp;D180&amp;""'"",1))"),0.0)</f>
        <v>0</v>
      </c>
      <c r="U180" s="9">
        <f>IFERROR(__xludf.DUMMYFUNCTION("SUM(QUERY(Entregas_BD!D:AL,""select AH where D='""&amp;D180&amp;""'"",1))"),0.0)</f>
        <v>0</v>
      </c>
      <c r="V180" s="9">
        <f>IFERROR(__xludf.DUMMYFUNCTION("SUM(QUERY(Entregas_BD!D:AL,""select AI where D='""&amp;D180&amp;""'"",1))"),0.0)</f>
        <v>0</v>
      </c>
      <c r="W180" s="9">
        <f>IFERROR(__xludf.DUMMYFUNCTION("SUM(QUERY(Entregas_BD!D:AL,""select AJ where D='""&amp;D180&amp;""'"",1))"),0.0)</f>
        <v>0</v>
      </c>
      <c r="X180" s="9">
        <f>IFERROR(__xludf.DUMMYFUNCTION("SUM(QUERY(Entregas_BD!D:AL,""select AL where D='""&amp;D180&amp;""'"",1))"),0.0)</f>
        <v>0</v>
      </c>
      <c r="Y180" s="9">
        <f>IFERROR(__xludf.DUMMYFUNCTION("SUM(QUERY(Entregas_BD!D:AL,""select AK where D='""&amp;D180&amp;""'"",1))"),0.0)</f>
        <v>0</v>
      </c>
      <c r="Z180" s="9">
        <v>0.0</v>
      </c>
      <c r="AA180" s="9">
        <v>0.0</v>
      </c>
      <c r="AB180" s="9">
        <v>0.0</v>
      </c>
      <c r="AC180" s="9">
        <v>0.0</v>
      </c>
      <c r="AD180" s="9">
        <v>0.0</v>
      </c>
      <c r="AE180" s="9">
        <v>0.0</v>
      </c>
      <c r="AF180" s="15"/>
      <c r="AG180" s="15">
        <f>IFERROR(__xludf.DUMMYFUNCTION("SUM(QUERY(Entregas_BD!D:W,""select U where D='""&amp;D180&amp;""'"",1))"),0.0)</f>
        <v>0</v>
      </c>
      <c r="AH180" s="15">
        <f>IFERROR(__xludf.DUMMYFUNCTION("SUM(QUERY(Entregas_BD!D:W,""select S where D='""&amp;D180&amp;""'"",1))"),0.0)</f>
        <v>0</v>
      </c>
      <c r="AI180" s="15">
        <f>IFERROR(__xludf.DUMMYFUNCTION("SUM(QUERY(Entregas_BD!D:W,""select T where D='""&amp;D180&amp;""'"",1))"),0.0)</f>
        <v>0</v>
      </c>
    </row>
    <row r="181" ht="19.5" customHeight="1">
      <c r="A181" s="28"/>
      <c r="B181" s="29"/>
      <c r="C181" s="19">
        <v>180.0</v>
      </c>
      <c r="D181" s="20" t="s">
        <v>521</v>
      </c>
      <c r="E181" s="20" t="s">
        <v>153</v>
      </c>
      <c r="F181" s="20" t="s">
        <v>522</v>
      </c>
      <c r="G181" s="20" t="s">
        <v>149</v>
      </c>
      <c r="H181" s="22" t="s">
        <v>40</v>
      </c>
      <c r="I181" s="21" t="s">
        <v>47</v>
      </c>
      <c r="J181" s="22"/>
      <c r="K181" s="22"/>
      <c r="L181" s="23"/>
      <c r="M181" s="36"/>
      <c r="N181" s="19">
        <f>IFERROR(__xludf.DUMMYFUNCTION("SUM(QUERY(Entregas_BD!D:L,""select G where D='""&amp;D181&amp;""'"",1))"),0.0)</f>
        <v>0</v>
      </c>
      <c r="O181" s="19">
        <f>IFERROR(__xludf.DUMMYFUNCTION("SUM(QUERY(Entregas_BD!D:L,""select H where D='""&amp;D181&amp;""'"",1))"),0.0)</f>
        <v>0</v>
      </c>
      <c r="P181" s="19">
        <f>IFERROR(__xludf.DUMMYFUNCTION("SUM(QUERY(Entregas_BD!D:L,""select I where D='""&amp;D181&amp;""'"",1))"),0.0)</f>
        <v>0</v>
      </c>
      <c r="Q181" s="19">
        <f>IFERROR(__xludf.DUMMYFUNCTION("SUM(QUERY(Entregas_BD!D:L,""select J where D='""&amp;D181&amp;""'"",1))"),0.0)</f>
        <v>0</v>
      </c>
      <c r="R181" s="24">
        <f>IFERROR(__xludf.DUMMYFUNCTION("SUM(QUERY(Entregas_BD!D:L,""select K where D='""&amp;D181&amp;""'"",1))"),0.0)</f>
        <v>0</v>
      </c>
      <c r="S181" s="24">
        <f>IFERROR(__xludf.DUMMYFUNCTION("SUM(QUERY(Entregas_BD!D:L,""select L where D='""&amp;D181&amp;""'"",1))"),0.0)</f>
        <v>0</v>
      </c>
      <c r="T181" s="19">
        <f>IFERROR(__xludf.DUMMYFUNCTION("SUM(QUERY(Entregas_BD!D:AL,""select AG where D='""&amp;D181&amp;""'"",1))"),0.0)</f>
        <v>0</v>
      </c>
      <c r="U181" s="19">
        <f>IFERROR(__xludf.DUMMYFUNCTION("SUM(QUERY(Entregas_BD!D:AL,""select AH where D='""&amp;D181&amp;""'"",1))"),0.0)</f>
        <v>0</v>
      </c>
      <c r="V181" s="19">
        <f>IFERROR(__xludf.DUMMYFUNCTION("SUM(QUERY(Entregas_BD!D:AL,""select AI where D='""&amp;D181&amp;""'"",1))"),0.0)</f>
        <v>0</v>
      </c>
      <c r="W181" s="19">
        <f>IFERROR(__xludf.DUMMYFUNCTION("SUM(QUERY(Entregas_BD!D:AL,""select AJ where D='""&amp;D181&amp;""'"",1))"),0.0)</f>
        <v>0</v>
      </c>
      <c r="X181" s="19">
        <f>IFERROR(__xludf.DUMMYFUNCTION("SUM(QUERY(Entregas_BD!D:AL,""select AL where D='""&amp;D181&amp;""'"",1))"),0.0)</f>
        <v>0</v>
      </c>
      <c r="Y181" s="19">
        <f>IFERROR(__xludf.DUMMYFUNCTION("SUM(QUERY(Entregas_BD!D:AL,""select AK where D='""&amp;D181&amp;""'"",1))"),0.0)</f>
        <v>0</v>
      </c>
      <c r="Z181" s="19">
        <v>0.0</v>
      </c>
      <c r="AA181" s="19">
        <v>0.0</v>
      </c>
      <c r="AB181" s="19">
        <v>0.0</v>
      </c>
      <c r="AC181" s="19">
        <v>0.0</v>
      </c>
      <c r="AD181" s="19">
        <v>0.0</v>
      </c>
      <c r="AE181" s="19">
        <v>0.0</v>
      </c>
      <c r="AF181" s="22"/>
      <c r="AG181" s="24">
        <f>IFERROR(__xludf.DUMMYFUNCTION("SUM(QUERY(Entregas_BD!D:W,""select U where D='""&amp;D181&amp;""'"",1))"),0.0)</f>
        <v>0</v>
      </c>
      <c r="AH181" s="24">
        <f>IFERROR(__xludf.DUMMYFUNCTION("SUM(QUERY(Entregas_BD!D:W,""select S where D='""&amp;D181&amp;""'"",1))"),0.0)</f>
        <v>0</v>
      </c>
      <c r="AI181" s="24">
        <f>IFERROR(__xludf.DUMMYFUNCTION("SUM(QUERY(Entregas_BD!D:W,""select T where D='""&amp;D181&amp;""'"",1))"),0.0)</f>
        <v>0</v>
      </c>
    </row>
    <row r="182" ht="19.5" customHeight="1">
      <c r="A182" s="7"/>
      <c r="B182" s="8"/>
      <c r="C182" s="9">
        <v>181.0</v>
      </c>
      <c r="D182" s="10" t="s">
        <v>523</v>
      </c>
      <c r="E182" s="10" t="s">
        <v>63</v>
      </c>
      <c r="F182" s="10" t="s">
        <v>524</v>
      </c>
      <c r="G182" s="10" t="s">
        <v>524</v>
      </c>
      <c r="H182" s="9" t="s">
        <v>51</v>
      </c>
      <c r="I182" s="11" t="s">
        <v>41</v>
      </c>
      <c r="J182" s="12"/>
      <c r="K182" s="12"/>
      <c r="L182" s="13"/>
      <c r="M182" s="12"/>
      <c r="N182" s="9">
        <f>IFERROR(__xludf.DUMMYFUNCTION("SUM(QUERY(Entregas_BD!D:L,""select G where D='""&amp;D182&amp;""'"",1))"),0.0)</f>
        <v>0</v>
      </c>
      <c r="O182" s="9">
        <f>IFERROR(__xludf.DUMMYFUNCTION("SUM(QUERY(Entregas_BD!D:L,""select H where D='""&amp;D182&amp;""'"",1))"),0.0)</f>
        <v>0</v>
      </c>
      <c r="P182" s="9">
        <f>IFERROR(__xludf.DUMMYFUNCTION("SUM(QUERY(Entregas_BD!D:L,""select I where D='""&amp;D182&amp;""'"",1))"),0.0)</f>
        <v>0</v>
      </c>
      <c r="Q182" s="9">
        <f>IFERROR(__xludf.DUMMYFUNCTION("SUM(QUERY(Entregas_BD!D:L,""select J where D='""&amp;D182&amp;""'"",1))"),0.0)</f>
        <v>0</v>
      </c>
      <c r="R182" s="15">
        <f>IFERROR(__xludf.DUMMYFUNCTION("SUM(QUERY(Entregas_BD!D:L,""select K where D='""&amp;D182&amp;""'"",1))"),0.0)</f>
        <v>0</v>
      </c>
      <c r="S182" s="15">
        <f>IFERROR(__xludf.DUMMYFUNCTION("SUM(QUERY(Entregas_BD!D:L,""select L where D='""&amp;D182&amp;""'"",1))"),0.0)</f>
        <v>0</v>
      </c>
      <c r="T182" s="9">
        <f>IFERROR(__xludf.DUMMYFUNCTION("SUM(QUERY(Entregas_BD!D:AL,""select AG where D='""&amp;D182&amp;""'"",1))"),0.0)</f>
        <v>0</v>
      </c>
      <c r="U182" s="9">
        <f>IFERROR(__xludf.DUMMYFUNCTION("SUM(QUERY(Entregas_BD!D:AL,""select AH where D='""&amp;D182&amp;""'"",1))"),0.0)</f>
        <v>0</v>
      </c>
      <c r="V182" s="9">
        <f>IFERROR(__xludf.DUMMYFUNCTION("SUM(QUERY(Entregas_BD!D:AL,""select AI where D='""&amp;D182&amp;""'"",1))"),0.0)</f>
        <v>0</v>
      </c>
      <c r="W182" s="9">
        <f>IFERROR(__xludf.DUMMYFUNCTION("SUM(QUERY(Entregas_BD!D:AL,""select AJ where D='""&amp;D182&amp;""'"",1))"),0.0)</f>
        <v>0</v>
      </c>
      <c r="X182" s="9">
        <f>IFERROR(__xludf.DUMMYFUNCTION("SUM(QUERY(Entregas_BD!D:AL,""select AL where D='""&amp;D182&amp;""'"",1))"),0.0)</f>
        <v>0</v>
      </c>
      <c r="Y182" s="9">
        <f>IFERROR(__xludf.DUMMYFUNCTION("SUM(QUERY(Entregas_BD!D:AL,""select AK where D='""&amp;D182&amp;""'"",1))"),0.0)</f>
        <v>0</v>
      </c>
      <c r="Z182" s="9">
        <v>0.0</v>
      </c>
      <c r="AA182" s="9">
        <v>0.0</v>
      </c>
      <c r="AB182" s="9">
        <v>0.0</v>
      </c>
      <c r="AC182" s="9">
        <v>0.0</v>
      </c>
      <c r="AD182" s="9">
        <v>0.0</v>
      </c>
      <c r="AE182" s="9">
        <v>0.0</v>
      </c>
      <c r="AF182" s="15"/>
      <c r="AG182" s="15">
        <f>IFERROR(__xludf.DUMMYFUNCTION("SUM(QUERY(Entregas_BD!D:W,""select U where D='""&amp;D182&amp;""'"",1))"),0.0)</f>
        <v>0</v>
      </c>
      <c r="AH182" s="15">
        <f>IFERROR(__xludf.DUMMYFUNCTION("SUM(QUERY(Entregas_BD!D:W,""select S where D='""&amp;D182&amp;""'"",1))"),0.0)</f>
        <v>0</v>
      </c>
      <c r="AI182" s="15">
        <f>IFERROR(__xludf.DUMMYFUNCTION("SUM(QUERY(Entregas_BD!D:W,""select T where D='""&amp;D182&amp;""'"",1))"),0.0)</f>
        <v>0</v>
      </c>
    </row>
    <row r="183" ht="19.5" customHeight="1">
      <c r="A183" s="28"/>
      <c r="B183" s="29"/>
      <c r="C183" s="19">
        <v>182.0</v>
      </c>
      <c r="D183" s="20" t="s">
        <v>525</v>
      </c>
      <c r="E183" s="20" t="s">
        <v>153</v>
      </c>
      <c r="F183" s="20" t="s">
        <v>526</v>
      </c>
      <c r="G183" s="20" t="s">
        <v>149</v>
      </c>
      <c r="H183" s="22" t="s">
        <v>40</v>
      </c>
      <c r="I183" s="21" t="s">
        <v>41</v>
      </c>
      <c r="J183" s="22"/>
      <c r="K183" s="22"/>
      <c r="L183" s="23"/>
      <c r="M183" s="36"/>
      <c r="N183" s="19">
        <f>IFERROR(__xludf.DUMMYFUNCTION("SUM(QUERY(Entregas_BD!D:L,""select G where D='""&amp;D183&amp;""'"",1))"),0.0)</f>
        <v>0</v>
      </c>
      <c r="O183" s="19">
        <f>IFERROR(__xludf.DUMMYFUNCTION("SUM(QUERY(Entregas_BD!D:L,""select H where D='""&amp;D183&amp;""'"",1))"),0.0)</f>
        <v>0</v>
      </c>
      <c r="P183" s="19">
        <f>IFERROR(__xludf.DUMMYFUNCTION("SUM(QUERY(Entregas_BD!D:L,""select I where D='""&amp;D183&amp;""'"",1))"),0.0)</f>
        <v>0</v>
      </c>
      <c r="Q183" s="19">
        <f>IFERROR(__xludf.DUMMYFUNCTION("SUM(QUERY(Entregas_BD!D:L,""select J where D='""&amp;D183&amp;""'"",1))"),0.0)</f>
        <v>0</v>
      </c>
      <c r="R183" s="24">
        <f>IFERROR(__xludf.DUMMYFUNCTION("SUM(QUERY(Entregas_BD!D:L,""select K where D='""&amp;D183&amp;""'"",1))"),0.0)</f>
        <v>0</v>
      </c>
      <c r="S183" s="24">
        <f>IFERROR(__xludf.DUMMYFUNCTION("SUM(QUERY(Entregas_BD!D:L,""select L where D='""&amp;D183&amp;""'"",1))"),0.0)</f>
        <v>0</v>
      </c>
      <c r="T183" s="19">
        <f>IFERROR(__xludf.DUMMYFUNCTION("SUM(QUERY(Entregas_BD!D:AL,""select AG where D='""&amp;D183&amp;""'"",1))"),0.0)</f>
        <v>0</v>
      </c>
      <c r="U183" s="19">
        <f>IFERROR(__xludf.DUMMYFUNCTION("SUM(QUERY(Entregas_BD!D:AL,""select AH where D='""&amp;D183&amp;""'"",1))"),0.0)</f>
        <v>0</v>
      </c>
      <c r="V183" s="19">
        <f>IFERROR(__xludf.DUMMYFUNCTION("SUM(QUERY(Entregas_BD!D:AL,""select AI where D='""&amp;D183&amp;""'"",1))"),0.0)</f>
        <v>0</v>
      </c>
      <c r="W183" s="19">
        <f>IFERROR(__xludf.DUMMYFUNCTION("SUM(QUERY(Entregas_BD!D:AL,""select AJ where D='""&amp;D183&amp;""'"",1))"),0.0)</f>
        <v>0</v>
      </c>
      <c r="X183" s="19">
        <f>IFERROR(__xludf.DUMMYFUNCTION("SUM(QUERY(Entregas_BD!D:AL,""select AL where D='""&amp;D183&amp;""'"",1))"),0.0)</f>
        <v>0</v>
      </c>
      <c r="Y183" s="19">
        <f>IFERROR(__xludf.DUMMYFUNCTION("SUM(QUERY(Entregas_BD!D:AL,""select AK where D='""&amp;D183&amp;""'"",1))"),0.0)</f>
        <v>0</v>
      </c>
      <c r="Z183" s="19">
        <v>0.0</v>
      </c>
      <c r="AA183" s="19">
        <v>0.0</v>
      </c>
      <c r="AB183" s="19">
        <v>0.0</v>
      </c>
      <c r="AC183" s="19">
        <v>0.0</v>
      </c>
      <c r="AD183" s="19">
        <v>0.0</v>
      </c>
      <c r="AE183" s="19">
        <v>0.0</v>
      </c>
      <c r="AF183" s="24"/>
      <c r="AG183" s="24">
        <f>IFERROR(__xludf.DUMMYFUNCTION("SUM(QUERY(Entregas_BD!D:W,""select U where D='""&amp;D183&amp;""'"",1))"),0.0)</f>
        <v>0</v>
      </c>
      <c r="AH183" s="24">
        <f>IFERROR(__xludf.DUMMYFUNCTION("SUM(QUERY(Entregas_BD!D:W,""select S where D='""&amp;D183&amp;""'"",1))"),0.0)</f>
        <v>0</v>
      </c>
      <c r="AI183" s="24">
        <f>IFERROR(__xludf.DUMMYFUNCTION("SUM(QUERY(Entregas_BD!D:W,""select T where D='""&amp;D183&amp;""'"",1))"),0.0)</f>
        <v>0</v>
      </c>
    </row>
    <row r="184" ht="19.5" customHeight="1">
      <c r="A184" s="7"/>
      <c r="B184" s="8"/>
      <c r="C184" s="9">
        <v>183.0</v>
      </c>
      <c r="D184" s="10" t="s">
        <v>527</v>
      </c>
      <c r="E184" s="10" t="s">
        <v>58</v>
      </c>
      <c r="F184" s="10" t="s">
        <v>45</v>
      </c>
      <c r="G184" s="10" t="s">
        <v>528</v>
      </c>
      <c r="H184" s="9" t="s">
        <v>51</v>
      </c>
      <c r="I184" s="11" t="s">
        <v>47</v>
      </c>
      <c r="J184" s="9"/>
      <c r="K184" s="12"/>
      <c r="L184" s="13"/>
      <c r="M184" s="12"/>
      <c r="N184" s="9">
        <f>IFERROR(__xludf.DUMMYFUNCTION("SUM(QUERY(Entregas_BD!D:L,""select G where D='""&amp;D184&amp;""'"",1))"),0.0)</f>
        <v>0</v>
      </c>
      <c r="O184" s="9">
        <f>IFERROR(__xludf.DUMMYFUNCTION("SUM(QUERY(Entregas_BD!D:L,""select H where D='""&amp;D184&amp;""'"",1))"),0.0)</f>
        <v>0</v>
      </c>
      <c r="P184" s="9">
        <f>IFERROR(__xludf.DUMMYFUNCTION("SUM(QUERY(Entregas_BD!D:L,""select I where D='""&amp;D184&amp;""'"",1))"),0.0)</f>
        <v>0</v>
      </c>
      <c r="Q184" s="9">
        <f>IFERROR(__xludf.DUMMYFUNCTION("SUM(QUERY(Entregas_BD!D:L,""select J where D='""&amp;D184&amp;""'"",1))"),0.0)</f>
        <v>0</v>
      </c>
      <c r="R184" s="15">
        <f>IFERROR(__xludf.DUMMYFUNCTION("SUM(QUERY(Entregas_BD!D:L,""select K where D='""&amp;D184&amp;""'"",1))"),0.0)</f>
        <v>0</v>
      </c>
      <c r="S184" s="15">
        <f>IFERROR(__xludf.DUMMYFUNCTION("SUM(QUERY(Entregas_BD!D:L,""select L where D='""&amp;D184&amp;""'"",1))"),0.0)</f>
        <v>0</v>
      </c>
      <c r="T184" s="9">
        <f>IFERROR(__xludf.DUMMYFUNCTION("SUM(QUERY(Entregas_BD!D:AL,""select AG where D='""&amp;D184&amp;""'"",1))"),0.0)</f>
        <v>0</v>
      </c>
      <c r="U184" s="9">
        <f>IFERROR(__xludf.DUMMYFUNCTION("SUM(QUERY(Entregas_BD!D:AL,""select AH where D='""&amp;D184&amp;""'"",1))"),0.0)</f>
        <v>0</v>
      </c>
      <c r="V184" s="9">
        <f>IFERROR(__xludf.DUMMYFUNCTION("SUM(QUERY(Entregas_BD!D:AL,""select AI where D='""&amp;D184&amp;""'"",1))"),0.0)</f>
        <v>0</v>
      </c>
      <c r="W184" s="9">
        <f>IFERROR(__xludf.DUMMYFUNCTION("SUM(QUERY(Entregas_BD!D:AL,""select AJ where D='""&amp;D184&amp;""'"",1))"),0.0)</f>
        <v>0</v>
      </c>
      <c r="X184" s="9">
        <f>IFERROR(__xludf.DUMMYFUNCTION("SUM(QUERY(Entregas_BD!D:AL,""select AL where D='""&amp;D184&amp;""'"",1))"),0.0)</f>
        <v>0</v>
      </c>
      <c r="Y184" s="9">
        <f>IFERROR(__xludf.DUMMYFUNCTION("SUM(QUERY(Entregas_BD!D:AL,""select AK where D='""&amp;D184&amp;""'"",1))"),0.0)</f>
        <v>0</v>
      </c>
      <c r="Z184" s="9">
        <v>0.0</v>
      </c>
      <c r="AA184" s="9">
        <v>0.0</v>
      </c>
      <c r="AB184" s="9">
        <v>0.0</v>
      </c>
      <c r="AC184" s="9">
        <v>0.0</v>
      </c>
      <c r="AD184" s="9">
        <v>0.0</v>
      </c>
      <c r="AE184" s="9">
        <v>0.0</v>
      </c>
      <c r="AF184" s="12"/>
      <c r="AG184" s="15">
        <f>IFERROR(__xludf.DUMMYFUNCTION("SUM(QUERY(Entregas_BD!D:W,""select U where D='""&amp;D184&amp;""'"",1))"),0.0)</f>
        <v>0</v>
      </c>
      <c r="AH184" s="15">
        <f>IFERROR(__xludf.DUMMYFUNCTION("SUM(QUERY(Entregas_BD!D:W,""select S where D='""&amp;D184&amp;""'"",1))"),0.0)</f>
        <v>0</v>
      </c>
      <c r="AI184" s="15">
        <f>IFERROR(__xludf.DUMMYFUNCTION("SUM(QUERY(Entregas_BD!D:W,""select T where D='""&amp;D184&amp;""'"",1))"),0.0)</f>
        <v>0</v>
      </c>
    </row>
    <row r="185" ht="19.5" customHeight="1">
      <c r="A185" s="28"/>
      <c r="B185" s="29"/>
      <c r="C185" s="19">
        <v>184.0</v>
      </c>
      <c r="D185" s="20" t="s">
        <v>529</v>
      </c>
      <c r="E185" s="20" t="s">
        <v>58</v>
      </c>
      <c r="F185" s="20" t="s">
        <v>45</v>
      </c>
      <c r="G185" s="20" t="s">
        <v>530</v>
      </c>
      <c r="H185" s="19" t="s">
        <v>51</v>
      </c>
      <c r="I185" s="21" t="s">
        <v>41</v>
      </c>
      <c r="J185" s="19"/>
      <c r="K185" s="22"/>
      <c r="L185" s="23"/>
      <c r="M185" s="22"/>
      <c r="N185" s="19">
        <f>IFERROR(__xludf.DUMMYFUNCTION("SUM(QUERY(Entregas_BD!D:L,""select G where D='""&amp;D185&amp;""'"",1))"),0.0)</f>
        <v>0</v>
      </c>
      <c r="O185" s="19">
        <f>IFERROR(__xludf.DUMMYFUNCTION("SUM(QUERY(Entregas_BD!D:L,""select H where D='""&amp;D185&amp;""'"",1))"),0.0)</f>
        <v>0</v>
      </c>
      <c r="P185" s="19">
        <f>IFERROR(__xludf.DUMMYFUNCTION("SUM(QUERY(Entregas_BD!D:L,""select I where D='""&amp;D185&amp;""'"",1))"),0.0)</f>
        <v>0</v>
      </c>
      <c r="Q185" s="19">
        <f>IFERROR(__xludf.DUMMYFUNCTION("SUM(QUERY(Entregas_BD!D:L,""select J where D='""&amp;D185&amp;""'"",1))"),0.0)</f>
        <v>0</v>
      </c>
      <c r="R185" s="24">
        <f>IFERROR(__xludf.DUMMYFUNCTION("SUM(QUERY(Entregas_BD!D:L,""select K where D='""&amp;D185&amp;""'"",1))"),0.0)</f>
        <v>0</v>
      </c>
      <c r="S185" s="24">
        <f>IFERROR(__xludf.DUMMYFUNCTION("SUM(QUERY(Entregas_BD!D:L,""select L where D='""&amp;D185&amp;""'"",1))"),0.0)</f>
        <v>0</v>
      </c>
      <c r="T185" s="19">
        <f>IFERROR(__xludf.DUMMYFUNCTION("SUM(QUERY(Entregas_BD!D:AL,""select AG where D='""&amp;D185&amp;""'"",1))"),0.0)</f>
        <v>0</v>
      </c>
      <c r="U185" s="19">
        <f>IFERROR(__xludf.DUMMYFUNCTION("SUM(QUERY(Entregas_BD!D:AL,""select AH where D='""&amp;D185&amp;""'"",1))"),0.0)</f>
        <v>0</v>
      </c>
      <c r="V185" s="19">
        <f>IFERROR(__xludf.DUMMYFUNCTION("SUM(QUERY(Entregas_BD!D:AL,""select AI where D='""&amp;D185&amp;""'"",1))"),0.0)</f>
        <v>0</v>
      </c>
      <c r="W185" s="19">
        <f>IFERROR(__xludf.DUMMYFUNCTION("SUM(QUERY(Entregas_BD!D:AL,""select AJ where D='""&amp;D185&amp;""'"",1))"),0.0)</f>
        <v>0</v>
      </c>
      <c r="X185" s="19">
        <f>IFERROR(__xludf.DUMMYFUNCTION("SUM(QUERY(Entregas_BD!D:AL,""select AL where D='""&amp;D185&amp;""'"",1))"),0.0)</f>
        <v>0</v>
      </c>
      <c r="Y185" s="19">
        <f>IFERROR(__xludf.DUMMYFUNCTION("SUM(QUERY(Entregas_BD!D:AL,""select AK where D='""&amp;D185&amp;""'"",1))"),0.0)</f>
        <v>0</v>
      </c>
      <c r="Z185" s="19">
        <v>0.0</v>
      </c>
      <c r="AA185" s="19">
        <v>0.0</v>
      </c>
      <c r="AB185" s="19">
        <v>0.0</v>
      </c>
      <c r="AC185" s="19">
        <v>0.0</v>
      </c>
      <c r="AD185" s="19">
        <v>0.0</v>
      </c>
      <c r="AE185" s="19">
        <v>0.0</v>
      </c>
      <c r="AF185" s="24"/>
      <c r="AG185" s="24">
        <f>IFERROR(__xludf.DUMMYFUNCTION("SUM(QUERY(Entregas_BD!D:W,""select U where D='""&amp;D185&amp;""'"",1))"),0.0)</f>
        <v>0</v>
      </c>
      <c r="AH185" s="24">
        <f>IFERROR(__xludf.DUMMYFUNCTION("SUM(QUERY(Entregas_BD!D:W,""select S where D='""&amp;D185&amp;""'"",1))"),0.0)</f>
        <v>0</v>
      </c>
      <c r="AI185" s="24">
        <f>IFERROR(__xludf.DUMMYFUNCTION("SUM(QUERY(Entregas_BD!D:W,""select T where D='""&amp;D185&amp;""'"",1))"),0.0)</f>
        <v>0</v>
      </c>
    </row>
    <row r="186" ht="19.5" customHeight="1">
      <c r="A186" s="7"/>
      <c r="B186" s="8"/>
      <c r="C186" s="9">
        <v>185.0</v>
      </c>
      <c r="D186" s="10" t="s">
        <v>531</v>
      </c>
      <c r="E186" s="10" t="s">
        <v>63</v>
      </c>
      <c r="F186" s="10" t="s">
        <v>139</v>
      </c>
      <c r="G186" s="10" t="s">
        <v>139</v>
      </c>
      <c r="H186" s="9" t="s">
        <v>51</v>
      </c>
      <c r="I186" s="11" t="s">
        <v>41</v>
      </c>
      <c r="J186" s="12"/>
      <c r="K186" s="12"/>
      <c r="L186" s="13"/>
      <c r="M186" s="14"/>
      <c r="N186" s="9">
        <f>IFERROR(__xludf.DUMMYFUNCTION("SUM(QUERY(Entregas_BD!D:L,""select G where D='""&amp;D186&amp;""'"",1))"),0.0)</f>
        <v>0</v>
      </c>
      <c r="O186" s="9">
        <f>IFERROR(__xludf.DUMMYFUNCTION("SUM(QUERY(Entregas_BD!D:L,""select H where D='""&amp;D186&amp;""'"",1))"),0.0)</f>
        <v>0</v>
      </c>
      <c r="P186" s="9">
        <f>IFERROR(__xludf.DUMMYFUNCTION("SUM(QUERY(Entregas_BD!D:L,""select I where D='""&amp;D186&amp;""'"",1))"),0.0)</f>
        <v>0</v>
      </c>
      <c r="Q186" s="9">
        <f>IFERROR(__xludf.DUMMYFUNCTION("SUM(QUERY(Entregas_BD!D:L,""select J where D='""&amp;D186&amp;""'"",1))"),0.0)</f>
        <v>0</v>
      </c>
      <c r="R186" s="15">
        <f>IFERROR(__xludf.DUMMYFUNCTION("SUM(QUERY(Entregas_BD!D:L,""select K where D='""&amp;D186&amp;""'"",1))"),0.0)</f>
        <v>0</v>
      </c>
      <c r="S186" s="15">
        <f>IFERROR(__xludf.DUMMYFUNCTION("SUM(QUERY(Entregas_BD!D:L,""select L where D='""&amp;D186&amp;""'"",1))"),0.0)</f>
        <v>0</v>
      </c>
      <c r="T186" s="9">
        <f>IFERROR(__xludf.DUMMYFUNCTION("SUM(QUERY(Entregas_BD!D:AL,""select AG where D='""&amp;D186&amp;""'"",1))"),0.0)</f>
        <v>0</v>
      </c>
      <c r="U186" s="9">
        <f>IFERROR(__xludf.DUMMYFUNCTION("SUM(QUERY(Entregas_BD!D:AL,""select AH where D='""&amp;D186&amp;""'"",1))"),0.0)</f>
        <v>0</v>
      </c>
      <c r="V186" s="9">
        <f>IFERROR(__xludf.DUMMYFUNCTION("SUM(QUERY(Entregas_BD!D:AL,""select AI where D='""&amp;D186&amp;""'"",1))"),0.0)</f>
        <v>0</v>
      </c>
      <c r="W186" s="9">
        <f>IFERROR(__xludf.DUMMYFUNCTION("SUM(QUERY(Entregas_BD!D:AL,""select AJ where D='""&amp;D186&amp;""'"",1))"),0.0)</f>
        <v>0</v>
      </c>
      <c r="X186" s="9">
        <f>IFERROR(__xludf.DUMMYFUNCTION("SUM(QUERY(Entregas_BD!D:AL,""select AL where D='""&amp;D186&amp;""'"",1))"),0.0)</f>
        <v>0</v>
      </c>
      <c r="Y186" s="9">
        <f>IFERROR(__xludf.DUMMYFUNCTION("SUM(QUERY(Entregas_BD!D:AL,""select AK where D='""&amp;D186&amp;""'"",1))"),0.0)</f>
        <v>0</v>
      </c>
      <c r="Z186" s="9">
        <v>0.0</v>
      </c>
      <c r="AA186" s="9">
        <v>0.0</v>
      </c>
      <c r="AB186" s="9">
        <v>0.0</v>
      </c>
      <c r="AC186" s="9">
        <v>0.0</v>
      </c>
      <c r="AD186" s="9">
        <v>0.0</v>
      </c>
      <c r="AE186" s="9">
        <v>0.0</v>
      </c>
      <c r="AF186" s="12"/>
      <c r="AG186" s="15">
        <f>IFERROR(__xludf.DUMMYFUNCTION("SUM(QUERY(Entregas_BD!D:W,""select U where D='""&amp;D186&amp;""'"",1))"),0.0)</f>
        <v>0</v>
      </c>
      <c r="AH186" s="15">
        <f>IFERROR(__xludf.DUMMYFUNCTION("SUM(QUERY(Entregas_BD!D:W,""select S where D='""&amp;D186&amp;""'"",1))"),0.0)</f>
        <v>0</v>
      </c>
      <c r="AI186" s="15">
        <f>IFERROR(__xludf.DUMMYFUNCTION("SUM(QUERY(Entregas_BD!D:W,""select T where D='""&amp;D186&amp;""'"",1))"),0.0)</f>
        <v>0</v>
      </c>
    </row>
    <row r="187" ht="19.5" customHeight="1">
      <c r="A187" s="28"/>
      <c r="B187" s="29"/>
      <c r="C187" s="19">
        <v>186.0</v>
      </c>
      <c r="D187" s="20" t="s">
        <v>532</v>
      </c>
      <c r="E187" s="20" t="s">
        <v>197</v>
      </c>
      <c r="F187" s="20" t="s">
        <v>243</v>
      </c>
      <c r="G187" s="20" t="s">
        <v>533</v>
      </c>
      <c r="H187" s="19" t="s">
        <v>51</v>
      </c>
      <c r="I187" s="21" t="s">
        <v>41</v>
      </c>
      <c r="J187" s="22"/>
      <c r="K187" s="22"/>
      <c r="L187" s="23"/>
      <c r="M187" s="36"/>
      <c r="N187" s="19">
        <f>IFERROR(__xludf.DUMMYFUNCTION("SUM(QUERY(Entregas_BD!D:L,""select G where D='""&amp;D187&amp;""'"",1))"),0.0)</f>
        <v>0</v>
      </c>
      <c r="O187" s="19">
        <f>IFERROR(__xludf.DUMMYFUNCTION("SUM(QUERY(Entregas_BD!D:L,""select H where D='""&amp;D187&amp;""'"",1))"),0.0)</f>
        <v>0</v>
      </c>
      <c r="P187" s="19">
        <f>IFERROR(__xludf.DUMMYFUNCTION("SUM(QUERY(Entregas_BD!D:L,""select I where D='""&amp;D187&amp;""'"",1))"),0.0)</f>
        <v>0</v>
      </c>
      <c r="Q187" s="19">
        <f>IFERROR(__xludf.DUMMYFUNCTION("SUM(QUERY(Entregas_BD!D:L,""select J where D='""&amp;D187&amp;""'"",1))"),0.0)</f>
        <v>0</v>
      </c>
      <c r="R187" s="24">
        <f>IFERROR(__xludf.DUMMYFUNCTION("SUM(QUERY(Entregas_BD!D:L,""select K where D='""&amp;D187&amp;""'"",1))"),0.0)</f>
        <v>0</v>
      </c>
      <c r="S187" s="24">
        <f>IFERROR(__xludf.DUMMYFUNCTION("SUM(QUERY(Entregas_BD!D:L,""select L where D='""&amp;D187&amp;""'"",1))"),0.0)</f>
        <v>0</v>
      </c>
      <c r="T187" s="19">
        <f>IFERROR(__xludf.DUMMYFUNCTION("SUM(QUERY(Entregas_BD!D:AL,""select AG where D='""&amp;D187&amp;""'"",1))"),25.0)</f>
        <v>25</v>
      </c>
      <c r="U187" s="19">
        <f>IFERROR(__xludf.DUMMYFUNCTION("SUM(QUERY(Entregas_BD!D:AL,""select AH where D='""&amp;D187&amp;""'"",1))"),0.0)</f>
        <v>0</v>
      </c>
      <c r="V187" s="19">
        <f>IFERROR(__xludf.DUMMYFUNCTION("SUM(QUERY(Entregas_BD!D:AL,""select AI where D='""&amp;D187&amp;""'"",1))"),0.0)</f>
        <v>0</v>
      </c>
      <c r="W187" s="19">
        <f>IFERROR(__xludf.DUMMYFUNCTION("SUM(QUERY(Entregas_BD!D:AL,""select AJ where D='""&amp;D187&amp;""'"",1))"),0.0)</f>
        <v>0</v>
      </c>
      <c r="X187" s="19">
        <f>IFERROR(__xludf.DUMMYFUNCTION("SUM(QUERY(Entregas_BD!D:AL,""select AL where D='""&amp;D187&amp;""'"",1))"),0.0)</f>
        <v>0</v>
      </c>
      <c r="Y187" s="19">
        <f>IFERROR(__xludf.DUMMYFUNCTION("SUM(QUERY(Entregas_BD!D:AL,""select AK where D='""&amp;D187&amp;""'"",1))"),0.0)</f>
        <v>0</v>
      </c>
      <c r="Z187" s="19">
        <v>-25.0</v>
      </c>
      <c r="AA187" s="19">
        <v>0.0</v>
      </c>
      <c r="AB187" s="19">
        <v>0.0</v>
      </c>
      <c r="AC187" s="19">
        <v>0.0</v>
      </c>
      <c r="AD187" s="19">
        <v>0.0</v>
      </c>
      <c r="AE187" s="19">
        <v>0.0</v>
      </c>
      <c r="AF187" s="24"/>
      <c r="AG187" s="24">
        <f>IFERROR(__xludf.DUMMYFUNCTION("SUM(QUERY(Entregas_BD!D:W,""select U where D='""&amp;D187&amp;""'"",1))"),0.0)</f>
        <v>0</v>
      </c>
      <c r="AH187" s="24">
        <f>IFERROR(__xludf.DUMMYFUNCTION("SUM(QUERY(Entregas_BD!D:W,""select S where D='""&amp;D187&amp;""'"",1))"),0.0)</f>
        <v>0</v>
      </c>
      <c r="AI187" s="24">
        <f>IFERROR(__xludf.DUMMYFUNCTION("SUM(QUERY(Entregas_BD!D:W,""select T where D='""&amp;D187&amp;""'"",1))"),0.0)</f>
        <v>0</v>
      </c>
    </row>
    <row r="188" ht="19.5" customHeight="1">
      <c r="A188" s="7"/>
      <c r="B188" s="8"/>
      <c r="C188" s="9">
        <v>187.0</v>
      </c>
      <c r="D188" s="10" t="s">
        <v>534</v>
      </c>
      <c r="E188" s="10" t="s">
        <v>153</v>
      </c>
      <c r="F188" s="10" t="s">
        <v>535</v>
      </c>
      <c r="G188" s="10" t="s">
        <v>536</v>
      </c>
      <c r="H188" s="12" t="s">
        <v>40</v>
      </c>
      <c r="I188" s="11" t="s">
        <v>41</v>
      </c>
      <c r="J188" s="12"/>
      <c r="K188" s="12"/>
      <c r="L188" s="13"/>
      <c r="M188" s="14"/>
      <c r="N188" s="9">
        <f>IFERROR(__xludf.DUMMYFUNCTION("SUM(QUERY(Entregas_BD!D:L,""select G where D='""&amp;D188&amp;""'"",1))"),0.0)</f>
        <v>0</v>
      </c>
      <c r="O188" s="9">
        <f>IFERROR(__xludf.DUMMYFUNCTION("SUM(QUERY(Entregas_BD!D:L,""select H where D='""&amp;D188&amp;""'"",1))"),0.0)</f>
        <v>0</v>
      </c>
      <c r="P188" s="9">
        <f>IFERROR(__xludf.DUMMYFUNCTION("SUM(QUERY(Entregas_BD!D:L,""select I where D='""&amp;D188&amp;""'"",1))"),0.0)</f>
        <v>0</v>
      </c>
      <c r="Q188" s="9">
        <f>IFERROR(__xludf.DUMMYFUNCTION("SUM(QUERY(Entregas_BD!D:L,""select J where D='""&amp;D188&amp;""'"",1))"),0.0)</f>
        <v>0</v>
      </c>
      <c r="R188" s="15">
        <f>IFERROR(__xludf.DUMMYFUNCTION("SUM(QUERY(Entregas_BD!D:L,""select K where D='""&amp;D188&amp;""'"",1))"),0.0)</f>
        <v>0</v>
      </c>
      <c r="S188" s="15">
        <f>IFERROR(__xludf.DUMMYFUNCTION("SUM(QUERY(Entregas_BD!D:L,""select L where D='""&amp;D188&amp;""'"",1))"),0.0)</f>
        <v>0</v>
      </c>
      <c r="T188" s="9">
        <f>IFERROR(__xludf.DUMMYFUNCTION("SUM(QUERY(Entregas_BD!D:AL,""select AG where D='""&amp;D188&amp;""'"",1))"),0.0)</f>
        <v>0</v>
      </c>
      <c r="U188" s="9">
        <f>IFERROR(__xludf.DUMMYFUNCTION("SUM(QUERY(Entregas_BD!D:AL,""select AH where D='""&amp;D188&amp;""'"",1))"),0.0)</f>
        <v>0</v>
      </c>
      <c r="V188" s="9">
        <f>IFERROR(__xludf.DUMMYFUNCTION("SUM(QUERY(Entregas_BD!D:AL,""select AI where D='""&amp;D188&amp;""'"",1))"),0.0)</f>
        <v>0</v>
      </c>
      <c r="W188" s="9">
        <f>IFERROR(__xludf.DUMMYFUNCTION("SUM(QUERY(Entregas_BD!D:AL,""select AJ where D='""&amp;D188&amp;""'"",1))"),0.0)</f>
        <v>0</v>
      </c>
      <c r="X188" s="9">
        <f>IFERROR(__xludf.DUMMYFUNCTION("SUM(QUERY(Entregas_BD!D:AL,""select AL where D='""&amp;D188&amp;""'"",1))"),0.0)</f>
        <v>0</v>
      </c>
      <c r="Y188" s="9">
        <f>IFERROR(__xludf.DUMMYFUNCTION("SUM(QUERY(Entregas_BD!D:AL,""select AK where D='""&amp;D188&amp;""'"",1))"),0.0)</f>
        <v>0</v>
      </c>
      <c r="Z188" s="9">
        <v>0.0</v>
      </c>
      <c r="AA188" s="9">
        <v>0.0</v>
      </c>
      <c r="AB188" s="9">
        <v>0.0</v>
      </c>
      <c r="AC188" s="9">
        <v>0.0</v>
      </c>
      <c r="AD188" s="9">
        <v>0.0</v>
      </c>
      <c r="AE188" s="9">
        <v>0.0</v>
      </c>
      <c r="AF188" s="15"/>
      <c r="AG188" s="15">
        <f>IFERROR(__xludf.DUMMYFUNCTION("SUM(QUERY(Entregas_BD!D:W,""select U where D='""&amp;D188&amp;""'"",1))"),0.0)</f>
        <v>0</v>
      </c>
      <c r="AH188" s="15">
        <f>IFERROR(__xludf.DUMMYFUNCTION("SUM(QUERY(Entregas_BD!D:W,""select S where D='""&amp;D188&amp;""'"",1))"),0.0)</f>
        <v>0</v>
      </c>
      <c r="AI188" s="15">
        <f>IFERROR(__xludf.DUMMYFUNCTION("SUM(QUERY(Entregas_BD!D:W,""select T where D='""&amp;D188&amp;""'"",1))"),0.0)</f>
        <v>0</v>
      </c>
    </row>
    <row r="189" ht="19.5" customHeight="1">
      <c r="A189" s="17"/>
      <c r="B189" s="18"/>
      <c r="C189" s="19">
        <v>188.0</v>
      </c>
      <c r="D189" s="20" t="s">
        <v>537</v>
      </c>
      <c r="E189" s="20" t="s">
        <v>44</v>
      </c>
      <c r="F189" s="20" t="s">
        <v>45</v>
      </c>
      <c r="G189" s="20" t="s">
        <v>46</v>
      </c>
      <c r="H189" s="19" t="s">
        <v>69</v>
      </c>
      <c r="I189" s="21" t="s">
        <v>41</v>
      </c>
      <c r="J189" s="19"/>
      <c r="K189" s="22"/>
      <c r="L189" s="23"/>
      <c r="M189" s="22"/>
      <c r="N189" s="19">
        <f>IFERROR(__xludf.DUMMYFUNCTION("SUM(QUERY(Entregas_BD!D:L,""select G where D='""&amp;D189&amp;""'"",1))"),0.0)</f>
        <v>0</v>
      </c>
      <c r="O189" s="19">
        <f>IFERROR(__xludf.DUMMYFUNCTION("SUM(QUERY(Entregas_BD!D:L,""select H where D='""&amp;D189&amp;""'"",1))"),0.0)</f>
        <v>0</v>
      </c>
      <c r="P189" s="19">
        <f>IFERROR(__xludf.DUMMYFUNCTION("SUM(QUERY(Entregas_BD!D:L,""select I where D='""&amp;D189&amp;""'"",1))"),0.0)</f>
        <v>0</v>
      </c>
      <c r="Q189" s="19">
        <f>IFERROR(__xludf.DUMMYFUNCTION("SUM(QUERY(Entregas_BD!D:L,""select J where D='""&amp;D189&amp;""'"",1))"),0.0)</f>
        <v>0</v>
      </c>
      <c r="R189" s="24">
        <f>IFERROR(__xludf.DUMMYFUNCTION("SUM(QUERY(Entregas_BD!D:L,""select K where D='""&amp;D189&amp;""'"",1))"),0.0)</f>
        <v>0</v>
      </c>
      <c r="S189" s="24">
        <f>IFERROR(__xludf.DUMMYFUNCTION("SUM(QUERY(Entregas_BD!D:L,""select L where D='""&amp;D189&amp;""'"",1))"),0.0)</f>
        <v>0</v>
      </c>
      <c r="T189" s="19">
        <f>IFERROR(__xludf.DUMMYFUNCTION("SUM(QUERY(Entregas_BD!D:AL,""select AG where D='""&amp;D189&amp;""'"",1))"),0.0)</f>
        <v>0</v>
      </c>
      <c r="U189" s="19">
        <f>IFERROR(__xludf.DUMMYFUNCTION("SUM(QUERY(Entregas_BD!D:AL,""select AH where D='""&amp;D189&amp;""'"",1))"),0.0)</f>
        <v>0</v>
      </c>
      <c r="V189" s="19">
        <f>IFERROR(__xludf.DUMMYFUNCTION("SUM(QUERY(Entregas_BD!D:AL,""select AI where D='""&amp;D189&amp;""'"",1))"),0.0)</f>
        <v>0</v>
      </c>
      <c r="W189" s="19">
        <f>IFERROR(__xludf.DUMMYFUNCTION("SUM(QUERY(Entregas_BD!D:AL,""select AJ where D='""&amp;D189&amp;""'"",1))"),0.0)</f>
        <v>0</v>
      </c>
      <c r="X189" s="19">
        <f>IFERROR(__xludf.DUMMYFUNCTION("SUM(QUERY(Entregas_BD!D:AL,""select AL where D='""&amp;D189&amp;""'"",1))"),0.0)</f>
        <v>0</v>
      </c>
      <c r="Y189" s="19">
        <f>IFERROR(__xludf.DUMMYFUNCTION("SUM(QUERY(Entregas_BD!D:AL,""select AK where D='""&amp;D189&amp;""'"",1))"),0.0)</f>
        <v>0</v>
      </c>
      <c r="Z189" s="19">
        <v>0.0</v>
      </c>
      <c r="AA189" s="19">
        <v>0.0</v>
      </c>
      <c r="AB189" s="19">
        <v>0.0</v>
      </c>
      <c r="AC189" s="19">
        <v>0.0</v>
      </c>
      <c r="AD189" s="19">
        <v>0.0</v>
      </c>
      <c r="AE189" s="19">
        <v>0.0</v>
      </c>
      <c r="AF189" s="24"/>
      <c r="AG189" s="24">
        <f>IFERROR(__xludf.DUMMYFUNCTION("SUM(QUERY(Entregas_BD!D:W,""select U where D='""&amp;D189&amp;""'"",1))"),0.0)</f>
        <v>0</v>
      </c>
      <c r="AH189" s="24">
        <f>IFERROR(__xludf.DUMMYFUNCTION("SUM(QUERY(Entregas_BD!D:W,""select S where D='""&amp;D189&amp;""'"",1))"),0.0)</f>
        <v>0</v>
      </c>
      <c r="AI189" s="24">
        <f>IFERROR(__xludf.DUMMYFUNCTION("SUM(QUERY(Entregas_BD!D:W,""select T where D='""&amp;D189&amp;""'"",1))"),0.0)</f>
        <v>0</v>
      </c>
    </row>
    <row r="190" ht="19.5" customHeight="1">
      <c r="A190" s="26"/>
      <c r="B190" s="27"/>
      <c r="C190" s="9">
        <v>189.0</v>
      </c>
      <c r="D190" s="10" t="s">
        <v>538</v>
      </c>
      <c r="E190" s="10" t="s">
        <v>44</v>
      </c>
      <c r="F190" s="10" t="s">
        <v>45</v>
      </c>
      <c r="G190" s="10" t="s">
        <v>177</v>
      </c>
      <c r="H190" s="9" t="s">
        <v>40</v>
      </c>
      <c r="I190" s="11" t="s">
        <v>47</v>
      </c>
      <c r="J190" s="9"/>
      <c r="K190" s="12"/>
      <c r="L190" s="13"/>
      <c r="M190" s="12"/>
      <c r="N190" s="9">
        <f>IFERROR(__xludf.DUMMYFUNCTION("SUM(QUERY(Entregas_BD!D:L,""select G where D='""&amp;D190&amp;""'"",1))"),0.0)</f>
        <v>0</v>
      </c>
      <c r="O190" s="9">
        <f>IFERROR(__xludf.DUMMYFUNCTION("SUM(QUERY(Entregas_BD!D:L,""select H where D='""&amp;D190&amp;""'"",1))"),0.0)</f>
        <v>0</v>
      </c>
      <c r="P190" s="9">
        <f>IFERROR(__xludf.DUMMYFUNCTION("SUM(QUERY(Entregas_BD!D:L,""select I where D='""&amp;D190&amp;""'"",1))"),0.0)</f>
        <v>0</v>
      </c>
      <c r="Q190" s="9">
        <f>IFERROR(__xludf.DUMMYFUNCTION("SUM(QUERY(Entregas_BD!D:L,""select J where D='""&amp;D190&amp;""'"",1))"),0.0)</f>
        <v>0</v>
      </c>
      <c r="R190" s="15">
        <f>IFERROR(__xludf.DUMMYFUNCTION("SUM(QUERY(Entregas_BD!D:L,""select K where D='""&amp;D190&amp;""'"",1))"),0.0)</f>
        <v>0</v>
      </c>
      <c r="S190" s="15">
        <f>IFERROR(__xludf.DUMMYFUNCTION("SUM(QUERY(Entregas_BD!D:L,""select L where D='""&amp;D190&amp;""'"",1))"),0.0)</f>
        <v>0</v>
      </c>
      <c r="T190" s="9">
        <f>IFERROR(__xludf.DUMMYFUNCTION("SUM(QUERY(Entregas_BD!D:AL,""select AG where D='""&amp;D190&amp;""'"",1))"),50.0)</f>
        <v>50</v>
      </c>
      <c r="U190" s="9">
        <f>IFERROR(__xludf.DUMMYFUNCTION("SUM(QUERY(Entregas_BD!D:AL,""select AH where D='""&amp;D190&amp;""'"",1))"),0.0)</f>
        <v>0</v>
      </c>
      <c r="V190" s="9">
        <f>IFERROR(__xludf.DUMMYFUNCTION("SUM(QUERY(Entregas_BD!D:AL,""select AI where D='""&amp;D190&amp;""'"",1))"),0.0)</f>
        <v>0</v>
      </c>
      <c r="W190" s="9">
        <f>IFERROR(__xludf.DUMMYFUNCTION("SUM(QUERY(Entregas_BD!D:AL,""select AJ where D='""&amp;D190&amp;""'"",1))"),0.0)</f>
        <v>0</v>
      </c>
      <c r="X190" s="9">
        <f>IFERROR(__xludf.DUMMYFUNCTION("SUM(QUERY(Entregas_BD!D:AL,""select AL where D='""&amp;D190&amp;""'"",1))"),0.0)</f>
        <v>0</v>
      </c>
      <c r="Y190" s="9">
        <f>IFERROR(__xludf.DUMMYFUNCTION("SUM(QUERY(Entregas_BD!D:AL,""select AK where D='""&amp;D190&amp;""'"",1))"),0.0)</f>
        <v>0</v>
      </c>
      <c r="Z190" s="9">
        <v>-50.0</v>
      </c>
      <c r="AA190" s="9">
        <v>0.0</v>
      </c>
      <c r="AB190" s="9">
        <v>0.0</v>
      </c>
      <c r="AC190" s="9">
        <v>0.0</v>
      </c>
      <c r="AD190" s="9">
        <v>0.0</v>
      </c>
      <c r="AE190" s="9">
        <v>0.0</v>
      </c>
      <c r="AF190" s="12"/>
      <c r="AG190" s="15">
        <f>IFERROR(__xludf.DUMMYFUNCTION("SUM(QUERY(Entregas_BD!D:W,""select U where D='""&amp;D190&amp;""'"",1))"),0.0)</f>
        <v>0</v>
      </c>
      <c r="AH190" s="15">
        <f>IFERROR(__xludf.DUMMYFUNCTION("SUM(QUERY(Entregas_BD!D:W,""select S where D='""&amp;D190&amp;""'"",1))"),0.0)</f>
        <v>0</v>
      </c>
      <c r="AI190" s="15">
        <f>IFERROR(__xludf.DUMMYFUNCTION("SUM(QUERY(Entregas_BD!D:W,""select T where D='""&amp;D190&amp;""'"",1))"),0.0)</f>
        <v>0</v>
      </c>
    </row>
    <row r="191" ht="19.5" customHeight="1">
      <c r="A191" s="28"/>
      <c r="B191" s="29"/>
      <c r="C191" s="19">
        <v>190.0</v>
      </c>
      <c r="D191" s="46" t="s">
        <v>539</v>
      </c>
      <c r="E191" s="20" t="s">
        <v>63</v>
      </c>
      <c r="F191" s="20" t="s">
        <v>64</v>
      </c>
      <c r="G191" s="20" t="s">
        <v>540</v>
      </c>
      <c r="H191" s="19" t="s">
        <v>69</v>
      </c>
      <c r="I191" s="21" t="s">
        <v>41</v>
      </c>
      <c r="J191" s="22"/>
      <c r="K191" s="22"/>
      <c r="L191" s="23"/>
      <c r="M191" s="22"/>
      <c r="N191" s="19">
        <f>IFERROR(__xludf.DUMMYFUNCTION("SUM(QUERY(Entregas_BD!D:L,""select G where D='""&amp;D191&amp;""'"",1))"),0.0)</f>
        <v>0</v>
      </c>
      <c r="O191" s="19">
        <f>IFERROR(__xludf.DUMMYFUNCTION("SUM(QUERY(Entregas_BD!D:L,""select H where D='""&amp;D191&amp;""'"",1))"),0.0)</f>
        <v>0</v>
      </c>
      <c r="P191" s="19">
        <f>IFERROR(__xludf.DUMMYFUNCTION("SUM(QUERY(Entregas_BD!D:L,""select I where D='""&amp;D191&amp;""'"",1))"),0.0)</f>
        <v>0</v>
      </c>
      <c r="Q191" s="19">
        <f>IFERROR(__xludf.DUMMYFUNCTION("SUM(QUERY(Entregas_BD!D:L,""select J where D='""&amp;D191&amp;""'"",1))"),0.0)</f>
        <v>0</v>
      </c>
      <c r="R191" s="24">
        <f>IFERROR(__xludf.DUMMYFUNCTION("SUM(QUERY(Entregas_BD!D:L,""select K where D='""&amp;D191&amp;""'"",1))"),0.0)</f>
        <v>0</v>
      </c>
      <c r="S191" s="24">
        <f>IFERROR(__xludf.DUMMYFUNCTION("SUM(QUERY(Entregas_BD!D:L,""select L where D='""&amp;D191&amp;""'"",1))"),0.0)</f>
        <v>0</v>
      </c>
      <c r="T191" s="19">
        <f>IFERROR(__xludf.DUMMYFUNCTION("SUM(QUERY(Entregas_BD!D:AL,""select AG where D='""&amp;D191&amp;""'"",1))"),5.0)</f>
        <v>5</v>
      </c>
      <c r="U191" s="19">
        <f>IFERROR(__xludf.DUMMYFUNCTION("SUM(QUERY(Entregas_BD!D:AL,""select AH where D='""&amp;D191&amp;""'"",1))"),0.0)</f>
        <v>0</v>
      </c>
      <c r="V191" s="19">
        <f>IFERROR(__xludf.DUMMYFUNCTION("SUM(QUERY(Entregas_BD!D:AL,""select AI where D='""&amp;D191&amp;""'"",1))"),0.0)</f>
        <v>0</v>
      </c>
      <c r="W191" s="19">
        <f>IFERROR(__xludf.DUMMYFUNCTION("SUM(QUERY(Entregas_BD!D:AL,""select AJ where D='""&amp;D191&amp;""'"",1))"),0.0)</f>
        <v>0</v>
      </c>
      <c r="X191" s="19">
        <f>IFERROR(__xludf.DUMMYFUNCTION("SUM(QUERY(Entregas_BD!D:AL,""select AL where D='""&amp;D191&amp;""'"",1))"),0.0)</f>
        <v>0</v>
      </c>
      <c r="Y191" s="19">
        <f>IFERROR(__xludf.DUMMYFUNCTION("SUM(QUERY(Entregas_BD!D:AL,""select AK where D='""&amp;D191&amp;""'"",1))"),0.0)</f>
        <v>0</v>
      </c>
      <c r="Z191" s="19">
        <v>-5.0</v>
      </c>
      <c r="AA191" s="19">
        <v>0.0</v>
      </c>
      <c r="AB191" s="19">
        <v>0.0</v>
      </c>
      <c r="AC191" s="19">
        <v>0.0</v>
      </c>
      <c r="AD191" s="19">
        <v>0.0</v>
      </c>
      <c r="AE191" s="19">
        <v>0.0</v>
      </c>
      <c r="AF191" s="24"/>
      <c r="AG191" s="24">
        <f>IFERROR(__xludf.DUMMYFUNCTION("SUM(QUERY(Entregas_BD!D:W,""select U where D='""&amp;D191&amp;""'"",1))"),0.0)</f>
        <v>0</v>
      </c>
      <c r="AH191" s="24">
        <f>IFERROR(__xludf.DUMMYFUNCTION("SUM(QUERY(Entregas_BD!D:W,""select S where D='""&amp;D191&amp;""'"",1))"),0.0)</f>
        <v>0</v>
      </c>
      <c r="AI191" s="24">
        <f>IFERROR(__xludf.DUMMYFUNCTION("SUM(QUERY(Entregas_BD!D:W,""select T where D='""&amp;D191&amp;""'"",1))"),0.0)</f>
        <v>0</v>
      </c>
    </row>
    <row r="192" ht="19.5" customHeight="1">
      <c r="A192" s="7"/>
      <c r="B192" s="8"/>
      <c r="C192" s="9">
        <v>191.0</v>
      </c>
      <c r="D192" s="10" t="s">
        <v>541</v>
      </c>
      <c r="E192" s="10" t="s">
        <v>58</v>
      </c>
      <c r="F192" s="10" t="s">
        <v>45</v>
      </c>
      <c r="G192" s="10" t="s">
        <v>542</v>
      </c>
      <c r="H192" s="9" t="s">
        <v>69</v>
      </c>
      <c r="I192" s="11" t="s">
        <v>41</v>
      </c>
      <c r="J192" s="9"/>
      <c r="K192" s="12"/>
      <c r="L192" s="13"/>
      <c r="M192" s="12"/>
      <c r="N192" s="9">
        <f>IFERROR(__xludf.DUMMYFUNCTION("SUM(QUERY(Entregas_BD!D:L,""select G where D='""&amp;D192&amp;""'"",1))"),0.0)</f>
        <v>0</v>
      </c>
      <c r="O192" s="9">
        <f>IFERROR(__xludf.DUMMYFUNCTION("SUM(QUERY(Entregas_BD!D:L,""select H where D='""&amp;D192&amp;""'"",1))"),0.0)</f>
        <v>0</v>
      </c>
      <c r="P192" s="9">
        <f>IFERROR(__xludf.DUMMYFUNCTION("SUM(QUERY(Entregas_BD!D:L,""select I where D='""&amp;D192&amp;""'"",1))"),0.0)</f>
        <v>0</v>
      </c>
      <c r="Q192" s="9">
        <f>IFERROR(__xludf.DUMMYFUNCTION("SUM(QUERY(Entregas_BD!D:L,""select J where D='""&amp;D192&amp;""'"",1))"),0.0)</f>
        <v>0</v>
      </c>
      <c r="R192" s="15">
        <f>IFERROR(__xludf.DUMMYFUNCTION("SUM(QUERY(Entregas_BD!D:L,""select K where D='""&amp;D192&amp;""'"",1))"),0.0)</f>
        <v>0</v>
      </c>
      <c r="S192" s="15">
        <f>IFERROR(__xludf.DUMMYFUNCTION("SUM(QUERY(Entregas_BD!D:L,""select L where D='""&amp;D192&amp;""'"",1))"),0.0)</f>
        <v>0</v>
      </c>
      <c r="T192" s="9">
        <f>IFERROR(__xludf.DUMMYFUNCTION("SUM(QUERY(Entregas_BD!D:AL,""select AG where D='""&amp;D192&amp;""'"",1))"),5.0)</f>
        <v>5</v>
      </c>
      <c r="U192" s="9">
        <f>IFERROR(__xludf.DUMMYFUNCTION("SUM(QUERY(Entregas_BD!D:AL,""select AH where D='""&amp;D192&amp;""'"",1))"),0.0)</f>
        <v>0</v>
      </c>
      <c r="V192" s="9">
        <f>IFERROR(__xludf.DUMMYFUNCTION("SUM(QUERY(Entregas_BD!D:AL,""select AI where D='""&amp;D192&amp;""'"",1))"),0.0)</f>
        <v>0</v>
      </c>
      <c r="W192" s="9">
        <f>IFERROR(__xludf.DUMMYFUNCTION("SUM(QUERY(Entregas_BD!D:AL,""select AJ where D='""&amp;D192&amp;""'"",1))"),0.0)</f>
        <v>0</v>
      </c>
      <c r="X192" s="9">
        <f>IFERROR(__xludf.DUMMYFUNCTION("SUM(QUERY(Entregas_BD!D:AL,""select AL where D='""&amp;D192&amp;""'"",1))"),0.0)</f>
        <v>0</v>
      </c>
      <c r="Y192" s="9">
        <f>IFERROR(__xludf.DUMMYFUNCTION("SUM(QUERY(Entregas_BD!D:AL,""select AK where D='""&amp;D192&amp;""'"",1))"),25.0)</f>
        <v>25</v>
      </c>
      <c r="Z192" s="9">
        <v>-5.0</v>
      </c>
      <c r="AA192" s="9">
        <v>0.0</v>
      </c>
      <c r="AB192" s="9">
        <v>0.0</v>
      </c>
      <c r="AC192" s="9">
        <v>0.0</v>
      </c>
      <c r="AD192" s="9">
        <v>-25.0</v>
      </c>
      <c r="AE192" s="9">
        <v>0.0</v>
      </c>
      <c r="AF192" s="12"/>
      <c r="AG192" s="15">
        <f>IFERROR(__xludf.DUMMYFUNCTION("SUM(QUERY(Entregas_BD!D:W,""select U where D='""&amp;D192&amp;""'"",1))"),0.0)</f>
        <v>0</v>
      </c>
      <c r="AH192" s="15">
        <f>IFERROR(__xludf.DUMMYFUNCTION("SUM(QUERY(Entregas_BD!D:W,""select S where D='""&amp;D192&amp;""'"",1))"),0.0)</f>
        <v>0</v>
      </c>
      <c r="AI192" s="15">
        <f>IFERROR(__xludf.DUMMYFUNCTION("SUM(QUERY(Entregas_BD!D:W,""select T where D='""&amp;D192&amp;""'"",1))"),0.0)</f>
        <v>0</v>
      </c>
    </row>
    <row r="193" ht="19.5" customHeight="1">
      <c r="A193" s="28"/>
      <c r="B193" s="29"/>
      <c r="C193" s="19">
        <v>192.0</v>
      </c>
      <c r="D193" s="20" t="s">
        <v>543</v>
      </c>
      <c r="E193" s="20" t="s">
        <v>63</v>
      </c>
      <c r="F193" s="20" t="s">
        <v>139</v>
      </c>
      <c r="G193" s="20" t="s">
        <v>544</v>
      </c>
      <c r="H193" s="19" t="s">
        <v>69</v>
      </c>
      <c r="I193" s="21" t="s">
        <v>41</v>
      </c>
      <c r="J193" s="22"/>
      <c r="K193" s="22"/>
      <c r="L193" s="23"/>
      <c r="M193" s="22"/>
      <c r="N193" s="19">
        <f>IFERROR(__xludf.DUMMYFUNCTION("SUM(QUERY(Entregas_BD!D:L,""select G where D='""&amp;D193&amp;""'"",1))"),0.0)</f>
        <v>0</v>
      </c>
      <c r="O193" s="19">
        <f>IFERROR(__xludf.DUMMYFUNCTION("SUM(QUERY(Entregas_BD!D:L,""select H where D='""&amp;D193&amp;""'"",1))"),0.0)</f>
        <v>0</v>
      </c>
      <c r="P193" s="19">
        <f>IFERROR(__xludf.DUMMYFUNCTION("SUM(QUERY(Entregas_BD!D:L,""select I where D='""&amp;D193&amp;""'"",1))"),0.0)</f>
        <v>0</v>
      </c>
      <c r="Q193" s="19">
        <f>IFERROR(__xludf.DUMMYFUNCTION("SUM(QUERY(Entregas_BD!D:L,""select J where D='""&amp;D193&amp;""'"",1))"),0.0)</f>
        <v>0</v>
      </c>
      <c r="R193" s="24">
        <f>IFERROR(__xludf.DUMMYFUNCTION("SUM(QUERY(Entregas_BD!D:L,""select K where D='""&amp;D193&amp;""'"",1))"),0.0)</f>
        <v>0</v>
      </c>
      <c r="S193" s="24">
        <f>IFERROR(__xludf.DUMMYFUNCTION("SUM(QUERY(Entregas_BD!D:L,""select L where D='""&amp;D193&amp;""'"",1))"),0.0)</f>
        <v>0</v>
      </c>
      <c r="T193" s="19">
        <f>IFERROR(__xludf.DUMMYFUNCTION("SUM(QUERY(Entregas_BD!D:AL,""select AG where D='""&amp;D193&amp;""'"",1))"),20.0)</f>
        <v>20</v>
      </c>
      <c r="U193" s="19">
        <f>IFERROR(__xludf.DUMMYFUNCTION("SUM(QUERY(Entregas_BD!D:AL,""select AH where D='""&amp;D193&amp;""'"",1))"),0.0)</f>
        <v>0</v>
      </c>
      <c r="V193" s="19">
        <f>IFERROR(__xludf.DUMMYFUNCTION("SUM(QUERY(Entregas_BD!D:AL,""select AI where D='""&amp;D193&amp;""'"",1))"),0.0)</f>
        <v>0</v>
      </c>
      <c r="W193" s="19">
        <f>IFERROR(__xludf.DUMMYFUNCTION("SUM(QUERY(Entregas_BD!D:AL,""select AJ where D='""&amp;D193&amp;""'"",1))"),0.0)</f>
        <v>0</v>
      </c>
      <c r="X193" s="19">
        <f>IFERROR(__xludf.DUMMYFUNCTION("SUM(QUERY(Entregas_BD!D:AL,""select AL where D='""&amp;D193&amp;""'"",1))"),0.0)</f>
        <v>0</v>
      </c>
      <c r="Y193" s="19">
        <f>IFERROR(__xludf.DUMMYFUNCTION("SUM(QUERY(Entregas_BD!D:AL,""select AK where D='""&amp;D193&amp;""'"",1))"),0.0)</f>
        <v>0</v>
      </c>
      <c r="Z193" s="19">
        <v>-20.0</v>
      </c>
      <c r="AA193" s="19">
        <v>0.0</v>
      </c>
      <c r="AB193" s="19">
        <v>0.0</v>
      </c>
      <c r="AC193" s="19">
        <v>0.0</v>
      </c>
      <c r="AD193" s="19">
        <v>0.0</v>
      </c>
      <c r="AE193" s="19">
        <v>0.0</v>
      </c>
      <c r="AF193" s="24"/>
      <c r="AG193" s="24">
        <f>IFERROR(__xludf.DUMMYFUNCTION("SUM(QUERY(Entregas_BD!D:W,""select U where D='""&amp;D193&amp;""'"",1))"),0.0)</f>
        <v>0</v>
      </c>
      <c r="AH193" s="24">
        <f>IFERROR(__xludf.DUMMYFUNCTION("SUM(QUERY(Entregas_BD!D:W,""select S where D='""&amp;D193&amp;""'"",1))"),0.0)</f>
        <v>0</v>
      </c>
      <c r="AI193" s="24">
        <f>IFERROR(__xludf.DUMMYFUNCTION("SUM(QUERY(Entregas_BD!D:W,""select T where D='""&amp;D193&amp;""'"",1))"),0.0)</f>
        <v>0</v>
      </c>
    </row>
    <row r="194" ht="19.5" customHeight="1">
      <c r="A194" s="26"/>
      <c r="B194" s="27"/>
      <c r="C194" s="9">
        <v>193.0</v>
      </c>
      <c r="D194" s="10" t="s">
        <v>545</v>
      </c>
      <c r="E194" s="10" t="s">
        <v>44</v>
      </c>
      <c r="F194" s="10" t="s">
        <v>45</v>
      </c>
      <c r="G194" s="10" t="s">
        <v>362</v>
      </c>
      <c r="H194" s="9" t="s">
        <v>69</v>
      </c>
      <c r="I194" s="11" t="s">
        <v>41</v>
      </c>
      <c r="J194" s="9"/>
      <c r="K194" s="12"/>
      <c r="L194" s="13"/>
      <c r="M194" s="12"/>
      <c r="N194" s="9">
        <f>IFERROR(__xludf.DUMMYFUNCTION("SUM(QUERY(Entregas_BD!D:L,""select G where D='""&amp;D194&amp;""'"",1))"),0.0)</f>
        <v>0</v>
      </c>
      <c r="O194" s="9">
        <f>IFERROR(__xludf.DUMMYFUNCTION("SUM(QUERY(Entregas_BD!D:L,""select H where D='""&amp;D194&amp;""'"",1))"),0.0)</f>
        <v>0</v>
      </c>
      <c r="P194" s="9">
        <f>IFERROR(__xludf.DUMMYFUNCTION("SUM(QUERY(Entregas_BD!D:L,""select I where D='""&amp;D194&amp;""'"",1))"),0.0)</f>
        <v>0</v>
      </c>
      <c r="Q194" s="9">
        <f>IFERROR(__xludf.DUMMYFUNCTION("SUM(QUERY(Entregas_BD!D:L,""select J where D='""&amp;D194&amp;""'"",1))"),0.0)</f>
        <v>0</v>
      </c>
      <c r="R194" s="15">
        <f>IFERROR(__xludf.DUMMYFUNCTION("SUM(QUERY(Entregas_BD!D:L,""select K where D='""&amp;D194&amp;""'"",1))"),0.0)</f>
        <v>0</v>
      </c>
      <c r="S194" s="15">
        <f>IFERROR(__xludf.DUMMYFUNCTION("SUM(QUERY(Entregas_BD!D:L,""select L where D='""&amp;D194&amp;""'"",1))"),0.0)</f>
        <v>0</v>
      </c>
      <c r="T194" s="9">
        <f>IFERROR(__xludf.DUMMYFUNCTION("SUM(QUERY(Entregas_BD!D:AL,""select AG where D='""&amp;D194&amp;""'"",1))"),55.0)</f>
        <v>55</v>
      </c>
      <c r="U194" s="9">
        <f>IFERROR(__xludf.DUMMYFUNCTION("SUM(QUERY(Entregas_BD!D:AL,""select AH where D='""&amp;D194&amp;""'"",1))"),0.0)</f>
        <v>0</v>
      </c>
      <c r="V194" s="9">
        <f>IFERROR(__xludf.DUMMYFUNCTION("SUM(QUERY(Entregas_BD!D:AL,""select AI where D='""&amp;D194&amp;""'"",1))"),0.0)</f>
        <v>0</v>
      </c>
      <c r="W194" s="9">
        <f>IFERROR(__xludf.DUMMYFUNCTION("SUM(QUERY(Entregas_BD!D:AL,""select AJ where D='""&amp;D194&amp;""'"",1))"),25.0)</f>
        <v>25</v>
      </c>
      <c r="X194" s="9">
        <f>IFERROR(__xludf.DUMMYFUNCTION("SUM(QUERY(Entregas_BD!D:AL,""select AL where D='""&amp;D194&amp;""'"",1))"),25.0)</f>
        <v>25</v>
      </c>
      <c r="Y194" s="9">
        <f>IFERROR(__xludf.DUMMYFUNCTION("SUM(QUERY(Entregas_BD!D:AL,""select AK where D='""&amp;D194&amp;""'"",1))"),5.0)</f>
        <v>5</v>
      </c>
      <c r="Z194" s="9">
        <v>-55.0</v>
      </c>
      <c r="AA194" s="9">
        <v>0.0</v>
      </c>
      <c r="AB194" s="9">
        <v>0.0</v>
      </c>
      <c r="AC194" s="9">
        <v>-25.0</v>
      </c>
      <c r="AD194" s="9">
        <v>-5.0</v>
      </c>
      <c r="AE194" s="9">
        <v>-25.0</v>
      </c>
      <c r="AF194" s="12"/>
      <c r="AG194" s="15">
        <f>IFERROR(__xludf.DUMMYFUNCTION("SUM(QUERY(Entregas_BD!D:W,""select U where D='""&amp;D194&amp;""'"",1))"),0.0)</f>
        <v>0</v>
      </c>
      <c r="AH194" s="15">
        <f>IFERROR(__xludf.DUMMYFUNCTION("SUM(QUERY(Entregas_BD!D:W,""select S where D='""&amp;D194&amp;""'"",1))"),0.0)</f>
        <v>0</v>
      </c>
      <c r="AI194" s="15">
        <f>IFERROR(__xludf.DUMMYFUNCTION("SUM(QUERY(Entregas_BD!D:W,""select T where D='""&amp;D194&amp;""'"",1))"),0.0)</f>
        <v>0</v>
      </c>
    </row>
    <row r="195" ht="19.5" customHeight="1">
      <c r="A195" s="28"/>
      <c r="B195" s="29"/>
      <c r="C195" s="19">
        <v>194.0</v>
      </c>
      <c r="D195" s="20" t="s">
        <v>546</v>
      </c>
      <c r="E195" s="20" t="s">
        <v>54</v>
      </c>
      <c r="F195" s="20" t="s">
        <v>45</v>
      </c>
      <c r="G195" s="20" t="s">
        <v>499</v>
      </c>
      <c r="H195" s="19" t="s">
        <v>69</v>
      </c>
      <c r="I195" s="21" t="s">
        <v>41</v>
      </c>
      <c r="J195" s="22"/>
      <c r="K195" s="22"/>
      <c r="L195" s="23"/>
      <c r="M195" s="22"/>
      <c r="N195" s="19">
        <f>IFERROR(__xludf.DUMMYFUNCTION("SUM(QUERY(Entregas_BD!D:L,""select G where D='""&amp;D195&amp;""'"",1))"),0.0)</f>
        <v>0</v>
      </c>
      <c r="O195" s="19">
        <f>IFERROR(__xludf.DUMMYFUNCTION("SUM(QUERY(Entregas_BD!D:L,""select H where D='""&amp;D195&amp;""'"",1))"),0.0)</f>
        <v>0</v>
      </c>
      <c r="P195" s="19">
        <f>IFERROR(__xludf.DUMMYFUNCTION("SUM(QUERY(Entregas_BD!D:L,""select I where D='""&amp;D195&amp;""'"",1))"),0.0)</f>
        <v>0</v>
      </c>
      <c r="Q195" s="19">
        <f>IFERROR(__xludf.DUMMYFUNCTION("SUM(QUERY(Entregas_BD!D:L,""select J where D='""&amp;D195&amp;""'"",1))"),0.0)</f>
        <v>0</v>
      </c>
      <c r="R195" s="24">
        <f>IFERROR(__xludf.DUMMYFUNCTION("SUM(QUERY(Entregas_BD!D:L,""select K where D='""&amp;D195&amp;""'"",1))"),0.0)</f>
        <v>0</v>
      </c>
      <c r="S195" s="24">
        <f>IFERROR(__xludf.DUMMYFUNCTION("SUM(QUERY(Entregas_BD!D:L,""select L where D='""&amp;D195&amp;""'"",1))"),0.0)</f>
        <v>0</v>
      </c>
      <c r="T195" s="19">
        <f>IFERROR(__xludf.DUMMYFUNCTION("SUM(QUERY(Entregas_BD!D:AL,""select AG where D='""&amp;D195&amp;""'"",1))"),20.0)</f>
        <v>20</v>
      </c>
      <c r="U195" s="19">
        <f>IFERROR(__xludf.DUMMYFUNCTION("SUM(QUERY(Entregas_BD!D:AL,""select AH where D='""&amp;D195&amp;""'"",1))"),0.0)</f>
        <v>0</v>
      </c>
      <c r="V195" s="19">
        <f>IFERROR(__xludf.DUMMYFUNCTION("SUM(QUERY(Entregas_BD!D:AL,""select AI where D='""&amp;D195&amp;""'"",1))"),0.0)</f>
        <v>0</v>
      </c>
      <c r="W195" s="19">
        <f>IFERROR(__xludf.DUMMYFUNCTION("SUM(QUERY(Entregas_BD!D:AL,""select AJ where D='""&amp;D195&amp;""'"",1))"),0.0)</f>
        <v>0</v>
      </c>
      <c r="X195" s="19">
        <f>IFERROR(__xludf.DUMMYFUNCTION("SUM(QUERY(Entregas_BD!D:AL,""select AL where D='""&amp;D195&amp;""'"",1))"),25.0)</f>
        <v>25</v>
      </c>
      <c r="Y195" s="19">
        <f>IFERROR(__xludf.DUMMYFUNCTION("SUM(QUERY(Entregas_BD!D:AL,""select AK where D='""&amp;D195&amp;""'"",1))"),0.0)</f>
        <v>0</v>
      </c>
      <c r="Z195" s="19">
        <v>-20.0</v>
      </c>
      <c r="AA195" s="19">
        <v>0.0</v>
      </c>
      <c r="AB195" s="19">
        <v>0.0</v>
      </c>
      <c r="AC195" s="19">
        <v>0.0</v>
      </c>
      <c r="AD195" s="19">
        <v>0.0</v>
      </c>
      <c r="AE195" s="19">
        <v>-25.0</v>
      </c>
      <c r="AF195" s="24"/>
      <c r="AG195" s="24">
        <f>IFERROR(__xludf.DUMMYFUNCTION("SUM(QUERY(Entregas_BD!D:W,""select U where D='""&amp;D195&amp;""'"",1))"),0.0)</f>
        <v>0</v>
      </c>
      <c r="AH195" s="24">
        <f>IFERROR(__xludf.DUMMYFUNCTION("SUM(QUERY(Entregas_BD!D:W,""select S where D='""&amp;D195&amp;""'"",1))"),0.0)</f>
        <v>0</v>
      </c>
      <c r="AI195" s="24">
        <f>IFERROR(__xludf.DUMMYFUNCTION("SUM(QUERY(Entregas_BD!D:W,""select T where D='""&amp;D195&amp;""'"",1))"),0.0)</f>
        <v>0</v>
      </c>
    </row>
    <row r="196" ht="19.5" customHeight="1">
      <c r="A196" s="7"/>
      <c r="B196" s="8"/>
      <c r="C196" s="9">
        <v>195.0</v>
      </c>
      <c r="D196" s="10" t="s">
        <v>547</v>
      </c>
      <c r="E196" s="10" t="s">
        <v>58</v>
      </c>
      <c r="F196" s="10" t="s">
        <v>45</v>
      </c>
      <c r="G196" s="10" t="s">
        <v>548</v>
      </c>
      <c r="H196" s="9" t="s">
        <v>69</v>
      </c>
      <c r="I196" s="11" t="s">
        <v>41</v>
      </c>
      <c r="J196" s="9"/>
      <c r="K196" s="12"/>
      <c r="L196" s="13"/>
      <c r="M196" s="12"/>
      <c r="N196" s="9">
        <f>IFERROR(__xludf.DUMMYFUNCTION("SUM(QUERY(Entregas_BD!D:L,""select G where D='""&amp;D196&amp;""'"",1))"),0.0)</f>
        <v>0</v>
      </c>
      <c r="O196" s="9">
        <f>IFERROR(__xludf.DUMMYFUNCTION("SUM(QUERY(Entregas_BD!D:L,""select H where D='""&amp;D196&amp;""'"",1))"),0.0)</f>
        <v>0</v>
      </c>
      <c r="P196" s="9">
        <f>IFERROR(__xludf.DUMMYFUNCTION("SUM(QUERY(Entregas_BD!D:L,""select I where D='""&amp;D196&amp;""'"",1))"),0.0)</f>
        <v>0</v>
      </c>
      <c r="Q196" s="9">
        <f>IFERROR(__xludf.DUMMYFUNCTION("SUM(QUERY(Entregas_BD!D:L,""select J where D='""&amp;D196&amp;""'"",1))"),0.0)</f>
        <v>0</v>
      </c>
      <c r="R196" s="15">
        <f>IFERROR(__xludf.DUMMYFUNCTION("SUM(QUERY(Entregas_BD!D:L,""select K where D='""&amp;D196&amp;""'"",1))"),0.0)</f>
        <v>0</v>
      </c>
      <c r="S196" s="15">
        <f>IFERROR(__xludf.DUMMYFUNCTION("SUM(QUERY(Entregas_BD!D:L,""select L where D='""&amp;D196&amp;""'"",1))"),0.0)</f>
        <v>0</v>
      </c>
      <c r="T196" s="9">
        <f>IFERROR(__xludf.DUMMYFUNCTION("SUM(QUERY(Entregas_BD!D:AL,""select AG where D='""&amp;D196&amp;""'"",1))"),0.0)</f>
        <v>0</v>
      </c>
      <c r="U196" s="9">
        <f>IFERROR(__xludf.DUMMYFUNCTION("SUM(QUERY(Entregas_BD!D:AL,""select AH where D='""&amp;D196&amp;""'"",1))"),0.0)</f>
        <v>0</v>
      </c>
      <c r="V196" s="9">
        <f>IFERROR(__xludf.DUMMYFUNCTION("SUM(QUERY(Entregas_BD!D:AL,""select AI where D='""&amp;D196&amp;""'"",1))"),0.0)</f>
        <v>0</v>
      </c>
      <c r="W196" s="9">
        <f>IFERROR(__xludf.DUMMYFUNCTION("SUM(QUERY(Entregas_BD!D:AL,""select AJ where D='""&amp;D196&amp;""'"",1))"),0.0)</f>
        <v>0</v>
      </c>
      <c r="X196" s="9">
        <f>IFERROR(__xludf.DUMMYFUNCTION("SUM(QUERY(Entregas_BD!D:AL,""select AL where D='""&amp;D196&amp;""'"",1))"),0.0)</f>
        <v>0</v>
      </c>
      <c r="Y196" s="9">
        <f>IFERROR(__xludf.DUMMYFUNCTION("SUM(QUERY(Entregas_BD!D:AL,""select AK where D='""&amp;D196&amp;""'"",1))"),0.0)</f>
        <v>0</v>
      </c>
      <c r="Z196" s="9">
        <v>0.0</v>
      </c>
      <c r="AA196" s="9">
        <v>0.0</v>
      </c>
      <c r="AB196" s="9">
        <v>0.0</v>
      </c>
      <c r="AC196" s="9">
        <v>0.0</v>
      </c>
      <c r="AD196" s="9">
        <v>0.0</v>
      </c>
      <c r="AE196" s="9">
        <v>0.0</v>
      </c>
      <c r="AF196" s="12"/>
      <c r="AG196" s="15">
        <f>IFERROR(__xludf.DUMMYFUNCTION("SUM(QUERY(Entregas_BD!D:W,""select U where D='""&amp;D196&amp;""'"",1))"),0.0)</f>
        <v>0</v>
      </c>
      <c r="AH196" s="15">
        <f>IFERROR(__xludf.DUMMYFUNCTION("SUM(QUERY(Entregas_BD!D:W,""select S where D='""&amp;D196&amp;""'"",1))"),0.0)</f>
        <v>0</v>
      </c>
      <c r="AI196" s="15">
        <f>IFERROR(__xludf.DUMMYFUNCTION("SUM(QUERY(Entregas_BD!D:W,""select T where D='""&amp;D196&amp;""'"",1))"),0.0)</f>
        <v>0</v>
      </c>
    </row>
    <row r="197" ht="19.5" customHeight="1">
      <c r="A197" s="28"/>
      <c r="B197" s="29"/>
      <c r="C197" s="19">
        <v>196.0</v>
      </c>
      <c r="D197" s="20" t="s">
        <v>549</v>
      </c>
      <c r="E197" s="20" t="s">
        <v>58</v>
      </c>
      <c r="F197" s="20" t="s">
        <v>45</v>
      </c>
      <c r="G197" s="20" t="s">
        <v>550</v>
      </c>
      <c r="H197" s="19" t="s">
        <v>69</v>
      </c>
      <c r="I197" s="21" t="s">
        <v>41</v>
      </c>
      <c r="J197" s="19"/>
      <c r="K197" s="22"/>
      <c r="L197" s="23"/>
      <c r="M197" s="22"/>
      <c r="N197" s="19">
        <f>IFERROR(__xludf.DUMMYFUNCTION("SUM(QUERY(Entregas_BD!D:L,""select G where D='""&amp;D197&amp;""'"",1))"),0.0)</f>
        <v>0</v>
      </c>
      <c r="O197" s="19">
        <f>IFERROR(__xludf.DUMMYFUNCTION("SUM(QUERY(Entregas_BD!D:L,""select H where D='""&amp;D197&amp;""'"",1))"),0.0)</f>
        <v>0</v>
      </c>
      <c r="P197" s="19">
        <f>IFERROR(__xludf.DUMMYFUNCTION("SUM(QUERY(Entregas_BD!D:L,""select I where D='""&amp;D197&amp;""'"",1))"),0.0)</f>
        <v>0</v>
      </c>
      <c r="Q197" s="19">
        <f>IFERROR(__xludf.DUMMYFUNCTION("SUM(QUERY(Entregas_BD!D:L,""select J where D='""&amp;D197&amp;""'"",1))"),0.0)</f>
        <v>0</v>
      </c>
      <c r="R197" s="24">
        <f>IFERROR(__xludf.DUMMYFUNCTION("SUM(QUERY(Entregas_BD!D:L,""select K where D='""&amp;D197&amp;""'"",1))"),0.0)</f>
        <v>0</v>
      </c>
      <c r="S197" s="24">
        <f>IFERROR(__xludf.DUMMYFUNCTION("SUM(QUERY(Entregas_BD!D:L,""select L where D='""&amp;D197&amp;""'"",1))"),0.0)</f>
        <v>0</v>
      </c>
      <c r="T197" s="19">
        <f>IFERROR(__xludf.DUMMYFUNCTION("SUM(QUERY(Entregas_BD!D:AL,""select AG where D='""&amp;D197&amp;""'"",1))"),0.0)</f>
        <v>0</v>
      </c>
      <c r="U197" s="19">
        <f>IFERROR(__xludf.DUMMYFUNCTION("SUM(QUERY(Entregas_BD!D:AL,""select AH where D='""&amp;D197&amp;""'"",1))"),0.0)</f>
        <v>0</v>
      </c>
      <c r="V197" s="19">
        <f>IFERROR(__xludf.DUMMYFUNCTION("SUM(QUERY(Entregas_BD!D:AL,""select AI where D='""&amp;D197&amp;""'"",1))"),0.0)</f>
        <v>0</v>
      </c>
      <c r="W197" s="19">
        <f>IFERROR(__xludf.DUMMYFUNCTION("SUM(QUERY(Entregas_BD!D:AL,""select AJ where D='""&amp;D197&amp;""'"",1))"),0.0)</f>
        <v>0</v>
      </c>
      <c r="X197" s="19">
        <f>IFERROR(__xludf.DUMMYFUNCTION("SUM(QUERY(Entregas_BD!D:AL,""select AL where D='""&amp;D197&amp;""'"",1))"),0.0)</f>
        <v>0</v>
      </c>
      <c r="Y197" s="19">
        <f>IFERROR(__xludf.DUMMYFUNCTION("SUM(QUERY(Entregas_BD!D:AL,""select AK where D='""&amp;D197&amp;""'"",1))"),0.0)</f>
        <v>0</v>
      </c>
      <c r="Z197" s="19">
        <v>0.0</v>
      </c>
      <c r="AA197" s="19">
        <v>0.0</v>
      </c>
      <c r="AB197" s="19">
        <v>0.0</v>
      </c>
      <c r="AC197" s="19">
        <v>0.0</v>
      </c>
      <c r="AD197" s="19">
        <v>0.0</v>
      </c>
      <c r="AE197" s="19">
        <v>0.0</v>
      </c>
      <c r="AF197" s="24"/>
      <c r="AG197" s="24">
        <f>IFERROR(__xludf.DUMMYFUNCTION("SUM(QUERY(Entregas_BD!D:W,""select U where D='""&amp;D197&amp;""'"",1))"),0.0)</f>
        <v>0</v>
      </c>
      <c r="AH197" s="24">
        <f>IFERROR(__xludf.DUMMYFUNCTION("SUM(QUERY(Entregas_BD!D:W,""select S where D='""&amp;D197&amp;""'"",1))"),0.0)</f>
        <v>0</v>
      </c>
      <c r="AI197" s="24">
        <f>IFERROR(__xludf.DUMMYFUNCTION("SUM(QUERY(Entregas_BD!D:W,""select T where D='""&amp;D197&amp;""'"",1))"),0.0)</f>
        <v>0</v>
      </c>
    </row>
    <row r="198" ht="19.5" customHeight="1">
      <c r="A198" s="7"/>
      <c r="B198" s="8"/>
      <c r="C198" s="9">
        <v>197.0</v>
      </c>
      <c r="D198" s="10" t="s">
        <v>551</v>
      </c>
      <c r="E198" s="10" t="s">
        <v>58</v>
      </c>
      <c r="F198" s="10" t="s">
        <v>45</v>
      </c>
      <c r="G198" s="10" t="s">
        <v>550</v>
      </c>
      <c r="H198" s="9" t="s">
        <v>69</v>
      </c>
      <c r="I198" s="11" t="s">
        <v>41</v>
      </c>
      <c r="J198" s="9"/>
      <c r="K198" s="12"/>
      <c r="L198" s="13"/>
      <c r="M198" s="12"/>
      <c r="N198" s="9">
        <f>IFERROR(__xludf.DUMMYFUNCTION("SUM(QUERY(Entregas_BD!D:L,""select G where D='""&amp;D198&amp;""'"",1))"),0.0)</f>
        <v>0</v>
      </c>
      <c r="O198" s="9">
        <f>IFERROR(__xludf.DUMMYFUNCTION("SUM(QUERY(Entregas_BD!D:L,""select H where D='""&amp;D198&amp;""'"",1))"),0.0)</f>
        <v>0</v>
      </c>
      <c r="P198" s="9">
        <f>IFERROR(__xludf.DUMMYFUNCTION("SUM(QUERY(Entregas_BD!D:L,""select I where D='""&amp;D198&amp;""'"",1))"),0.0)</f>
        <v>0</v>
      </c>
      <c r="Q198" s="9">
        <f>IFERROR(__xludf.DUMMYFUNCTION("SUM(QUERY(Entregas_BD!D:L,""select J where D='""&amp;D198&amp;""'"",1))"),0.0)</f>
        <v>0</v>
      </c>
      <c r="R198" s="15">
        <f>IFERROR(__xludf.DUMMYFUNCTION("SUM(QUERY(Entregas_BD!D:L,""select K where D='""&amp;D198&amp;""'"",1))"),0.0)</f>
        <v>0</v>
      </c>
      <c r="S198" s="15">
        <f>IFERROR(__xludf.DUMMYFUNCTION("SUM(QUERY(Entregas_BD!D:L,""select L where D='""&amp;D198&amp;""'"",1))"),0.0)</f>
        <v>0</v>
      </c>
      <c r="T198" s="9">
        <f>IFERROR(__xludf.DUMMYFUNCTION("SUM(QUERY(Entregas_BD!D:AL,""select AG where D='""&amp;D198&amp;""'"",1))"),0.0)</f>
        <v>0</v>
      </c>
      <c r="U198" s="9">
        <f>IFERROR(__xludf.DUMMYFUNCTION("SUM(QUERY(Entregas_BD!D:AL,""select AH where D='""&amp;D198&amp;""'"",1))"),0.0)</f>
        <v>0</v>
      </c>
      <c r="V198" s="9">
        <f>IFERROR(__xludf.DUMMYFUNCTION("SUM(QUERY(Entregas_BD!D:AL,""select AI where D='""&amp;D198&amp;""'"",1))"),0.0)</f>
        <v>0</v>
      </c>
      <c r="W198" s="9">
        <f>IFERROR(__xludf.DUMMYFUNCTION("SUM(QUERY(Entregas_BD!D:AL,""select AJ where D='""&amp;D198&amp;""'"",1))"),0.0)</f>
        <v>0</v>
      </c>
      <c r="X198" s="9">
        <f>IFERROR(__xludf.DUMMYFUNCTION("SUM(QUERY(Entregas_BD!D:AL,""select AL where D='""&amp;D198&amp;""'"",1))"),25.0)</f>
        <v>25</v>
      </c>
      <c r="Y198" s="9">
        <f>IFERROR(__xludf.DUMMYFUNCTION("SUM(QUERY(Entregas_BD!D:AL,""select AK where D='""&amp;D198&amp;""'"",1))"),5.0)</f>
        <v>5</v>
      </c>
      <c r="Z198" s="9">
        <v>0.0</v>
      </c>
      <c r="AA198" s="9">
        <v>0.0</v>
      </c>
      <c r="AB198" s="9">
        <v>0.0</v>
      </c>
      <c r="AC198" s="9">
        <v>0.0</v>
      </c>
      <c r="AD198" s="9">
        <v>-5.0</v>
      </c>
      <c r="AE198" s="9">
        <v>-25.0</v>
      </c>
      <c r="AF198" s="15"/>
      <c r="AG198" s="15">
        <f>IFERROR(__xludf.DUMMYFUNCTION("SUM(QUERY(Entregas_BD!D:W,""select U where D='""&amp;D198&amp;""'"",1))"),0.0)</f>
        <v>0</v>
      </c>
      <c r="AH198" s="15">
        <f>IFERROR(__xludf.DUMMYFUNCTION("SUM(QUERY(Entregas_BD!D:W,""select S where D='""&amp;D198&amp;""'"",1))"),0.0)</f>
        <v>0</v>
      </c>
      <c r="AI198" s="15">
        <f>IFERROR(__xludf.DUMMYFUNCTION("SUM(QUERY(Entregas_BD!D:W,""select T where D='""&amp;D198&amp;""'"",1))"),0.0)</f>
        <v>0</v>
      </c>
    </row>
    <row r="199" ht="19.5" customHeight="1">
      <c r="A199" s="28"/>
      <c r="B199" s="29"/>
      <c r="C199" s="19">
        <v>198.0</v>
      </c>
      <c r="D199" s="25" t="s">
        <v>552</v>
      </c>
      <c r="E199" s="20" t="s">
        <v>58</v>
      </c>
      <c r="F199" s="20" t="s">
        <v>45</v>
      </c>
      <c r="G199" s="20" t="s">
        <v>112</v>
      </c>
      <c r="H199" s="19" t="s">
        <v>69</v>
      </c>
      <c r="I199" s="21" t="s">
        <v>41</v>
      </c>
      <c r="J199" s="19"/>
      <c r="K199" s="22"/>
      <c r="L199" s="23"/>
      <c r="M199" s="22"/>
      <c r="N199" s="19">
        <f>IFERROR(__xludf.DUMMYFUNCTION("SUM(QUERY(Entregas_BD!D:L,""select G where D='""&amp;D199&amp;""'"",1))"),0.0)</f>
        <v>0</v>
      </c>
      <c r="O199" s="19">
        <f>IFERROR(__xludf.DUMMYFUNCTION("SUM(QUERY(Entregas_BD!D:L,""select H where D='""&amp;D199&amp;""'"",1))"),0.0)</f>
        <v>0</v>
      </c>
      <c r="P199" s="19">
        <f>IFERROR(__xludf.DUMMYFUNCTION("SUM(QUERY(Entregas_BD!D:L,""select I where D='""&amp;D199&amp;""'"",1))"),0.0)</f>
        <v>0</v>
      </c>
      <c r="Q199" s="19">
        <f>IFERROR(__xludf.DUMMYFUNCTION("SUM(QUERY(Entregas_BD!D:L,""select J where D='""&amp;D199&amp;""'"",1))"),0.0)</f>
        <v>0</v>
      </c>
      <c r="R199" s="24">
        <f>IFERROR(__xludf.DUMMYFUNCTION("SUM(QUERY(Entregas_BD!D:L,""select K where D='""&amp;D199&amp;""'"",1))"),0.0)</f>
        <v>0</v>
      </c>
      <c r="S199" s="24">
        <f>IFERROR(__xludf.DUMMYFUNCTION("SUM(QUERY(Entregas_BD!D:L,""select L where D='""&amp;D199&amp;""'"",1))"),0.0)</f>
        <v>0</v>
      </c>
      <c r="T199" s="19">
        <f>IFERROR(__xludf.DUMMYFUNCTION("SUM(QUERY(Entregas_BD!D:AL,""select AG where D='""&amp;D199&amp;""'"",1))"),50.0)</f>
        <v>50</v>
      </c>
      <c r="U199" s="19">
        <f>IFERROR(__xludf.DUMMYFUNCTION("SUM(QUERY(Entregas_BD!D:AL,""select AH where D='""&amp;D199&amp;""'"",1))"),0.0)</f>
        <v>0</v>
      </c>
      <c r="V199" s="19">
        <f>IFERROR(__xludf.DUMMYFUNCTION("SUM(QUERY(Entregas_BD!D:AL,""select AI where D='""&amp;D199&amp;""'"",1))"),0.0)</f>
        <v>0</v>
      </c>
      <c r="W199" s="19">
        <f>IFERROR(__xludf.DUMMYFUNCTION("SUM(QUERY(Entregas_BD!D:AL,""select AJ where D='""&amp;D199&amp;""'"",1))"),0.0)</f>
        <v>0</v>
      </c>
      <c r="X199" s="19">
        <f>IFERROR(__xludf.DUMMYFUNCTION("SUM(QUERY(Entregas_BD!D:AL,""select AL where D='""&amp;D199&amp;""'"",1))"),25.0)</f>
        <v>25</v>
      </c>
      <c r="Y199" s="19">
        <f>IFERROR(__xludf.DUMMYFUNCTION("SUM(QUERY(Entregas_BD!D:AL,""select AK where D='""&amp;D199&amp;""'"",1))"),0.0)</f>
        <v>0</v>
      </c>
      <c r="Z199" s="19">
        <v>-50.0</v>
      </c>
      <c r="AA199" s="19">
        <v>0.0</v>
      </c>
      <c r="AB199" s="19">
        <v>0.0</v>
      </c>
      <c r="AC199" s="19">
        <v>0.0</v>
      </c>
      <c r="AD199" s="19">
        <v>0.0</v>
      </c>
      <c r="AE199" s="19">
        <v>-25.0</v>
      </c>
      <c r="AF199" s="24"/>
      <c r="AG199" s="24">
        <f>IFERROR(__xludf.DUMMYFUNCTION("SUM(QUERY(Entregas_BD!D:W,""select U where D='""&amp;D199&amp;""'"",1))"),0.0)</f>
        <v>0</v>
      </c>
      <c r="AH199" s="24">
        <f>IFERROR(__xludf.DUMMYFUNCTION("SUM(QUERY(Entregas_BD!D:W,""select S where D='""&amp;D199&amp;""'"",1))"),0.0)</f>
        <v>0</v>
      </c>
      <c r="AI199" s="24">
        <f>IFERROR(__xludf.DUMMYFUNCTION("SUM(QUERY(Entregas_BD!D:W,""select T where D='""&amp;D199&amp;""'"",1))"),0.0)</f>
        <v>0</v>
      </c>
    </row>
    <row r="200" ht="19.5" customHeight="1">
      <c r="A200" s="26"/>
      <c r="B200" s="8"/>
      <c r="C200" s="9">
        <v>199.0</v>
      </c>
      <c r="D200" s="10" t="s">
        <v>553</v>
      </c>
      <c r="E200" s="10" t="s">
        <v>197</v>
      </c>
      <c r="F200" s="10" t="s">
        <v>45</v>
      </c>
      <c r="G200" s="10" t="s">
        <v>554</v>
      </c>
      <c r="H200" s="9" t="s">
        <v>40</v>
      </c>
      <c r="I200" s="11" t="s">
        <v>41</v>
      </c>
      <c r="J200" s="12"/>
      <c r="K200" s="12"/>
      <c r="L200" s="13"/>
      <c r="M200" s="14"/>
      <c r="N200" s="9">
        <f>IFERROR(__xludf.DUMMYFUNCTION("SUM(QUERY(Entregas_BD!D:L,""select G where D='""&amp;D200&amp;""'"",1))"),0.0)</f>
        <v>0</v>
      </c>
      <c r="O200" s="9">
        <f>IFERROR(__xludf.DUMMYFUNCTION("SUM(QUERY(Entregas_BD!D:L,""select H where D='""&amp;D200&amp;""'"",1))"),0.0)</f>
        <v>0</v>
      </c>
      <c r="P200" s="9">
        <f>IFERROR(__xludf.DUMMYFUNCTION("SUM(QUERY(Entregas_BD!D:L,""select I where D='""&amp;D200&amp;""'"",1))"),0.0)</f>
        <v>0</v>
      </c>
      <c r="Q200" s="9">
        <f>IFERROR(__xludf.DUMMYFUNCTION("SUM(QUERY(Entregas_BD!D:L,""select J where D='""&amp;D200&amp;""'"",1))"),0.0)</f>
        <v>0</v>
      </c>
      <c r="R200" s="15">
        <f>IFERROR(__xludf.DUMMYFUNCTION("SUM(QUERY(Entregas_BD!D:L,""select K where D='""&amp;D200&amp;""'"",1))"),0.0)</f>
        <v>0</v>
      </c>
      <c r="S200" s="15">
        <f>IFERROR(__xludf.DUMMYFUNCTION("SUM(QUERY(Entregas_BD!D:L,""select L where D='""&amp;D200&amp;""'"",1))"),0.0)</f>
        <v>0</v>
      </c>
      <c r="T200" s="9">
        <f>IFERROR(__xludf.DUMMYFUNCTION("SUM(QUERY(Entregas_BD!D:AL,""select AG where D='""&amp;D200&amp;""'"",1))"),55.0)</f>
        <v>55</v>
      </c>
      <c r="U200" s="9">
        <f>IFERROR(__xludf.DUMMYFUNCTION("SUM(QUERY(Entregas_BD!D:AL,""select AH where D='""&amp;D200&amp;""'"",1))"),0.0)</f>
        <v>0</v>
      </c>
      <c r="V200" s="9">
        <f>IFERROR(__xludf.DUMMYFUNCTION("SUM(QUERY(Entregas_BD!D:AL,""select AI where D='""&amp;D200&amp;""'"",1))"),0.0)</f>
        <v>0</v>
      </c>
      <c r="W200" s="9">
        <f>IFERROR(__xludf.DUMMYFUNCTION("SUM(QUERY(Entregas_BD!D:AL,""select AJ where D='""&amp;D200&amp;""'"",1))"),0.0)</f>
        <v>0</v>
      </c>
      <c r="X200" s="9">
        <f>IFERROR(__xludf.DUMMYFUNCTION("SUM(QUERY(Entregas_BD!D:AL,""select AL where D='""&amp;D200&amp;""'"",1))"),0.0)</f>
        <v>0</v>
      </c>
      <c r="Y200" s="9">
        <f>IFERROR(__xludf.DUMMYFUNCTION("SUM(QUERY(Entregas_BD!D:AL,""select AK where D='""&amp;D200&amp;""'"",1))"),6.0)</f>
        <v>6</v>
      </c>
      <c r="Z200" s="9">
        <v>-55.0</v>
      </c>
      <c r="AA200" s="9">
        <v>0.0</v>
      </c>
      <c r="AB200" s="9">
        <v>0.0</v>
      </c>
      <c r="AC200" s="9">
        <v>0.0</v>
      </c>
      <c r="AD200" s="9">
        <v>-6.0</v>
      </c>
      <c r="AE200" s="9">
        <v>0.0</v>
      </c>
      <c r="AF200" s="12"/>
      <c r="AG200" s="15">
        <f>IFERROR(__xludf.DUMMYFUNCTION("SUM(QUERY(Entregas_BD!D:W,""select U where D='""&amp;D200&amp;""'"",1))"),0.0)</f>
        <v>0</v>
      </c>
      <c r="AH200" s="15">
        <f>IFERROR(__xludf.DUMMYFUNCTION("SUM(QUERY(Entregas_BD!D:W,""select S where D='""&amp;D200&amp;""'"",1))"),0.0)</f>
        <v>0</v>
      </c>
      <c r="AI200" s="15">
        <f>IFERROR(__xludf.DUMMYFUNCTION("SUM(QUERY(Entregas_BD!D:W,""select T where D='""&amp;D200&amp;""'"",1))"),0.0)</f>
        <v>0</v>
      </c>
    </row>
    <row r="201" ht="19.5" customHeight="1">
      <c r="A201" s="28"/>
      <c r="B201" s="29"/>
      <c r="C201" s="19">
        <v>200.0</v>
      </c>
      <c r="D201" s="20" t="s">
        <v>555</v>
      </c>
      <c r="E201" s="20" t="s">
        <v>58</v>
      </c>
      <c r="F201" s="20" t="s">
        <v>45</v>
      </c>
      <c r="G201" s="20" t="s">
        <v>88</v>
      </c>
      <c r="H201" s="19" t="s">
        <v>69</v>
      </c>
      <c r="I201" s="21" t="s">
        <v>41</v>
      </c>
      <c r="J201" s="19"/>
      <c r="K201" s="22"/>
      <c r="L201" s="23"/>
      <c r="M201" s="22"/>
      <c r="N201" s="19">
        <f>IFERROR(__xludf.DUMMYFUNCTION("SUM(QUERY(Entregas_BD!D:L,""select G where D='""&amp;D201&amp;""'"",1))"),0.0)</f>
        <v>0</v>
      </c>
      <c r="O201" s="19">
        <f>IFERROR(__xludf.DUMMYFUNCTION("SUM(QUERY(Entregas_BD!D:L,""select H where D='""&amp;D201&amp;""'"",1))"),0.0)</f>
        <v>0</v>
      </c>
      <c r="P201" s="19">
        <f>IFERROR(__xludf.DUMMYFUNCTION("SUM(QUERY(Entregas_BD!D:L,""select I where D='""&amp;D201&amp;""'"",1))"),0.0)</f>
        <v>0</v>
      </c>
      <c r="Q201" s="19">
        <f>IFERROR(__xludf.DUMMYFUNCTION("SUM(QUERY(Entregas_BD!D:L,""select J where D='""&amp;D201&amp;""'"",1))"),0.0)</f>
        <v>0</v>
      </c>
      <c r="R201" s="24">
        <f>IFERROR(__xludf.DUMMYFUNCTION("SUM(QUERY(Entregas_BD!D:L,""select K where D='""&amp;D201&amp;""'"",1))"),0.0)</f>
        <v>0</v>
      </c>
      <c r="S201" s="24">
        <f>IFERROR(__xludf.DUMMYFUNCTION("SUM(QUERY(Entregas_BD!D:L,""select L where D='""&amp;D201&amp;""'"",1))"),0.0)</f>
        <v>0</v>
      </c>
      <c r="T201" s="19">
        <f>IFERROR(__xludf.DUMMYFUNCTION("SUM(QUERY(Entregas_BD!D:AL,""select AG where D='""&amp;D201&amp;""'"",1))"),0.0)</f>
        <v>0</v>
      </c>
      <c r="U201" s="19">
        <f>IFERROR(__xludf.DUMMYFUNCTION("SUM(QUERY(Entregas_BD!D:AL,""select AH where D='""&amp;D201&amp;""'"",1))"),0.0)</f>
        <v>0</v>
      </c>
      <c r="V201" s="19">
        <f>IFERROR(__xludf.DUMMYFUNCTION("SUM(QUERY(Entregas_BD!D:AL,""select AI where D='""&amp;D201&amp;""'"",1))"),0.0)</f>
        <v>0</v>
      </c>
      <c r="W201" s="19">
        <f>IFERROR(__xludf.DUMMYFUNCTION("SUM(QUERY(Entregas_BD!D:AL,""select AJ where D='""&amp;D201&amp;""'"",1))"),0.0)</f>
        <v>0</v>
      </c>
      <c r="X201" s="19">
        <f>IFERROR(__xludf.DUMMYFUNCTION("SUM(QUERY(Entregas_BD!D:AL,""select AL where D='""&amp;D201&amp;""'"",1))"),0.0)</f>
        <v>0</v>
      </c>
      <c r="Y201" s="19">
        <f>IFERROR(__xludf.DUMMYFUNCTION("SUM(QUERY(Entregas_BD!D:AL,""select AK where D='""&amp;D201&amp;""'"",1))"),0.0)</f>
        <v>0</v>
      </c>
      <c r="Z201" s="19">
        <v>0.0</v>
      </c>
      <c r="AA201" s="19">
        <v>0.0</v>
      </c>
      <c r="AB201" s="19">
        <v>0.0</v>
      </c>
      <c r="AC201" s="19">
        <v>0.0</v>
      </c>
      <c r="AD201" s="19">
        <v>0.0</v>
      </c>
      <c r="AE201" s="19">
        <v>0.0</v>
      </c>
      <c r="AF201" s="24"/>
      <c r="AG201" s="24">
        <f>IFERROR(__xludf.DUMMYFUNCTION("SUM(QUERY(Entregas_BD!D:W,""select U where D='""&amp;D201&amp;""'"",1))"),0.0)</f>
        <v>0</v>
      </c>
      <c r="AH201" s="24">
        <f>IFERROR(__xludf.DUMMYFUNCTION("SUM(QUERY(Entregas_BD!D:W,""select S where D='""&amp;D201&amp;""'"",1))"),0.0)</f>
        <v>0</v>
      </c>
      <c r="AI201" s="24">
        <f>IFERROR(__xludf.DUMMYFUNCTION("SUM(QUERY(Entregas_BD!D:W,""select T where D='""&amp;D201&amp;""'"",1))"),0.0)</f>
        <v>0</v>
      </c>
    </row>
    <row r="202" ht="19.5" customHeight="1">
      <c r="A202" s="7"/>
      <c r="B202" s="8"/>
      <c r="C202" s="9">
        <v>201.0</v>
      </c>
      <c r="D202" s="10" t="s">
        <v>556</v>
      </c>
      <c r="E202" s="10" t="s">
        <v>54</v>
      </c>
      <c r="F202" s="10" t="s">
        <v>45</v>
      </c>
      <c r="G202" s="10" t="s">
        <v>109</v>
      </c>
      <c r="H202" s="9" t="s">
        <v>69</v>
      </c>
      <c r="I202" s="11" t="s">
        <v>41</v>
      </c>
      <c r="J202" s="12"/>
      <c r="K202" s="12"/>
      <c r="L202" s="13"/>
      <c r="M202" s="12"/>
      <c r="N202" s="9">
        <f>IFERROR(__xludf.DUMMYFUNCTION("SUM(QUERY(Entregas_BD!D:L,""select G where D='""&amp;D202&amp;""'"",1))"),0.0)</f>
        <v>0</v>
      </c>
      <c r="O202" s="9">
        <f>IFERROR(__xludf.DUMMYFUNCTION("SUM(QUERY(Entregas_BD!D:L,""select H where D='""&amp;D202&amp;""'"",1))"),0.0)</f>
        <v>0</v>
      </c>
      <c r="P202" s="9">
        <f>IFERROR(__xludf.DUMMYFUNCTION("SUM(QUERY(Entregas_BD!D:L,""select I where D='""&amp;D202&amp;""'"",1))"),0.0)</f>
        <v>0</v>
      </c>
      <c r="Q202" s="9">
        <f>IFERROR(__xludf.DUMMYFUNCTION("SUM(QUERY(Entregas_BD!D:L,""select J where D='""&amp;D202&amp;""'"",1))"),0.0)</f>
        <v>0</v>
      </c>
      <c r="R202" s="15">
        <f>IFERROR(__xludf.DUMMYFUNCTION("SUM(QUERY(Entregas_BD!D:L,""select K where D='""&amp;D202&amp;""'"",1))"),0.0)</f>
        <v>0</v>
      </c>
      <c r="S202" s="15">
        <f>IFERROR(__xludf.DUMMYFUNCTION("SUM(QUERY(Entregas_BD!D:L,""select L where D='""&amp;D202&amp;""'"",1))"),0.0)</f>
        <v>0</v>
      </c>
      <c r="T202" s="9">
        <f>IFERROR(__xludf.DUMMYFUNCTION("SUM(QUERY(Entregas_BD!D:AL,""select AG where D='""&amp;D202&amp;""'"",1))"),5.0)</f>
        <v>5</v>
      </c>
      <c r="U202" s="9">
        <f>IFERROR(__xludf.DUMMYFUNCTION("SUM(QUERY(Entregas_BD!D:AL,""select AH where D='""&amp;D202&amp;""'"",1))"),0.0)</f>
        <v>0</v>
      </c>
      <c r="V202" s="9">
        <f>IFERROR(__xludf.DUMMYFUNCTION("SUM(QUERY(Entregas_BD!D:AL,""select AI where D='""&amp;D202&amp;""'"",1))"),0.0)</f>
        <v>0</v>
      </c>
      <c r="W202" s="9">
        <f>IFERROR(__xludf.DUMMYFUNCTION("SUM(QUERY(Entregas_BD!D:AL,""select AJ where D='""&amp;D202&amp;""'"",1))"),0.0)</f>
        <v>0</v>
      </c>
      <c r="X202" s="9">
        <f>IFERROR(__xludf.DUMMYFUNCTION("SUM(QUERY(Entregas_BD!D:AL,""select AL where D='""&amp;D202&amp;""'"",1))"),10.0)</f>
        <v>10</v>
      </c>
      <c r="Y202" s="9">
        <f>IFERROR(__xludf.DUMMYFUNCTION("SUM(QUERY(Entregas_BD!D:AL,""select AK where D='""&amp;D202&amp;""'"",1))"),7.5)</f>
        <v>7.5</v>
      </c>
      <c r="Z202" s="9">
        <v>-5.0</v>
      </c>
      <c r="AA202" s="9">
        <v>0.0</v>
      </c>
      <c r="AB202" s="9">
        <v>0.0</v>
      </c>
      <c r="AC202" s="9">
        <v>0.0</v>
      </c>
      <c r="AD202" s="9">
        <v>-7.5</v>
      </c>
      <c r="AE202" s="9">
        <v>-10.0</v>
      </c>
      <c r="AF202" s="12"/>
      <c r="AG202" s="15">
        <f>IFERROR(__xludf.DUMMYFUNCTION("SUM(QUERY(Entregas_BD!D:W,""select U where D='""&amp;D202&amp;""'"",1))"),0.0)</f>
        <v>0</v>
      </c>
      <c r="AH202" s="15">
        <f>IFERROR(__xludf.DUMMYFUNCTION("SUM(QUERY(Entregas_BD!D:W,""select S where D='""&amp;D202&amp;""'"",1))"),0.0)</f>
        <v>0</v>
      </c>
      <c r="AI202" s="15">
        <f>IFERROR(__xludf.DUMMYFUNCTION("SUM(QUERY(Entregas_BD!D:W,""select T where D='""&amp;D202&amp;""'"",1))"),0.0)</f>
        <v>0</v>
      </c>
    </row>
    <row r="203" ht="19.5" customHeight="1">
      <c r="A203" s="28"/>
      <c r="B203" s="29"/>
      <c r="C203" s="19">
        <v>202.0</v>
      </c>
      <c r="D203" s="20" t="s">
        <v>557</v>
      </c>
      <c r="E203" s="20" t="s">
        <v>58</v>
      </c>
      <c r="F203" s="20" t="s">
        <v>45</v>
      </c>
      <c r="G203" s="20" t="s">
        <v>59</v>
      </c>
      <c r="H203" s="19" t="s">
        <v>69</v>
      </c>
      <c r="I203" s="21" t="s">
        <v>41</v>
      </c>
      <c r="J203" s="19"/>
      <c r="K203" s="22"/>
      <c r="L203" s="23"/>
      <c r="M203" s="22"/>
      <c r="N203" s="19">
        <f>IFERROR(__xludf.DUMMYFUNCTION("SUM(QUERY(Entregas_BD!D:L,""select G where D='""&amp;D203&amp;""'"",1))"),0.0)</f>
        <v>0</v>
      </c>
      <c r="O203" s="19">
        <f>IFERROR(__xludf.DUMMYFUNCTION("SUM(QUERY(Entregas_BD!D:L,""select H where D='""&amp;D203&amp;""'"",1))"),0.0)</f>
        <v>0</v>
      </c>
      <c r="P203" s="19">
        <f>IFERROR(__xludf.DUMMYFUNCTION("SUM(QUERY(Entregas_BD!D:L,""select I where D='""&amp;D203&amp;""'"",1))"),0.0)</f>
        <v>0</v>
      </c>
      <c r="Q203" s="19">
        <f>IFERROR(__xludf.DUMMYFUNCTION("SUM(QUERY(Entregas_BD!D:L,""select J where D='""&amp;D203&amp;""'"",1))"),0.0)</f>
        <v>0</v>
      </c>
      <c r="R203" s="24">
        <f>IFERROR(__xludf.DUMMYFUNCTION("SUM(QUERY(Entregas_BD!D:L,""select K where D='""&amp;D203&amp;""'"",1))"),0.0)</f>
        <v>0</v>
      </c>
      <c r="S203" s="24">
        <f>IFERROR(__xludf.DUMMYFUNCTION("SUM(QUERY(Entregas_BD!D:L,""select L where D='""&amp;D203&amp;""'"",1))"),0.0)</f>
        <v>0</v>
      </c>
      <c r="T203" s="19">
        <f>IFERROR(__xludf.DUMMYFUNCTION("SUM(QUERY(Entregas_BD!D:AL,""select AG where D='""&amp;D203&amp;""'"",1))"),5.0)</f>
        <v>5</v>
      </c>
      <c r="U203" s="19">
        <f>IFERROR(__xludf.DUMMYFUNCTION("SUM(QUERY(Entregas_BD!D:AL,""select AH where D='""&amp;D203&amp;""'"",1))"),0.0)</f>
        <v>0</v>
      </c>
      <c r="V203" s="19">
        <f>IFERROR(__xludf.DUMMYFUNCTION("SUM(QUERY(Entregas_BD!D:AL,""select AI where D='""&amp;D203&amp;""'"",1))"),0.0)</f>
        <v>0</v>
      </c>
      <c r="W203" s="19">
        <f>IFERROR(__xludf.DUMMYFUNCTION("SUM(QUERY(Entregas_BD!D:AL,""select AJ where D='""&amp;D203&amp;""'"",1))"),0.0)</f>
        <v>0</v>
      </c>
      <c r="X203" s="19">
        <f>IFERROR(__xludf.DUMMYFUNCTION("SUM(QUERY(Entregas_BD!D:AL,""select AL where D='""&amp;D203&amp;""'"",1))"),0.0)</f>
        <v>0</v>
      </c>
      <c r="Y203" s="19">
        <f>IFERROR(__xludf.DUMMYFUNCTION("SUM(QUERY(Entregas_BD!D:AL,""select AK where D='""&amp;D203&amp;""'"",1))"),0.0)</f>
        <v>0</v>
      </c>
      <c r="Z203" s="19">
        <v>-5.0</v>
      </c>
      <c r="AA203" s="19">
        <v>0.0</v>
      </c>
      <c r="AB203" s="19">
        <v>0.0</v>
      </c>
      <c r="AC203" s="19">
        <v>0.0</v>
      </c>
      <c r="AD203" s="19">
        <v>0.0</v>
      </c>
      <c r="AE203" s="19">
        <v>0.0</v>
      </c>
      <c r="AF203" s="24"/>
      <c r="AG203" s="24">
        <f>IFERROR(__xludf.DUMMYFUNCTION("SUM(QUERY(Entregas_BD!D:W,""select U where D='""&amp;D203&amp;""'"",1))"),0.0)</f>
        <v>0</v>
      </c>
      <c r="AH203" s="24">
        <f>IFERROR(__xludf.DUMMYFUNCTION("SUM(QUERY(Entregas_BD!D:W,""select S where D='""&amp;D203&amp;""'"",1))"),0.0)</f>
        <v>0</v>
      </c>
      <c r="AI203" s="24">
        <f>IFERROR(__xludf.DUMMYFUNCTION("SUM(QUERY(Entregas_BD!D:W,""select T where D='""&amp;D203&amp;""'"",1))"),0.0)</f>
        <v>0</v>
      </c>
    </row>
    <row r="204" ht="19.5" customHeight="1">
      <c r="A204" s="7"/>
      <c r="B204" s="8"/>
      <c r="C204" s="9">
        <v>203.0</v>
      </c>
      <c r="D204" s="10" t="s">
        <v>558</v>
      </c>
      <c r="E204" s="10" t="s">
        <v>58</v>
      </c>
      <c r="F204" s="10" t="s">
        <v>45</v>
      </c>
      <c r="G204" s="10" t="s">
        <v>59</v>
      </c>
      <c r="H204" s="9" t="s">
        <v>69</v>
      </c>
      <c r="I204" s="11" t="s">
        <v>41</v>
      </c>
      <c r="J204" s="9"/>
      <c r="K204" s="12"/>
      <c r="L204" s="13"/>
      <c r="M204" s="12"/>
      <c r="N204" s="9">
        <f>IFERROR(__xludf.DUMMYFUNCTION("SUM(QUERY(Entregas_BD!D:L,""select G where D='""&amp;D204&amp;""'"",1))"),0.0)</f>
        <v>0</v>
      </c>
      <c r="O204" s="9">
        <f>IFERROR(__xludf.DUMMYFUNCTION("SUM(QUERY(Entregas_BD!D:L,""select H where D='""&amp;D204&amp;""'"",1))"),0.0)</f>
        <v>0</v>
      </c>
      <c r="P204" s="9">
        <f>IFERROR(__xludf.DUMMYFUNCTION("SUM(QUERY(Entregas_BD!D:L,""select I where D='""&amp;D204&amp;""'"",1))"),0.0)</f>
        <v>0</v>
      </c>
      <c r="Q204" s="9">
        <f>IFERROR(__xludf.DUMMYFUNCTION("SUM(QUERY(Entregas_BD!D:L,""select J where D='""&amp;D204&amp;""'"",1))"),0.0)</f>
        <v>0</v>
      </c>
      <c r="R204" s="15">
        <f>IFERROR(__xludf.DUMMYFUNCTION("SUM(QUERY(Entregas_BD!D:L,""select K where D='""&amp;D204&amp;""'"",1))"),0.0)</f>
        <v>0</v>
      </c>
      <c r="S204" s="15">
        <f>IFERROR(__xludf.DUMMYFUNCTION("SUM(QUERY(Entregas_BD!D:L,""select L where D='""&amp;D204&amp;""'"",1))"),0.0)</f>
        <v>0</v>
      </c>
      <c r="T204" s="9">
        <f>IFERROR(__xludf.DUMMYFUNCTION("SUM(QUERY(Entregas_BD!D:AL,""select AG where D='""&amp;D204&amp;""'"",1))"),0.0)</f>
        <v>0</v>
      </c>
      <c r="U204" s="9">
        <f>IFERROR(__xludf.DUMMYFUNCTION("SUM(QUERY(Entregas_BD!D:AL,""select AH where D='""&amp;D204&amp;""'"",1))"),0.0)</f>
        <v>0</v>
      </c>
      <c r="V204" s="9">
        <f>IFERROR(__xludf.DUMMYFUNCTION("SUM(QUERY(Entregas_BD!D:AL,""select AI where D='""&amp;D204&amp;""'"",1))"),0.0)</f>
        <v>0</v>
      </c>
      <c r="W204" s="9">
        <f>IFERROR(__xludf.DUMMYFUNCTION("SUM(QUERY(Entregas_BD!D:AL,""select AJ where D='""&amp;D204&amp;""'"",1))"),0.0)</f>
        <v>0</v>
      </c>
      <c r="X204" s="9">
        <f>IFERROR(__xludf.DUMMYFUNCTION("SUM(QUERY(Entregas_BD!D:AL,""select AL where D='""&amp;D204&amp;""'"",1))"),0.0)</f>
        <v>0</v>
      </c>
      <c r="Y204" s="9">
        <f>IFERROR(__xludf.DUMMYFUNCTION("SUM(QUERY(Entregas_BD!D:AL,""select AK where D='""&amp;D204&amp;""'"",1))"),0.0)</f>
        <v>0</v>
      </c>
      <c r="Z204" s="9">
        <v>0.0</v>
      </c>
      <c r="AA204" s="9">
        <v>0.0</v>
      </c>
      <c r="AB204" s="9">
        <v>0.0</v>
      </c>
      <c r="AC204" s="9">
        <v>0.0</v>
      </c>
      <c r="AD204" s="9">
        <v>0.0</v>
      </c>
      <c r="AE204" s="9">
        <v>0.0</v>
      </c>
      <c r="AF204" s="15"/>
      <c r="AG204" s="15">
        <f>IFERROR(__xludf.DUMMYFUNCTION("SUM(QUERY(Entregas_BD!D:W,""select U where D='""&amp;D204&amp;""'"",1))"),0.0)</f>
        <v>0</v>
      </c>
      <c r="AH204" s="15">
        <f>IFERROR(__xludf.DUMMYFUNCTION("SUM(QUERY(Entregas_BD!D:W,""select S where D='""&amp;D204&amp;""'"",1))"),0.0)</f>
        <v>0</v>
      </c>
      <c r="AI204" s="15">
        <f>IFERROR(__xludf.DUMMYFUNCTION("SUM(QUERY(Entregas_BD!D:W,""select T where D='""&amp;D204&amp;""'"",1))"),0.0)</f>
        <v>0</v>
      </c>
    </row>
    <row r="205" ht="19.5" customHeight="1">
      <c r="A205" s="28"/>
      <c r="B205" s="29"/>
      <c r="C205" s="19">
        <v>204.0</v>
      </c>
      <c r="D205" s="20" t="s">
        <v>559</v>
      </c>
      <c r="E205" s="20" t="s">
        <v>58</v>
      </c>
      <c r="F205" s="20" t="s">
        <v>45</v>
      </c>
      <c r="G205" s="20" t="s">
        <v>560</v>
      </c>
      <c r="H205" s="19" t="s">
        <v>69</v>
      </c>
      <c r="I205" s="21" t="s">
        <v>41</v>
      </c>
      <c r="J205" s="19"/>
      <c r="K205" s="22"/>
      <c r="L205" s="23"/>
      <c r="M205" s="22"/>
      <c r="N205" s="19">
        <f>IFERROR(__xludf.DUMMYFUNCTION("SUM(QUERY(Entregas_BD!D:L,""select G where D='""&amp;D205&amp;""'"",1))"),0.0)</f>
        <v>0</v>
      </c>
      <c r="O205" s="19">
        <f>IFERROR(__xludf.DUMMYFUNCTION("SUM(QUERY(Entregas_BD!D:L,""select H where D='""&amp;D205&amp;""'"",1))"),0.0)</f>
        <v>0</v>
      </c>
      <c r="P205" s="19">
        <f>IFERROR(__xludf.DUMMYFUNCTION("SUM(QUERY(Entregas_BD!D:L,""select I where D='""&amp;D205&amp;""'"",1))"),0.0)</f>
        <v>0</v>
      </c>
      <c r="Q205" s="19">
        <f>IFERROR(__xludf.DUMMYFUNCTION("SUM(QUERY(Entregas_BD!D:L,""select J where D='""&amp;D205&amp;""'"",1))"),0.0)</f>
        <v>0</v>
      </c>
      <c r="R205" s="24">
        <f>IFERROR(__xludf.DUMMYFUNCTION("SUM(QUERY(Entregas_BD!D:L,""select K where D='""&amp;D205&amp;""'"",1))"),0.0)</f>
        <v>0</v>
      </c>
      <c r="S205" s="24">
        <f>IFERROR(__xludf.DUMMYFUNCTION("SUM(QUERY(Entregas_BD!D:L,""select L where D='""&amp;D205&amp;""'"",1))"),0.0)</f>
        <v>0</v>
      </c>
      <c r="T205" s="19">
        <f>IFERROR(__xludf.DUMMYFUNCTION("SUM(QUERY(Entregas_BD!D:AL,""select AG where D='""&amp;D205&amp;""'"",1))"),0.0)</f>
        <v>0</v>
      </c>
      <c r="U205" s="19">
        <f>IFERROR(__xludf.DUMMYFUNCTION("SUM(QUERY(Entregas_BD!D:AL,""select AH where D='""&amp;D205&amp;""'"",1))"),0.0)</f>
        <v>0</v>
      </c>
      <c r="V205" s="19">
        <f>IFERROR(__xludf.DUMMYFUNCTION("SUM(QUERY(Entregas_BD!D:AL,""select AI where D='""&amp;D205&amp;""'"",1))"),0.0)</f>
        <v>0</v>
      </c>
      <c r="W205" s="19">
        <f>IFERROR(__xludf.DUMMYFUNCTION("SUM(QUERY(Entregas_BD!D:AL,""select AJ where D='""&amp;D205&amp;""'"",1))"),0.0)</f>
        <v>0</v>
      </c>
      <c r="X205" s="19">
        <f>IFERROR(__xludf.DUMMYFUNCTION("SUM(QUERY(Entregas_BD!D:AL,""select AL where D='""&amp;D205&amp;""'"",1))"),0.0)</f>
        <v>0</v>
      </c>
      <c r="Y205" s="19">
        <f>IFERROR(__xludf.DUMMYFUNCTION("SUM(QUERY(Entregas_BD!D:AL,""select AK where D='""&amp;D205&amp;""'"",1))"),0.0)</f>
        <v>0</v>
      </c>
      <c r="Z205" s="19">
        <v>0.0</v>
      </c>
      <c r="AA205" s="19">
        <v>0.0</v>
      </c>
      <c r="AB205" s="19">
        <v>0.0</v>
      </c>
      <c r="AC205" s="19">
        <v>0.0</v>
      </c>
      <c r="AD205" s="19">
        <v>0.0</v>
      </c>
      <c r="AE205" s="19">
        <v>0.0</v>
      </c>
      <c r="AF205" s="22"/>
      <c r="AG205" s="24">
        <f>IFERROR(__xludf.DUMMYFUNCTION("SUM(QUERY(Entregas_BD!D:W,""select U where D='""&amp;D205&amp;""'"",1))"),0.0)</f>
        <v>0</v>
      </c>
      <c r="AH205" s="24">
        <f>IFERROR(__xludf.DUMMYFUNCTION("SUM(QUERY(Entregas_BD!D:W,""select S where D='""&amp;D205&amp;""'"",1))"),0.0)</f>
        <v>0</v>
      </c>
      <c r="AI205" s="24">
        <f>IFERROR(__xludf.DUMMYFUNCTION("SUM(QUERY(Entregas_BD!D:W,""select T where D='""&amp;D205&amp;""'"",1))"),0.0)</f>
        <v>0</v>
      </c>
    </row>
    <row r="206" ht="19.5" customHeight="1">
      <c r="A206" s="7"/>
      <c r="B206" s="8"/>
      <c r="C206" s="9">
        <v>205.0</v>
      </c>
      <c r="D206" s="10" t="s">
        <v>561</v>
      </c>
      <c r="E206" s="10" t="s">
        <v>63</v>
      </c>
      <c r="F206" s="10" t="s">
        <v>45</v>
      </c>
      <c r="G206" s="10" t="s">
        <v>492</v>
      </c>
      <c r="H206" s="9" t="s">
        <v>51</v>
      </c>
      <c r="I206" s="11" t="s">
        <v>47</v>
      </c>
      <c r="J206" s="12"/>
      <c r="K206" s="12"/>
      <c r="L206" s="13"/>
      <c r="M206" s="14"/>
      <c r="N206" s="9">
        <f>IFERROR(__xludf.DUMMYFUNCTION("SUM(QUERY(Entregas_BD!D:L,""select G where D='""&amp;D206&amp;""'"",1))"),0.0)</f>
        <v>0</v>
      </c>
      <c r="O206" s="9">
        <f>IFERROR(__xludf.DUMMYFUNCTION("SUM(QUERY(Entregas_BD!D:L,""select H where D='""&amp;D206&amp;""'"",1))"),0.0)</f>
        <v>0</v>
      </c>
      <c r="P206" s="9">
        <f>IFERROR(__xludf.DUMMYFUNCTION("SUM(QUERY(Entregas_BD!D:L,""select I where D='""&amp;D206&amp;""'"",1))"),0.0)</f>
        <v>0</v>
      </c>
      <c r="Q206" s="9">
        <f>IFERROR(__xludf.DUMMYFUNCTION("SUM(QUERY(Entregas_BD!D:L,""select J where D='""&amp;D206&amp;""'"",1))"),0.0)</f>
        <v>0</v>
      </c>
      <c r="R206" s="15">
        <f>IFERROR(__xludf.DUMMYFUNCTION("SUM(QUERY(Entregas_BD!D:L,""select K where D='""&amp;D206&amp;""'"",1))"),0.0)</f>
        <v>0</v>
      </c>
      <c r="S206" s="15">
        <f>IFERROR(__xludf.DUMMYFUNCTION("SUM(QUERY(Entregas_BD!D:L,""select L where D='""&amp;D206&amp;""'"",1))"),0.0)</f>
        <v>0</v>
      </c>
      <c r="T206" s="9">
        <f>IFERROR(__xludf.DUMMYFUNCTION("SUM(QUERY(Entregas_BD!D:AL,""select AG where D='""&amp;D206&amp;""'"",1))"),0.0)</f>
        <v>0</v>
      </c>
      <c r="U206" s="9">
        <f>IFERROR(__xludf.DUMMYFUNCTION("SUM(QUERY(Entregas_BD!D:AL,""select AH where D='""&amp;D206&amp;""'"",1))"),0.0)</f>
        <v>0</v>
      </c>
      <c r="V206" s="9">
        <f>IFERROR(__xludf.DUMMYFUNCTION("SUM(QUERY(Entregas_BD!D:AL,""select AI where D='""&amp;D206&amp;""'"",1))"),0.0)</f>
        <v>0</v>
      </c>
      <c r="W206" s="9">
        <f>IFERROR(__xludf.DUMMYFUNCTION("SUM(QUERY(Entregas_BD!D:AL,""select AJ where D='""&amp;D206&amp;""'"",1))"),0.0)</f>
        <v>0</v>
      </c>
      <c r="X206" s="9">
        <f>IFERROR(__xludf.DUMMYFUNCTION("SUM(QUERY(Entregas_BD!D:AL,""select AL where D='""&amp;D206&amp;""'"",1))"),0.0)</f>
        <v>0</v>
      </c>
      <c r="Y206" s="9">
        <f>IFERROR(__xludf.DUMMYFUNCTION("SUM(QUERY(Entregas_BD!D:AL,""select AK where D='""&amp;D206&amp;""'"",1))"),0.0)</f>
        <v>0</v>
      </c>
      <c r="Z206" s="9">
        <v>0.0</v>
      </c>
      <c r="AA206" s="9">
        <v>0.0</v>
      </c>
      <c r="AB206" s="9">
        <v>0.0</v>
      </c>
      <c r="AC206" s="9">
        <v>0.0</v>
      </c>
      <c r="AD206" s="9">
        <v>0.0</v>
      </c>
      <c r="AE206" s="9">
        <v>0.0</v>
      </c>
      <c r="AF206" s="15"/>
      <c r="AG206" s="15">
        <f>IFERROR(__xludf.DUMMYFUNCTION("SUM(QUERY(Entregas_BD!D:W,""select U where D='""&amp;D206&amp;""'"",1))"),0.0)</f>
        <v>0</v>
      </c>
      <c r="AH206" s="15">
        <f>IFERROR(__xludf.DUMMYFUNCTION("SUM(QUERY(Entregas_BD!D:W,""select S where D='""&amp;D206&amp;""'"",1))"),0.0)</f>
        <v>0</v>
      </c>
      <c r="AI206" s="15">
        <f>IFERROR(__xludf.DUMMYFUNCTION("SUM(QUERY(Entregas_BD!D:W,""select T where D='""&amp;D206&amp;""'"",1))"),0.0)</f>
        <v>0</v>
      </c>
    </row>
    <row r="207" ht="19.5" customHeight="1">
      <c r="A207" s="28"/>
      <c r="B207" s="29"/>
      <c r="C207" s="19">
        <v>206.0</v>
      </c>
      <c r="D207" s="20" t="s">
        <v>562</v>
      </c>
      <c r="E207" s="20" t="s">
        <v>153</v>
      </c>
      <c r="F207" s="20" t="s">
        <v>563</v>
      </c>
      <c r="G207" s="20" t="s">
        <v>564</v>
      </c>
      <c r="H207" s="22" t="s">
        <v>40</v>
      </c>
      <c r="I207" s="21" t="s">
        <v>47</v>
      </c>
      <c r="J207" s="22"/>
      <c r="K207" s="22"/>
      <c r="L207" s="23"/>
      <c r="M207" s="36"/>
      <c r="N207" s="19">
        <f>IFERROR(__xludf.DUMMYFUNCTION("SUM(QUERY(Entregas_BD!D:L,""select G where D='""&amp;D207&amp;""'"",1))"),0.0)</f>
        <v>0</v>
      </c>
      <c r="O207" s="19">
        <f>IFERROR(__xludf.DUMMYFUNCTION("SUM(QUERY(Entregas_BD!D:L,""select H where D='""&amp;D207&amp;""'"",1))"),0.0)</f>
        <v>0</v>
      </c>
      <c r="P207" s="19">
        <f>IFERROR(__xludf.DUMMYFUNCTION("SUM(QUERY(Entregas_BD!D:L,""select I where D='""&amp;D207&amp;""'"",1))"),0.0)</f>
        <v>0</v>
      </c>
      <c r="Q207" s="19">
        <f>IFERROR(__xludf.DUMMYFUNCTION("SUM(QUERY(Entregas_BD!D:L,""select J where D='""&amp;D207&amp;""'"",1))"),0.0)</f>
        <v>0</v>
      </c>
      <c r="R207" s="24">
        <f>IFERROR(__xludf.DUMMYFUNCTION("SUM(QUERY(Entregas_BD!D:L,""select K where D='""&amp;D207&amp;""'"",1))"),0.0)</f>
        <v>0</v>
      </c>
      <c r="S207" s="24">
        <f>IFERROR(__xludf.DUMMYFUNCTION("SUM(QUERY(Entregas_BD!D:L,""select L where D='""&amp;D207&amp;""'"",1))"),0.0)</f>
        <v>0</v>
      </c>
      <c r="T207" s="19">
        <f>IFERROR(__xludf.DUMMYFUNCTION("SUM(QUERY(Entregas_BD!D:AL,""select AG where D='""&amp;D207&amp;""'"",1))"),0.0)</f>
        <v>0</v>
      </c>
      <c r="U207" s="19">
        <f>IFERROR(__xludf.DUMMYFUNCTION("SUM(QUERY(Entregas_BD!D:AL,""select AH where D='""&amp;D207&amp;""'"",1))"),0.0)</f>
        <v>0</v>
      </c>
      <c r="V207" s="19">
        <f>IFERROR(__xludf.DUMMYFUNCTION("SUM(QUERY(Entregas_BD!D:AL,""select AI where D='""&amp;D207&amp;""'"",1))"),0.0)</f>
        <v>0</v>
      </c>
      <c r="W207" s="19">
        <f>IFERROR(__xludf.DUMMYFUNCTION("SUM(QUERY(Entregas_BD!D:AL,""select AJ where D='""&amp;D207&amp;""'"",1))"),0.0)</f>
        <v>0</v>
      </c>
      <c r="X207" s="19">
        <f>IFERROR(__xludf.DUMMYFUNCTION("SUM(QUERY(Entregas_BD!D:AL,""select AL where D='""&amp;D207&amp;""'"",1))"),0.0)</f>
        <v>0</v>
      </c>
      <c r="Y207" s="19">
        <f>IFERROR(__xludf.DUMMYFUNCTION("SUM(QUERY(Entregas_BD!D:AL,""select AK where D='""&amp;D207&amp;""'"",1))"),0.0)</f>
        <v>0</v>
      </c>
      <c r="Z207" s="19">
        <v>0.0</v>
      </c>
      <c r="AA207" s="19">
        <v>0.0</v>
      </c>
      <c r="AB207" s="19">
        <v>0.0</v>
      </c>
      <c r="AC207" s="19">
        <v>0.0</v>
      </c>
      <c r="AD207" s="19">
        <v>0.0</v>
      </c>
      <c r="AE207" s="19">
        <v>0.0</v>
      </c>
      <c r="AF207" s="22"/>
      <c r="AG207" s="24">
        <f>IFERROR(__xludf.DUMMYFUNCTION("SUM(QUERY(Entregas_BD!D:W,""select U where D='""&amp;D207&amp;""'"",1))"),0.0)</f>
        <v>0</v>
      </c>
      <c r="AH207" s="24">
        <f>IFERROR(__xludf.DUMMYFUNCTION("SUM(QUERY(Entregas_BD!D:W,""select S where D='""&amp;D207&amp;""'"",1))"),0.0)</f>
        <v>0</v>
      </c>
      <c r="AI207" s="24">
        <f>IFERROR(__xludf.DUMMYFUNCTION("SUM(QUERY(Entregas_BD!D:W,""select T where D='""&amp;D207&amp;""'"",1))"),0.0)</f>
        <v>0</v>
      </c>
    </row>
    <row r="208" ht="19.5" customHeight="1">
      <c r="A208" s="7"/>
      <c r="B208" s="8"/>
      <c r="C208" s="9">
        <v>207.0</v>
      </c>
      <c r="D208" s="44" t="s">
        <v>565</v>
      </c>
      <c r="E208" s="10" t="s">
        <v>324</v>
      </c>
      <c r="F208" s="10" t="s">
        <v>566</v>
      </c>
      <c r="G208" s="10" t="s">
        <v>567</v>
      </c>
      <c r="H208" s="9" t="s">
        <v>40</v>
      </c>
      <c r="I208" s="11" t="s">
        <v>41</v>
      </c>
      <c r="J208" s="12"/>
      <c r="K208" s="9"/>
      <c r="L208" s="47"/>
      <c r="M208" s="9"/>
      <c r="N208" s="9">
        <f>IFERROR(__xludf.DUMMYFUNCTION("SUM(QUERY(Entregas_BD!D:L,""select G where D='""&amp;D208&amp;""'"",1))"),0.0)</f>
        <v>0</v>
      </c>
      <c r="O208" s="9">
        <f>IFERROR(__xludf.DUMMYFUNCTION("SUM(QUERY(Entregas_BD!D:L,""select H where D='""&amp;D208&amp;""'"",1))"),0.0)</f>
        <v>0</v>
      </c>
      <c r="P208" s="9">
        <f>IFERROR(__xludf.DUMMYFUNCTION("SUM(QUERY(Entregas_BD!D:L,""select I where D='""&amp;D208&amp;""'"",1))"),0.0)</f>
        <v>0</v>
      </c>
      <c r="Q208" s="9">
        <f>IFERROR(__xludf.DUMMYFUNCTION("SUM(QUERY(Entregas_BD!D:L,""select J where D='""&amp;D208&amp;""'"",1))"),0.0)</f>
        <v>0</v>
      </c>
      <c r="R208" s="15">
        <f>IFERROR(__xludf.DUMMYFUNCTION("SUM(QUERY(Entregas_BD!D:L,""select K where D='""&amp;D208&amp;""'"",1))"),0.0)</f>
        <v>0</v>
      </c>
      <c r="S208" s="15">
        <f>IFERROR(__xludf.DUMMYFUNCTION("SUM(QUERY(Entregas_BD!D:L,""select L where D='""&amp;D208&amp;""'"",1))"),0.0)</f>
        <v>0</v>
      </c>
      <c r="T208" s="9">
        <f>IFERROR(__xludf.DUMMYFUNCTION("SUM(QUERY(Entregas_BD!D:AL,""select AG where D='""&amp;D208&amp;""'"",1))"),250.0)</f>
        <v>250</v>
      </c>
      <c r="U208" s="9">
        <f>IFERROR(__xludf.DUMMYFUNCTION("SUM(QUERY(Entregas_BD!D:AL,""select AH where D='""&amp;D208&amp;""'"",1))"),0.0)</f>
        <v>0</v>
      </c>
      <c r="V208" s="9">
        <f>IFERROR(__xludf.DUMMYFUNCTION("SUM(QUERY(Entregas_BD!D:AL,""select AI where D='""&amp;D208&amp;""'"",1))"),0.0)</f>
        <v>0</v>
      </c>
      <c r="W208" s="9">
        <f>IFERROR(__xludf.DUMMYFUNCTION("SUM(QUERY(Entregas_BD!D:AL,""select AJ where D='""&amp;D208&amp;""'"",1))"),0.0)</f>
        <v>0</v>
      </c>
      <c r="X208" s="9">
        <f>IFERROR(__xludf.DUMMYFUNCTION("SUM(QUERY(Entregas_BD!D:AL,""select AL where D='""&amp;D208&amp;""'"",1))"),0.0)</f>
        <v>0</v>
      </c>
      <c r="Y208" s="9">
        <f>IFERROR(__xludf.DUMMYFUNCTION("SUM(QUERY(Entregas_BD!D:AL,""select AK where D='""&amp;D208&amp;""'"",1))"),0.0)</f>
        <v>0</v>
      </c>
      <c r="Z208" s="9">
        <v>-250.0</v>
      </c>
      <c r="AA208" s="9">
        <v>0.0</v>
      </c>
      <c r="AB208" s="9">
        <v>0.0</v>
      </c>
      <c r="AC208" s="9">
        <v>0.0</v>
      </c>
      <c r="AD208" s="9">
        <v>0.0</v>
      </c>
      <c r="AE208" s="9">
        <v>0.0</v>
      </c>
      <c r="AF208" s="15"/>
      <c r="AG208" s="15">
        <f>IFERROR(__xludf.DUMMYFUNCTION("SUM(QUERY(Entregas_BD!D:W,""select U where D='""&amp;D208&amp;""'"",1))"),0.0)</f>
        <v>0</v>
      </c>
      <c r="AH208" s="15">
        <f>IFERROR(__xludf.DUMMYFUNCTION("SUM(QUERY(Entregas_BD!D:W,""select S where D='""&amp;D208&amp;""'"",1))"),0.0)</f>
        <v>0</v>
      </c>
      <c r="AI208" s="15">
        <f>IFERROR(__xludf.DUMMYFUNCTION("SUM(QUERY(Entregas_BD!D:W,""select T where D='""&amp;D208&amp;""'"",1))"),0.0)</f>
        <v>0</v>
      </c>
    </row>
    <row r="209" ht="19.5" customHeight="1">
      <c r="A209" s="28"/>
      <c r="B209" s="29"/>
      <c r="C209" s="19">
        <v>208.0</v>
      </c>
      <c r="D209" s="20" t="s">
        <v>568</v>
      </c>
      <c r="E209" s="20" t="s">
        <v>197</v>
      </c>
      <c r="F209" s="20" t="s">
        <v>494</v>
      </c>
      <c r="G209" s="20" t="s">
        <v>569</v>
      </c>
      <c r="H209" s="19" t="s">
        <v>69</v>
      </c>
      <c r="I209" s="21" t="s">
        <v>41</v>
      </c>
      <c r="J209" s="22"/>
      <c r="K209" s="19"/>
      <c r="L209" s="48"/>
      <c r="M209" s="19"/>
      <c r="N209" s="19">
        <f>IFERROR(__xludf.DUMMYFUNCTION("SUM(QUERY(Entregas_BD!D:L,""select G where D='""&amp;D209&amp;""'"",1))"),0.0)</f>
        <v>0</v>
      </c>
      <c r="O209" s="19">
        <f>IFERROR(__xludf.DUMMYFUNCTION("SUM(QUERY(Entregas_BD!D:L,""select H where D='""&amp;D209&amp;""'"",1))"),0.0)</f>
        <v>0</v>
      </c>
      <c r="P209" s="19">
        <f>IFERROR(__xludf.DUMMYFUNCTION("SUM(QUERY(Entregas_BD!D:L,""select I where D='""&amp;D209&amp;""'"",1))"),0.0)</f>
        <v>0</v>
      </c>
      <c r="Q209" s="19">
        <f>IFERROR(__xludf.DUMMYFUNCTION("SUM(QUERY(Entregas_BD!D:L,""select J where D='""&amp;D209&amp;""'"",1))"),0.0)</f>
        <v>0</v>
      </c>
      <c r="R209" s="24">
        <f>IFERROR(__xludf.DUMMYFUNCTION("SUM(QUERY(Entregas_BD!D:L,""select K where D='""&amp;D209&amp;""'"",1))"),0.0)</f>
        <v>0</v>
      </c>
      <c r="S209" s="24">
        <f>IFERROR(__xludf.DUMMYFUNCTION("SUM(QUERY(Entregas_BD!D:L,""select L where D='""&amp;D209&amp;""'"",1))"),0.0)</f>
        <v>0</v>
      </c>
      <c r="T209" s="19">
        <f>IFERROR(__xludf.DUMMYFUNCTION("SUM(QUERY(Entregas_BD!D:AL,""select AG where D='""&amp;D209&amp;""'"",1))"),50.0)</f>
        <v>50</v>
      </c>
      <c r="U209" s="19">
        <f>IFERROR(__xludf.DUMMYFUNCTION("SUM(QUERY(Entregas_BD!D:AL,""select AH where D='""&amp;D209&amp;""'"",1))"),0.0)</f>
        <v>0</v>
      </c>
      <c r="V209" s="19">
        <f>IFERROR(__xludf.DUMMYFUNCTION("SUM(QUERY(Entregas_BD!D:AL,""select AI where D='""&amp;D209&amp;""'"",1))"),0.0)</f>
        <v>0</v>
      </c>
      <c r="W209" s="19">
        <f>IFERROR(__xludf.DUMMYFUNCTION("SUM(QUERY(Entregas_BD!D:AL,""select AJ where D='""&amp;D209&amp;""'"",1))"),0.0)</f>
        <v>0</v>
      </c>
      <c r="X209" s="19">
        <f>IFERROR(__xludf.DUMMYFUNCTION("SUM(QUERY(Entregas_BD!D:AL,""select AL where D='""&amp;D209&amp;""'"",1))"),0.0)</f>
        <v>0</v>
      </c>
      <c r="Y209" s="19">
        <f>IFERROR(__xludf.DUMMYFUNCTION("SUM(QUERY(Entregas_BD!D:AL,""select AK where D='""&amp;D209&amp;""'"",1))"),0.0)</f>
        <v>0</v>
      </c>
      <c r="Z209" s="19">
        <v>-50.0</v>
      </c>
      <c r="AA209" s="19">
        <v>0.0</v>
      </c>
      <c r="AB209" s="19">
        <v>0.0</v>
      </c>
      <c r="AC209" s="19">
        <v>0.0</v>
      </c>
      <c r="AD209" s="19">
        <v>0.0</v>
      </c>
      <c r="AE209" s="19">
        <v>0.0</v>
      </c>
      <c r="AF209" s="24"/>
      <c r="AG209" s="24">
        <f>IFERROR(__xludf.DUMMYFUNCTION("SUM(QUERY(Entregas_BD!D:W,""select U where D='""&amp;D209&amp;""'"",1))"),0.0)</f>
        <v>0</v>
      </c>
      <c r="AH209" s="24">
        <f>IFERROR(__xludf.DUMMYFUNCTION("SUM(QUERY(Entregas_BD!D:W,""select S where D='""&amp;D209&amp;""'"",1))"),0.0)</f>
        <v>0</v>
      </c>
      <c r="AI209" s="24">
        <f>IFERROR(__xludf.DUMMYFUNCTION("SUM(QUERY(Entregas_BD!D:W,""select T where D='""&amp;D209&amp;""'"",1))"),0.0)</f>
        <v>0</v>
      </c>
    </row>
    <row r="210" ht="19.5" customHeight="1">
      <c r="A210" s="7"/>
      <c r="B210" s="8"/>
      <c r="C210" s="9">
        <v>209.0</v>
      </c>
      <c r="D210" s="10" t="s">
        <v>570</v>
      </c>
      <c r="E210" s="10" t="s">
        <v>58</v>
      </c>
      <c r="F210" s="10" t="s">
        <v>571</v>
      </c>
      <c r="G210" s="10" t="s">
        <v>572</v>
      </c>
      <c r="H210" s="9" t="s">
        <v>51</v>
      </c>
      <c r="I210" s="11" t="s">
        <v>41</v>
      </c>
      <c r="J210" s="12"/>
      <c r="K210" s="9"/>
      <c r="L210" s="47"/>
      <c r="M210" s="9"/>
      <c r="N210" s="9">
        <f>IFERROR(__xludf.DUMMYFUNCTION("SUM(QUERY(Entregas_BD!D:L,""select G where D='""&amp;D210&amp;""'"",1))"),0.0)</f>
        <v>0</v>
      </c>
      <c r="O210" s="9">
        <f>IFERROR(__xludf.DUMMYFUNCTION("SUM(QUERY(Entregas_BD!D:L,""select H where D='""&amp;D210&amp;""'"",1))"),0.0)</f>
        <v>0</v>
      </c>
      <c r="P210" s="9">
        <f>IFERROR(__xludf.DUMMYFUNCTION("SUM(QUERY(Entregas_BD!D:L,""select I where D='""&amp;D210&amp;""'"",1))"),0.0)</f>
        <v>0</v>
      </c>
      <c r="Q210" s="9">
        <f>IFERROR(__xludf.DUMMYFUNCTION("SUM(QUERY(Entregas_BD!D:L,""select J where D='""&amp;D210&amp;""'"",1))"),0.0)</f>
        <v>0</v>
      </c>
      <c r="R210" s="15">
        <f>IFERROR(__xludf.DUMMYFUNCTION("SUM(QUERY(Entregas_BD!D:L,""select K where D='""&amp;D210&amp;""'"",1))"),0.0)</f>
        <v>0</v>
      </c>
      <c r="S210" s="15">
        <f>IFERROR(__xludf.DUMMYFUNCTION("SUM(QUERY(Entregas_BD!D:L,""select L where D='""&amp;D210&amp;""'"",1))"),0.0)</f>
        <v>0</v>
      </c>
      <c r="T210" s="9">
        <f>IFERROR(__xludf.DUMMYFUNCTION("SUM(QUERY(Entregas_BD!D:AL,""select AG where D='""&amp;D210&amp;""'"",1))"),0.0)</f>
        <v>0</v>
      </c>
      <c r="U210" s="9">
        <f>IFERROR(__xludf.DUMMYFUNCTION("SUM(QUERY(Entregas_BD!D:AL,""select AH where D='""&amp;D210&amp;""'"",1))"),0.0)</f>
        <v>0</v>
      </c>
      <c r="V210" s="9">
        <f>IFERROR(__xludf.DUMMYFUNCTION("SUM(QUERY(Entregas_BD!D:AL,""select AI where D='""&amp;D210&amp;""'"",1))"),0.0)</f>
        <v>0</v>
      </c>
      <c r="W210" s="9">
        <f>IFERROR(__xludf.DUMMYFUNCTION("SUM(QUERY(Entregas_BD!D:AL,""select AJ where D='""&amp;D210&amp;""'"",1))"),0.0)</f>
        <v>0</v>
      </c>
      <c r="X210" s="9">
        <f>IFERROR(__xludf.DUMMYFUNCTION("SUM(QUERY(Entregas_BD!D:AL,""select AL where D='""&amp;D210&amp;""'"",1))"),0.0)</f>
        <v>0</v>
      </c>
      <c r="Y210" s="9">
        <f>IFERROR(__xludf.DUMMYFUNCTION("SUM(QUERY(Entregas_BD!D:AL,""select AK where D='""&amp;D210&amp;""'"",1))"),0.0)</f>
        <v>0</v>
      </c>
      <c r="Z210" s="9">
        <v>0.0</v>
      </c>
      <c r="AA210" s="9">
        <v>0.0</v>
      </c>
      <c r="AB210" s="9">
        <v>0.0</v>
      </c>
      <c r="AC210" s="9">
        <v>0.0</v>
      </c>
      <c r="AD210" s="9">
        <v>0.0</v>
      </c>
      <c r="AE210" s="9">
        <v>0.0</v>
      </c>
      <c r="AF210" s="15"/>
      <c r="AG210" s="15">
        <f>IFERROR(__xludf.DUMMYFUNCTION("SUM(QUERY(Entregas_BD!D:W,""select U where D='""&amp;D210&amp;""'"",1))"),0.0)</f>
        <v>0</v>
      </c>
      <c r="AH210" s="15">
        <f>IFERROR(__xludf.DUMMYFUNCTION("SUM(QUERY(Entregas_BD!D:W,""select S where D='""&amp;D210&amp;""'"",1))"),0.0)</f>
        <v>0</v>
      </c>
      <c r="AI210" s="15">
        <f>IFERROR(__xludf.DUMMYFUNCTION("SUM(QUERY(Entregas_BD!D:W,""select T where D='""&amp;D210&amp;""'"",1))"),0.0)</f>
        <v>0</v>
      </c>
    </row>
    <row r="211" ht="19.5" customHeight="1">
      <c r="A211" s="28"/>
      <c r="B211" s="29"/>
      <c r="C211" s="19">
        <v>210.0</v>
      </c>
      <c r="D211" s="20" t="s">
        <v>573</v>
      </c>
      <c r="E211" s="20" t="s">
        <v>54</v>
      </c>
      <c r="F211" s="20" t="s">
        <v>45</v>
      </c>
      <c r="G211" s="20" t="s">
        <v>499</v>
      </c>
      <c r="H211" s="19" t="s">
        <v>69</v>
      </c>
      <c r="I211" s="21" t="s">
        <v>41</v>
      </c>
      <c r="J211" s="22"/>
      <c r="K211" s="19"/>
      <c r="L211" s="48"/>
      <c r="M211" s="19"/>
      <c r="N211" s="19">
        <f>IFERROR(__xludf.DUMMYFUNCTION("SUM(QUERY(Entregas_BD!D:L,""select G where D='""&amp;D211&amp;""'"",1))"),0.0)</f>
        <v>0</v>
      </c>
      <c r="O211" s="19">
        <f>IFERROR(__xludf.DUMMYFUNCTION("SUM(QUERY(Entregas_BD!D:L,""select H where D='""&amp;D211&amp;""'"",1))"),0.0)</f>
        <v>0</v>
      </c>
      <c r="P211" s="19">
        <f>IFERROR(__xludf.DUMMYFUNCTION("SUM(QUERY(Entregas_BD!D:L,""select I where D='""&amp;D211&amp;""'"",1))"),0.0)</f>
        <v>0</v>
      </c>
      <c r="Q211" s="19">
        <f>IFERROR(__xludf.DUMMYFUNCTION("SUM(QUERY(Entregas_BD!D:L,""select J where D='""&amp;D211&amp;""'"",1))"),0.0)</f>
        <v>0</v>
      </c>
      <c r="R211" s="24">
        <f>IFERROR(__xludf.DUMMYFUNCTION("SUM(QUERY(Entregas_BD!D:L,""select K where D='""&amp;D211&amp;""'"",1))"),0.0)</f>
        <v>0</v>
      </c>
      <c r="S211" s="24">
        <f>IFERROR(__xludf.DUMMYFUNCTION("SUM(QUERY(Entregas_BD!D:L,""select L where D='""&amp;D211&amp;""'"",1))"),0.0)</f>
        <v>0</v>
      </c>
      <c r="T211" s="19">
        <f>IFERROR(__xludf.DUMMYFUNCTION("SUM(QUERY(Entregas_BD!D:AL,""select AG where D='""&amp;D211&amp;""'"",1))"),50.0)</f>
        <v>50</v>
      </c>
      <c r="U211" s="19">
        <f>IFERROR(__xludf.DUMMYFUNCTION("SUM(QUERY(Entregas_BD!D:AL,""select AH where D='""&amp;D211&amp;""'"",1))"),0.0)</f>
        <v>0</v>
      </c>
      <c r="V211" s="19">
        <f>IFERROR(__xludf.DUMMYFUNCTION("SUM(QUERY(Entregas_BD!D:AL,""select AI where D='""&amp;D211&amp;""'"",1))"),0.0)</f>
        <v>0</v>
      </c>
      <c r="W211" s="19">
        <f>IFERROR(__xludf.DUMMYFUNCTION("SUM(QUERY(Entregas_BD!D:AL,""select AJ where D='""&amp;D211&amp;""'"",1))"),0.0)</f>
        <v>0</v>
      </c>
      <c r="X211" s="19">
        <f>IFERROR(__xludf.DUMMYFUNCTION("SUM(QUERY(Entregas_BD!D:AL,""select AL where D='""&amp;D211&amp;""'"",1))"),0.0)</f>
        <v>0</v>
      </c>
      <c r="Y211" s="19">
        <f>IFERROR(__xludf.DUMMYFUNCTION("SUM(QUERY(Entregas_BD!D:AL,""select AK where D='""&amp;D211&amp;""'"",1))"),6.0)</f>
        <v>6</v>
      </c>
      <c r="Z211" s="19">
        <v>-50.0</v>
      </c>
      <c r="AA211" s="19">
        <v>0.0</v>
      </c>
      <c r="AB211" s="19">
        <v>0.0</v>
      </c>
      <c r="AC211" s="19">
        <v>0.0</v>
      </c>
      <c r="AD211" s="19">
        <v>-6.0</v>
      </c>
      <c r="AE211" s="19">
        <v>0.0</v>
      </c>
      <c r="AF211" s="22"/>
      <c r="AG211" s="24">
        <f>IFERROR(__xludf.DUMMYFUNCTION("SUM(QUERY(Entregas_BD!D:W,""select U where D='""&amp;D211&amp;""'"",1))"),0.0)</f>
        <v>0</v>
      </c>
      <c r="AH211" s="24">
        <f>IFERROR(__xludf.DUMMYFUNCTION("SUM(QUERY(Entregas_BD!D:W,""select S where D='""&amp;D211&amp;""'"",1))"),0.0)</f>
        <v>0</v>
      </c>
      <c r="AI211" s="24">
        <f>IFERROR(__xludf.DUMMYFUNCTION("SUM(QUERY(Entregas_BD!D:W,""select T where D='""&amp;D211&amp;""'"",1))"),0.0)</f>
        <v>0</v>
      </c>
    </row>
    <row r="212" ht="19.5" customHeight="1">
      <c r="A212" s="7"/>
      <c r="B212" s="8"/>
      <c r="C212" s="9">
        <v>211.0</v>
      </c>
      <c r="D212" s="10" t="s">
        <v>574</v>
      </c>
      <c r="E212" s="10" t="s">
        <v>54</v>
      </c>
      <c r="F212" s="10" t="s">
        <v>45</v>
      </c>
      <c r="G212" s="10" t="s">
        <v>575</v>
      </c>
      <c r="H212" s="9" t="s">
        <v>69</v>
      </c>
      <c r="I212" s="11" t="s">
        <v>41</v>
      </c>
      <c r="J212" s="12"/>
      <c r="K212" s="9"/>
      <c r="L212" s="47"/>
      <c r="M212" s="9"/>
      <c r="N212" s="9">
        <f>IFERROR(__xludf.DUMMYFUNCTION("SUM(QUERY(Entregas_BD!D:L,""select G where D='""&amp;D212&amp;""'"",1))"),0.0)</f>
        <v>0</v>
      </c>
      <c r="O212" s="9">
        <f>IFERROR(__xludf.DUMMYFUNCTION("SUM(QUERY(Entregas_BD!D:L,""select H where D='""&amp;D212&amp;""'"",1))"),0.0)</f>
        <v>0</v>
      </c>
      <c r="P212" s="9">
        <f>IFERROR(__xludf.DUMMYFUNCTION("SUM(QUERY(Entregas_BD!D:L,""select I where D='""&amp;D212&amp;""'"",1))"),0.0)</f>
        <v>0</v>
      </c>
      <c r="Q212" s="9">
        <f>IFERROR(__xludf.DUMMYFUNCTION("SUM(QUERY(Entregas_BD!D:L,""select J where D='""&amp;D212&amp;""'"",1))"),0.0)</f>
        <v>0</v>
      </c>
      <c r="R212" s="15">
        <f>IFERROR(__xludf.DUMMYFUNCTION("SUM(QUERY(Entregas_BD!D:L,""select K where D='""&amp;D212&amp;""'"",1))"),0.0)</f>
        <v>0</v>
      </c>
      <c r="S212" s="15">
        <f>IFERROR(__xludf.DUMMYFUNCTION("SUM(QUERY(Entregas_BD!D:L,""select L where D='""&amp;D212&amp;""'"",1))"),0.0)</f>
        <v>0</v>
      </c>
      <c r="T212" s="9">
        <f>IFERROR(__xludf.DUMMYFUNCTION("SUM(QUERY(Entregas_BD!D:AL,""select AG where D='""&amp;D212&amp;""'"",1))"),0.0)</f>
        <v>0</v>
      </c>
      <c r="U212" s="9">
        <f>IFERROR(__xludf.DUMMYFUNCTION("SUM(QUERY(Entregas_BD!D:AL,""select AH where D='""&amp;D212&amp;""'"",1))"),0.0)</f>
        <v>0</v>
      </c>
      <c r="V212" s="9">
        <f>IFERROR(__xludf.DUMMYFUNCTION("SUM(QUERY(Entregas_BD!D:AL,""select AI where D='""&amp;D212&amp;""'"",1))"),0.0)</f>
        <v>0</v>
      </c>
      <c r="W212" s="9">
        <f>IFERROR(__xludf.DUMMYFUNCTION("SUM(QUERY(Entregas_BD!D:AL,""select AJ where D='""&amp;D212&amp;""'"",1))"),0.0)</f>
        <v>0</v>
      </c>
      <c r="X212" s="9">
        <f>IFERROR(__xludf.DUMMYFUNCTION("SUM(QUERY(Entregas_BD!D:AL,""select AL where D='""&amp;D212&amp;""'"",1))"),0.0)</f>
        <v>0</v>
      </c>
      <c r="Y212" s="9">
        <f>IFERROR(__xludf.DUMMYFUNCTION("SUM(QUERY(Entregas_BD!D:AL,""select AK where D='""&amp;D212&amp;""'"",1))"),0.0)</f>
        <v>0</v>
      </c>
      <c r="Z212" s="9">
        <v>0.0</v>
      </c>
      <c r="AA212" s="9">
        <v>0.0</v>
      </c>
      <c r="AB212" s="9">
        <v>0.0</v>
      </c>
      <c r="AC212" s="9">
        <v>0.0</v>
      </c>
      <c r="AD212" s="9">
        <v>0.0</v>
      </c>
      <c r="AE212" s="9">
        <v>0.0</v>
      </c>
      <c r="AF212" s="15"/>
      <c r="AG212" s="15">
        <f>IFERROR(__xludf.DUMMYFUNCTION("SUM(QUERY(Entregas_BD!D:W,""select U where D='""&amp;D212&amp;""'"",1))"),0.0)</f>
        <v>0</v>
      </c>
      <c r="AH212" s="15">
        <f>IFERROR(__xludf.DUMMYFUNCTION("SUM(QUERY(Entregas_BD!D:W,""select S where D='""&amp;D212&amp;""'"",1))"),0.0)</f>
        <v>0</v>
      </c>
      <c r="AI212" s="15">
        <f>IFERROR(__xludf.DUMMYFUNCTION("SUM(QUERY(Entregas_BD!D:W,""select T where D='""&amp;D212&amp;""'"",1))"),0.0)</f>
        <v>0</v>
      </c>
    </row>
    <row r="213" ht="19.5" customHeight="1">
      <c r="A213" s="28"/>
      <c r="B213" s="29"/>
      <c r="C213" s="19">
        <v>212.0</v>
      </c>
      <c r="D213" s="20" t="s">
        <v>576</v>
      </c>
      <c r="E213" s="20" t="s">
        <v>38</v>
      </c>
      <c r="F213" s="20" t="s">
        <v>577</v>
      </c>
      <c r="G213" s="20" t="s">
        <v>578</v>
      </c>
      <c r="H213" s="19" t="s">
        <v>69</v>
      </c>
      <c r="I213" s="21" t="s">
        <v>41</v>
      </c>
      <c r="J213" s="22"/>
      <c r="K213" s="19"/>
      <c r="L213" s="48"/>
      <c r="M213" s="19"/>
      <c r="N213" s="19">
        <f>IFERROR(__xludf.DUMMYFUNCTION("SUM(QUERY(Entregas_BD!D:L,""select G where D='""&amp;D213&amp;""'"",1))"),0.0)</f>
        <v>0</v>
      </c>
      <c r="O213" s="19">
        <f>IFERROR(__xludf.DUMMYFUNCTION("SUM(QUERY(Entregas_BD!D:L,""select H where D='""&amp;D213&amp;""'"",1))"),0.0)</f>
        <v>0</v>
      </c>
      <c r="P213" s="19">
        <f>IFERROR(__xludf.DUMMYFUNCTION("SUM(QUERY(Entregas_BD!D:L,""select I where D='""&amp;D213&amp;""'"",1))"),0.0)</f>
        <v>0</v>
      </c>
      <c r="Q213" s="19">
        <f>IFERROR(__xludf.DUMMYFUNCTION("SUM(QUERY(Entregas_BD!D:L,""select J where D='""&amp;D213&amp;""'"",1))"),0.0)</f>
        <v>0</v>
      </c>
      <c r="R213" s="24">
        <f>IFERROR(__xludf.DUMMYFUNCTION("SUM(QUERY(Entregas_BD!D:L,""select K where D='""&amp;D213&amp;""'"",1))"),0.0)</f>
        <v>0</v>
      </c>
      <c r="S213" s="24">
        <f>IFERROR(__xludf.DUMMYFUNCTION("SUM(QUERY(Entregas_BD!D:L,""select L where D='""&amp;D213&amp;""'"",1))"),0.0)</f>
        <v>0</v>
      </c>
      <c r="T213" s="19">
        <f>IFERROR(__xludf.DUMMYFUNCTION("SUM(QUERY(Entregas_BD!D:AL,""select AG where D='""&amp;D213&amp;""'"",1))"),50.0)</f>
        <v>50</v>
      </c>
      <c r="U213" s="19">
        <f>IFERROR(__xludf.DUMMYFUNCTION("SUM(QUERY(Entregas_BD!D:AL,""select AH where D='""&amp;D213&amp;""'"",1))"),0.0)</f>
        <v>0</v>
      </c>
      <c r="V213" s="19">
        <f>IFERROR(__xludf.DUMMYFUNCTION("SUM(QUERY(Entregas_BD!D:AL,""select AI where D='""&amp;D213&amp;""'"",1))"),0.0)</f>
        <v>0</v>
      </c>
      <c r="W213" s="19">
        <f>IFERROR(__xludf.DUMMYFUNCTION("SUM(QUERY(Entregas_BD!D:AL,""select AJ where D='""&amp;D213&amp;""'"",1))"),0.0)</f>
        <v>0</v>
      </c>
      <c r="X213" s="19">
        <f>IFERROR(__xludf.DUMMYFUNCTION("SUM(QUERY(Entregas_BD!D:AL,""select AL where D='""&amp;D213&amp;""'"",1))"),0.0)</f>
        <v>0</v>
      </c>
      <c r="Y213" s="19">
        <f>IFERROR(__xludf.DUMMYFUNCTION("SUM(QUERY(Entregas_BD!D:AL,""select AK where D='""&amp;D213&amp;""'"",1))"),0.0)</f>
        <v>0</v>
      </c>
      <c r="Z213" s="19">
        <v>-50.0</v>
      </c>
      <c r="AA213" s="19">
        <v>0.0</v>
      </c>
      <c r="AB213" s="19">
        <v>0.0</v>
      </c>
      <c r="AC213" s="19">
        <v>0.0</v>
      </c>
      <c r="AD213" s="19">
        <v>0.0</v>
      </c>
      <c r="AE213" s="19">
        <v>0.0</v>
      </c>
      <c r="AF213" s="24"/>
      <c r="AG213" s="24">
        <f>IFERROR(__xludf.DUMMYFUNCTION("SUM(QUERY(Entregas_BD!D:W,""select U where D='""&amp;D213&amp;""'"",1))"),0.0)</f>
        <v>0</v>
      </c>
      <c r="AH213" s="24">
        <f>IFERROR(__xludf.DUMMYFUNCTION("SUM(QUERY(Entregas_BD!D:W,""select S where D='""&amp;D213&amp;""'"",1))"),0.0)</f>
        <v>0</v>
      </c>
      <c r="AI213" s="24">
        <f>IFERROR(__xludf.DUMMYFUNCTION("SUM(QUERY(Entregas_BD!D:W,""select T where D='""&amp;D213&amp;""'"",1))"),0.0)</f>
        <v>0</v>
      </c>
    </row>
    <row r="214" ht="19.5" customHeight="1">
      <c r="A214" s="7"/>
      <c r="B214" s="8"/>
      <c r="C214" s="9">
        <v>213.0</v>
      </c>
      <c r="D214" s="10" t="s">
        <v>579</v>
      </c>
      <c r="E214" s="10" t="s">
        <v>479</v>
      </c>
      <c r="F214" s="10" t="s">
        <v>580</v>
      </c>
      <c r="G214" s="10" t="s">
        <v>581</v>
      </c>
      <c r="H214" s="9" t="s">
        <v>40</v>
      </c>
      <c r="I214" s="11" t="s">
        <v>41</v>
      </c>
      <c r="J214" s="12"/>
      <c r="K214" s="9"/>
      <c r="L214" s="47"/>
      <c r="M214" s="9"/>
      <c r="N214" s="9">
        <f>IFERROR(__xludf.DUMMYFUNCTION("SUM(QUERY(Entregas_BD!D:L,""select G where D='""&amp;D214&amp;""'"",1))"),0.0)</f>
        <v>0</v>
      </c>
      <c r="O214" s="9">
        <f>IFERROR(__xludf.DUMMYFUNCTION("SUM(QUERY(Entregas_BD!D:L,""select H where D='""&amp;D214&amp;""'"",1))"),0.0)</f>
        <v>0</v>
      </c>
      <c r="P214" s="9">
        <f>IFERROR(__xludf.DUMMYFUNCTION("SUM(QUERY(Entregas_BD!D:L,""select I where D='""&amp;D214&amp;""'"",1))"),0.0)</f>
        <v>0</v>
      </c>
      <c r="Q214" s="9">
        <f>IFERROR(__xludf.DUMMYFUNCTION("SUM(QUERY(Entregas_BD!D:L,""select J where D='""&amp;D214&amp;""'"",1))"),0.0)</f>
        <v>0</v>
      </c>
      <c r="R214" s="15">
        <f>IFERROR(__xludf.DUMMYFUNCTION("SUM(QUERY(Entregas_BD!D:L,""select K where D='""&amp;D214&amp;""'"",1))"),0.0)</f>
        <v>0</v>
      </c>
      <c r="S214" s="15">
        <f>IFERROR(__xludf.DUMMYFUNCTION("SUM(QUERY(Entregas_BD!D:L,""select L where D='""&amp;D214&amp;""'"",1))"),0.0)</f>
        <v>0</v>
      </c>
      <c r="T214" s="9">
        <f>IFERROR(__xludf.DUMMYFUNCTION("SUM(QUERY(Entregas_BD!D:AL,""select AG where D='""&amp;D214&amp;""'"",1))"),50.0)</f>
        <v>50</v>
      </c>
      <c r="U214" s="9">
        <f>IFERROR(__xludf.DUMMYFUNCTION("SUM(QUERY(Entregas_BD!D:AL,""select AH where D='""&amp;D214&amp;""'"",1))"),0.0)</f>
        <v>0</v>
      </c>
      <c r="V214" s="9">
        <f>IFERROR(__xludf.DUMMYFUNCTION("SUM(QUERY(Entregas_BD!D:AL,""select AI where D='""&amp;D214&amp;""'"",1))"),0.0)</f>
        <v>0</v>
      </c>
      <c r="W214" s="9">
        <f>IFERROR(__xludf.DUMMYFUNCTION("SUM(QUERY(Entregas_BD!D:AL,""select AJ where D='""&amp;D214&amp;""'"",1))"),0.0)</f>
        <v>0</v>
      </c>
      <c r="X214" s="9">
        <f>IFERROR(__xludf.DUMMYFUNCTION("SUM(QUERY(Entregas_BD!D:AL,""select AL where D='""&amp;D214&amp;""'"",1))"),0.0)</f>
        <v>0</v>
      </c>
      <c r="Y214" s="9">
        <f>IFERROR(__xludf.DUMMYFUNCTION("SUM(QUERY(Entregas_BD!D:AL,""select AK where D='""&amp;D214&amp;""'"",1))"),0.0)</f>
        <v>0</v>
      </c>
      <c r="Z214" s="9">
        <v>-50.0</v>
      </c>
      <c r="AA214" s="9">
        <v>0.0</v>
      </c>
      <c r="AB214" s="9">
        <v>0.0</v>
      </c>
      <c r="AC214" s="9">
        <v>0.0</v>
      </c>
      <c r="AD214" s="9">
        <v>0.0</v>
      </c>
      <c r="AE214" s="9">
        <v>0.0</v>
      </c>
      <c r="AF214" s="15"/>
      <c r="AG214" s="15">
        <f>IFERROR(__xludf.DUMMYFUNCTION("SUM(QUERY(Entregas_BD!D:W,""select U where D='""&amp;D214&amp;""'"",1))"),0.0)</f>
        <v>0</v>
      </c>
      <c r="AH214" s="15">
        <f>IFERROR(__xludf.DUMMYFUNCTION("SUM(QUERY(Entregas_BD!D:W,""select S where D='""&amp;D214&amp;""'"",1))"),0.0)</f>
        <v>0</v>
      </c>
      <c r="AI214" s="15">
        <f>IFERROR(__xludf.DUMMYFUNCTION("SUM(QUERY(Entregas_BD!D:W,""select T where D='""&amp;D214&amp;""'"",1))"),0.0)</f>
        <v>0</v>
      </c>
    </row>
    <row r="215" ht="19.5" customHeight="1">
      <c r="A215" s="28"/>
      <c r="B215" s="29"/>
      <c r="C215" s="19">
        <v>214.0</v>
      </c>
      <c r="D215" s="20" t="s">
        <v>582</v>
      </c>
      <c r="E215" s="20" t="s">
        <v>197</v>
      </c>
      <c r="F215" s="20" t="s">
        <v>583</v>
      </c>
      <c r="G215" s="20" t="s">
        <v>584</v>
      </c>
      <c r="H215" s="19" t="s">
        <v>51</v>
      </c>
      <c r="I215" s="21" t="s">
        <v>41</v>
      </c>
      <c r="J215" s="22"/>
      <c r="K215" s="19"/>
      <c r="L215" s="48"/>
      <c r="M215" s="19"/>
      <c r="N215" s="19">
        <f>IFERROR(__xludf.DUMMYFUNCTION("SUM(QUERY(Entregas_BD!D:L,""select G where D='""&amp;D215&amp;""'"",1))"),0.0)</f>
        <v>0</v>
      </c>
      <c r="O215" s="19">
        <f>IFERROR(__xludf.DUMMYFUNCTION("SUM(QUERY(Entregas_BD!D:L,""select H where D='""&amp;D215&amp;""'"",1))"),0.0)</f>
        <v>0</v>
      </c>
      <c r="P215" s="19">
        <f>IFERROR(__xludf.DUMMYFUNCTION("SUM(QUERY(Entregas_BD!D:L,""select I where D='""&amp;D215&amp;""'"",1))"),0.0)</f>
        <v>0</v>
      </c>
      <c r="Q215" s="19">
        <f>IFERROR(__xludf.DUMMYFUNCTION("SUM(QUERY(Entregas_BD!D:L,""select J where D='""&amp;D215&amp;""'"",1))"),0.0)</f>
        <v>0</v>
      </c>
      <c r="R215" s="24">
        <f>IFERROR(__xludf.DUMMYFUNCTION("SUM(QUERY(Entregas_BD!D:L,""select K where D='""&amp;D215&amp;""'"",1))"),0.0)</f>
        <v>0</v>
      </c>
      <c r="S215" s="24">
        <f>IFERROR(__xludf.DUMMYFUNCTION("SUM(QUERY(Entregas_BD!D:L,""select L where D='""&amp;D215&amp;""'"",1))"),0.0)</f>
        <v>0</v>
      </c>
      <c r="T215" s="19">
        <f>IFERROR(__xludf.DUMMYFUNCTION("SUM(QUERY(Entregas_BD!D:AL,""select AG where D='""&amp;D215&amp;""'"",1))"),0.0)</f>
        <v>0</v>
      </c>
      <c r="U215" s="19">
        <f>IFERROR(__xludf.DUMMYFUNCTION("SUM(QUERY(Entregas_BD!D:AL,""select AH where D='""&amp;D215&amp;""'"",1))"),0.0)</f>
        <v>0</v>
      </c>
      <c r="V215" s="19">
        <f>IFERROR(__xludf.DUMMYFUNCTION("SUM(QUERY(Entregas_BD!D:AL,""select AI where D='""&amp;D215&amp;""'"",1))"),0.0)</f>
        <v>0</v>
      </c>
      <c r="W215" s="19">
        <f>IFERROR(__xludf.DUMMYFUNCTION("SUM(QUERY(Entregas_BD!D:AL,""select AJ where D='""&amp;D215&amp;""'"",1))"),0.0)</f>
        <v>0</v>
      </c>
      <c r="X215" s="19">
        <f>IFERROR(__xludf.DUMMYFUNCTION("SUM(QUERY(Entregas_BD!D:AL,""select AL where D='""&amp;D215&amp;""'"",1))"),0.0)</f>
        <v>0</v>
      </c>
      <c r="Y215" s="19">
        <f>IFERROR(__xludf.DUMMYFUNCTION("SUM(QUERY(Entregas_BD!D:AL,""select AK where D='""&amp;D215&amp;""'"",1))"),0.0)</f>
        <v>0</v>
      </c>
      <c r="Z215" s="19">
        <v>0.0</v>
      </c>
      <c r="AA215" s="19">
        <v>0.0</v>
      </c>
      <c r="AB215" s="19">
        <v>0.0</v>
      </c>
      <c r="AC215" s="19">
        <v>0.0</v>
      </c>
      <c r="AD215" s="19">
        <v>0.0</v>
      </c>
      <c r="AE215" s="19">
        <v>0.0</v>
      </c>
      <c r="AF215" s="24"/>
      <c r="AG215" s="24">
        <f>IFERROR(__xludf.DUMMYFUNCTION("SUM(QUERY(Entregas_BD!D:W,""select U where D='""&amp;D215&amp;""'"",1))"),0.0)</f>
        <v>0</v>
      </c>
      <c r="AH215" s="24">
        <f>IFERROR(__xludf.DUMMYFUNCTION("SUM(QUERY(Entregas_BD!D:W,""select S where D='""&amp;D215&amp;""'"",1))"),0.0)</f>
        <v>0</v>
      </c>
      <c r="AI215" s="24">
        <f>IFERROR(__xludf.DUMMYFUNCTION("SUM(QUERY(Entregas_BD!D:W,""select T where D='""&amp;D215&amp;""'"",1))"),0.0)</f>
        <v>0</v>
      </c>
    </row>
    <row r="216" ht="19.5" customHeight="1">
      <c r="A216" s="7"/>
      <c r="B216" s="8"/>
      <c r="C216" s="9">
        <v>215.0</v>
      </c>
      <c r="D216" s="10" t="s">
        <v>585</v>
      </c>
      <c r="E216" s="10" t="s">
        <v>38</v>
      </c>
      <c r="F216" s="10" t="s">
        <v>586</v>
      </c>
      <c r="G216" s="10" t="s">
        <v>587</v>
      </c>
      <c r="H216" s="9" t="s">
        <v>69</v>
      </c>
      <c r="I216" s="11" t="s">
        <v>41</v>
      </c>
      <c r="J216" s="12"/>
      <c r="K216" s="9"/>
      <c r="L216" s="47"/>
      <c r="M216" s="9"/>
      <c r="N216" s="9">
        <f>IFERROR(__xludf.DUMMYFUNCTION("SUM(QUERY(Entregas_BD!D:L,""select G where D='""&amp;D216&amp;""'"",1))"),0.0)</f>
        <v>0</v>
      </c>
      <c r="O216" s="9">
        <f>IFERROR(__xludf.DUMMYFUNCTION("SUM(QUERY(Entregas_BD!D:L,""select H where D='""&amp;D216&amp;""'"",1))"),0.0)</f>
        <v>0</v>
      </c>
      <c r="P216" s="9">
        <f>IFERROR(__xludf.DUMMYFUNCTION("SUM(QUERY(Entregas_BD!D:L,""select I where D='""&amp;D216&amp;""'"",1))"),0.0)</f>
        <v>0</v>
      </c>
      <c r="Q216" s="9">
        <f>IFERROR(__xludf.DUMMYFUNCTION("SUM(QUERY(Entregas_BD!D:L,""select J where D='""&amp;D216&amp;""'"",1))"),0.0)</f>
        <v>0</v>
      </c>
      <c r="R216" s="15">
        <f>IFERROR(__xludf.DUMMYFUNCTION("SUM(QUERY(Entregas_BD!D:L,""select K where D='""&amp;D216&amp;""'"",1))"),0.0)</f>
        <v>0</v>
      </c>
      <c r="S216" s="15">
        <f>IFERROR(__xludf.DUMMYFUNCTION("SUM(QUERY(Entregas_BD!D:L,""select L where D='""&amp;D216&amp;""'"",1))"),0.0)</f>
        <v>0</v>
      </c>
      <c r="T216" s="9">
        <f>IFERROR(__xludf.DUMMYFUNCTION("SUM(QUERY(Entregas_BD!D:AL,""select AG where D='""&amp;D216&amp;""'"",1))"),50.0)</f>
        <v>50</v>
      </c>
      <c r="U216" s="9">
        <f>IFERROR(__xludf.DUMMYFUNCTION("SUM(QUERY(Entregas_BD!D:AL,""select AH where D='""&amp;D216&amp;""'"",1))"),0.0)</f>
        <v>0</v>
      </c>
      <c r="V216" s="9">
        <f>IFERROR(__xludf.DUMMYFUNCTION("SUM(QUERY(Entregas_BD!D:AL,""select AI where D='""&amp;D216&amp;""'"",1))"),0.0)</f>
        <v>0</v>
      </c>
      <c r="W216" s="9">
        <f>IFERROR(__xludf.DUMMYFUNCTION("SUM(QUERY(Entregas_BD!D:AL,""select AJ where D='""&amp;D216&amp;""'"",1))"),0.0)</f>
        <v>0</v>
      </c>
      <c r="X216" s="9">
        <f>IFERROR(__xludf.DUMMYFUNCTION("SUM(QUERY(Entregas_BD!D:AL,""select AL where D='""&amp;D216&amp;""'"",1))"),0.0)</f>
        <v>0</v>
      </c>
      <c r="Y216" s="9">
        <f>IFERROR(__xludf.DUMMYFUNCTION("SUM(QUERY(Entregas_BD!D:AL,""select AK where D='""&amp;D216&amp;""'"",1))"),0.0)</f>
        <v>0</v>
      </c>
      <c r="Z216" s="9">
        <v>-50.0</v>
      </c>
      <c r="AA216" s="9">
        <v>0.0</v>
      </c>
      <c r="AB216" s="9">
        <v>0.0</v>
      </c>
      <c r="AC216" s="9">
        <v>0.0</v>
      </c>
      <c r="AD216" s="9">
        <v>0.0</v>
      </c>
      <c r="AE216" s="9">
        <v>0.0</v>
      </c>
      <c r="AF216" s="15"/>
      <c r="AG216" s="15">
        <f>IFERROR(__xludf.DUMMYFUNCTION("SUM(QUERY(Entregas_BD!D:W,""select U where D='""&amp;D216&amp;""'"",1))"),0.0)</f>
        <v>0</v>
      </c>
      <c r="AH216" s="15">
        <f>IFERROR(__xludf.DUMMYFUNCTION("SUM(QUERY(Entregas_BD!D:W,""select S where D='""&amp;D216&amp;""'"",1))"),0.0)</f>
        <v>0</v>
      </c>
      <c r="AI216" s="15">
        <f>IFERROR(__xludf.DUMMYFUNCTION("SUM(QUERY(Entregas_BD!D:W,""select T where D='""&amp;D216&amp;""'"",1))"),0.0)</f>
        <v>0</v>
      </c>
    </row>
    <row r="217" ht="19.5" customHeight="1">
      <c r="A217" s="28"/>
      <c r="B217" s="29"/>
      <c r="C217" s="19">
        <v>216.0</v>
      </c>
      <c r="D217" s="49" t="s">
        <v>588</v>
      </c>
      <c r="E217" s="20" t="s">
        <v>479</v>
      </c>
      <c r="F217" s="20" t="s">
        <v>589</v>
      </c>
      <c r="G217" s="20" t="s">
        <v>149</v>
      </c>
      <c r="H217" s="19" t="s">
        <v>69</v>
      </c>
      <c r="I217" s="21" t="s">
        <v>41</v>
      </c>
      <c r="J217" s="22"/>
      <c r="K217" s="19"/>
      <c r="L217" s="48"/>
      <c r="M217" s="19"/>
      <c r="N217" s="19">
        <f>IFERROR(__xludf.DUMMYFUNCTION("SUM(QUERY(Entregas_BD!D:L,""select G where D='""&amp;D217&amp;""'"",1))"),0.0)</f>
        <v>0</v>
      </c>
      <c r="O217" s="19">
        <f>IFERROR(__xludf.DUMMYFUNCTION("SUM(QUERY(Entregas_BD!D:L,""select H where D='""&amp;D217&amp;""'"",1))"),0.0)</f>
        <v>0</v>
      </c>
      <c r="P217" s="19">
        <f>IFERROR(__xludf.DUMMYFUNCTION("SUM(QUERY(Entregas_BD!D:L,""select I where D='""&amp;D217&amp;""'"",1))"),0.0)</f>
        <v>0</v>
      </c>
      <c r="Q217" s="19">
        <f>IFERROR(__xludf.DUMMYFUNCTION("SUM(QUERY(Entregas_BD!D:L,""select J where D='""&amp;D217&amp;""'"",1))"),0.0)</f>
        <v>0</v>
      </c>
      <c r="R217" s="24">
        <f>IFERROR(__xludf.DUMMYFUNCTION("SUM(QUERY(Entregas_BD!D:L,""select K where D='""&amp;D217&amp;""'"",1))"),0.0)</f>
        <v>0</v>
      </c>
      <c r="S217" s="24">
        <f>IFERROR(__xludf.DUMMYFUNCTION("SUM(QUERY(Entregas_BD!D:L,""select L where D='""&amp;D217&amp;""'"",1))"),0.0)</f>
        <v>0</v>
      </c>
      <c r="T217" s="19">
        <f>IFERROR(__xludf.DUMMYFUNCTION("SUM(QUERY(Entregas_BD!D:AL,""select AG where D='""&amp;D217&amp;""'"",1))"),150.0)</f>
        <v>150</v>
      </c>
      <c r="U217" s="19">
        <f>IFERROR(__xludf.DUMMYFUNCTION("SUM(QUERY(Entregas_BD!D:AL,""select AH where D='""&amp;D217&amp;""'"",1))"),0.0)</f>
        <v>0</v>
      </c>
      <c r="V217" s="19">
        <f>IFERROR(__xludf.DUMMYFUNCTION("SUM(QUERY(Entregas_BD!D:AL,""select AI where D='""&amp;D217&amp;""'"",1))"),0.0)</f>
        <v>0</v>
      </c>
      <c r="W217" s="19">
        <f>IFERROR(__xludf.DUMMYFUNCTION("SUM(QUERY(Entregas_BD!D:AL,""select AJ where D='""&amp;D217&amp;""'"",1))"),25.0)</f>
        <v>25</v>
      </c>
      <c r="X217" s="19">
        <f>IFERROR(__xludf.DUMMYFUNCTION("SUM(QUERY(Entregas_BD!D:AL,""select AL where D='""&amp;D217&amp;""'"",1))"),0.0)</f>
        <v>0</v>
      </c>
      <c r="Y217" s="19">
        <f>IFERROR(__xludf.DUMMYFUNCTION("SUM(QUERY(Entregas_BD!D:AL,""select AK where D='""&amp;D217&amp;""'"",1))"),0.0)</f>
        <v>0</v>
      </c>
      <c r="Z217" s="19">
        <v>-150.0</v>
      </c>
      <c r="AA217" s="19">
        <v>0.0</v>
      </c>
      <c r="AB217" s="19">
        <v>0.0</v>
      </c>
      <c r="AC217" s="19">
        <v>-25.0</v>
      </c>
      <c r="AD217" s="19">
        <v>0.0</v>
      </c>
      <c r="AE217" s="19">
        <v>0.0</v>
      </c>
      <c r="AF217" s="24"/>
      <c r="AG217" s="24">
        <f>IFERROR(__xludf.DUMMYFUNCTION("SUM(QUERY(Entregas_BD!D:W,""select U where D='""&amp;D217&amp;""'"",1))"),0.0)</f>
        <v>0</v>
      </c>
      <c r="AH217" s="24">
        <f>IFERROR(__xludf.DUMMYFUNCTION("SUM(QUERY(Entregas_BD!D:W,""select S where D='""&amp;D217&amp;""'"",1))"),0.0)</f>
        <v>0</v>
      </c>
      <c r="AI217" s="24">
        <f>IFERROR(__xludf.DUMMYFUNCTION("SUM(QUERY(Entregas_BD!D:W,""select T where D='""&amp;D217&amp;""'"",1))"),0.0)</f>
        <v>0</v>
      </c>
    </row>
    <row r="218" ht="19.5" customHeight="1">
      <c r="A218" s="7"/>
      <c r="B218" s="8"/>
      <c r="C218" s="9">
        <v>217.0</v>
      </c>
      <c r="D218" s="10" t="s">
        <v>590</v>
      </c>
      <c r="E218" s="10" t="s">
        <v>38</v>
      </c>
      <c r="F218" s="10" t="s">
        <v>303</v>
      </c>
      <c r="G218" s="10" t="s">
        <v>304</v>
      </c>
      <c r="H218" s="9" t="s">
        <v>69</v>
      </c>
      <c r="I218" s="11" t="s">
        <v>41</v>
      </c>
      <c r="J218" s="12"/>
      <c r="K218" s="9"/>
      <c r="L218" s="47"/>
      <c r="M218" s="9"/>
      <c r="N218" s="9">
        <f>IFERROR(__xludf.DUMMYFUNCTION("SUM(QUERY(Entregas_BD!D:L,""select G where D='""&amp;D218&amp;""'"",1))"),0.0)</f>
        <v>0</v>
      </c>
      <c r="O218" s="9">
        <f>IFERROR(__xludf.DUMMYFUNCTION("SUM(QUERY(Entregas_BD!D:L,""select H where D='""&amp;D218&amp;""'"",1))"),0.0)</f>
        <v>0</v>
      </c>
      <c r="P218" s="9">
        <f>IFERROR(__xludf.DUMMYFUNCTION("SUM(QUERY(Entregas_BD!D:L,""select I where D='""&amp;D218&amp;""'"",1))"),0.0)</f>
        <v>0</v>
      </c>
      <c r="Q218" s="9">
        <f>IFERROR(__xludf.DUMMYFUNCTION("SUM(QUERY(Entregas_BD!D:L,""select J where D='""&amp;D218&amp;""'"",1))"),0.0)</f>
        <v>0</v>
      </c>
      <c r="R218" s="15">
        <f>IFERROR(__xludf.DUMMYFUNCTION("SUM(QUERY(Entregas_BD!D:L,""select K where D='""&amp;D218&amp;""'"",1))"),0.0)</f>
        <v>0</v>
      </c>
      <c r="S218" s="15">
        <f>IFERROR(__xludf.DUMMYFUNCTION("SUM(QUERY(Entregas_BD!D:L,""select L where D='""&amp;D218&amp;""'"",1))"),0.0)</f>
        <v>0</v>
      </c>
      <c r="T218" s="9">
        <f>IFERROR(__xludf.DUMMYFUNCTION("SUM(QUERY(Entregas_BD!D:AL,""select AG where D='""&amp;D218&amp;""'"",1))"),50.0)</f>
        <v>50</v>
      </c>
      <c r="U218" s="9">
        <f>IFERROR(__xludf.DUMMYFUNCTION("SUM(QUERY(Entregas_BD!D:AL,""select AH where D='""&amp;D218&amp;""'"",1))"),0.0)</f>
        <v>0</v>
      </c>
      <c r="V218" s="9">
        <f>IFERROR(__xludf.DUMMYFUNCTION("SUM(QUERY(Entregas_BD!D:AL,""select AI where D='""&amp;D218&amp;""'"",1))"),0.0)</f>
        <v>0</v>
      </c>
      <c r="W218" s="9">
        <f>IFERROR(__xludf.DUMMYFUNCTION("SUM(QUERY(Entregas_BD!D:AL,""select AJ where D='""&amp;D218&amp;""'"",1))"),0.0)</f>
        <v>0</v>
      </c>
      <c r="X218" s="9">
        <f>IFERROR(__xludf.DUMMYFUNCTION("SUM(QUERY(Entregas_BD!D:AL,""select AL where D='""&amp;D218&amp;""'"",1))"),0.0)</f>
        <v>0</v>
      </c>
      <c r="Y218" s="9">
        <f>IFERROR(__xludf.DUMMYFUNCTION("SUM(QUERY(Entregas_BD!D:AL,""select AK where D='""&amp;D218&amp;""'"",1))"),0.0)</f>
        <v>0</v>
      </c>
      <c r="Z218" s="9">
        <v>-50.0</v>
      </c>
      <c r="AA218" s="9">
        <v>0.0</v>
      </c>
      <c r="AB218" s="9">
        <v>0.0</v>
      </c>
      <c r="AC218" s="9">
        <v>0.0</v>
      </c>
      <c r="AD218" s="9">
        <v>0.0</v>
      </c>
      <c r="AE218" s="9">
        <v>0.0</v>
      </c>
      <c r="AF218" s="15"/>
      <c r="AG218" s="15">
        <f>IFERROR(__xludf.DUMMYFUNCTION("SUM(QUERY(Entregas_BD!D:W,""select U where D='""&amp;D218&amp;""'"",1))"),0.0)</f>
        <v>0</v>
      </c>
      <c r="AH218" s="15">
        <f>IFERROR(__xludf.DUMMYFUNCTION("SUM(QUERY(Entregas_BD!D:W,""select S where D='""&amp;D218&amp;""'"",1))"),0.0)</f>
        <v>0</v>
      </c>
      <c r="AI218" s="15">
        <f>IFERROR(__xludf.DUMMYFUNCTION("SUM(QUERY(Entregas_BD!D:W,""select T where D='""&amp;D218&amp;""'"",1))"),0.0)</f>
        <v>0</v>
      </c>
    </row>
    <row r="219" ht="19.5" customHeight="1">
      <c r="A219" s="28"/>
      <c r="B219" s="29"/>
      <c r="C219" s="19">
        <v>218.0</v>
      </c>
      <c r="D219" s="20" t="s">
        <v>591</v>
      </c>
      <c r="E219" s="20" t="s">
        <v>44</v>
      </c>
      <c r="F219" s="20" t="s">
        <v>45</v>
      </c>
      <c r="G219" s="20" t="s">
        <v>592</v>
      </c>
      <c r="H219" s="22" t="s">
        <v>593</v>
      </c>
      <c r="I219" s="21" t="s">
        <v>41</v>
      </c>
      <c r="J219" s="22"/>
      <c r="K219" s="19"/>
      <c r="L219" s="48"/>
      <c r="M219" s="19"/>
      <c r="N219" s="19">
        <f>IFERROR(__xludf.DUMMYFUNCTION("SUM(QUERY(Entregas_BD!D:L,""select G where D='""&amp;D219&amp;""'"",1))"),0.0)</f>
        <v>0</v>
      </c>
      <c r="O219" s="19">
        <f>IFERROR(__xludf.DUMMYFUNCTION("SUM(QUERY(Entregas_BD!D:L,""select H where D='""&amp;D219&amp;""'"",1))"),0.0)</f>
        <v>0</v>
      </c>
      <c r="P219" s="19">
        <f>IFERROR(__xludf.DUMMYFUNCTION("SUM(QUERY(Entregas_BD!D:L,""select I where D='""&amp;D219&amp;""'"",1))"),0.0)</f>
        <v>0</v>
      </c>
      <c r="Q219" s="19">
        <f>IFERROR(__xludf.DUMMYFUNCTION("SUM(QUERY(Entregas_BD!D:L,""select J where D='""&amp;D219&amp;""'"",1))"),0.0)</f>
        <v>0</v>
      </c>
      <c r="R219" s="24">
        <f>IFERROR(__xludf.DUMMYFUNCTION("SUM(QUERY(Entregas_BD!D:L,""select K where D='""&amp;D219&amp;""'"",1))"),0.0)</f>
        <v>0</v>
      </c>
      <c r="S219" s="24">
        <f>IFERROR(__xludf.DUMMYFUNCTION("SUM(QUERY(Entregas_BD!D:L,""select L where D='""&amp;D219&amp;""'"",1))"),0.0)</f>
        <v>0</v>
      </c>
      <c r="T219" s="19">
        <f>IFERROR(__xludf.DUMMYFUNCTION("SUM(QUERY(Entregas_BD!D:AL,""select AG where D='""&amp;D219&amp;""'"",1))"),0.0)</f>
        <v>0</v>
      </c>
      <c r="U219" s="19">
        <f>IFERROR(__xludf.DUMMYFUNCTION("SUM(QUERY(Entregas_BD!D:AL,""select AH where D='""&amp;D219&amp;""'"",1))"),0.0)</f>
        <v>0</v>
      </c>
      <c r="V219" s="19">
        <f>IFERROR(__xludf.DUMMYFUNCTION("SUM(QUERY(Entregas_BD!D:AL,""select AI where D='""&amp;D219&amp;""'"",1))"),0.0)</f>
        <v>0</v>
      </c>
      <c r="W219" s="19">
        <f>IFERROR(__xludf.DUMMYFUNCTION("SUM(QUERY(Entregas_BD!D:AL,""select AJ where D='""&amp;D219&amp;""'"",1))"),0.0)</f>
        <v>0</v>
      </c>
      <c r="X219" s="19">
        <f>IFERROR(__xludf.DUMMYFUNCTION("SUM(QUERY(Entregas_BD!D:AL,""select AL where D='""&amp;D219&amp;""'"",1))"),0.0)</f>
        <v>0</v>
      </c>
      <c r="Y219" s="19">
        <f>IFERROR(__xludf.DUMMYFUNCTION("SUM(QUERY(Entregas_BD!D:AL,""select AK where D='""&amp;D219&amp;""'"",1))"),0.0)</f>
        <v>0</v>
      </c>
      <c r="Z219" s="19">
        <v>0.0</v>
      </c>
      <c r="AA219" s="19">
        <v>0.0</v>
      </c>
      <c r="AB219" s="19">
        <v>0.0</v>
      </c>
      <c r="AC219" s="19">
        <v>0.0</v>
      </c>
      <c r="AD219" s="19">
        <v>0.0</v>
      </c>
      <c r="AE219" s="19">
        <v>0.0</v>
      </c>
      <c r="AF219" s="25"/>
      <c r="AG219" s="24">
        <f>IFERROR(__xludf.DUMMYFUNCTION("SUM(QUERY(Entregas_BD!D:W,""select U where D='""&amp;D219&amp;""'"",1))"),0.0)</f>
        <v>0</v>
      </c>
      <c r="AH219" s="24">
        <f>IFERROR(__xludf.DUMMYFUNCTION("SUM(QUERY(Entregas_BD!D:W,""select S where D='""&amp;D219&amp;""'"",1))"),0.0)</f>
        <v>0</v>
      </c>
      <c r="AI219" s="24">
        <f>IFERROR(__xludf.DUMMYFUNCTION("SUM(QUERY(Entregas_BD!D:W,""select T where D='""&amp;D219&amp;""'"",1))"),0.0)</f>
        <v>0</v>
      </c>
    </row>
    <row r="220" ht="19.5" customHeight="1">
      <c r="A220" s="7"/>
      <c r="B220" s="8"/>
      <c r="C220" s="9">
        <v>219.0</v>
      </c>
      <c r="D220" s="10" t="s">
        <v>594</v>
      </c>
      <c r="E220" s="10" t="s">
        <v>44</v>
      </c>
      <c r="F220" s="10" t="s">
        <v>45</v>
      </c>
      <c r="G220" s="10" t="s">
        <v>595</v>
      </c>
      <c r="H220" s="9" t="s">
        <v>40</v>
      </c>
      <c r="I220" s="11" t="s">
        <v>41</v>
      </c>
      <c r="J220" s="12"/>
      <c r="K220" s="9"/>
      <c r="L220" s="47"/>
      <c r="M220" s="9"/>
      <c r="N220" s="9">
        <f>IFERROR(__xludf.DUMMYFUNCTION("SUM(QUERY(Entregas_BD!D:L,""select G where D='""&amp;D220&amp;""'"",1))"),0.0)</f>
        <v>0</v>
      </c>
      <c r="O220" s="9">
        <f>IFERROR(__xludf.DUMMYFUNCTION("SUM(QUERY(Entregas_BD!D:L,""select H where D='""&amp;D220&amp;""'"",1))"),0.0)</f>
        <v>0</v>
      </c>
      <c r="P220" s="9">
        <f>IFERROR(__xludf.DUMMYFUNCTION("SUM(QUERY(Entregas_BD!D:L,""select I where D='""&amp;D220&amp;""'"",1))"),0.0)</f>
        <v>0</v>
      </c>
      <c r="Q220" s="9">
        <f>IFERROR(__xludf.DUMMYFUNCTION("SUM(QUERY(Entregas_BD!D:L,""select J where D='""&amp;D220&amp;""'"",1))"),0.0)</f>
        <v>0</v>
      </c>
      <c r="R220" s="15">
        <f>IFERROR(__xludf.DUMMYFUNCTION("SUM(QUERY(Entregas_BD!D:L,""select K where D='""&amp;D220&amp;""'"",1))"),0.0)</f>
        <v>0</v>
      </c>
      <c r="S220" s="15">
        <f>IFERROR(__xludf.DUMMYFUNCTION("SUM(QUERY(Entregas_BD!D:L,""select L where D='""&amp;D220&amp;""'"",1))"),0.0)</f>
        <v>0</v>
      </c>
      <c r="T220" s="9">
        <f>IFERROR(__xludf.DUMMYFUNCTION("SUM(QUERY(Entregas_BD!D:AL,""select AG where D='""&amp;D220&amp;""'"",1))"),100.0)</f>
        <v>100</v>
      </c>
      <c r="U220" s="9">
        <f>IFERROR(__xludf.DUMMYFUNCTION("SUM(QUERY(Entregas_BD!D:AL,""select AH where D='""&amp;D220&amp;""'"",1))"),0.0)</f>
        <v>0</v>
      </c>
      <c r="V220" s="9">
        <f>IFERROR(__xludf.DUMMYFUNCTION("SUM(QUERY(Entregas_BD!D:AL,""select AI where D='""&amp;D220&amp;""'"",1))"),0.0)</f>
        <v>0</v>
      </c>
      <c r="W220" s="9">
        <f>IFERROR(__xludf.DUMMYFUNCTION("SUM(QUERY(Entregas_BD!D:AL,""select AJ where D='""&amp;D220&amp;""'"",1))"),0.0)</f>
        <v>0</v>
      </c>
      <c r="X220" s="9">
        <f>IFERROR(__xludf.DUMMYFUNCTION("SUM(QUERY(Entregas_BD!D:AL,""select AL where D='""&amp;D220&amp;""'"",1))"),0.0)</f>
        <v>0</v>
      </c>
      <c r="Y220" s="9">
        <f>IFERROR(__xludf.DUMMYFUNCTION("SUM(QUERY(Entregas_BD!D:AL,""select AK where D='""&amp;D220&amp;""'"",1))"),0.0)</f>
        <v>0</v>
      </c>
      <c r="Z220" s="9">
        <v>-100.0</v>
      </c>
      <c r="AA220" s="9">
        <v>0.0</v>
      </c>
      <c r="AB220" s="9">
        <v>0.0</v>
      </c>
      <c r="AC220" s="9">
        <v>0.0</v>
      </c>
      <c r="AD220" s="9">
        <v>0.0</v>
      </c>
      <c r="AE220" s="9">
        <v>0.0</v>
      </c>
      <c r="AF220" s="15"/>
      <c r="AG220" s="15">
        <f>IFERROR(__xludf.DUMMYFUNCTION("SUM(QUERY(Entregas_BD!D:W,""select U where D='""&amp;D220&amp;""'"",1))"),0.0)</f>
        <v>0</v>
      </c>
      <c r="AH220" s="15">
        <f>IFERROR(__xludf.DUMMYFUNCTION("SUM(QUERY(Entregas_BD!D:W,""select S where D='""&amp;D220&amp;""'"",1))"),0.0)</f>
        <v>0</v>
      </c>
      <c r="AI220" s="15">
        <f>IFERROR(__xludf.DUMMYFUNCTION("SUM(QUERY(Entregas_BD!D:W,""select T where D='""&amp;D220&amp;""'"",1))"),0.0)</f>
        <v>0</v>
      </c>
    </row>
    <row r="221" ht="19.5" customHeight="1">
      <c r="A221" s="28"/>
      <c r="B221" s="29"/>
      <c r="C221" s="19">
        <v>220.0</v>
      </c>
      <c r="D221" s="20" t="s">
        <v>596</v>
      </c>
      <c r="E221" s="20" t="s">
        <v>58</v>
      </c>
      <c r="F221" s="20" t="s">
        <v>597</v>
      </c>
      <c r="G221" s="20" t="s">
        <v>598</v>
      </c>
      <c r="H221" s="19" t="s">
        <v>51</v>
      </c>
      <c r="I221" s="21" t="s">
        <v>41</v>
      </c>
      <c r="J221" s="22"/>
      <c r="K221" s="19"/>
      <c r="L221" s="48"/>
      <c r="M221" s="19"/>
      <c r="N221" s="19">
        <f>IFERROR(__xludf.DUMMYFUNCTION("SUM(QUERY(Entregas_BD!D:L,""select G where D='""&amp;D221&amp;""'"",1))"),0.0)</f>
        <v>0</v>
      </c>
      <c r="O221" s="19">
        <f>IFERROR(__xludf.DUMMYFUNCTION("SUM(QUERY(Entregas_BD!D:L,""select H where D='""&amp;D221&amp;""'"",1))"),0.0)</f>
        <v>0</v>
      </c>
      <c r="P221" s="19">
        <f>IFERROR(__xludf.DUMMYFUNCTION("SUM(QUERY(Entregas_BD!D:L,""select I where D='""&amp;D221&amp;""'"",1))"),0.0)</f>
        <v>0</v>
      </c>
      <c r="Q221" s="19">
        <f>IFERROR(__xludf.DUMMYFUNCTION("SUM(QUERY(Entregas_BD!D:L,""select J where D='""&amp;D221&amp;""'"",1))"),0.0)</f>
        <v>0</v>
      </c>
      <c r="R221" s="24">
        <f>IFERROR(__xludf.DUMMYFUNCTION("SUM(QUERY(Entregas_BD!D:L,""select K where D='""&amp;D221&amp;""'"",1))"),0.0)</f>
        <v>0</v>
      </c>
      <c r="S221" s="24">
        <f>IFERROR(__xludf.DUMMYFUNCTION("SUM(QUERY(Entregas_BD!D:L,""select L where D='""&amp;D221&amp;""'"",1))"),0.0)</f>
        <v>0</v>
      </c>
      <c r="T221" s="19">
        <f>IFERROR(__xludf.DUMMYFUNCTION("SUM(QUERY(Entregas_BD!D:AL,""select AG where D='""&amp;D221&amp;""'"",1))"),100.0)</f>
        <v>100</v>
      </c>
      <c r="U221" s="19">
        <f>IFERROR(__xludf.DUMMYFUNCTION("SUM(QUERY(Entregas_BD!D:AL,""select AH where D='""&amp;D221&amp;""'"",1))"),0.0)</f>
        <v>0</v>
      </c>
      <c r="V221" s="19">
        <f>IFERROR(__xludf.DUMMYFUNCTION("SUM(QUERY(Entregas_BD!D:AL,""select AI where D='""&amp;D221&amp;""'"",1))"),0.0)</f>
        <v>0</v>
      </c>
      <c r="W221" s="19">
        <f>IFERROR(__xludf.DUMMYFUNCTION("SUM(QUERY(Entregas_BD!D:AL,""select AJ where D='""&amp;D221&amp;""'"",1))"),0.0)</f>
        <v>0</v>
      </c>
      <c r="X221" s="19">
        <f>IFERROR(__xludf.DUMMYFUNCTION("SUM(QUERY(Entregas_BD!D:AL,""select AL where D='""&amp;D221&amp;""'"",1))"),0.0)</f>
        <v>0</v>
      </c>
      <c r="Y221" s="19">
        <f>IFERROR(__xludf.DUMMYFUNCTION("SUM(QUERY(Entregas_BD!D:AL,""select AK where D='""&amp;D221&amp;""'"",1))"),0.0)</f>
        <v>0</v>
      </c>
      <c r="Z221" s="19">
        <v>-100.0</v>
      </c>
      <c r="AA221" s="19">
        <v>0.0</v>
      </c>
      <c r="AB221" s="19">
        <v>0.0</v>
      </c>
      <c r="AC221" s="19">
        <v>0.0</v>
      </c>
      <c r="AD221" s="19">
        <v>0.0</v>
      </c>
      <c r="AE221" s="19">
        <v>0.0</v>
      </c>
      <c r="AF221" s="22"/>
      <c r="AG221" s="24">
        <f>IFERROR(__xludf.DUMMYFUNCTION("SUM(QUERY(Entregas_BD!D:W,""select U where D='""&amp;D221&amp;""'"",1))"),0.0)</f>
        <v>0</v>
      </c>
      <c r="AH221" s="24">
        <f>IFERROR(__xludf.DUMMYFUNCTION("SUM(QUERY(Entregas_BD!D:W,""select S where D='""&amp;D221&amp;""'"",1))"),0.0)</f>
        <v>0</v>
      </c>
      <c r="AI221" s="24">
        <f>IFERROR(__xludf.DUMMYFUNCTION("SUM(QUERY(Entregas_BD!D:W,""select T where D='""&amp;D221&amp;""'"",1))"),0.0)</f>
        <v>0</v>
      </c>
    </row>
    <row r="222" ht="19.5" customHeight="1">
      <c r="A222" s="7"/>
      <c r="B222" s="8"/>
      <c r="C222" s="9">
        <v>221.0</v>
      </c>
      <c r="D222" s="10" t="s">
        <v>599</v>
      </c>
      <c r="E222" s="10" t="s">
        <v>58</v>
      </c>
      <c r="F222" s="10" t="s">
        <v>45</v>
      </c>
      <c r="G222" s="10" t="s">
        <v>600</v>
      </c>
      <c r="H222" s="9" t="s">
        <v>601</v>
      </c>
      <c r="I222" s="11" t="s">
        <v>41</v>
      </c>
      <c r="J222" s="12"/>
      <c r="K222" s="9"/>
      <c r="L222" s="47"/>
      <c r="M222" s="9"/>
      <c r="N222" s="9">
        <f>IFERROR(__xludf.DUMMYFUNCTION("SUM(QUERY(Entregas_BD!D:L,""select G where D='""&amp;D222&amp;""'"",1))"),0.0)</f>
        <v>0</v>
      </c>
      <c r="O222" s="9">
        <f>IFERROR(__xludf.DUMMYFUNCTION("SUM(QUERY(Entregas_BD!D:L,""select H where D='""&amp;D222&amp;""'"",1))"),0.0)</f>
        <v>0</v>
      </c>
      <c r="P222" s="9">
        <f>IFERROR(__xludf.DUMMYFUNCTION("SUM(QUERY(Entregas_BD!D:L,""select I where D='""&amp;D222&amp;""'"",1))"),0.0)</f>
        <v>0</v>
      </c>
      <c r="Q222" s="9">
        <f>IFERROR(__xludf.DUMMYFUNCTION("SUM(QUERY(Entregas_BD!D:L,""select J where D='""&amp;D222&amp;""'"",1))"),0.0)</f>
        <v>0</v>
      </c>
      <c r="R222" s="15">
        <f>IFERROR(__xludf.DUMMYFUNCTION("SUM(QUERY(Entregas_BD!D:L,""select K where D='""&amp;D222&amp;""'"",1))"),0.0)</f>
        <v>0</v>
      </c>
      <c r="S222" s="15">
        <f>IFERROR(__xludf.DUMMYFUNCTION("SUM(QUERY(Entregas_BD!D:L,""select L where D='""&amp;D222&amp;""'"",1))"),0.0)</f>
        <v>0</v>
      </c>
      <c r="T222" s="9">
        <f>IFERROR(__xludf.DUMMYFUNCTION("SUM(QUERY(Entregas_BD!D:AL,""select AG where D='""&amp;D222&amp;""'"",1))"),0.0)</f>
        <v>0</v>
      </c>
      <c r="U222" s="9">
        <f>IFERROR(__xludf.DUMMYFUNCTION("SUM(QUERY(Entregas_BD!D:AL,""select AH where D='""&amp;D222&amp;""'"",1))"),0.0)</f>
        <v>0</v>
      </c>
      <c r="V222" s="9">
        <f>IFERROR(__xludf.DUMMYFUNCTION("SUM(QUERY(Entregas_BD!D:AL,""select AI where D='""&amp;D222&amp;""'"",1))"),0.0)</f>
        <v>0</v>
      </c>
      <c r="W222" s="9">
        <f>IFERROR(__xludf.DUMMYFUNCTION("SUM(QUERY(Entregas_BD!D:AL,""select AJ where D='""&amp;D222&amp;""'"",1))"),100.0)</f>
        <v>100</v>
      </c>
      <c r="X222" s="9">
        <f>IFERROR(__xludf.DUMMYFUNCTION("SUM(QUERY(Entregas_BD!D:AL,""select AL where D='""&amp;D222&amp;""'"",1))"),0.0)</f>
        <v>0</v>
      </c>
      <c r="Y222" s="9">
        <f>IFERROR(__xludf.DUMMYFUNCTION("SUM(QUERY(Entregas_BD!D:AL,""select AK where D='""&amp;D222&amp;""'"",1))"),0.0)</f>
        <v>0</v>
      </c>
      <c r="Z222" s="9">
        <v>0.0</v>
      </c>
      <c r="AA222" s="9">
        <v>0.0</v>
      </c>
      <c r="AB222" s="9">
        <v>0.0</v>
      </c>
      <c r="AC222" s="9">
        <v>-100.0</v>
      </c>
      <c r="AD222" s="9">
        <v>0.0</v>
      </c>
      <c r="AE222" s="9">
        <v>0.0</v>
      </c>
      <c r="AF222" s="15"/>
      <c r="AG222" s="15">
        <f>IFERROR(__xludf.DUMMYFUNCTION("SUM(QUERY(Entregas_BD!D:W,""select U where D='""&amp;D222&amp;""'"",1))"),0.0)</f>
        <v>0</v>
      </c>
      <c r="AH222" s="15">
        <f>IFERROR(__xludf.DUMMYFUNCTION("SUM(QUERY(Entregas_BD!D:W,""select S where D='""&amp;D222&amp;""'"",1))"),0.0)</f>
        <v>0</v>
      </c>
      <c r="AI222" s="15">
        <f>IFERROR(__xludf.DUMMYFUNCTION("SUM(QUERY(Entregas_BD!D:W,""select T where D='""&amp;D222&amp;""'"",1))"),0.0)</f>
        <v>0</v>
      </c>
    </row>
    <row r="223" ht="19.5" customHeight="1">
      <c r="A223" s="28"/>
      <c r="B223" s="29"/>
      <c r="C223" s="19">
        <v>222.0</v>
      </c>
      <c r="D223" s="20" t="s">
        <v>602</v>
      </c>
      <c r="E223" s="20" t="s">
        <v>72</v>
      </c>
      <c r="F223" s="20" t="s">
        <v>45</v>
      </c>
      <c r="G223" s="20" t="s">
        <v>240</v>
      </c>
      <c r="H223" s="19" t="s">
        <v>51</v>
      </c>
      <c r="I223" s="21" t="s">
        <v>41</v>
      </c>
      <c r="J223" s="22"/>
      <c r="K223" s="19"/>
      <c r="L223" s="48"/>
      <c r="M223" s="19"/>
      <c r="N223" s="19">
        <f>IFERROR(__xludf.DUMMYFUNCTION("SUM(QUERY(Entregas_BD!D:L,""select G where D='""&amp;D223&amp;""'"",1))"),0.0)</f>
        <v>0</v>
      </c>
      <c r="O223" s="19">
        <f>IFERROR(__xludf.DUMMYFUNCTION("SUM(QUERY(Entregas_BD!D:L,""select H where D='""&amp;D223&amp;""'"",1))"),0.0)</f>
        <v>0</v>
      </c>
      <c r="P223" s="19">
        <f>IFERROR(__xludf.DUMMYFUNCTION("SUM(QUERY(Entregas_BD!D:L,""select I where D='""&amp;D223&amp;""'"",1))"),0.0)</f>
        <v>0</v>
      </c>
      <c r="Q223" s="19">
        <f>IFERROR(__xludf.DUMMYFUNCTION("SUM(QUERY(Entregas_BD!D:L,""select J where D='""&amp;D223&amp;""'"",1))"),0.0)</f>
        <v>0</v>
      </c>
      <c r="R223" s="24">
        <f>IFERROR(__xludf.DUMMYFUNCTION("SUM(QUERY(Entregas_BD!D:L,""select K where D='""&amp;D223&amp;""'"",1))"),0.0)</f>
        <v>0</v>
      </c>
      <c r="S223" s="24">
        <f>IFERROR(__xludf.DUMMYFUNCTION("SUM(QUERY(Entregas_BD!D:L,""select L where D='""&amp;D223&amp;""'"",1))"),0.0)</f>
        <v>0</v>
      </c>
      <c r="T223" s="19">
        <f>IFERROR(__xludf.DUMMYFUNCTION("SUM(QUERY(Entregas_BD!D:AL,""select AG where D='""&amp;D223&amp;""'"",1))"),50.0)</f>
        <v>50</v>
      </c>
      <c r="U223" s="19">
        <f>IFERROR(__xludf.DUMMYFUNCTION("SUM(QUERY(Entregas_BD!D:AL,""select AH where D='""&amp;D223&amp;""'"",1))"),0.0)</f>
        <v>0</v>
      </c>
      <c r="V223" s="19">
        <f>IFERROR(__xludf.DUMMYFUNCTION("SUM(QUERY(Entregas_BD!D:AL,""select AI where D='""&amp;D223&amp;""'"",1))"),0.0)</f>
        <v>0</v>
      </c>
      <c r="W223" s="19">
        <f>IFERROR(__xludf.DUMMYFUNCTION("SUM(QUERY(Entregas_BD!D:AL,""select AJ where D='""&amp;D223&amp;""'"",1))"),0.0)</f>
        <v>0</v>
      </c>
      <c r="X223" s="19">
        <f>IFERROR(__xludf.DUMMYFUNCTION("SUM(QUERY(Entregas_BD!D:AL,""select AL where D='""&amp;D223&amp;""'"",1))"),0.0)</f>
        <v>0</v>
      </c>
      <c r="Y223" s="19">
        <f>IFERROR(__xludf.DUMMYFUNCTION("SUM(QUERY(Entregas_BD!D:AL,""select AK where D='""&amp;D223&amp;""'"",1))"),12.0)</f>
        <v>12</v>
      </c>
      <c r="Z223" s="19">
        <v>-50.0</v>
      </c>
      <c r="AA223" s="19">
        <v>0.0</v>
      </c>
      <c r="AB223" s="19">
        <v>0.0</v>
      </c>
      <c r="AC223" s="19">
        <v>0.0</v>
      </c>
      <c r="AD223" s="19">
        <v>-12.0</v>
      </c>
      <c r="AE223" s="19">
        <v>0.0</v>
      </c>
      <c r="AF223" s="24"/>
      <c r="AG223" s="24">
        <f>IFERROR(__xludf.DUMMYFUNCTION("SUM(QUERY(Entregas_BD!D:W,""select U where D='""&amp;D223&amp;""'"",1))"),0.0)</f>
        <v>0</v>
      </c>
      <c r="AH223" s="24">
        <f>IFERROR(__xludf.DUMMYFUNCTION("SUM(QUERY(Entregas_BD!D:W,""select S where D='""&amp;D223&amp;""'"",1))"),0.0)</f>
        <v>0</v>
      </c>
      <c r="AI223" s="24">
        <f>IFERROR(__xludf.DUMMYFUNCTION("SUM(QUERY(Entregas_BD!D:W,""select T where D='""&amp;D223&amp;""'"",1))"),0.0)</f>
        <v>0</v>
      </c>
    </row>
    <row r="224" ht="19.5" customHeight="1">
      <c r="A224" s="7"/>
      <c r="B224" s="8"/>
      <c r="C224" s="9">
        <v>223.0</v>
      </c>
      <c r="D224" s="10" t="s">
        <v>603</v>
      </c>
      <c r="E224" s="10" t="s">
        <v>63</v>
      </c>
      <c r="F224" s="10" t="s">
        <v>45</v>
      </c>
      <c r="G224" s="10" t="s">
        <v>470</v>
      </c>
      <c r="H224" s="9" t="s">
        <v>40</v>
      </c>
      <c r="I224" s="11" t="s">
        <v>41</v>
      </c>
      <c r="J224" s="12"/>
      <c r="K224" s="9"/>
      <c r="L224" s="47"/>
      <c r="M224" s="9"/>
      <c r="N224" s="9">
        <f>IFERROR(__xludf.DUMMYFUNCTION("SUM(QUERY(Entregas_BD!D:L,""select G where D='""&amp;D224&amp;""'"",1))"),0.0)</f>
        <v>0</v>
      </c>
      <c r="O224" s="9">
        <f>IFERROR(__xludf.DUMMYFUNCTION("SUM(QUERY(Entregas_BD!D:L,""select H where D='""&amp;D224&amp;""'"",1))"),0.0)</f>
        <v>0</v>
      </c>
      <c r="P224" s="9">
        <f>IFERROR(__xludf.DUMMYFUNCTION("SUM(QUERY(Entregas_BD!D:L,""select I where D='""&amp;D224&amp;""'"",1))"),0.0)</f>
        <v>0</v>
      </c>
      <c r="Q224" s="9">
        <f>IFERROR(__xludf.DUMMYFUNCTION("SUM(QUERY(Entregas_BD!D:L,""select J where D='""&amp;D224&amp;""'"",1))"),0.0)</f>
        <v>0</v>
      </c>
      <c r="R224" s="15">
        <f>IFERROR(__xludf.DUMMYFUNCTION("SUM(QUERY(Entregas_BD!D:L,""select K where D='""&amp;D224&amp;""'"",1))"),0.0)</f>
        <v>0</v>
      </c>
      <c r="S224" s="15">
        <f>IFERROR(__xludf.DUMMYFUNCTION("SUM(QUERY(Entregas_BD!D:L,""select L where D='""&amp;D224&amp;""'"",1))"),0.0)</f>
        <v>0</v>
      </c>
      <c r="T224" s="9">
        <f>IFERROR(__xludf.DUMMYFUNCTION("SUM(QUERY(Entregas_BD!D:AL,""select AG where D='""&amp;D224&amp;""'"",1))"),50.0)</f>
        <v>50</v>
      </c>
      <c r="U224" s="9">
        <f>IFERROR(__xludf.DUMMYFUNCTION("SUM(QUERY(Entregas_BD!D:AL,""select AH where D='""&amp;D224&amp;""'"",1))"),0.0)</f>
        <v>0</v>
      </c>
      <c r="V224" s="9">
        <f>IFERROR(__xludf.DUMMYFUNCTION("SUM(QUERY(Entregas_BD!D:AL,""select AI where D='""&amp;D224&amp;""'"",1))"),0.0)</f>
        <v>0</v>
      </c>
      <c r="W224" s="9">
        <f>IFERROR(__xludf.DUMMYFUNCTION("SUM(QUERY(Entregas_BD!D:AL,""select AJ where D='""&amp;D224&amp;""'"",1))"),0.0)</f>
        <v>0</v>
      </c>
      <c r="X224" s="9">
        <f>IFERROR(__xludf.DUMMYFUNCTION("SUM(QUERY(Entregas_BD!D:AL,""select AL where D='""&amp;D224&amp;""'"",1))"),0.0)</f>
        <v>0</v>
      </c>
      <c r="Y224" s="9">
        <f>IFERROR(__xludf.DUMMYFUNCTION("SUM(QUERY(Entregas_BD!D:AL,""select AK where D='""&amp;D224&amp;""'"",1))"),12.0)</f>
        <v>12</v>
      </c>
      <c r="Z224" s="9">
        <v>-50.0</v>
      </c>
      <c r="AA224" s="9">
        <v>0.0</v>
      </c>
      <c r="AB224" s="9">
        <v>0.0</v>
      </c>
      <c r="AC224" s="9">
        <v>0.0</v>
      </c>
      <c r="AD224" s="9">
        <v>-12.0</v>
      </c>
      <c r="AE224" s="9">
        <v>0.0</v>
      </c>
      <c r="AF224" s="15"/>
      <c r="AG224" s="15">
        <f>IFERROR(__xludf.DUMMYFUNCTION("SUM(QUERY(Entregas_BD!D:W,""select U where D='""&amp;D224&amp;""'"",1))"),0.0)</f>
        <v>0</v>
      </c>
      <c r="AH224" s="15">
        <f>IFERROR(__xludf.DUMMYFUNCTION("SUM(QUERY(Entregas_BD!D:W,""select S where D='""&amp;D224&amp;""'"",1))"),0.0)</f>
        <v>0</v>
      </c>
      <c r="AI224" s="15">
        <f>IFERROR(__xludf.DUMMYFUNCTION("SUM(QUERY(Entregas_BD!D:W,""select T where D='""&amp;D224&amp;""'"",1))"),0.0)</f>
        <v>0</v>
      </c>
    </row>
    <row r="225" ht="19.5" customHeight="1">
      <c r="A225" s="28"/>
      <c r="B225" s="29"/>
      <c r="C225" s="19">
        <v>224.0</v>
      </c>
      <c r="D225" s="20" t="s">
        <v>604</v>
      </c>
      <c r="E225" s="20" t="s">
        <v>54</v>
      </c>
      <c r="F225" s="20" t="s">
        <v>45</v>
      </c>
      <c r="G225" s="20" t="s">
        <v>499</v>
      </c>
      <c r="H225" s="19" t="s">
        <v>40</v>
      </c>
      <c r="I225" s="21" t="s">
        <v>41</v>
      </c>
      <c r="J225" s="22"/>
      <c r="K225" s="19"/>
      <c r="L225" s="48"/>
      <c r="M225" s="19"/>
      <c r="N225" s="19">
        <f>IFERROR(__xludf.DUMMYFUNCTION("SUM(QUERY(Entregas_BD!D:L,""select G where D='""&amp;D225&amp;""'"",1))"),0.0)</f>
        <v>0</v>
      </c>
      <c r="O225" s="19">
        <f>IFERROR(__xludf.DUMMYFUNCTION("SUM(QUERY(Entregas_BD!D:L,""select H where D='""&amp;D225&amp;""'"",1))"),0.0)</f>
        <v>0</v>
      </c>
      <c r="P225" s="19">
        <f>IFERROR(__xludf.DUMMYFUNCTION("SUM(QUERY(Entregas_BD!D:L,""select I where D='""&amp;D225&amp;""'"",1))"),0.0)</f>
        <v>0</v>
      </c>
      <c r="Q225" s="19">
        <f>IFERROR(__xludf.DUMMYFUNCTION("SUM(QUERY(Entregas_BD!D:L,""select J where D='""&amp;D225&amp;""'"",1))"),0.0)</f>
        <v>0</v>
      </c>
      <c r="R225" s="24">
        <f>IFERROR(__xludf.DUMMYFUNCTION("SUM(QUERY(Entregas_BD!D:L,""select K where D='""&amp;D225&amp;""'"",1))"),0.0)</f>
        <v>0</v>
      </c>
      <c r="S225" s="24">
        <f>IFERROR(__xludf.DUMMYFUNCTION("SUM(QUERY(Entregas_BD!D:L,""select L where D='""&amp;D225&amp;""'"",1))"),0.0)</f>
        <v>0</v>
      </c>
      <c r="T225" s="19">
        <f>IFERROR(__xludf.DUMMYFUNCTION("SUM(QUERY(Entregas_BD!D:AL,""select AG where D='""&amp;D225&amp;""'"",1))"),0.0)</f>
        <v>0</v>
      </c>
      <c r="U225" s="19">
        <f>IFERROR(__xludf.DUMMYFUNCTION("SUM(QUERY(Entregas_BD!D:AL,""select AH where D='""&amp;D225&amp;""'"",1))"),0.0)</f>
        <v>0</v>
      </c>
      <c r="V225" s="19">
        <f>IFERROR(__xludf.DUMMYFUNCTION("SUM(QUERY(Entregas_BD!D:AL,""select AI where D='""&amp;D225&amp;""'"",1))"),0.0)</f>
        <v>0</v>
      </c>
      <c r="W225" s="19">
        <f>IFERROR(__xludf.DUMMYFUNCTION("SUM(QUERY(Entregas_BD!D:AL,""select AJ where D='""&amp;D225&amp;""'"",1))"),0.0)</f>
        <v>0</v>
      </c>
      <c r="X225" s="19">
        <f>IFERROR(__xludf.DUMMYFUNCTION("SUM(QUERY(Entregas_BD!D:AL,""select AL where D='""&amp;D225&amp;""'"",1))"),0.0)</f>
        <v>0</v>
      </c>
      <c r="Y225" s="19">
        <f>IFERROR(__xludf.DUMMYFUNCTION("SUM(QUERY(Entregas_BD!D:AL,""select AK where D='""&amp;D225&amp;""'"",1))"),0.0)</f>
        <v>0</v>
      </c>
      <c r="Z225" s="19">
        <v>0.0</v>
      </c>
      <c r="AA225" s="19">
        <v>0.0</v>
      </c>
      <c r="AB225" s="19">
        <v>0.0</v>
      </c>
      <c r="AC225" s="19">
        <v>0.0</v>
      </c>
      <c r="AD225" s="19">
        <v>0.0</v>
      </c>
      <c r="AE225" s="19">
        <v>0.0</v>
      </c>
      <c r="AF225" s="22"/>
      <c r="AG225" s="24">
        <f>IFERROR(__xludf.DUMMYFUNCTION("SUM(QUERY(Entregas_BD!D:W,""select U where D='""&amp;D225&amp;""'"",1))"),0.0)</f>
        <v>0</v>
      </c>
      <c r="AH225" s="24">
        <f>IFERROR(__xludf.DUMMYFUNCTION("SUM(QUERY(Entregas_BD!D:W,""select S where D='""&amp;D225&amp;""'"",1))"),0.0)</f>
        <v>0</v>
      </c>
      <c r="AI225" s="24">
        <f>IFERROR(__xludf.DUMMYFUNCTION("SUM(QUERY(Entregas_BD!D:W,""select T where D='""&amp;D225&amp;""'"",1))"),0.0)</f>
        <v>0</v>
      </c>
    </row>
    <row r="226" ht="19.5" customHeight="1">
      <c r="A226" s="7"/>
      <c r="B226" s="8"/>
      <c r="C226" s="9">
        <v>225.0</v>
      </c>
      <c r="D226" s="10" t="s">
        <v>605</v>
      </c>
      <c r="E226" s="10" t="s">
        <v>44</v>
      </c>
      <c r="F226" s="10" t="s">
        <v>606</v>
      </c>
      <c r="G226" s="10" t="s">
        <v>362</v>
      </c>
      <c r="H226" s="9" t="s">
        <v>51</v>
      </c>
      <c r="I226" s="11" t="s">
        <v>41</v>
      </c>
      <c r="J226" s="12"/>
      <c r="K226" s="9"/>
      <c r="L226" s="47"/>
      <c r="M226" s="9"/>
      <c r="N226" s="9">
        <f>IFERROR(__xludf.DUMMYFUNCTION("SUM(QUERY(Entregas_BD!D:L,""select G where D='""&amp;D226&amp;""'"",1))"),0.0)</f>
        <v>0</v>
      </c>
      <c r="O226" s="9">
        <f>IFERROR(__xludf.DUMMYFUNCTION("SUM(QUERY(Entregas_BD!D:L,""select H where D='""&amp;D226&amp;""'"",1))"),0.0)</f>
        <v>0</v>
      </c>
      <c r="P226" s="9">
        <f>IFERROR(__xludf.DUMMYFUNCTION("SUM(QUERY(Entregas_BD!D:L,""select I where D='""&amp;D226&amp;""'"",1))"),0.0)</f>
        <v>0</v>
      </c>
      <c r="Q226" s="9">
        <f>IFERROR(__xludf.DUMMYFUNCTION("SUM(QUERY(Entregas_BD!D:L,""select J where D='""&amp;D226&amp;""'"",1))"),0.0)</f>
        <v>0</v>
      </c>
      <c r="R226" s="15">
        <f>IFERROR(__xludf.DUMMYFUNCTION("SUM(QUERY(Entregas_BD!D:L,""select K where D='""&amp;D226&amp;""'"",1))"),0.0)</f>
        <v>0</v>
      </c>
      <c r="S226" s="15">
        <f>IFERROR(__xludf.DUMMYFUNCTION("SUM(QUERY(Entregas_BD!D:L,""select L where D='""&amp;D226&amp;""'"",1))"),0.0)</f>
        <v>0</v>
      </c>
      <c r="T226" s="9">
        <f>IFERROR(__xludf.DUMMYFUNCTION("SUM(QUERY(Entregas_BD!D:AL,""select AG where D='""&amp;D226&amp;""'"",1))"),400.0)</f>
        <v>400</v>
      </c>
      <c r="U226" s="9">
        <f>IFERROR(__xludf.DUMMYFUNCTION("SUM(QUERY(Entregas_BD!D:AL,""select AH where D='""&amp;D226&amp;""'"",1))"),0.0)</f>
        <v>0</v>
      </c>
      <c r="V226" s="9">
        <f>IFERROR(__xludf.DUMMYFUNCTION("SUM(QUERY(Entregas_BD!D:AL,""select AI where D='""&amp;D226&amp;""'"",1))"),0.0)</f>
        <v>0</v>
      </c>
      <c r="W226" s="9">
        <f>IFERROR(__xludf.DUMMYFUNCTION("SUM(QUERY(Entregas_BD!D:AL,""select AJ where D='""&amp;D226&amp;""'"",1))"),0.0)</f>
        <v>0</v>
      </c>
      <c r="X226" s="9">
        <f>IFERROR(__xludf.DUMMYFUNCTION("SUM(QUERY(Entregas_BD!D:AL,""select AL where D='""&amp;D226&amp;""'"",1))"),0.0)</f>
        <v>0</v>
      </c>
      <c r="Y226" s="9">
        <f>IFERROR(__xludf.DUMMYFUNCTION("SUM(QUERY(Entregas_BD!D:AL,""select AK where D='""&amp;D226&amp;""'"",1))"),0.0)</f>
        <v>0</v>
      </c>
      <c r="Z226" s="9">
        <v>-400.0</v>
      </c>
      <c r="AA226" s="9">
        <v>0.0</v>
      </c>
      <c r="AB226" s="9">
        <v>0.0</v>
      </c>
      <c r="AC226" s="9">
        <v>0.0</v>
      </c>
      <c r="AD226" s="9">
        <v>0.0</v>
      </c>
      <c r="AE226" s="9">
        <v>0.0</v>
      </c>
      <c r="AF226" s="15"/>
      <c r="AG226" s="15">
        <f>IFERROR(__xludf.DUMMYFUNCTION("SUM(QUERY(Entregas_BD!D:W,""select U where D='""&amp;D226&amp;""'"",1))"),0.0)</f>
        <v>0</v>
      </c>
      <c r="AH226" s="15">
        <f>IFERROR(__xludf.DUMMYFUNCTION("SUM(QUERY(Entregas_BD!D:W,""select S where D='""&amp;D226&amp;""'"",1))"),0.0)</f>
        <v>0</v>
      </c>
      <c r="AI226" s="15">
        <f>IFERROR(__xludf.DUMMYFUNCTION("SUM(QUERY(Entregas_BD!D:W,""select T where D='""&amp;D226&amp;""'"",1))"),0.0)</f>
        <v>0</v>
      </c>
    </row>
    <row r="227" ht="19.5" customHeight="1">
      <c r="A227" s="28"/>
      <c r="B227" s="29"/>
      <c r="C227" s="19">
        <v>226.0</v>
      </c>
      <c r="D227" s="20" t="s">
        <v>607</v>
      </c>
      <c r="E227" s="20" t="s">
        <v>479</v>
      </c>
      <c r="F227" s="20" t="s">
        <v>580</v>
      </c>
      <c r="G227" s="20" t="s">
        <v>149</v>
      </c>
      <c r="H227" s="19" t="s">
        <v>69</v>
      </c>
      <c r="I227" s="21" t="s">
        <v>41</v>
      </c>
      <c r="J227" s="22"/>
      <c r="K227" s="19"/>
      <c r="L227" s="48"/>
      <c r="M227" s="19"/>
      <c r="N227" s="19">
        <f>IFERROR(__xludf.DUMMYFUNCTION("SUM(QUERY(Entregas_BD!D:L,""select G where D='""&amp;D227&amp;""'"",1))"),0.0)</f>
        <v>0</v>
      </c>
      <c r="O227" s="19">
        <f>IFERROR(__xludf.DUMMYFUNCTION("SUM(QUERY(Entregas_BD!D:L,""select H where D='""&amp;D227&amp;""'"",1))"),0.0)</f>
        <v>0</v>
      </c>
      <c r="P227" s="19">
        <f>IFERROR(__xludf.DUMMYFUNCTION("SUM(QUERY(Entregas_BD!D:L,""select I where D='""&amp;D227&amp;""'"",1))"),0.0)</f>
        <v>0</v>
      </c>
      <c r="Q227" s="19">
        <f>IFERROR(__xludf.DUMMYFUNCTION("SUM(QUERY(Entregas_BD!D:L,""select J where D='""&amp;D227&amp;""'"",1))"),0.0)</f>
        <v>0</v>
      </c>
      <c r="R227" s="24">
        <f>IFERROR(__xludf.DUMMYFUNCTION("SUM(QUERY(Entregas_BD!D:L,""select K where D='""&amp;D227&amp;""'"",1))"),0.0)</f>
        <v>0</v>
      </c>
      <c r="S227" s="24">
        <f>IFERROR(__xludf.DUMMYFUNCTION("SUM(QUERY(Entregas_BD!D:L,""select L where D='""&amp;D227&amp;""'"",1))"),0.0)</f>
        <v>0</v>
      </c>
      <c r="T227" s="19">
        <f>IFERROR(__xludf.DUMMYFUNCTION("SUM(QUERY(Entregas_BD!D:AL,""select AG where D='""&amp;D227&amp;""'"",1))"),100.0)</f>
        <v>100</v>
      </c>
      <c r="U227" s="19">
        <f>IFERROR(__xludf.DUMMYFUNCTION("SUM(QUERY(Entregas_BD!D:AL,""select AH where D='""&amp;D227&amp;""'"",1))"),0.0)</f>
        <v>0</v>
      </c>
      <c r="V227" s="19">
        <f>IFERROR(__xludf.DUMMYFUNCTION("SUM(QUERY(Entregas_BD!D:AL,""select AI where D='""&amp;D227&amp;""'"",1))"),0.0)</f>
        <v>0</v>
      </c>
      <c r="W227" s="19">
        <f>IFERROR(__xludf.DUMMYFUNCTION("SUM(QUERY(Entregas_BD!D:AL,""select AJ where D='""&amp;D227&amp;""'"",1))"),0.0)</f>
        <v>0</v>
      </c>
      <c r="X227" s="19">
        <f>IFERROR(__xludf.DUMMYFUNCTION("SUM(QUERY(Entregas_BD!D:AL,""select AL where D='""&amp;D227&amp;""'"",1))"),0.0)</f>
        <v>0</v>
      </c>
      <c r="Y227" s="19">
        <f>IFERROR(__xludf.DUMMYFUNCTION("SUM(QUERY(Entregas_BD!D:AL,""select AK where D='""&amp;D227&amp;""'"",1))"),0.0)</f>
        <v>0</v>
      </c>
      <c r="Z227" s="19">
        <v>-100.0</v>
      </c>
      <c r="AA227" s="19">
        <v>0.0</v>
      </c>
      <c r="AB227" s="19">
        <v>0.0</v>
      </c>
      <c r="AC227" s="19">
        <v>0.0</v>
      </c>
      <c r="AD227" s="19">
        <v>0.0</v>
      </c>
      <c r="AE227" s="19">
        <v>0.0</v>
      </c>
      <c r="AF227" s="24"/>
      <c r="AG227" s="24">
        <f>IFERROR(__xludf.DUMMYFUNCTION("SUM(QUERY(Entregas_BD!D:W,""select U where D='""&amp;D227&amp;""'"",1))"),0.0)</f>
        <v>0</v>
      </c>
      <c r="AH227" s="24">
        <f>IFERROR(__xludf.DUMMYFUNCTION("SUM(QUERY(Entregas_BD!D:W,""select S where D='""&amp;D227&amp;""'"",1))"),0.0)</f>
        <v>0</v>
      </c>
      <c r="AI227" s="24">
        <f>IFERROR(__xludf.DUMMYFUNCTION("SUM(QUERY(Entregas_BD!D:W,""select T where D='""&amp;D227&amp;""'"",1))"),0.0)</f>
        <v>0</v>
      </c>
    </row>
    <row r="228" ht="19.5" customHeight="1">
      <c r="A228" s="7"/>
      <c r="B228" s="8"/>
      <c r="C228" s="9">
        <v>227.0</v>
      </c>
      <c r="D228" s="10" t="s">
        <v>608</v>
      </c>
      <c r="E228" s="10" t="s">
        <v>72</v>
      </c>
      <c r="F228" s="10" t="s">
        <v>609</v>
      </c>
      <c r="G228" s="10" t="s">
        <v>610</v>
      </c>
      <c r="H228" s="9" t="s">
        <v>611</v>
      </c>
      <c r="I228" s="11" t="s">
        <v>41</v>
      </c>
      <c r="J228" s="12"/>
      <c r="K228" s="9"/>
      <c r="L228" s="47"/>
      <c r="M228" s="9"/>
      <c r="N228" s="9">
        <f>IFERROR(__xludf.DUMMYFUNCTION("SUM(QUERY(Entregas_BD!D:L,""select G where D='""&amp;D228&amp;""'"",1))"),0.0)</f>
        <v>0</v>
      </c>
      <c r="O228" s="9">
        <f>IFERROR(__xludf.DUMMYFUNCTION("SUM(QUERY(Entregas_BD!D:L,""select H where D='""&amp;D228&amp;""'"",1))"),0.0)</f>
        <v>0</v>
      </c>
      <c r="P228" s="9">
        <f>IFERROR(__xludf.DUMMYFUNCTION("SUM(QUERY(Entregas_BD!D:L,""select I where D='""&amp;D228&amp;""'"",1))"),0.0)</f>
        <v>0</v>
      </c>
      <c r="Q228" s="9">
        <f>IFERROR(__xludf.DUMMYFUNCTION("SUM(QUERY(Entregas_BD!D:L,""select J where D='""&amp;D228&amp;""'"",1))"),0.0)</f>
        <v>0</v>
      </c>
      <c r="R228" s="15">
        <f>IFERROR(__xludf.DUMMYFUNCTION("SUM(QUERY(Entregas_BD!D:L,""select K where D='""&amp;D228&amp;""'"",1))"),0.0)</f>
        <v>0</v>
      </c>
      <c r="S228" s="15">
        <f>IFERROR(__xludf.DUMMYFUNCTION("SUM(QUERY(Entregas_BD!D:L,""select L where D='""&amp;D228&amp;""'"",1))"),0.0)</f>
        <v>0</v>
      </c>
      <c r="T228" s="9">
        <f>IFERROR(__xludf.DUMMYFUNCTION("SUM(QUERY(Entregas_BD!D:AL,""select AG where D='""&amp;D228&amp;""'"",1))"),0.0)</f>
        <v>0</v>
      </c>
      <c r="U228" s="9">
        <f>IFERROR(__xludf.DUMMYFUNCTION("SUM(QUERY(Entregas_BD!D:AL,""select AH where D='""&amp;D228&amp;""'"",1))"),0.0)</f>
        <v>0</v>
      </c>
      <c r="V228" s="9">
        <f>IFERROR(__xludf.DUMMYFUNCTION("SUM(QUERY(Entregas_BD!D:AL,""select AI where D='""&amp;D228&amp;""'"",1))"),0.0)</f>
        <v>0</v>
      </c>
      <c r="W228" s="9">
        <f>IFERROR(__xludf.DUMMYFUNCTION("SUM(QUERY(Entregas_BD!D:AL,""select AJ where D='""&amp;D228&amp;""'"",1))"),0.0)</f>
        <v>0</v>
      </c>
      <c r="X228" s="9">
        <f>IFERROR(__xludf.DUMMYFUNCTION("SUM(QUERY(Entregas_BD!D:AL,""select AL where D='""&amp;D228&amp;""'"",1))"),0.0)</f>
        <v>0</v>
      </c>
      <c r="Y228" s="9">
        <f>IFERROR(__xludf.DUMMYFUNCTION("SUM(QUERY(Entregas_BD!D:AL,""select AK where D='""&amp;D228&amp;""'"",1))"),0.0)</f>
        <v>0</v>
      </c>
      <c r="Z228" s="9">
        <v>0.0</v>
      </c>
      <c r="AA228" s="9">
        <v>0.0</v>
      </c>
      <c r="AB228" s="9">
        <v>0.0</v>
      </c>
      <c r="AC228" s="9">
        <v>0.0</v>
      </c>
      <c r="AD228" s="9">
        <v>0.0</v>
      </c>
      <c r="AE228" s="9">
        <v>0.0</v>
      </c>
      <c r="AF228" s="12"/>
      <c r="AG228" s="15">
        <f>IFERROR(__xludf.DUMMYFUNCTION("SUM(QUERY(Entregas_BD!D:W,""select U where D='""&amp;D228&amp;""'"",1))"),0.0)</f>
        <v>0</v>
      </c>
      <c r="AH228" s="15">
        <f>IFERROR(__xludf.DUMMYFUNCTION("SUM(QUERY(Entregas_BD!D:W,""select S where D='""&amp;D228&amp;""'"",1))"),0.0)</f>
        <v>0</v>
      </c>
      <c r="AI228" s="15">
        <f>IFERROR(__xludf.DUMMYFUNCTION("SUM(QUERY(Entregas_BD!D:W,""select T where D='""&amp;D228&amp;""'"",1))"),0.0)</f>
        <v>0</v>
      </c>
    </row>
    <row r="229" ht="19.5" customHeight="1">
      <c r="A229" s="28"/>
      <c r="B229" s="29"/>
      <c r="C229" s="19">
        <v>228.0</v>
      </c>
      <c r="D229" s="20" t="s">
        <v>612</v>
      </c>
      <c r="E229" s="20" t="s">
        <v>44</v>
      </c>
      <c r="F229" s="20" t="s">
        <v>121</v>
      </c>
      <c r="G229" s="20" t="s">
        <v>45</v>
      </c>
      <c r="H229" s="19" t="s">
        <v>51</v>
      </c>
      <c r="I229" s="21" t="s">
        <v>41</v>
      </c>
      <c r="J229" s="22"/>
      <c r="K229" s="19"/>
      <c r="L229" s="48"/>
      <c r="M229" s="19"/>
      <c r="N229" s="19">
        <f>IFERROR(__xludf.DUMMYFUNCTION("SUM(QUERY(Entregas_BD!D:L,""select G where D='""&amp;D229&amp;""'"",1))"),0.0)</f>
        <v>0</v>
      </c>
      <c r="O229" s="19">
        <f>IFERROR(__xludf.DUMMYFUNCTION("SUM(QUERY(Entregas_BD!D:L,""select H where D='""&amp;D229&amp;""'"",1))"),0.0)</f>
        <v>0</v>
      </c>
      <c r="P229" s="19">
        <f>IFERROR(__xludf.DUMMYFUNCTION("SUM(QUERY(Entregas_BD!D:L,""select I where D='""&amp;D229&amp;""'"",1))"),0.0)</f>
        <v>0</v>
      </c>
      <c r="Q229" s="19">
        <f>IFERROR(__xludf.DUMMYFUNCTION("SUM(QUERY(Entregas_BD!D:L,""select J where D='""&amp;D229&amp;""'"",1))"),0.0)</f>
        <v>0</v>
      </c>
      <c r="R229" s="24">
        <f>IFERROR(__xludf.DUMMYFUNCTION("SUM(QUERY(Entregas_BD!D:L,""select K where D='""&amp;D229&amp;""'"",1))"),0.0)</f>
        <v>0</v>
      </c>
      <c r="S229" s="24">
        <f>IFERROR(__xludf.DUMMYFUNCTION("SUM(QUERY(Entregas_BD!D:L,""select L where D='""&amp;D229&amp;""'"",1))"),0.0)</f>
        <v>0</v>
      </c>
      <c r="T229" s="19">
        <f>IFERROR(__xludf.DUMMYFUNCTION("SUM(QUERY(Entregas_BD!D:AL,""select AG where D='""&amp;D229&amp;""'"",1))"),0.0)</f>
        <v>0</v>
      </c>
      <c r="U229" s="19">
        <f>IFERROR(__xludf.DUMMYFUNCTION("SUM(QUERY(Entregas_BD!D:AL,""select AH where D='""&amp;D229&amp;""'"",1))"),0.0)</f>
        <v>0</v>
      </c>
      <c r="V229" s="19">
        <f>IFERROR(__xludf.DUMMYFUNCTION("SUM(QUERY(Entregas_BD!D:AL,""select AI where D='""&amp;D229&amp;""'"",1))"),0.0)</f>
        <v>0</v>
      </c>
      <c r="W229" s="19">
        <f>IFERROR(__xludf.DUMMYFUNCTION("SUM(QUERY(Entregas_BD!D:AL,""select AJ where D='""&amp;D229&amp;""'"",1))"),0.0)</f>
        <v>0</v>
      </c>
      <c r="X229" s="19">
        <f>IFERROR(__xludf.DUMMYFUNCTION("SUM(QUERY(Entregas_BD!D:AL,""select AL where D='""&amp;D229&amp;""'"",1))"),0.0)</f>
        <v>0</v>
      </c>
      <c r="Y229" s="19">
        <f>IFERROR(__xludf.DUMMYFUNCTION("SUM(QUERY(Entregas_BD!D:AL,""select AK where D='""&amp;D229&amp;""'"",1))"),0.0)</f>
        <v>0</v>
      </c>
      <c r="Z229" s="19">
        <v>0.0</v>
      </c>
      <c r="AA229" s="19">
        <v>0.0</v>
      </c>
      <c r="AB229" s="19">
        <v>0.0</v>
      </c>
      <c r="AC229" s="19">
        <v>0.0</v>
      </c>
      <c r="AD229" s="19">
        <v>0.0</v>
      </c>
      <c r="AE229" s="19">
        <v>0.0</v>
      </c>
      <c r="AF229" s="24"/>
      <c r="AG229" s="24">
        <f>IFERROR(__xludf.DUMMYFUNCTION("SUM(QUERY(Entregas_BD!D:W,""select U where D='""&amp;D229&amp;""'"",1))"),0.0)</f>
        <v>0</v>
      </c>
      <c r="AH229" s="24">
        <f>IFERROR(__xludf.DUMMYFUNCTION("SUM(QUERY(Entregas_BD!D:W,""select S where D='""&amp;D229&amp;""'"",1))"),0.0)</f>
        <v>0</v>
      </c>
      <c r="AI229" s="24">
        <f>IFERROR(__xludf.DUMMYFUNCTION("SUM(QUERY(Entregas_BD!D:W,""select T where D='""&amp;D229&amp;""'"",1))"),0.0)</f>
        <v>0</v>
      </c>
    </row>
    <row r="230" ht="19.5" customHeight="1">
      <c r="A230" s="7"/>
      <c r="B230" s="8"/>
      <c r="C230" s="9">
        <v>229.0</v>
      </c>
      <c r="D230" s="10" t="s">
        <v>613</v>
      </c>
      <c r="E230" s="10" t="s">
        <v>58</v>
      </c>
      <c r="F230" s="10" t="s">
        <v>614</v>
      </c>
      <c r="G230" s="10" t="s">
        <v>45</v>
      </c>
      <c r="H230" s="9" t="s">
        <v>40</v>
      </c>
      <c r="I230" s="11" t="s">
        <v>41</v>
      </c>
      <c r="J230" s="12"/>
      <c r="K230" s="9"/>
      <c r="L230" s="47"/>
      <c r="M230" s="9"/>
      <c r="N230" s="9">
        <f>IFERROR(__xludf.DUMMYFUNCTION("SUM(QUERY(Entregas_BD!D:L,""select G where D='""&amp;D230&amp;""'"",1))"),0.0)</f>
        <v>0</v>
      </c>
      <c r="O230" s="9">
        <f>IFERROR(__xludf.DUMMYFUNCTION("SUM(QUERY(Entregas_BD!D:L,""select H where D='""&amp;D230&amp;""'"",1))"),0.0)</f>
        <v>0</v>
      </c>
      <c r="P230" s="9">
        <f>IFERROR(__xludf.DUMMYFUNCTION("SUM(QUERY(Entregas_BD!D:L,""select I where D='""&amp;D230&amp;""'"",1))"),0.0)</f>
        <v>0</v>
      </c>
      <c r="Q230" s="9">
        <f>IFERROR(__xludf.DUMMYFUNCTION("SUM(QUERY(Entregas_BD!D:L,""select J where D='""&amp;D230&amp;""'"",1))"),0.0)</f>
        <v>0</v>
      </c>
      <c r="R230" s="15">
        <f>IFERROR(__xludf.DUMMYFUNCTION("SUM(QUERY(Entregas_BD!D:L,""select K where D='""&amp;D230&amp;""'"",1))"),0.0)</f>
        <v>0</v>
      </c>
      <c r="S230" s="15">
        <f>IFERROR(__xludf.DUMMYFUNCTION("SUM(QUERY(Entregas_BD!D:L,""select L where D='""&amp;D230&amp;""'"",1))"),0.0)</f>
        <v>0</v>
      </c>
      <c r="T230" s="9">
        <f>IFERROR(__xludf.DUMMYFUNCTION("SUM(QUERY(Entregas_BD!D:AL,""select AG where D='""&amp;D230&amp;""'"",1))"),0.0)</f>
        <v>0</v>
      </c>
      <c r="U230" s="9">
        <f>IFERROR(__xludf.DUMMYFUNCTION("SUM(QUERY(Entregas_BD!D:AL,""select AH where D='""&amp;D230&amp;""'"",1))"),0.0)</f>
        <v>0</v>
      </c>
      <c r="V230" s="9">
        <f>IFERROR(__xludf.DUMMYFUNCTION("SUM(QUERY(Entregas_BD!D:AL,""select AI where D='""&amp;D230&amp;""'"",1))"),0.0)</f>
        <v>0</v>
      </c>
      <c r="W230" s="9">
        <f>IFERROR(__xludf.DUMMYFUNCTION("SUM(QUERY(Entregas_BD!D:AL,""select AJ where D='""&amp;D230&amp;""'"",1))"),0.0)</f>
        <v>0</v>
      </c>
      <c r="X230" s="9">
        <f>IFERROR(__xludf.DUMMYFUNCTION("SUM(QUERY(Entregas_BD!D:AL,""select AL where D='""&amp;D230&amp;""'"",1))"),0.0)</f>
        <v>0</v>
      </c>
      <c r="Y230" s="9">
        <f>IFERROR(__xludf.DUMMYFUNCTION("SUM(QUERY(Entregas_BD!D:AL,""select AK where D='""&amp;D230&amp;""'"",1))"),0.0)</f>
        <v>0</v>
      </c>
      <c r="Z230" s="9">
        <v>0.0</v>
      </c>
      <c r="AA230" s="9">
        <v>0.0</v>
      </c>
      <c r="AB230" s="9">
        <v>0.0</v>
      </c>
      <c r="AC230" s="9">
        <v>0.0</v>
      </c>
      <c r="AD230" s="9">
        <v>0.0</v>
      </c>
      <c r="AE230" s="9">
        <v>0.0</v>
      </c>
      <c r="AF230" s="12"/>
      <c r="AG230" s="15">
        <f>IFERROR(__xludf.DUMMYFUNCTION("SUM(QUERY(Entregas_BD!D:W,""select U where D='""&amp;D230&amp;""'"",1))"),0.0)</f>
        <v>0</v>
      </c>
      <c r="AH230" s="15">
        <f>IFERROR(__xludf.DUMMYFUNCTION("SUM(QUERY(Entregas_BD!D:W,""select S where D='""&amp;D230&amp;""'"",1))"),0.0)</f>
        <v>0</v>
      </c>
      <c r="AI230" s="15">
        <f>IFERROR(__xludf.DUMMYFUNCTION("SUM(QUERY(Entregas_BD!D:W,""select T where D='""&amp;D230&amp;""'"",1))"),0.0)</f>
        <v>0</v>
      </c>
    </row>
    <row r="231" ht="19.5" customHeight="1">
      <c r="A231" s="28"/>
      <c r="B231" s="29"/>
      <c r="C231" s="19">
        <v>230.0</v>
      </c>
      <c r="D231" s="20" t="s">
        <v>615</v>
      </c>
      <c r="E231" s="20" t="s">
        <v>58</v>
      </c>
      <c r="F231" s="20" t="s">
        <v>45</v>
      </c>
      <c r="G231" s="20" t="s">
        <v>616</v>
      </c>
      <c r="H231" s="22" t="s">
        <v>617</v>
      </c>
      <c r="I231" s="21" t="s">
        <v>41</v>
      </c>
      <c r="J231" s="22"/>
      <c r="K231" s="22"/>
      <c r="L231" s="23"/>
      <c r="M231" s="22"/>
      <c r="N231" s="19">
        <f>IFERROR(__xludf.DUMMYFUNCTION("SUM(QUERY(Entregas_BD!D:L,""select G where D='""&amp;D231&amp;""'"",1))"),0.0)</f>
        <v>0</v>
      </c>
      <c r="O231" s="19">
        <f>IFERROR(__xludf.DUMMYFUNCTION("SUM(QUERY(Entregas_BD!D:L,""select H where D='""&amp;D231&amp;""'"",1))"),0.0)</f>
        <v>0</v>
      </c>
      <c r="P231" s="19">
        <f>IFERROR(__xludf.DUMMYFUNCTION("SUM(QUERY(Entregas_BD!D:L,""select I where D='""&amp;D231&amp;""'"",1))"),0.0)</f>
        <v>0</v>
      </c>
      <c r="Q231" s="19">
        <f>IFERROR(__xludf.DUMMYFUNCTION("SUM(QUERY(Entregas_BD!D:L,""select J where D='""&amp;D231&amp;""'"",1))"),0.0)</f>
        <v>0</v>
      </c>
      <c r="R231" s="24">
        <f>IFERROR(__xludf.DUMMYFUNCTION("SUM(QUERY(Entregas_BD!D:L,""select K where D='""&amp;D231&amp;""'"",1))"),0.0)</f>
        <v>0</v>
      </c>
      <c r="S231" s="24">
        <f>IFERROR(__xludf.DUMMYFUNCTION("SUM(QUERY(Entregas_BD!D:L,""select L where D='""&amp;D231&amp;""'"",1))"),0.0)</f>
        <v>0</v>
      </c>
      <c r="T231" s="19">
        <f>IFERROR(__xludf.DUMMYFUNCTION("SUM(QUERY(Entregas_BD!D:AL,""select AG where D='""&amp;D231&amp;""'"",1))"),0.0)</f>
        <v>0</v>
      </c>
      <c r="U231" s="19">
        <f>IFERROR(__xludf.DUMMYFUNCTION("SUM(QUERY(Entregas_BD!D:AL,""select AH where D='""&amp;D231&amp;""'"",1))"),0.0)</f>
        <v>0</v>
      </c>
      <c r="V231" s="19">
        <f>IFERROR(__xludf.DUMMYFUNCTION("SUM(QUERY(Entregas_BD!D:AL,""select AI where D='""&amp;D231&amp;""'"",1))"),0.0)</f>
        <v>0</v>
      </c>
      <c r="W231" s="19">
        <f>IFERROR(__xludf.DUMMYFUNCTION("SUM(QUERY(Entregas_BD!D:AL,""select AJ where D='""&amp;D231&amp;""'"",1))"),0.0)</f>
        <v>0</v>
      </c>
      <c r="X231" s="19">
        <f>IFERROR(__xludf.DUMMYFUNCTION("SUM(QUERY(Entregas_BD!D:AL,""select AL where D='""&amp;D231&amp;""'"",1))"),0.0)</f>
        <v>0</v>
      </c>
      <c r="Y231" s="19">
        <f>IFERROR(__xludf.DUMMYFUNCTION("SUM(QUERY(Entregas_BD!D:AL,""select AK where D='""&amp;D231&amp;""'"",1))"),0.0)</f>
        <v>0</v>
      </c>
      <c r="Z231" s="19">
        <v>0.0</v>
      </c>
      <c r="AA231" s="19">
        <v>0.0</v>
      </c>
      <c r="AB231" s="19">
        <v>0.0</v>
      </c>
      <c r="AC231" s="19">
        <v>0.0</v>
      </c>
      <c r="AD231" s="19">
        <v>0.0</v>
      </c>
      <c r="AE231" s="19">
        <v>0.0</v>
      </c>
      <c r="AF231" s="24"/>
      <c r="AG231" s="24">
        <f>IFERROR(__xludf.DUMMYFUNCTION("SUM(QUERY(Entregas_BD!D:W,""select U where D='""&amp;D231&amp;""'"",1))"),0.0)</f>
        <v>0</v>
      </c>
      <c r="AH231" s="24">
        <f>IFERROR(__xludf.DUMMYFUNCTION("SUM(QUERY(Entregas_BD!D:W,""select S where D='""&amp;D231&amp;""'"",1))"),0.0)</f>
        <v>0</v>
      </c>
      <c r="AI231" s="24">
        <f>IFERROR(__xludf.DUMMYFUNCTION("SUM(QUERY(Entregas_BD!D:W,""select T where D='""&amp;D231&amp;""'"",1))"),0.0)</f>
        <v>0</v>
      </c>
    </row>
    <row r="232" ht="19.5" customHeight="1">
      <c r="A232" s="7"/>
      <c r="B232" s="8"/>
      <c r="C232" s="9">
        <v>231.0</v>
      </c>
      <c r="D232" s="10" t="s">
        <v>618</v>
      </c>
      <c r="E232" s="10" t="s">
        <v>44</v>
      </c>
      <c r="F232" s="10" t="s">
        <v>45</v>
      </c>
      <c r="G232" s="10" t="s">
        <v>619</v>
      </c>
      <c r="H232" s="12" t="s">
        <v>593</v>
      </c>
      <c r="I232" s="11" t="s">
        <v>41</v>
      </c>
      <c r="J232" s="12"/>
      <c r="K232" s="12"/>
      <c r="L232" s="13"/>
      <c r="M232" s="12"/>
      <c r="N232" s="9">
        <f>IFERROR(__xludf.DUMMYFUNCTION("SUM(QUERY(Entregas_BD!D:L,""select G where D='""&amp;D232&amp;""'"",1))"),0.0)</f>
        <v>0</v>
      </c>
      <c r="O232" s="9">
        <f>IFERROR(__xludf.DUMMYFUNCTION("SUM(QUERY(Entregas_BD!D:L,""select H where D='""&amp;D232&amp;""'"",1))"),0.0)</f>
        <v>0</v>
      </c>
      <c r="P232" s="9">
        <f>IFERROR(__xludf.DUMMYFUNCTION("SUM(QUERY(Entregas_BD!D:L,""select I where D='""&amp;D232&amp;""'"",1))"),0.0)</f>
        <v>0</v>
      </c>
      <c r="Q232" s="9">
        <f>IFERROR(__xludf.DUMMYFUNCTION("SUM(QUERY(Entregas_BD!D:L,""select J where D='""&amp;D232&amp;""'"",1))"),0.0)</f>
        <v>0</v>
      </c>
      <c r="R232" s="15">
        <f>IFERROR(__xludf.DUMMYFUNCTION("SUM(QUERY(Entregas_BD!D:L,""select K where D='""&amp;D232&amp;""'"",1))"),0.0)</f>
        <v>0</v>
      </c>
      <c r="S232" s="15">
        <f>IFERROR(__xludf.DUMMYFUNCTION("SUM(QUERY(Entregas_BD!D:L,""select L where D='""&amp;D232&amp;""'"",1))"),0.0)</f>
        <v>0</v>
      </c>
      <c r="T232" s="9">
        <f>IFERROR(__xludf.DUMMYFUNCTION("SUM(QUERY(Entregas_BD!D:AL,""select AG where D='""&amp;D232&amp;""'"",1))"),0.0)</f>
        <v>0</v>
      </c>
      <c r="U232" s="9">
        <f>IFERROR(__xludf.DUMMYFUNCTION("SUM(QUERY(Entregas_BD!D:AL,""select AH where D='""&amp;D232&amp;""'"",1))"),0.0)</f>
        <v>0</v>
      </c>
      <c r="V232" s="9">
        <f>IFERROR(__xludf.DUMMYFUNCTION("SUM(QUERY(Entregas_BD!D:AL,""select AI where D='""&amp;D232&amp;""'"",1))"),0.0)</f>
        <v>0</v>
      </c>
      <c r="W232" s="9">
        <f>IFERROR(__xludf.DUMMYFUNCTION("SUM(QUERY(Entregas_BD!D:AL,""select AJ where D='""&amp;D232&amp;""'"",1))"),0.0)</f>
        <v>0</v>
      </c>
      <c r="X232" s="9">
        <f>IFERROR(__xludf.DUMMYFUNCTION("SUM(QUERY(Entregas_BD!D:AL,""select AL where D='""&amp;D232&amp;""'"",1))"),0.0)</f>
        <v>0</v>
      </c>
      <c r="Y232" s="9">
        <f>IFERROR(__xludf.DUMMYFUNCTION("SUM(QUERY(Entregas_BD!D:AL,""select AK where D='""&amp;D232&amp;""'"",1))"),0.0)</f>
        <v>0</v>
      </c>
      <c r="Z232" s="9">
        <v>0.0</v>
      </c>
      <c r="AA232" s="9">
        <v>0.0</v>
      </c>
      <c r="AB232" s="9">
        <v>0.0</v>
      </c>
      <c r="AC232" s="9">
        <v>0.0</v>
      </c>
      <c r="AD232" s="9">
        <v>0.0</v>
      </c>
      <c r="AE232" s="9">
        <v>0.0</v>
      </c>
      <c r="AF232" s="15"/>
      <c r="AG232" s="15">
        <f>IFERROR(__xludf.DUMMYFUNCTION("SUM(QUERY(Entregas_BD!D:W,""select U where D='""&amp;D232&amp;""'"",1))"),0.0)</f>
        <v>0</v>
      </c>
      <c r="AH232" s="15">
        <f>IFERROR(__xludf.DUMMYFUNCTION("SUM(QUERY(Entregas_BD!D:W,""select S where D='""&amp;D232&amp;""'"",1))"),0.0)</f>
        <v>0</v>
      </c>
      <c r="AI232" s="15">
        <f>IFERROR(__xludf.DUMMYFUNCTION("SUM(QUERY(Entregas_BD!D:W,""select T where D='""&amp;D232&amp;""'"",1))"),0.0)</f>
        <v>0</v>
      </c>
    </row>
    <row r="233" ht="19.5" customHeight="1">
      <c r="A233" s="28"/>
      <c r="B233" s="29"/>
      <c r="C233" s="19">
        <v>232.0</v>
      </c>
      <c r="D233" s="20" t="s">
        <v>620</v>
      </c>
      <c r="E233" s="20" t="s">
        <v>44</v>
      </c>
      <c r="F233" s="20" t="s">
        <v>45</v>
      </c>
      <c r="G233" s="20" t="s">
        <v>621</v>
      </c>
      <c r="H233" s="22" t="s">
        <v>622</v>
      </c>
      <c r="I233" s="21" t="s">
        <v>41</v>
      </c>
      <c r="J233" s="22"/>
      <c r="K233" s="22"/>
      <c r="L233" s="23"/>
      <c r="M233" s="22"/>
      <c r="N233" s="19">
        <f>IFERROR(__xludf.DUMMYFUNCTION("SUM(QUERY(Entregas_BD!D:L,""select G where D='""&amp;D233&amp;""'"",1))"),0.0)</f>
        <v>0</v>
      </c>
      <c r="O233" s="19">
        <f>IFERROR(__xludf.DUMMYFUNCTION("SUM(QUERY(Entregas_BD!D:L,""select H where D='""&amp;D233&amp;""'"",1))"),0.0)</f>
        <v>0</v>
      </c>
      <c r="P233" s="19">
        <f>IFERROR(__xludf.DUMMYFUNCTION("SUM(QUERY(Entregas_BD!D:L,""select I where D='""&amp;D233&amp;""'"",1))"),0.0)</f>
        <v>0</v>
      </c>
      <c r="Q233" s="19">
        <f>IFERROR(__xludf.DUMMYFUNCTION("SUM(QUERY(Entregas_BD!D:L,""select J where D='""&amp;D233&amp;""'"",1))"),0.0)</f>
        <v>0</v>
      </c>
      <c r="R233" s="24">
        <f>IFERROR(__xludf.DUMMYFUNCTION("SUM(QUERY(Entregas_BD!D:L,""select K where D='""&amp;D233&amp;""'"",1))"),0.0)</f>
        <v>0</v>
      </c>
      <c r="S233" s="24">
        <f>IFERROR(__xludf.DUMMYFUNCTION("SUM(QUERY(Entregas_BD!D:L,""select L where D='""&amp;D233&amp;""'"",1))"),0.0)</f>
        <v>0</v>
      </c>
      <c r="T233" s="19">
        <f>IFERROR(__xludf.DUMMYFUNCTION("SUM(QUERY(Entregas_BD!D:AL,""select AG where D='""&amp;D233&amp;""'"",1))"),50.0)</f>
        <v>50</v>
      </c>
      <c r="U233" s="19">
        <f>IFERROR(__xludf.DUMMYFUNCTION("SUM(QUERY(Entregas_BD!D:AL,""select AH where D='""&amp;D233&amp;""'"",1))"),0.0)</f>
        <v>0</v>
      </c>
      <c r="V233" s="19">
        <f>IFERROR(__xludf.DUMMYFUNCTION("SUM(QUERY(Entregas_BD!D:AL,""select AI where D='""&amp;D233&amp;""'"",1))"),0.0)</f>
        <v>0</v>
      </c>
      <c r="W233" s="19">
        <f>IFERROR(__xludf.DUMMYFUNCTION("SUM(QUERY(Entregas_BD!D:AL,""select AJ where D='""&amp;D233&amp;""'"",1))"),50.0)</f>
        <v>50</v>
      </c>
      <c r="X233" s="19">
        <f>IFERROR(__xludf.DUMMYFUNCTION("SUM(QUERY(Entregas_BD!D:AL,""select AL where D='""&amp;D233&amp;""'"",1))"),0.0)</f>
        <v>0</v>
      </c>
      <c r="Y233" s="19">
        <f>IFERROR(__xludf.DUMMYFUNCTION("SUM(QUERY(Entregas_BD!D:AL,""select AK where D='""&amp;D233&amp;""'"",1))"),6.0)</f>
        <v>6</v>
      </c>
      <c r="Z233" s="19">
        <v>-50.0</v>
      </c>
      <c r="AA233" s="19">
        <v>0.0</v>
      </c>
      <c r="AB233" s="19">
        <v>0.0</v>
      </c>
      <c r="AC233" s="19">
        <v>-50.0</v>
      </c>
      <c r="AD233" s="19">
        <v>-6.0</v>
      </c>
      <c r="AE233" s="19">
        <v>0.0</v>
      </c>
      <c r="AF233" s="24"/>
      <c r="AG233" s="24">
        <f>IFERROR(__xludf.DUMMYFUNCTION("SUM(QUERY(Entregas_BD!D:W,""select U where D='""&amp;D233&amp;""'"",1))"),0.0)</f>
        <v>0</v>
      </c>
      <c r="AH233" s="24">
        <f>IFERROR(__xludf.DUMMYFUNCTION("SUM(QUERY(Entregas_BD!D:W,""select S where D='""&amp;D233&amp;""'"",1))"),0.0)</f>
        <v>0</v>
      </c>
      <c r="AI233" s="24">
        <f>IFERROR(__xludf.DUMMYFUNCTION("SUM(QUERY(Entregas_BD!D:W,""select T where D='""&amp;D233&amp;""'"",1))"),0.0)</f>
        <v>0</v>
      </c>
    </row>
    <row r="234" ht="19.5" customHeight="1">
      <c r="A234" s="7"/>
      <c r="B234" s="8"/>
      <c r="C234" s="9">
        <v>233.0</v>
      </c>
      <c r="D234" s="10" t="s">
        <v>623</v>
      </c>
      <c r="E234" s="10" t="s">
        <v>235</v>
      </c>
      <c r="F234" s="10" t="s">
        <v>624</v>
      </c>
      <c r="G234" s="10" t="s">
        <v>625</v>
      </c>
      <c r="H234" s="12" t="s">
        <v>593</v>
      </c>
      <c r="I234" s="11" t="s">
        <v>41</v>
      </c>
      <c r="J234" s="50"/>
      <c r="K234" s="12"/>
      <c r="L234" s="13"/>
      <c r="M234" s="12"/>
      <c r="N234" s="9">
        <f>IFERROR(__xludf.DUMMYFUNCTION("SUM(QUERY(Entregas_BD!D:L,""select G where D='""&amp;D234&amp;""'"",1))"),0.0)</f>
        <v>0</v>
      </c>
      <c r="O234" s="9">
        <f>IFERROR(__xludf.DUMMYFUNCTION("SUM(QUERY(Entregas_BD!D:L,""select H where D='""&amp;D234&amp;""'"",1))"),0.0)</f>
        <v>0</v>
      </c>
      <c r="P234" s="9">
        <f>IFERROR(__xludf.DUMMYFUNCTION("SUM(QUERY(Entregas_BD!D:L,""select I where D='""&amp;D234&amp;""'"",1))"),0.0)</f>
        <v>0</v>
      </c>
      <c r="Q234" s="9">
        <f>IFERROR(__xludf.DUMMYFUNCTION("SUM(QUERY(Entregas_BD!D:L,""select J where D='""&amp;D234&amp;""'"",1))"),0.0)</f>
        <v>0</v>
      </c>
      <c r="R234" s="15">
        <f>IFERROR(__xludf.DUMMYFUNCTION("SUM(QUERY(Entregas_BD!D:L,""select K where D='""&amp;D234&amp;""'"",1))"),0.0)</f>
        <v>0</v>
      </c>
      <c r="S234" s="15">
        <f>IFERROR(__xludf.DUMMYFUNCTION("SUM(QUERY(Entregas_BD!D:L,""select L where D='""&amp;D234&amp;""'"",1))"),0.0)</f>
        <v>0</v>
      </c>
      <c r="T234" s="9">
        <f>IFERROR(__xludf.DUMMYFUNCTION("SUM(QUERY(Entregas_BD!D:AL,""select AG where D='""&amp;D234&amp;""'"",1))"),100.0)</f>
        <v>100</v>
      </c>
      <c r="U234" s="9">
        <f>IFERROR(__xludf.DUMMYFUNCTION("SUM(QUERY(Entregas_BD!D:AL,""select AH where D='""&amp;D234&amp;""'"",1))"),0.0)</f>
        <v>0</v>
      </c>
      <c r="V234" s="9">
        <f>IFERROR(__xludf.DUMMYFUNCTION("SUM(QUERY(Entregas_BD!D:AL,""select AI where D='""&amp;D234&amp;""'"",1))"),0.0)</f>
        <v>0</v>
      </c>
      <c r="W234" s="9">
        <f>IFERROR(__xludf.DUMMYFUNCTION("SUM(QUERY(Entregas_BD!D:AL,""select AJ where D='""&amp;D234&amp;""'"",1))"),100.0)</f>
        <v>100</v>
      </c>
      <c r="X234" s="9">
        <f>IFERROR(__xludf.DUMMYFUNCTION("SUM(QUERY(Entregas_BD!D:AL,""select AL where D='""&amp;D234&amp;""'"",1))"),0.0)</f>
        <v>0</v>
      </c>
      <c r="Y234" s="9">
        <f>IFERROR(__xludf.DUMMYFUNCTION("SUM(QUERY(Entregas_BD!D:AL,""select AK where D='""&amp;D234&amp;""'"",1))"),0.0)</f>
        <v>0</v>
      </c>
      <c r="Z234" s="9">
        <v>-100.0</v>
      </c>
      <c r="AA234" s="9">
        <v>0.0</v>
      </c>
      <c r="AB234" s="9">
        <v>0.0</v>
      </c>
      <c r="AC234" s="9">
        <v>-100.0</v>
      </c>
      <c r="AD234" s="9">
        <v>0.0</v>
      </c>
      <c r="AE234" s="9">
        <v>0.0</v>
      </c>
      <c r="AF234" s="12"/>
      <c r="AG234" s="15">
        <f>IFERROR(__xludf.DUMMYFUNCTION("SUM(QUERY(Entregas_BD!D:W,""select U where D='""&amp;D234&amp;""'"",1))"),0.0)</f>
        <v>0</v>
      </c>
      <c r="AH234" s="15">
        <f>IFERROR(__xludf.DUMMYFUNCTION("SUM(QUERY(Entregas_BD!D:W,""select S where D='""&amp;D234&amp;""'"",1))"),0.0)</f>
        <v>0</v>
      </c>
      <c r="AI234" s="15">
        <f>IFERROR(__xludf.DUMMYFUNCTION("SUM(QUERY(Entregas_BD!D:W,""select T where D='""&amp;D234&amp;""'"",1))"),0.0)</f>
        <v>0</v>
      </c>
    </row>
    <row r="235" ht="19.5" customHeight="1">
      <c r="A235" s="28"/>
      <c r="B235" s="29"/>
      <c r="C235" s="19">
        <v>234.0</v>
      </c>
      <c r="D235" s="20" t="s">
        <v>626</v>
      </c>
      <c r="E235" s="20" t="s">
        <v>197</v>
      </c>
      <c r="F235" s="20" t="s">
        <v>243</v>
      </c>
      <c r="G235" s="20" t="s">
        <v>627</v>
      </c>
      <c r="H235" s="22" t="s">
        <v>628</v>
      </c>
      <c r="I235" s="21" t="s">
        <v>47</v>
      </c>
      <c r="J235" s="51"/>
      <c r="K235" s="22"/>
      <c r="L235" s="23"/>
      <c r="M235" s="22"/>
      <c r="N235" s="19">
        <f>IFERROR(__xludf.DUMMYFUNCTION("SUM(QUERY(Entregas_BD!D:L,""select G where D='""&amp;D235&amp;""'"",1))"),0.0)</f>
        <v>0</v>
      </c>
      <c r="O235" s="19">
        <f>IFERROR(__xludf.DUMMYFUNCTION("SUM(QUERY(Entregas_BD!D:L,""select H where D='""&amp;D235&amp;""'"",1))"),0.0)</f>
        <v>0</v>
      </c>
      <c r="P235" s="19">
        <f>IFERROR(__xludf.DUMMYFUNCTION("SUM(QUERY(Entregas_BD!D:L,""select I where D='""&amp;D235&amp;""'"",1))"),0.0)</f>
        <v>0</v>
      </c>
      <c r="Q235" s="19">
        <f>IFERROR(__xludf.DUMMYFUNCTION("SUM(QUERY(Entregas_BD!D:L,""select J where D='""&amp;D235&amp;""'"",1))"),0.0)</f>
        <v>0</v>
      </c>
      <c r="R235" s="24">
        <f>IFERROR(__xludf.DUMMYFUNCTION("SUM(QUERY(Entregas_BD!D:L,""select K where D='""&amp;D235&amp;""'"",1))"),0.0)</f>
        <v>0</v>
      </c>
      <c r="S235" s="24">
        <f>IFERROR(__xludf.DUMMYFUNCTION("SUM(QUERY(Entregas_BD!D:L,""select L where D='""&amp;D235&amp;""'"",1))"),0.0)</f>
        <v>0</v>
      </c>
      <c r="T235" s="19">
        <f>IFERROR(__xludf.DUMMYFUNCTION("SUM(QUERY(Entregas_BD!D:AL,""select AG where D='""&amp;D235&amp;""'"",1))"),0.0)</f>
        <v>0</v>
      </c>
      <c r="U235" s="19">
        <f>IFERROR(__xludf.DUMMYFUNCTION("SUM(QUERY(Entregas_BD!D:AL,""select AH where D='""&amp;D235&amp;""'"",1))"),0.0)</f>
        <v>0</v>
      </c>
      <c r="V235" s="19">
        <f>IFERROR(__xludf.DUMMYFUNCTION("SUM(QUERY(Entregas_BD!D:AL,""select AI where D='""&amp;D235&amp;""'"",1))"),0.0)</f>
        <v>0</v>
      </c>
      <c r="W235" s="19">
        <f>IFERROR(__xludf.DUMMYFUNCTION("SUM(QUERY(Entregas_BD!D:AL,""select AJ where D='""&amp;D235&amp;""'"",1))"),0.0)</f>
        <v>0</v>
      </c>
      <c r="X235" s="19">
        <f>IFERROR(__xludf.DUMMYFUNCTION("SUM(QUERY(Entregas_BD!D:AL,""select AL where D='""&amp;D235&amp;""'"",1))"),0.0)</f>
        <v>0</v>
      </c>
      <c r="Y235" s="19">
        <f>IFERROR(__xludf.DUMMYFUNCTION("SUM(QUERY(Entregas_BD!D:AL,""select AK where D='""&amp;D235&amp;""'"",1))"),0.0)</f>
        <v>0</v>
      </c>
      <c r="Z235" s="19">
        <v>0.0</v>
      </c>
      <c r="AA235" s="19">
        <v>0.0</v>
      </c>
      <c r="AB235" s="19">
        <v>0.0</v>
      </c>
      <c r="AC235" s="19">
        <v>0.0</v>
      </c>
      <c r="AD235" s="19">
        <v>0.0</v>
      </c>
      <c r="AE235" s="19">
        <v>0.0</v>
      </c>
      <c r="AF235" s="22"/>
      <c r="AG235" s="24">
        <f>IFERROR(__xludf.DUMMYFUNCTION("SUM(QUERY(Entregas_BD!D:W,""select U where D='""&amp;D235&amp;""'"",1))"),0.0)</f>
        <v>0</v>
      </c>
      <c r="AH235" s="24">
        <f>IFERROR(__xludf.DUMMYFUNCTION("SUM(QUERY(Entregas_BD!D:W,""select S where D='""&amp;D235&amp;""'"",1))"),0.0)</f>
        <v>0</v>
      </c>
      <c r="AI235" s="24">
        <f>IFERROR(__xludf.DUMMYFUNCTION("SUM(QUERY(Entregas_BD!D:W,""select T where D='""&amp;D235&amp;""'"",1))"),0.0)</f>
        <v>0</v>
      </c>
    </row>
    <row r="236" ht="19.5" customHeight="1">
      <c r="A236" s="7"/>
      <c r="B236" s="8"/>
      <c r="C236" s="9">
        <v>235.0</v>
      </c>
      <c r="D236" s="10" t="s">
        <v>629</v>
      </c>
      <c r="E236" s="10" t="s">
        <v>54</v>
      </c>
      <c r="F236" s="10" t="s">
        <v>45</v>
      </c>
      <c r="G236" s="10" t="s">
        <v>440</v>
      </c>
      <c r="H236" s="12" t="s">
        <v>593</v>
      </c>
      <c r="I236" s="11" t="s">
        <v>41</v>
      </c>
      <c r="J236" s="50"/>
      <c r="K236" s="12"/>
      <c r="L236" s="13"/>
      <c r="M236" s="12"/>
      <c r="N236" s="9">
        <f>IFERROR(__xludf.DUMMYFUNCTION("SUM(QUERY(Entregas_BD!D:L,""select G where D='""&amp;D236&amp;""'"",1))"),0.0)</f>
        <v>0</v>
      </c>
      <c r="O236" s="9">
        <f>IFERROR(__xludf.DUMMYFUNCTION("SUM(QUERY(Entregas_BD!D:L,""select H where D='""&amp;D236&amp;""'"",1))"),0.0)</f>
        <v>0</v>
      </c>
      <c r="P236" s="9">
        <f>IFERROR(__xludf.DUMMYFUNCTION("SUM(QUERY(Entregas_BD!D:L,""select I where D='""&amp;D236&amp;""'"",1))"),0.0)</f>
        <v>0</v>
      </c>
      <c r="Q236" s="9">
        <f>IFERROR(__xludf.DUMMYFUNCTION("SUM(QUERY(Entregas_BD!D:L,""select J where D='""&amp;D236&amp;""'"",1))"),0.0)</f>
        <v>0</v>
      </c>
      <c r="R236" s="15">
        <f>IFERROR(__xludf.DUMMYFUNCTION("SUM(QUERY(Entregas_BD!D:L,""select K where D='""&amp;D236&amp;""'"",1))"),0.0)</f>
        <v>0</v>
      </c>
      <c r="S236" s="15">
        <f>IFERROR(__xludf.DUMMYFUNCTION("SUM(QUERY(Entregas_BD!D:L,""select L where D='""&amp;D236&amp;""'"",1))"),0.0)</f>
        <v>0</v>
      </c>
      <c r="T236" s="9">
        <f>IFERROR(__xludf.DUMMYFUNCTION("SUM(QUERY(Entregas_BD!D:AL,""select AG where D='""&amp;D236&amp;""'"",1))"),100.0)</f>
        <v>100</v>
      </c>
      <c r="U236" s="9">
        <f>IFERROR(__xludf.DUMMYFUNCTION("SUM(QUERY(Entregas_BD!D:AL,""select AH where D='""&amp;D236&amp;""'"",1))"),0.0)</f>
        <v>0</v>
      </c>
      <c r="V236" s="9">
        <f>IFERROR(__xludf.DUMMYFUNCTION("SUM(QUERY(Entregas_BD!D:AL,""select AI where D='""&amp;D236&amp;""'"",1))"),0.0)</f>
        <v>0</v>
      </c>
      <c r="W236" s="9">
        <f>IFERROR(__xludf.DUMMYFUNCTION("SUM(QUERY(Entregas_BD!D:AL,""select AJ where D='""&amp;D236&amp;""'"",1))"),0.0)</f>
        <v>0</v>
      </c>
      <c r="X236" s="9">
        <f>IFERROR(__xludf.DUMMYFUNCTION("SUM(QUERY(Entregas_BD!D:AL,""select AL where D='""&amp;D236&amp;""'"",1))"),0.0)</f>
        <v>0</v>
      </c>
      <c r="Y236" s="9">
        <f>IFERROR(__xludf.DUMMYFUNCTION("SUM(QUERY(Entregas_BD!D:AL,""select AK where D='""&amp;D236&amp;""'"",1))"),0.0)</f>
        <v>0</v>
      </c>
      <c r="Z236" s="9">
        <v>-100.0</v>
      </c>
      <c r="AA236" s="9">
        <v>0.0</v>
      </c>
      <c r="AB236" s="9">
        <v>0.0</v>
      </c>
      <c r="AC236" s="9">
        <v>0.0</v>
      </c>
      <c r="AD236" s="9">
        <v>0.0</v>
      </c>
      <c r="AE236" s="9">
        <v>0.0</v>
      </c>
      <c r="AF236" s="15"/>
      <c r="AG236" s="15">
        <f>IFERROR(__xludf.DUMMYFUNCTION("SUM(QUERY(Entregas_BD!D:W,""select U where D='""&amp;D236&amp;""'"",1))"),0.0)</f>
        <v>0</v>
      </c>
      <c r="AH236" s="15">
        <f>IFERROR(__xludf.DUMMYFUNCTION("SUM(QUERY(Entregas_BD!D:W,""select S where D='""&amp;D236&amp;""'"",1))"),0.0)</f>
        <v>0</v>
      </c>
      <c r="AI236" s="15">
        <f>IFERROR(__xludf.DUMMYFUNCTION("SUM(QUERY(Entregas_BD!D:W,""select T where D='""&amp;D236&amp;""'"",1))"),0.0)</f>
        <v>0</v>
      </c>
    </row>
    <row r="237" ht="19.5" customHeight="1">
      <c r="A237" s="28"/>
      <c r="B237" s="29"/>
      <c r="C237" s="19">
        <v>236.0</v>
      </c>
      <c r="D237" s="20" t="s">
        <v>630</v>
      </c>
      <c r="E237" s="20" t="s">
        <v>197</v>
      </c>
      <c r="F237" s="20" t="s">
        <v>243</v>
      </c>
      <c r="G237" s="20" t="s">
        <v>631</v>
      </c>
      <c r="H237" s="22" t="s">
        <v>632</v>
      </c>
      <c r="I237" s="21" t="s">
        <v>41</v>
      </c>
      <c r="J237" s="22"/>
      <c r="K237" s="22"/>
      <c r="L237" s="23"/>
      <c r="M237" s="22"/>
      <c r="N237" s="19">
        <f>IFERROR(__xludf.DUMMYFUNCTION("SUM(QUERY(Entregas_BD!D:L,""select G where D='""&amp;D237&amp;""'"",1))"),0.0)</f>
        <v>0</v>
      </c>
      <c r="O237" s="19">
        <f>IFERROR(__xludf.DUMMYFUNCTION("SUM(QUERY(Entregas_BD!D:L,""select H where D='""&amp;D237&amp;""'"",1))"),0.0)</f>
        <v>0</v>
      </c>
      <c r="P237" s="19">
        <f>IFERROR(__xludf.DUMMYFUNCTION("SUM(QUERY(Entregas_BD!D:L,""select I where D='""&amp;D237&amp;""'"",1))"),0.0)</f>
        <v>0</v>
      </c>
      <c r="Q237" s="19">
        <f>IFERROR(__xludf.DUMMYFUNCTION("SUM(QUERY(Entregas_BD!D:L,""select J where D='""&amp;D237&amp;""'"",1))"),0.0)</f>
        <v>0</v>
      </c>
      <c r="R237" s="24">
        <f>IFERROR(__xludf.DUMMYFUNCTION("SUM(QUERY(Entregas_BD!D:L,""select K where D='""&amp;D237&amp;""'"",1))"),0.0)</f>
        <v>0</v>
      </c>
      <c r="S237" s="24">
        <f>IFERROR(__xludf.DUMMYFUNCTION("SUM(QUERY(Entregas_BD!D:L,""select L where D='""&amp;D237&amp;""'"",1))"),0.0)</f>
        <v>0</v>
      </c>
      <c r="T237" s="19">
        <f>IFERROR(__xludf.DUMMYFUNCTION("SUM(QUERY(Entregas_BD!D:AL,""select AG where D='""&amp;D237&amp;""'"",1))"),0.0)</f>
        <v>0</v>
      </c>
      <c r="U237" s="19">
        <f>IFERROR(__xludf.DUMMYFUNCTION("SUM(QUERY(Entregas_BD!D:AL,""select AH where D='""&amp;D237&amp;""'"",1))"),0.0)</f>
        <v>0</v>
      </c>
      <c r="V237" s="19">
        <f>IFERROR(__xludf.DUMMYFUNCTION("SUM(QUERY(Entregas_BD!D:AL,""select AI where D='""&amp;D237&amp;""'"",1))"),0.0)</f>
        <v>0</v>
      </c>
      <c r="W237" s="19">
        <f>IFERROR(__xludf.DUMMYFUNCTION("SUM(QUERY(Entregas_BD!D:AL,""select AJ where D='""&amp;D237&amp;""'"",1))"),0.0)</f>
        <v>0</v>
      </c>
      <c r="X237" s="19">
        <f>IFERROR(__xludf.DUMMYFUNCTION("SUM(QUERY(Entregas_BD!D:AL,""select AL where D='""&amp;D237&amp;""'"",1))"),0.0)</f>
        <v>0</v>
      </c>
      <c r="Y237" s="19">
        <f>IFERROR(__xludf.DUMMYFUNCTION("SUM(QUERY(Entregas_BD!D:AL,""select AK where D='""&amp;D237&amp;""'"",1))"),0.0)</f>
        <v>0</v>
      </c>
      <c r="Z237" s="19">
        <v>0.0</v>
      </c>
      <c r="AA237" s="19">
        <v>0.0</v>
      </c>
      <c r="AB237" s="19">
        <v>0.0</v>
      </c>
      <c r="AC237" s="19">
        <v>0.0</v>
      </c>
      <c r="AD237" s="19">
        <v>0.0</v>
      </c>
      <c r="AE237" s="19">
        <v>0.0</v>
      </c>
      <c r="AF237" s="24"/>
      <c r="AG237" s="24">
        <f>IFERROR(__xludf.DUMMYFUNCTION("SUM(QUERY(Entregas_BD!D:W,""select U where D='""&amp;D237&amp;""'"",1))"),0.0)</f>
        <v>0</v>
      </c>
      <c r="AH237" s="24">
        <f>IFERROR(__xludf.DUMMYFUNCTION("SUM(QUERY(Entregas_BD!D:W,""select S where D='""&amp;D237&amp;""'"",1))"),0.0)</f>
        <v>0</v>
      </c>
      <c r="AI237" s="24">
        <f>IFERROR(__xludf.DUMMYFUNCTION("SUM(QUERY(Entregas_BD!D:W,""select T where D='""&amp;D237&amp;""'"",1))"),0.0)</f>
        <v>0</v>
      </c>
    </row>
    <row r="238" ht="19.5" customHeight="1">
      <c r="A238" s="7"/>
      <c r="B238" s="8"/>
      <c r="C238" s="9">
        <v>237.0</v>
      </c>
      <c r="D238" s="10" t="s">
        <v>633</v>
      </c>
      <c r="E238" s="10" t="s">
        <v>197</v>
      </c>
      <c r="F238" s="10" t="s">
        <v>243</v>
      </c>
      <c r="G238" s="10" t="s">
        <v>634</v>
      </c>
      <c r="H238" s="12" t="s">
        <v>632</v>
      </c>
      <c r="I238" s="11" t="s">
        <v>41</v>
      </c>
      <c r="J238" s="12"/>
      <c r="K238" s="12"/>
      <c r="L238" s="13"/>
      <c r="M238" s="12"/>
      <c r="N238" s="9">
        <f>IFERROR(__xludf.DUMMYFUNCTION("SUM(QUERY(Entregas_BD!D:L,""select G where D='""&amp;D238&amp;""'"",1))"),0.0)</f>
        <v>0</v>
      </c>
      <c r="O238" s="9">
        <f>IFERROR(__xludf.DUMMYFUNCTION("SUM(QUERY(Entregas_BD!D:L,""select H where D='""&amp;D238&amp;""'"",1))"),0.0)</f>
        <v>0</v>
      </c>
      <c r="P238" s="9">
        <f>IFERROR(__xludf.DUMMYFUNCTION("SUM(QUERY(Entregas_BD!D:L,""select I where D='""&amp;D238&amp;""'"",1))"),0.0)</f>
        <v>0</v>
      </c>
      <c r="Q238" s="9">
        <f>IFERROR(__xludf.DUMMYFUNCTION("SUM(QUERY(Entregas_BD!D:L,""select J where D='""&amp;D238&amp;""'"",1))"),0.0)</f>
        <v>0</v>
      </c>
      <c r="R238" s="15">
        <f>IFERROR(__xludf.DUMMYFUNCTION("SUM(QUERY(Entregas_BD!D:L,""select K where D='""&amp;D238&amp;""'"",1))"),0.0)</f>
        <v>0</v>
      </c>
      <c r="S238" s="15">
        <f>IFERROR(__xludf.DUMMYFUNCTION("SUM(QUERY(Entregas_BD!D:L,""select L where D='""&amp;D238&amp;""'"",1))"),0.0)</f>
        <v>0</v>
      </c>
      <c r="T238" s="9">
        <f>IFERROR(__xludf.DUMMYFUNCTION("SUM(QUERY(Entregas_BD!D:AL,""select AG where D='""&amp;D238&amp;""'"",1))"),0.0)</f>
        <v>0</v>
      </c>
      <c r="U238" s="9">
        <f>IFERROR(__xludf.DUMMYFUNCTION("SUM(QUERY(Entregas_BD!D:AL,""select AH where D='""&amp;D238&amp;""'"",1))"),0.0)</f>
        <v>0</v>
      </c>
      <c r="V238" s="9">
        <f>IFERROR(__xludf.DUMMYFUNCTION("SUM(QUERY(Entregas_BD!D:AL,""select AI where D='""&amp;D238&amp;""'"",1))"),0.0)</f>
        <v>0</v>
      </c>
      <c r="W238" s="9">
        <f>IFERROR(__xludf.DUMMYFUNCTION("SUM(QUERY(Entregas_BD!D:AL,""select AJ where D='""&amp;D238&amp;""'"",1))"),0.0)</f>
        <v>0</v>
      </c>
      <c r="X238" s="9">
        <f>IFERROR(__xludf.DUMMYFUNCTION("SUM(QUERY(Entregas_BD!D:AL,""select AL where D='""&amp;D238&amp;""'"",1))"),0.0)</f>
        <v>0</v>
      </c>
      <c r="Y238" s="9">
        <f>IFERROR(__xludf.DUMMYFUNCTION("SUM(QUERY(Entregas_BD!D:AL,""select AK where D='""&amp;D238&amp;""'"",1))"),0.0)</f>
        <v>0</v>
      </c>
      <c r="Z238" s="9">
        <v>0.0</v>
      </c>
      <c r="AA238" s="9">
        <v>0.0</v>
      </c>
      <c r="AB238" s="9">
        <v>0.0</v>
      </c>
      <c r="AC238" s="9">
        <v>0.0</v>
      </c>
      <c r="AD238" s="9">
        <v>0.0</v>
      </c>
      <c r="AE238" s="9">
        <v>0.0</v>
      </c>
      <c r="AF238" s="15"/>
      <c r="AG238" s="15">
        <f>IFERROR(__xludf.DUMMYFUNCTION("SUM(QUERY(Entregas_BD!D:W,""select U where D='""&amp;D238&amp;""'"",1))"),0.0)</f>
        <v>0</v>
      </c>
      <c r="AH238" s="15">
        <f>IFERROR(__xludf.DUMMYFUNCTION("SUM(QUERY(Entregas_BD!D:W,""select S where D='""&amp;D238&amp;""'"",1))"),0.0)</f>
        <v>0</v>
      </c>
      <c r="AI238" s="15">
        <f>IFERROR(__xludf.DUMMYFUNCTION("SUM(QUERY(Entregas_BD!D:W,""select T where D='""&amp;D238&amp;""'"",1))"),0.0)</f>
        <v>0</v>
      </c>
    </row>
    <row r="239" ht="19.5" customHeight="1">
      <c r="A239" s="28"/>
      <c r="B239" s="29"/>
      <c r="C239" s="19">
        <v>238.0</v>
      </c>
      <c r="D239" s="20" t="s">
        <v>635</v>
      </c>
      <c r="E239" s="20" t="s">
        <v>38</v>
      </c>
      <c r="F239" s="20" t="s">
        <v>577</v>
      </c>
      <c r="G239" s="20" t="s">
        <v>616</v>
      </c>
      <c r="H239" s="22" t="s">
        <v>622</v>
      </c>
      <c r="I239" s="21" t="s">
        <v>41</v>
      </c>
      <c r="J239" s="51"/>
      <c r="K239" s="22"/>
      <c r="L239" s="23"/>
      <c r="M239" s="22"/>
      <c r="N239" s="19">
        <f>IFERROR(__xludf.DUMMYFUNCTION("SUM(QUERY(Entregas_BD!D:L,""select G where D='""&amp;D239&amp;""'"",1))"),0.0)</f>
        <v>0</v>
      </c>
      <c r="O239" s="19">
        <f>IFERROR(__xludf.DUMMYFUNCTION("SUM(QUERY(Entregas_BD!D:L,""select H where D='""&amp;D239&amp;""'"",1))"),0.0)</f>
        <v>0</v>
      </c>
      <c r="P239" s="19">
        <f>IFERROR(__xludf.DUMMYFUNCTION("SUM(QUERY(Entregas_BD!D:L,""select I where D='""&amp;D239&amp;""'"",1))"),0.0)</f>
        <v>0</v>
      </c>
      <c r="Q239" s="19">
        <f>IFERROR(__xludf.DUMMYFUNCTION("SUM(QUERY(Entregas_BD!D:L,""select J where D='""&amp;D239&amp;""'"",1))"),0.0)</f>
        <v>0</v>
      </c>
      <c r="R239" s="24">
        <f>IFERROR(__xludf.DUMMYFUNCTION("SUM(QUERY(Entregas_BD!D:L,""select K where D='""&amp;D239&amp;""'"",1))"),0.0)</f>
        <v>0</v>
      </c>
      <c r="S239" s="24">
        <f>IFERROR(__xludf.DUMMYFUNCTION("SUM(QUERY(Entregas_BD!D:L,""select L where D='""&amp;D239&amp;""'"",1))"),0.0)</f>
        <v>0</v>
      </c>
      <c r="T239" s="19">
        <f>IFERROR(__xludf.DUMMYFUNCTION("SUM(QUERY(Entregas_BD!D:AL,""select AG where D='""&amp;D239&amp;""'"",1))"),150.0)</f>
        <v>150</v>
      </c>
      <c r="U239" s="19">
        <f>IFERROR(__xludf.DUMMYFUNCTION("SUM(QUERY(Entregas_BD!D:AL,""select AH where D='""&amp;D239&amp;""'"",1))"),0.0)</f>
        <v>0</v>
      </c>
      <c r="V239" s="19">
        <f>IFERROR(__xludf.DUMMYFUNCTION("SUM(QUERY(Entregas_BD!D:AL,""select AI where D='""&amp;D239&amp;""'"",1))"),0.0)</f>
        <v>0</v>
      </c>
      <c r="W239" s="19">
        <f>IFERROR(__xludf.DUMMYFUNCTION("SUM(QUERY(Entregas_BD!D:AL,""select AJ where D='""&amp;D239&amp;""'"",1))"),0.0)</f>
        <v>0</v>
      </c>
      <c r="X239" s="19">
        <f>IFERROR(__xludf.DUMMYFUNCTION("SUM(QUERY(Entregas_BD!D:AL,""select AL where D='""&amp;D239&amp;""'"",1))"),0.0)</f>
        <v>0</v>
      </c>
      <c r="Y239" s="19">
        <f>IFERROR(__xludf.DUMMYFUNCTION("SUM(QUERY(Entregas_BD!D:AL,""select AK where D='""&amp;D239&amp;""'"",1))"),0.0)</f>
        <v>0</v>
      </c>
      <c r="Z239" s="19">
        <v>-150.0</v>
      </c>
      <c r="AA239" s="19">
        <v>0.0</v>
      </c>
      <c r="AB239" s="19">
        <v>0.0</v>
      </c>
      <c r="AC239" s="19">
        <v>0.0</v>
      </c>
      <c r="AD239" s="19">
        <v>0.0</v>
      </c>
      <c r="AE239" s="19">
        <v>0.0</v>
      </c>
      <c r="AF239" s="22"/>
      <c r="AG239" s="24">
        <f>IFERROR(__xludf.DUMMYFUNCTION("SUM(QUERY(Entregas_BD!D:W,""select U where D='""&amp;D239&amp;""'"",1))"),0.0)</f>
        <v>0</v>
      </c>
      <c r="AH239" s="24">
        <f>IFERROR(__xludf.DUMMYFUNCTION("SUM(QUERY(Entregas_BD!D:W,""select S where D='""&amp;D239&amp;""'"",1))"),0.0)</f>
        <v>0</v>
      </c>
      <c r="AI239" s="24">
        <f>IFERROR(__xludf.DUMMYFUNCTION("SUM(QUERY(Entregas_BD!D:W,""select T where D='""&amp;D239&amp;""'"",1))"),0.0)</f>
        <v>0</v>
      </c>
    </row>
    <row r="240" ht="19.5" customHeight="1">
      <c r="A240" s="7"/>
      <c r="B240" s="8"/>
      <c r="C240" s="9">
        <v>239.0</v>
      </c>
      <c r="D240" s="10" t="s">
        <v>636</v>
      </c>
      <c r="E240" s="10" t="s">
        <v>197</v>
      </c>
      <c r="F240" s="10" t="s">
        <v>243</v>
      </c>
      <c r="G240" s="10" t="s">
        <v>637</v>
      </c>
      <c r="H240" s="12" t="s">
        <v>632</v>
      </c>
      <c r="I240" s="11" t="s">
        <v>41</v>
      </c>
      <c r="J240" s="50"/>
      <c r="K240" s="12"/>
      <c r="L240" s="13"/>
      <c r="M240" s="12"/>
      <c r="N240" s="9">
        <f>IFERROR(__xludf.DUMMYFUNCTION("SUM(QUERY(Entregas_BD!D:L,""select G where D='""&amp;D240&amp;""'"",1))"),0.0)</f>
        <v>0</v>
      </c>
      <c r="O240" s="9">
        <f>IFERROR(__xludf.DUMMYFUNCTION("SUM(QUERY(Entregas_BD!D:L,""select H where D='""&amp;D240&amp;""'"",1))"),0.0)</f>
        <v>0</v>
      </c>
      <c r="P240" s="9">
        <f>IFERROR(__xludf.DUMMYFUNCTION("SUM(QUERY(Entregas_BD!D:L,""select I where D='""&amp;D240&amp;""'"",1))"),0.0)</f>
        <v>0</v>
      </c>
      <c r="Q240" s="9">
        <f>IFERROR(__xludf.DUMMYFUNCTION("SUM(QUERY(Entregas_BD!D:L,""select J where D='""&amp;D240&amp;""'"",1))"),0.0)</f>
        <v>0</v>
      </c>
      <c r="R240" s="15">
        <f>IFERROR(__xludf.DUMMYFUNCTION("SUM(QUERY(Entregas_BD!D:L,""select K where D='""&amp;D240&amp;""'"",1))"),0.0)</f>
        <v>0</v>
      </c>
      <c r="S240" s="15">
        <f>IFERROR(__xludf.DUMMYFUNCTION("SUM(QUERY(Entregas_BD!D:L,""select L where D='""&amp;D240&amp;""'"",1))"),0.0)</f>
        <v>0</v>
      </c>
      <c r="T240" s="9">
        <f>IFERROR(__xludf.DUMMYFUNCTION("SUM(QUERY(Entregas_BD!D:AL,""select AG where D='""&amp;D240&amp;""'"",1))"),0.0)</f>
        <v>0</v>
      </c>
      <c r="U240" s="9">
        <f>IFERROR(__xludf.DUMMYFUNCTION("SUM(QUERY(Entregas_BD!D:AL,""select AH where D='""&amp;D240&amp;""'"",1))"),0.0)</f>
        <v>0</v>
      </c>
      <c r="V240" s="9">
        <f>IFERROR(__xludf.DUMMYFUNCTION("SUM(QUERY(Entregas_BD!D:AL,""select AI where D='""&amp;D240&amp;""'"",1))"),0.0)</f>
        <v>0</v>
      </c>
      <c r="W240" s="9">
        <f>IFERROR(__xludf.DUMMYFUNCTION("SUM(QUERY(Entregas_BD!D:AL,""select AJ where D='""&amp;D240&amp;""'"",1))"),0.0)</f>
        <v>0</v>
      </c>
      <c r="X240" s="9">
        <f>IFERROR(__xludf.DUMMYFUNCTION("SUM(QUERY(Entregas_BD!D:AL,""select AL where D='""&amp;D240&amp;""'"",1))"),0.0)</f>
        <v>0</v>
      </c>
      <c r="Y240" s="9">
        <f>IFERROR(__xludf.DUMMYFUNCTION("SUM(QUERY(Entregas_BD!D:AL,""select AK where D='""&amp;D240&amp;""'"",1))"),0.0)</f>
        <v>0</v>
      </c>
      <c r="Z240" s="9">
        <v>0.0</v>
      </c>
      <c r="AA240" s="9">
        <v>0.0</v>
      </c>
      <c r="AB240" s="9">
        <v>0.0</v>
      </c>
      <c r="AC240" s="9">
        <v>0.0</v>
      </c>
      <c r="AD240" s="9">
        <v>0.0</v>
      </c>
      <c r="AE240" s="9">
        <v>0.0</v>
      </c>
      <c r="AF240" s="15"/>
      <c r="AG240" s="15">
        <f>IFERROR(__xludf.DUMMYFUNCTION("SUM(QUERY(Entregas_BD!D:W,""select U where D='""&amp;D240&amp;""'"",1))"),0.0)</f>
        <v>0</v>
      </c>
      <c r="AH240" s="15">
        <f>IFERROR(__xludf.DUMMYFUNCTION("SUM(QUERY(Entregas_BD!D:W,""select S where D='""&amp;D240&amp;""'"",1))"),0.0)</f>
        <v>0</v>
      </c>
      <c r="AI240" s="15">
        <f>IFERROR(__xludf.DUMMYFUNCTION("SUM(QUERY(Entregas_BD!D:W,""select T where D='""&amp;D240&amp;""'"",1))"),0.0)</f>
        <v>0</v>
      </c>
    </row>
    <row r="241" ht="19.5" customHeight="1">
      <c r="A241" s="28"/>
      <c r="B241" s="29"/>
      <c r="C241" s="19">
        <v>240.0</v>
      </c>
      <c r="D241" s="20" t="s">
        <v>638</v>
      </c>
      <c r="E241" s="20" t="s">
        <v>58</v>
      </c>
      <c r="F241" s="20" t="s">
        <v>597</v>
      </c>
      <c r="G241" s="20" t="s">
        <v>371</v>
      </c>
      <c r="H241" s="22" t="s">
        <v>632</v>
      </c>
      <c r="I241" s="21" t="s">
        <v>41</v>
      </c>
      <c r="J241" s="51"/>
      <c r="K241" s="22"/>
      <c r="L241" s="23"/>
      <c r="M241" s="22"/>
      <c r="N241" s="19">
        <f>IFERROR(__xludf.DUMMYFUNCTION("SUM(QUERY(Entregas_BD!D:L,""select G where D='""&amp;D241&amp;""'"",1))"),0.0)</f>
        <v>0</v>
      </c>
      <c r="O241" s="19">
        <f>IFERROR(__xludf.DUMMYFUNCTION("SUM(QUERY(Entregas_BD!D:L,""select H where D='""&amp;D241&amp;""'"",1))"),0.0)</f>
        <v>0</v>
      </c>
      <c r="P241" s="19">
        <f>IFERROR(__xludf.DUMMYFUNCTION("SUM(QUERY(Entregas_BD!D:L,""select I where D='""&amp;D241&amp;""'"",1))"),0.0)</f>
        <v>0</v>
      </c>
      <c r="Q241" s="19">
        <f>IFERROR(__xludf.DUMMYFUNCTION("SUM(QUERY(Entregas_BD!D:L,""select J where D='""&amp;D241&amp;""'"",1))"),0.0)</f>
        <v>0</v>
      </c>
      <c r="R241" s="24">
        <f>IFERROR(__xludf.DUMMYFUNCTION("SUM(QUERY(Entregas_BD!D:L,""select K where D='""&amp;D241&amp;""'"",1))"),0.0)</f>
        <v>0</v>
      </c>
      <c r="S241" s="24">
        <f>IFERROR(__xludf.DUMMYFUNCTION("SUM(QUERY(Entregas_BD!D:L,""select L where D='""&amp;D241&amp;""'"",1))"),0.0)</f>
        <v>0</v>
      </c>
      <c r="T241" s="19">
        <f>IFERROR(__xludf.DUMMYFUNCTION("SUM(QUERY(Entregas_BD!D:AL,""select AG where D='""&amp;D241&amp;""'"",1))"),50.0)</f>
        <v>50</v>
      </c>
      <c r="U241" s="19">
        <f>IFERROR(__xludf.DUMMYFUNCTION("SUM(QUERY(Entregas_BD!D:AL,""select AH where D='""&amp;D241&amp;""'"",1))"),0.0)</f>
        <v>0</v>
      </c>
      <c r="V241" s="19">
        <f>IFERROR(__xludf.DUMMYFUNCTION("SUM(QUERY(Entregas_BD!D:AL,""select AI where D='""&amp;D241&amp;""'"",1))"),0.0)</f>
        <v>0</v>
      </c>
      <c r="W241" s="19">
        <f>IFERROR(__xludf.DUMMYFUNCTION("SUM(QUERY(Entregas_BD!D:AL,""select AJ where D='""&amp;D241&amp;""'"",1))"),25.0)</f>
        <v>25</v>
      </c>
      <c r="X241" s="19">
        <f>IFERROR(__xludf.DUMMYFUNCTION("SUM(QUERY(Entregas_BD!D:AL,""select AL where D='""&amp;D241&amp;""'"",1))"),0.0)</f>
        <v>0</v>
      </c>
      <c r="Y241" s="19">
        <f>IFERROR(__xludf.DUMMYFUNCTION("SUM(QUERY(Entregas_BD!D:AL,""select AK where D='""&amp;D241&amp;""'"",1))"),0.0)</f>
        <v>0</v>
      </c>
      <c r="Z241" s="19">
        <v>-50.0</v>
      </c>
      <c r="AA241" s="19">
        <v>0.0</v>
      </c>
      <c r="AB241" s="19">
        <v>0.0</v>
      </c>
      <c r="AC241" s="19">
        <v>-25.0</v>
      </c>
      <c r="AD241" s="19">
        <v>0.0</v>
      </c>
      <c r="AE241" s="19">
        <v>0.0</v>
      </c>
      <c r="AF241" s="22"/>
      <c r="AG241" s="24">
        <f>IFERROR(__xludf.DUMMYFUNCTION("SUM(QUERY(Entregas_BD!D:W,""select U where D='""&amp;D241&amp;""'"",1))"),0.0)</f>
        <v>0</v>
      </c>
      <c r="AH241" s="24">
        <f>IFERROR(__xludf.DUMMYFUNCTION("SUM(QUERY(Entregas_BD!D:W,""select S where D='""&amp;D241&amp;""'"",1))"),0.0)</f>
        <v>0</v>
      </c>
      <c r="AI241" s="24">
        <f>IFERROR(__xludf.DUMMYFUNCTION("SUM(QUERY(Entregas_BD!D:W,""select T where D='""&amp;D241&amp;""'"",1))"),0.0)</f>
        <v>0</v>
      </c>
    </row>
    <row r="242" ht="19.5" customHeight="1">
      <c r="A242" s="7"/>
      <c r="B242" s="8"/>
      <c r="C242" s="9">
        <v>241.0</v>
      </c>
      <c r="D242" s="10" t="s">
        <v>639</v>
      </c>
      <c r="E242" s="10" t="s">
        <v>58</v>
      </c>
      <c r="F242" s="10" t="s">
        <v>45</v>
      </c>
      <c r="G242" s="10" t="s">
        <v>640</v>
      </c>
      <c r="H242" s="12" t="s">
        <v>641</v>
      </c>
      <c r="I242" s="11" t="s">
        <v>41</v>
      </c>
      <c r="J242" s="50"/>
      <c r="K242" s="12"/>
      <c r="L242" s="13"/>
      <c r="M242" s="12"/>
      <c r="N242" s="9">
        <f>IFERROR(__xludf.DUMMYFUNCTION("SUM(QUERY(Entregas_BD!D:L,""select G where D='""&amp;D242&amp;""'"",1))"),0.0)</f>
        <v>0</v>
      </c>
      <c r="O242" s="9">
        <f>IFERROR(__xludf.DUMMYFUNCTION("SUM(QUERY(Entregas_BD!D:L,""select H where D='""&amp;D242&amp;""'"",1))"),0.0)</f>
        <v>0</v>
      </c>
      <c r="P242" s="9">
        <f>IFERROR(__xludf.DUMMYFUNCTION("SUM(QUERY(Entregas_BD!D:L,""select I where D='""&amp;D242&amp;""'"",1))"),0.0)</f>
        <v>0</v>
      </c>
      <c r="Q242" s="9">
        <f>IFERROR(__xludf.DUMMYFUNCTION("SUM(QUERY(Entregas_BD!D:L,""select J where D='""&amp;D242&amp;""'"",1))"),0.0)</f>
        <v>0</v>
      </c>
      <c r="R242" s="15">
        <f>IFERROR(__xludf.DUMMYFUNCTION("SUM(QUERY(Entregas_BD!D:L,""select K where D='""&amp;D242&amp;""'"",1))"),0.0)</f>
        <v>0</v>
      </c>
      <c r="S242" s="15">
        <f>IFERROR(__xludf.DUMMYFUNCTION("SUM(QUERY(Entregas_BD!D:L,""select L where D='""&amp;D242&amp;""'"",1))"),0.0)</f>
        <v>0</v>
      </c>
      <c r="T242" s="9">
        <f>IFERROR(__xludf.DUMMYFUNCTION("SUM(QUERY(Entregas_BD!D:AL,""select AG where D='""&amp;D242&amp;""'"",1))"),50.0)</f>
        <v>50</v>
      </c>
      <c r="U242" s="9">
        <f>IFERROR(__xludf.DUMMYFUNCTION("SUM(QUERY(Entregas_BD!D:AL,""select AH where D='""&amp;D242&amp;""'"",1))"),0.0)</f>
        <v>0</v>
      </c>
      <c r="V242" s="9">
        <f>IFERROR(__xludf.DUMMYFUNCTION("SUM(QUERY(Entregas_BD!D:AL,""select AI where D='""&amp;D242&amp;""'"",1))"),0.0)</f>
        <v>0</v>
      </c>
      <c r="W242" s="9">
        <f>IFERROR(__xludf.DUMMYFUNCTION("SUM(QUERY(Entregas_BD!D:AL,""select AJ where D='""&amp;D242&amp;""'"",1))"),0.0)</f>
        <v>0</v>
      </c>
      <c r="X242" s="9">
        <f>IFERROR(__xludf.DUMMYFUNCTION("SUM(QUERY(Entregas_BD!D:AL,""select AL where D='""&amp;D242&amp;""'"",1))"),0.0)</f>
        <v>0</v>
      </c>
      <c r="Y242" s="9">
        <f>IFERROR(__xludf.DUMMYFUNCTION("SUM(QUERY(Entregas_BD!D:AL,""select AK where D='""&amp;D242&amp;""'"",1))"),0.0)</f>
        <v>0</v>
      </c>
      <c r="Z242" s="9">
        <v>-50.0</v>
      </c>
      <c r="AA242" s="9">
        <v>0.0</v>
      </c>
      <c r="AB242" s="9">
        <v>0.0</v>
      </c>
      <c r="AC242" s="9">
        <v>0.0</v>
      </c>
      <c r="AD242" s="9">
        <v>0.0</v>
      </c>
      <c r="AE242" s="9">
        <v>0.0</v>
      </c>
      <c r="AF242" s="15"/>
      <c r="AG242" s="15">
        <f>IFERROR(__xludf.DUMMYFUNCTION("SUM(QUERY(Entregas_BD!D:W,""select U where D='""&amp;D242&amp;""'"",1))"),0.0)</f>
        <v>0</v>
      </c>
      <c r="AH242" s="15">
        <f>IFERROR(__xludf.DUMMYFUNCTION("SUM(QUERY(Entregas_BD!D:W,""select S where D='""&amp;D242&amp;""'"",1))"),0.0)</f>
        <v>0</v>
      </c>
      <c r="AI242" s="15">
        <f>IFERROR(__xludf.DUMMYFUNCTION("SUM(QUERY(Entregas_BD!D:W,""select T where D='""&amp;D242&amp;""'"",1))"),0.0)</f>
        <v>0</v>
      </c>
    </row>
    <row r="243" ht="19.5" customHeight="1">
      <c r="A243" s="28"/>
      <c r="B243" s="29"/>
      <c r="C243" s="19">
        <v>242.0</v>
      </c>
      <c r="D243" s="20" t="s">
        <v>642</v>
      </c>
      <c r="E243" s="20" t="s">
        <v>197</v>
      </c>
      <c r="F243" s="20" t="s">
        <v>243</v>
      </c>
      <c r="G243" s="20" t="s">
        <v>643</v>
      </c>
      <c r="H243" s="22" t="s">
        <v>622</v>
      </c>
      <c r="I243" s="21" t="s">
        <v>41</v>
      </c>
      <c r="J243" s="22"/>
      <c r="K243" s="22"/>
      <c r="L243" s="23"/>
      <c r="M243" s="22"/>
      <c r="N243" s="19">
        <f>IFERROR(__xludf.DUMMYFUNCTION("SUM(QUERY(Entregas_BD!D:L,""select G where D='""&amp;D243&amp;""'"",1))"),0.0)</f>
        <v>0</v>
      </c>
      <c r="O243" s="19">
        <f>IFERROR(__xludf.DUMMYFUNCTION("SUM(QUERY(Entregas_BD!D:L,""select H where D='""&amp;D243&amp;""'"",1))"),0.0)</f>
        <v>0</v>
      </c>
      <c r="P243" s="19">
        <f>IFERROR(__xludf.DUMMYFUNCTION("SUM(QUERY(Entregas_BD!D:L,""select I where D='""&amp;D243&amp;""'"",1))"),0.0)</f>
        <v>0</v>
      </c>
      <c r="Q243" s="19">
        <f>IFERROR(__xludf.DUMMYFUNCTION("SUM(QUERY(Entregas_BD!D:L,""select J where D='""&amp;D243&amp;""'"",1))"),0.0)</f>
        <v>0</v>
      </c>
      <c r="R243" s="24">
        <f>IFERROR(__xludf.DUMMYFUNCTION("SUM(QUERY(Entregas_BD!D:L,""select K where D='""&amp;D243&amp;""'"",1))"),0.0)</f>
        <v>0</v>
      </c>
      <c r="S243" s="24">
        <f>IFERROR(__xludf.DUMMYFUNCTION("SUM(QUERY(Entregas_BD!D:L,""select L where D='""&amp;D243&amp;""'"",1))"),0.0)</f>
        <v>0</v>
      </c>
      <c r="T243" s="19">
        <f>IFERROR(__xludf.DUMMYFUNCTION("SUM(QUERY(Entregas_BD!D:AL,""select AG where D='""&amp;D243&amp;""'"",1))"),0.0)</f>
        <v>0</v>
      </c>
      <c r="U243" s="19">
        <f>IFERROR(__xludf.DUMMYFUNCTION("SUM(QUERY(Entregas_BD!D:AL,""select AH where D='""&amp;D243&amp;""'"",1))"),0.0)</f>
        <v>0</v>
      </c>
      <c r="V243" s="19">
        <f>IFERROR(__xludf.DUMMYFUNCTION("SUM(QUERY(Entregas_BD!D:AL,""select AI where D='""&amp;D243&amp;""'"",1))"),0.0)</f>
        <v>0</v>
      </c>
      <c r="W243" s="19">
        <f>IFERROR(__xludf.DUMMYFUNCTION("SUM(QUERY(Entregas_BD!D:AL,""select AJ where D='""&amp;D243&amp;""'"",1))"),0.0)</f>
        <v>0</v>
      </c>
      <c r="X243" s="19">
        <f>IFERROR(__xludf.DUMMYFUNCTION("SUM(QUERY(Entregas_BD!D:AL,""select AL where D='""&amp;D243&amp;""'"",1))"),0.0)</f>
        <v>0</v>
      </c>
      <c r="Y243" s="19">
        <f>IFERROR(__xludf.DUMMYFUNCTION("SUM(QUERY(Entregas_BD!D:AL,""select AK where D='""&amp;D243&amp;""'"",1))"),0.0)</f>
        <v>0</v>
      </c>
      <c r="Z243" s="19">
        <v>0.0</v>
      </c>
      <c r="AA243" s="19">
        <v>0.0</v>
      </c>
      <c r="AB243" s="19">
        <v>0.0</v>
      </c>
      <c r="AC243" s="19">
        <v>0.0</v>
      </c>
      <c r="AD243" s="19">
        <v>0.0</v>
      </c>
      <c r="AE243" s="19">
        <v>0.0</v>
      </c>
      <c r="AF243" s="24"/>
      <c r="AG243" s="24">
        <f>IFERROR(__xludf.DUMMYFUNCTION("SUM(QUERY(Entregas_BD!D:W,""select U where D='""&amp;D243&amp;""'"",1))"),0.0)</f>
        <v>0</v>
      </c>
      <c r="AH243" s="24">
        <f>IFERROR(__xludf.DUMMYFUNCTION("SUM(QUERY(Entregas_BD!D:W,""select S where D='""&amp;D243&amp;""'"",1))"),0.0)</f>
        <v>0</v>
      </c>
      <c r="AI243" s="24">
        <f>IFERROR(__xludf.DUMMYFUNCTION("SUM(QUERY(Entregas_BD!D:W,""select T where D='""&amp;D243&amp;""'"",1))"),0.0)</f>
        <v>0</v>
      </c>
    </row>
    <row r="244" ht="19.5" customHeight="1">
      <c r="A244" s="7"/>
      <c r="B244" s="8"/>
      <c r="C244" s="9">
        <v>243.0</v>
      </c>
      <c r="D244" s="52" t="s">
        <v>644</v>
      </c>
      <c r="E244" s="10" t="s">
        <v>197</v>
      </c>
      <c r="F244" s="10" t="s">
        <v>494</v>
      </c>
      <c r="G244" s="10" t="s">
        <v>645</v>
      </c>
      <c r="H244" s="12" t="s">
        <v>632</v>
      </c>
      <c r="I244" s="11" t="s">
        <v>41</v>
      </c>
      <c r="J244" s="12"/>
      <c r="K244" s="12"/>
      <c r="L244" s="13"/>
      <c r="M244" s="12"/>
      <c r="N244" s="9">
        <f>IFERROR(__xludf.DUMMYFUNCTION("SUM(QUERY(Entregas_BD!D:L,""select G where D='""&amp;D244&amp;""'"",1))"),0.0)</f>
        <v>0</v>
      </c>
      <c r="O244" s="9">
        <f>IFERROR(__xludf.DUMMYFUNCTION("SUM(QUERY(Entregas_BD!D:L,""select H where D='""&amp;D244&amp;""'"",1))"),0.0)</f>
        <v>0</v>
      </c>
      <c r="P244" s="9">
        <f>IFERROR(__xludf.DUMMYFUNCTION("SUM(QUERY(Entregas_BD!D:L,""select I where D='""&amp;D244&amp;""'"",1))"),0.0)</f>
        <v>0</v>
      </c>
      <c r="Q244" s="9">
        <f>IFERROR(__xludf.DUMMYFUNCTION("SUM(QUERY(Entregas_BD!D:L,""select J where D='""&amp;D244&amp;""'"",1))"),0.0)</f>
        <v>0</v>
      </c>
      <c r="R244" s="15">
        <f>IFERROR(__xludf.DUMMYFUNCTION("SUM(QUERY(Entregas_BD!D:L,""select K where D='""&amp;D244&amp;""'"",1))"),0.0)</f>
        <v>0</v>
      </c>
      <c r="S244" s="15">
        <f>IFERROR(__xludf.DUMMYFUNCTION("SUM(QUERY(Entregas_BD!D:L,""select L where D='""&amp;D244&amp;""'"",1))"),0.0)</f>
        <v>0</v>
      </c>
      <c r="T244" s="9">
        <f>IFERROR(__xludf.DUMMYFUNCTION("SUM(QUERY(Entregas_BD!D:AL,""select AG where D='""&amp;D244&amp;""'"",1))"),25.0)</f>
        <v>25</v>
      </c>
      <c r="U244" s="9">
        <f>IFERROR(__xludf.DUMMYFUNCTION("SUM(QUERY(Entregas_BD!D:AL,""select AH where D='""&amp;D244&amp;""'"",1))"),0.0)</f>
        <v>0</v>
      </c>
      <c r="V244" s="9">
        <f>IFERROR(__xludf.DUMMYFUNCTION("SUM(QUERY(Entregas_BD!D:AL,""select AI where D='""&amp;D244&amp;""'"",1))"),0.0)</f>
        <v>0</v>
      </c>
      <c r="W244" s="9">
        <f>IFERROR(__xludf.DUMMYFUNCTION("SUM(QUERY(Entregas_BD!D:AL,""select AJ where D='""&amp;D244&amp;""'"",1))"),0.0)</f>
        <v>0</v>
      </c>
      <c r="X244" s="9">
        <f>IFERROR(__xludf.DUMMYFUNCTION("SUM(QUERY(Entregas_BD!D:AL,""select AL where D='""&amp;D244&amp;""'"",1))"),0.0)</f>
        <v>0</v>
      </c>
      <c r="Y244" s="9">
        <f>IFERROR(__xludf.DUMMYFUNCTION("SUM(QUERY(Entregas_BD!D:AL,""select AK where D='""&amp;D244&amp;""'"",1))"),0.0)</f>
        <v>0</v>
      </c>
      <c r="Z244" s="9">
        <v>-25.0</v>
      </c>
      <c r="AA244" s="9">
        <v>0.0</v>
      </c>
      <c r="AB244" s="9">
        <v>0.0</v>
      </c>
      <c r="AC244" s="9">
        <v>0.0</v>
      </c>
      <c r="AD244" s="9">
        <v>0.0</v>
      </c>
      <c r="AE244" s="9">
        <v>0.0</v>
      </c>
      <c r="AF244" s="15"/>
      <c r="AG244" s="15">
        <f>IFERROR(__xludf.DUMMYFUNCTION("SUM(QUERY(Entregas_BD!D:W,""select U where D='""&amp;D244&amp;""'"",1))"),0.0)</f>
        <v>0</v>
      </c>
      <c r="AH244" s="15">
        <f>IFERROR(__xludf.DUMMYFUNCTION("SUM(QUERY(Entregas_BD!D:W,""select S where D='""&amp;D244&amp;""'"",1))"),0.0)</f>
        <v>0</v>
      </c>
      <c r="AI244" s="15">
        <f>IFERROR(__xludf.DUMMYFUNCTION("SUM(QUERY(Entregas_BD!D:W,""select T where D='""&amp;D244&amp;""'"",1))"),0.0)</f>
        <v>0</v>
      </c>
    </row>
    <row r="245" ht="19.5" customHeight="1">
      <c r="A245" s="28"/>
      <c r="B245" s="29"/>
      <c r="C245" s="19">
        <v>244.0</v>
      </c>
      <c r="D245" s="20" t="s">
        <v>646</v>
      </c>
      <c r="E245" s="20" t="s">
        <v>197</v>
      </c>
      <c r="F245" s="20" t="s">
        <v>647</v>
      </c>
      <c r="G245" s="20" t="s">
        <v>648</v>
      </c>
      <c r="H245" s="22" t="s">
        <v>593</v>
      </c>
      <c r="I245" s="21" t="s">
        <v>41</v>
      </c>
      <c r="J245" s="22"/>
      <c r="K245" s="22"/>
      <c r="L245" s="23"/>
      <c r="M245" s="22"/>
      <c r="N245" s="19">
        <f>IFERROR(__xludf.DUMMYFUNCTION("SUM(QUERY(Entregas_BD!D:L,""select G where D='""&amp;D245&amp;""'"",1))"),0.0)</f>
        <v>0</v>
      </c>
      <c r="O245" s="19">
        <f>IFERROR(__xludf.DUMMYFUNCTION("SUM(QUERY(Entregas_BD!D:L,""select H where D='""&amp;D245&amp;""'"",1))"),0.0)</f>
        <v>0</v>
      </c>
      <c r="P245" s="19">
        <f>IFERROR(__xludf.DUMMYFUNCTION("SUM(QUERY(Entregas_BD!D:L,""select I where D='""&amp;D245&amp;""'"",1))"),0.0)</f>
        <v>0</v>
      </c>
      <c r="Q245" s="19">
        <f>IFERROR(__xludf.DUMMYFUNCTION("SUM(QUERY(Entregas_BD!D:L,""select J where D='""&amp;D245&amp;""'"",1))"),0.0)</f>
        <v>0</v>
      </c>
      <c r="R245" s="24">
        <f>IFERROR(__xludf.DUMMYFUNCTION("SUM(QUERY(Entregas_BD!D:L,""select K where D='""&amp;D245&amp;""'"",1))"),0.0)</f>
        <v>0</v>
      </c>
      <c r="S245" s="24">
        <f>IFERROR(__xludf.DUMMYFUNCTION("SUM(QUERY(Entregas_BD!D:L,""select L where D='""&amp;D245&amp;""'"",1))"),0.0)</f>
        <v>0</v>
      </c>
      <c r="T245" s="19">
        <f>IFERROR(__xludf.DUMMYFUNCTION("SUM(QUERY(Entregas_BD!D:AL,""select AG where D='""&amp;D245&amp;""'"",1))"),0.0)</f>
        <v>0</v>
      </c>
      <c r="U245" s="19">
        <f>IFERROR(__xludf.DUMMYFUNCTION("SUM(QUERY(Entregas_BD!D:AL,""select AH where D='""&amp;D245&amp;""'"",1))"),0.0)</f>
        <v>0</v>
      </c>
      <c r="V245" s="19">
        <f>IFERROR(__xludf.DUMMYFUNCTION("SUM(QUERY(Entregas_BD!D:AL,""select AI where D='""&amp;D245&amp;""'"",1))"),0.0)</f>
        <v>0</v>
      </c>
      <c r="W245" s="19">
        <f>IFERROR(__xludf.DUMMYFUNCTION("SUM(QUERY(Entregas_BD!D:AL,""select AJ where D='""&amp;D245&amp;""'"",1))"),0.0)</f>
        <v>0</v>
      </c>
      <c r="X245" s="19">
        <f>IFERROR(__xludf.DUMMYFUNCTION("SUM(QUERY(Entregas_BD!D:AL,""select AL where D='""&amp;D245&amp;""'"",1))"),0.0)</f>
        <v>0</v>
      </c>
      <c r="Y245" s="19">
        <f>IFERROR(__xludf.DUMMYFUNCTION("SUM(QUERY(Entregas_BD!D:AL,""select AK where D='""&amp;D245&amp;""'"",1))"),0.0)</f>
        <v>0</v>
      </c>
      <c r="Z245" s="19">
        <v>0.0</v>
      </c>
      <c r="AA245" s="19">
        <v>0.0</v>
      </c>
      <c r="AB245" s="19">
        <v>0.0</v>
      </c>
      <c r="AC245" s="19">
        <v>0.0</v>
      </c>
      <c r="AD245" s="19">
        <v>0.0</v>
      </c>
      <c r="AE245" s="19">
        <v>0.0</v>
      </c>
      <c r="AF245" s="22"/>
      <c r="AG245" s="24">
        <f>IFERROR(__xludf.DUMMYFUNCTION("SUM(QUERY(Entregas_BD!D:W,""select U where D='""&amp;D245&amp;""'"",1))"),0.0)</f>
        <v>0</v>
      </c>
      <c r="AH245" s="24">
        <f>IFERROR(__xludf.DUMMYFUNCTION("SUM(QUERY(Entregas_BD!D:W,""select S where D='""&amp;D245&amp;""'"",1))"),0.0)</f>
        <v>0</v>
      </c>
      <c r="AI245" s="24">
        <f>IFERROR(__xludf.DUMMYFUNCTION("SUM(QUERY(Entregas_BD!D:W,""select T where D='""&amp;D245&amp;""'"",1))"),0.0)</f>
        <v>0</v>
      </c>
    </row>
    <row r="246" ht="19.5" customHeight="1">
      <c r="A246" s="7"/>
      <c r="B246" s="8"/>
      <c r="C246" s="9">
        <v>245.0</v>
      </c>
      <c r="D246" s="10" t="s">
        <v>649</v>
      </c>
      <c r="E246" s="10" t="s">
        <v>72</v>
      </c>
      <c r="F246" s="10" t="s">
        <v>45</v>
      </c>
      <c r="G246" s="10" t="s">
        <v>650</v>
      </c>
      <c r="H246" s="12" t="s">
        <v>617</v>
      </c>
      <c r="I246" s="11" t="s">
        <v>41</v>
      </c>
      <c r="J246" s="12"/>
      <c r="K246" s="12"/>
      <c r="L246" s="13"/>
      <c r="M246" s="12"/>
      <c r="N246" s="9">
        <f>IFERROR(__xludf.DUMMYFUNCTION("SUM(QUERY(Entregas_BD!D:L,""select G where D='""&amp;D246&amp;""'"",1))"),0.0)</f>
        <v>0</v>
      </c>
      <c r="O246" s="9">
        <f>IFERROR(__xludf.DUMMYFUNCTION("SUM(QUERY(Entregas_BD!D:L,""select H where D='""&amp;D246&amp;""'"",1))"),0.0)</f>
        <v>0</v>
      </c>
      <c r="P246" s="9">
        <f>IFERROR(__xludf.DUMMYFUNCTION("SUM(QUERY(Entregas_BD!D:L,""select I where D='""&amp;D246&amp;""'"",1))"),0.0)</f>
        <v>0</v>
      </c>
      <c r="Q246" s="9">
        <f>IFERROR(__xludf.DUMMYFUNCTION("SUM(QUERY(Entregas_BD!D:L,""select J where D='""&amp;D246&amp;""'"",1))"),0.0)</f>
        <v>0</v>
      </c>
      <c r="R246" s="15">
        <f>IFERROR(__xludf.DUMMYFUNCTION("SUM(QUERY(Entregas_BD!D:L,""select K where D='""&amp;D246&amp;""'"",1))"),0.0)</f>
        <v>0</v>
      </c>
      <c r="S246" s="15">
        <f>IFERROR(__xludf.DUMMYFUNCTION("SUM(QUERY(Entregas_BD!D:L,""select L where D='""&amp;D246&amp;""'"",1))"),0.0)</f>
        <v>0</v>
      </c>
      <c r="T246" s="9">
        <f>IFERROR(__xludf.DUMMYFUNCTION("SUM(QUERY(Entregas_BD!D:AL,""select AG where D='""&amp;D246&amp;""'"",1))"),0.0)</f>
        <v>0</v>
      </c>
      <c r="U246" s="9">
        <f>IFERROR(__xludf.DUMMYFUNCTION("SUM(QUERY(Entregas_BD!D:AL,""select AH where D='""&amp;D246&amp;""'"",1))"),0.0)</f>
        <v>0</v>
      </c>
      <c r="V246" s="9">
        <f>IFERROR(__xludf.DUMMYFUNCTION("SUM(QUERY(Entregas_BD!D:AL,""select AI where D='""&amp;D246&amp;""'"",1))"),0.0)</f>
        <v>0</v>
      </c>
      <c r="W246" s="9">
        <f>IFERROR(__xludf.DUMMYFUNCTION("SUM(QUERY(Entregas_BD!D:AL,""select AJ where D='""&amp;D246&amp;""'"",1))"),0.0)</f>
        <v>0</v>
      </c>
      <c r="X246" s="9">
        <f>IFERROR(__xludf.DUMMYFUNCTION("SUM(QUERY(Entregas_BD!D:AL,""select AL where D='""&amp;D246&amp;""'"",1))"),0.0)</f>
        <v>0</v>
      </c>
      <c r="Y246" s="9">
        <f>IFERROR(__xludf.DUMMYFUNCTION("SUM(QUERY(Entregas_BD!D:AL,""select AK where D='""&amp;D246&amp;""'"",1))"),0.0)</f>
        <v>0</v>
      </c>
      <c r="Z246" s="9">
        <v>0.0</v>
      </c>
      <c r="AA246" s="9">
        <v>0.0</v>
      </c>
      <c r="AB246" s="9">
        <v>0.0</v>
      </c>
      <c r="AC246" s="9">
        <v>0.0</v>
      </c>
      <c r="AD246" s="9">
        <v>0.0</v>
      </c>
      <c r="AE246" s="9">
        <v>0.0</v>
      </c>
      <c r="AF246" s="15"/>
      <c r="AG246" s="15">
        <f>IFERROR(__xludf.DUMMYFUNCTION("SUM(QUERY(Entregas_BD!D:W,""select U where D='""&amp;D246&amp;""'"",1))"),0.0)</f>
        <v>0</v>
      </c>
      <c r="AH246" s="15">
        <f>IFERROR(__xludf.DUMMYFUNCTION("SUM(QUERY(Entregas_BD!D:W,""select S where D='""&amp;D246&amp;""'"",1))"),0.0)</f>
        <v>0</v>
      </c>
      <c r="AI246" s="15">
        <f>IFERROR(__xludf.DUMMYFUNCTION("SUM(QUERY(Entregas_BD!D:W,""select T where D='""&amp;D246&amp;""'"",1))"),0.0)</f>
        <v>0</v>
      </c>
    </row>
    <row r="247" ht="19.5" customHeight="1">
      <c r="A247" s="28"/>
      <c r="B247" s="29"/>
      <c r="C247" s="19">
        <v>246.0</v>
      </c>
      <c r="D247" s="20" t="s">
        <v>651</v>
      </c>
      <c r="E247" s="20" t="s">
        <v>197</v>
      </c>
      <c r="F247" s="20" t="s">
        <v>243</v>
      </c>
      <c r="G247" s="20" t="s">
        <v>652</v>
      </c>
      <c r="H247" s="22" t="s">
        <v>632</v>
      </c>
      <c r="I247" s="21" t="s">
        <v>41</v>
      </c>
      <c r="J247" s="51"/>
      <c r="K247" s="22"/>
      <c r="L247" s="23"/>
      <c r="M247" s="22"/>
      <c r="N247" s="19">
        <f>IFERROR(__xludf.DUMMYFUNCTION("SUM(QUERY(Entregas_BD!D:L,""select G where D='""&amp;D247&amp;""'"",1))"),0.0)</f>
        <v>0</v>
      </c>
      <c r="O247" s="19">
        <f>IFERROR(__xludf.DUMMYFUNCTION("SUM(QUERY(Entregas_BD!D:L,""select H where D='""&amp;D247&amp;""'"",1))"),0.0)</f>
        <v>0</v>
      </c>
      <c r="P247" s="19">
        <f>IFERROR(__xludf.DUMMYFUNCTION("SUM(QUERY(Entregas_BD!D:L,""select I where D='""&amp;D247&amp;""'"",1))"),0.0)</f>
        <v>0</v>
      </c>
      <c r="Q247" s="19">
        <f>IFERROR(__xludf.DUMMYFUNCTION("SUM(QUERY(Entregas_BD!D:L,""select J where D='""&amp;D247&amp;""'"",1))"),0.0)</f>
        <v>0</v>
      </c>
      <c r="R247" s="24">
        <f>IFERROR(__xludf.DUMMYFUNCTION("SUM(QUERY(Entregas_BD!D:L,""select K where D='""&amp;D247&amp;""'"",1))"),0.0)</f>
        <v>0</v>
      </c>
      <c r="S247" s="24">
        <f>IFERROR(__xludf.DUMMYFUNCTION("SUM(QUERY(Entregas_BD!D:L,""select L where D='""&amp;D247&amp;""'"",1))"),0.0)</f>
        <v>0</v>
      </c>
      <c r="T247" s="19">
        <f>IFERROR(__xludf.DUMMYFUNCTION("SUM(QUERY(Entregas_BD!D:AL,""select AG where D='""&amp;D247&amp;""'"",1))"),25.0)</f>
        <v>25</v>
      </c>
      <c r="U247" s="19">
        <f>IFERROR(__xludf.DUMMYFUNCTION("SUM(QUERY(Entregas_BD!D:AL,""select AH where D='""&amp;D247&amp;""'"",1))"),0.0)</f>
        <v>0</v>
      </c>
      <c r="V247" s="19">
        <f>IFERROR(__xludf.DUMMYFUNCTION("SUM(QUERY(Entregas_BD!D:AL,""select AI where D='""&amp;D247&amp;""'"",1))"),0.0)</f>
        <v>0</v>
      </c>
      <c r="W247" s="19">
        <f>IFERROR(__xludf.DUMMYFUNCTION("SUM(QUERY(Entregas_BD!D:AL,""select AJ where D='""&amp;D247&amp;""'"",1))"),0.0)</f>
        <v>0</v>
      </c>
      <c r="X247" s="19">
        <f>IFERROR(__xludf.DUMMYFUNCTION("SUM(QUERY(Entregas_BD!D:AL,""select AL where D='""&amp;D247&amp;""'"",1))"),0.0)</f>
        <v>0</v>
      </c>
      <c r="Y247" s="19">
        <f>IFERROR(__xludf.DUMMYFUNCTION("SUM(QUERY(Entregas_BD!D:AL,""select AK where D='""&amp;D247&amp;""'"",1))"),0.0)</f>
        <v>0</v>
      </c>
      <c r="Z247" s="19">
        <v>-25.0</v>
      </c>
      <c r="AA247" s="19">
        <v>0.0</v>
      </c>
      <c r="AB247" s="19">
        <v>0.0</v>
      </c>
      <c r="AC247" s="19">
        <v>0.0</v>
      </c>
      <c r="AD247" s="19">
        <v>0.0</v>
      </c>
      <c r="AE247" s="19">
        <v>0.0</v>
      </c>
      <c r="AF247" s="22"/>
      <c r="AG247" s="24">
        <f>IFERROR(__xludf.DUMMYFUNCTION("SUM(QUERY(Entregas_BD!D:W,""select U where D='""&amp;D247&amp;""'"",1))"),0.0)</f>
        <v>0</v>
      </c>
      <c r="AH247" s="24">
        <f>IFERROR(__xludf.DUMMYFUNCTION("SUM(QUERY(Entregas_BD!D:W,""select S where D='""&amp;D247&amp;""'"",1))"),0.0)</f>
        <v>0</v>
      </c>
      <c r="AI247" s="24">
        <f>IFERROR(__xludf.DUMMYFUNCTION("SUM(QUERY(Entregas_BD!D:W,""select T where D='""&amp;D247&amp;""'"",1))"),0.0)</f>
        <v>0</v>
      </c>
    </row>
    <row r="248" ht="19.5" customHeight="1">
      <c r="A248" s="7"/>
      <c r="B248" s="8"/>
      <c r="C248" s="9">
        <v>247.0</v>
      </c>
      <c r="D248" s="10" t="s">
        <v>653</v>
      </c>
      <c r="E248" s="10" t="s">
        <v>197</v>
      </c>
      <c r="F248" s="10" t="s">
        <v>243</v>
      </c>
      <c r="G248" s="10" t="s">
        <v>654</v>
      </c>
      <c r="H248" s="12" t="s">
        <v>632</v>
      </c>
      <c r="I248" s="11" t="s">
        <v>41</v>
      </c>
      <c r="J248" s="50"/>
      <c r="K248" s="12"/>
      <c r="L248" s="13"/>
      <c r="M248" s="12"/>
      <c r="N248" s="9">
        <f>IFERROR(__xludf.DUMMYFUNCTION("SUM(QUERY(Entregas_BD!D:L,""select G where D='""&amp;D248&amp;""'"",1))"),0.0)</f>
        <v>0</v>
      </c>
      <c r="O248" s="9">
        <f>IFERROR(__xludf.DUMMYFUNCTION("SUM(QUERY(Entregas_BD!D:L,""select H where D='""&amp;D248&amp;""'"",1))"),0.0)</f>
        <v>0</v>
      </c>
      <c r="P248" s="9">
        <f>IFERROR(__xludf.DUMMYFUNCTION("SUM(QUERY(Entregas_BD!D:L,""select I where D='""&amp;D248&amp;""'"",1))"),0.0)</f>
        <v>0</v>
      </c>
      <c r="Q248" s="9">
        <f>IFERROR(__xludf.DUMMYFUNCTION("SUM(QUERY(Entregas_BD!D:L,""select J where D='""&amp;D248&amp;""'"",1))"),0.0)</f>
        <v>0</v>
      </c>
      <c r="R248" s="15">
        <f>IFERROR(__xludf.DUMMYFUNCTION("SUM(QUERY(Entregas_BD!D:L,""select K where D='""&amp;D248&amp;""'"",1))"),0.0)</f>
        <v>0</v>
      </c>
      <c r="S248" s="15">
        <f>IFERROR(__xludf.DUMMYFUNCTION("SUM(QUERY(Entregas_BD!D:L,""select L where D='""&amp;D248&amp;""'"",1))"),0.0)</f>
        <v>0</v>
      </c>
      <c r="T248" s="9">
        <f>IFERROR(__xludf.DUMMYFUNCTION("SUM(QUERY(Entregas_BD!D:AL,""select AG where D='""&amp;D248&amp;""'"",1))"),25.0)</f>
        <v>25</v>
      </c>
      <c r="U248" s="9">
        <f>IFERROR(__xludf.DUMMYFUNCTION("SUM(QUERY(Entregas_BD!D:AL,""select AH where D='""&amp;D248&amp;""'"",1))"),0.0)</f>
        <v>0</v>
      </c>
      <c r="V248" s="9">
        <f>IFERROR(__xludf.DUMMYFUNCTION("SUM(QUERY(Entregas_BD!D:AL,""select AI where D='""&amp;D248&amp;""'"",1))"),0.0)</f>
        <v>0</v>
      </c>
      <c r="W248" s="9">
        <f>IFERROR(__xludf.DUMMYFUNCTION("SUM(QUERY(Entregas_BD!D:AL,""select AJ where D='""&amp;D248&amp;""'"",1))"),0.0)</f>
        <v>0</v>
      </c>
      <c r="X248" s="9">
        <f>IFERROR(__xludf.DUMMYFUNCTION("SUM(QUERY(Entregas_BD!D:AL,""select AL where D='""&amp;D248&amp;""'"",1))"),0.0)</f>
        <v>0</v>
      </c>
      <c r="Y248" s="9">
        <f>IFERROR(__xludf.DUMMYFUNCTION("SUM(QUERY(Entregas_BD!D:AL,""select AK where D='""&amp;D248&amp;""'"",1))"),0.0)</f>
        <v>0</v>
      </c>
      <c r="Z248" s="9">
        <v>-25.0</v>
      </c>
      <c r="AA248" s="9">
        <v>0.0</v>
      </c>
      <c r="AB248" s="9">
        <v>0.0</v>
      </c>
      <c r="AC248" s="9">
        <v>0.0</v>
      </c>
      <c r="AD248" s="9">
        <v>0.0</v>
      </c>
      <c r="AE248" s="9">
        <v>0.0</v>
      </c>
      <c r="AF248" s="12"/>
      <c r="AG248" s="15">
        <f>IFERROR(__xludf.DUMMYFUNCTION("SUM(QUERY(Entregas_BD!D:W,""select U where D='""&amp;D248&amp;""'"",1))"),0.0)</f>
        <v>0</v>
      </c>
      <c r="AH248" s="15">
        <f>IFERROR(__xludf.DUMMYFUNCTION("SUM(QUERY(Entregas_BD!D:W,""select S where D='""&amp;D248&amp;""'"",1))"),0.0)</f>
        <v>0</v>
      </c>
      <c r="AI248" s="15">
        <f>IFERROR(__xludf.DUMMYFUNCTION("SUM(QUERY(Entregas_BD!D:W,""select T where D='""&amp;D248&amp;""'"",1))"),0.0)</f>
        <v>0</v>
      </c>
    </row>
    <row r="249" ht="19.5" customHeight="1">
      <c r="A249" s="28"/>
      <c r="B249" s="29"/>
      <c r="C249" s="19">
        <v>248.0</v>
      </c>
      <c r="D249" s="20" t="s">
        <v>655</v>
      </c>
      <c r="E249" s="20" t="s">
        <v>197</v>
      </c>
      <c r="F249" s="20" t="s">
        <v>243</v>
      </c>
      <c r="G249" s="20" t="s">
        <v>499</v>
      </c>
      <c r="H249" s="22" t="s">
        <v>632</v>
      </c>
      <c r="I249" s="21" t="s">
        <v>41</v>
      </c>
      <c r="J249" s="22"/>
      <c r="K249" s="22"/>
      <c r="L249" s="23"/>
      <c r="M249" s="22"/>
      <c r="N249" s="19">
        <f>IFERROR(__xludf.DUMMYFUNCTION("SUM(QUERY(Entregas_BD!D:L,""select G where D='""&amp;D249&amp;""'"",1))"),0.0)</f>
        <v>0</v>
      </c>
      <c r="O249" s="19">
        <f>IFERROR(__xludf.DUMMYFUNCTION("SUM(QUERY(Entregas_BD!D:L,""select H where D='""&amp;D249&amp;""'"",1))"),0.0)</f>
        <v>0</v>
      </c>
      <c r="P249" s="19">
        <f>IFERROR(__xludf.DUMMYFUNCTION("SUM(QUERY(Entregas_BD!D:L,""select I where D='""&amp;D249&amp;""'"",1))"),0.0)</f>
        <v>0</v>
      </c>
      <c r="Q249" s="19">
        <f>IFERROR(__xludf.DUMMYFUNCTION("SUM(QUERY(Entregas_BD!D:L,""select J where D='""&amp;D249&amp;""'"",1))"),0.0)</f>
        <v>0</v>
      </c>
      <c r="R249" s="24">
        <f>IFERROR(__xludf.DUMMYFUNCTION("SUM(QUERY(Entregas_BD!D:L,""select K where D='""&amp;D249&amp;""'"",1))"),0.0)</f>
        <v>0</v>
      </c>
      <c r="S249" s="24">
        <f>IFERROR(__xludf.DUMMYFUNCTION("SUM(QUERY(Entregas_BD!D:L,""select L where D='""&amp;D249&amp;""'"",1))"),0.0)</f>
        <v>0</v>
      </c>
      <c r="T249" s="19">
        <f>IFERROR(__xludf.DUMMYFUNCTION("SUM(QUERY(Entregas_BD!D:AL,""select AG where D='""&amp;D249&amp;""'"",1))"),0.0)</f>
        <v>0</v>
      </c>
      <c r="U249" s="19">
        <f>IFERROR(__xludf.DUMMYFUNCTION("SUM(QUERY(Entregas_BD!D:AL,""select AH where D='""&amp;D249&amp;""'"",1))"),0.0)</f>
        <v>0</v>
      </c>
      <c r="V249" s="19">
        <f>IFERROR(__xludf.DUMMYFUNCTION("SUM(QUERY(Entregas_BD!D:AL,""select AI where D='""&amp;D249&amp;""'"",1))"),0.0)</f>
        <v>0</v>
      </c>
      <c r="W249" s="19">
        <f>IFERROR(__xludf.DUMMYFUNCTION("SUM(QUERY(Entregas_BD!D:AL,""select AJ where D='""&amp;D249&amp;""'"",1))"),0.0)</f>
        <v>0</v>
      </c>
      <c r="X249" s="19">
        <f>IFERROR(__xludf.DUMMYFUNCTION("SUM(QUERY(Entregas_BD!D:AL,""select AL where D='""&amp;D249&amp;""'"",1))"),0.0)</f>
        <v>0</v>
      </c>
      <c r="Y249" s="19">
        <f>IFERROR(__xludf.DUMMYFUNCTION("SUM(QUERY(Entregas_BD!D:AL,""select AK where D='""&amp;D249&amp;""'"",1))"),0.0)</f>
        <v>0</v>
      </c>
      <c r="Z249" s="19">
        <v>0.0</v>
      </c>
      <c r="AA249" s="19">
        <v>0.0</v>
      </c>
      <c r="AB249" s="19">
        <v>0.0</v>
      </c>
      <c r="AC249" s="19">
        <v>0.0</v>
      </c>
      <c r="AD249" s="19">
        <v>0.0</v>
      </c>
      <c r="AE249" s="19">
        <v>0.0</v>
      </c>
      <c r="AF249" s="24"/>
      <c r="AG249" s="24">
        <f>IFERROR(__xludf.DUMMYFUNCTION("SUM(QUERY(Entregas_BD!D:W,""select U where D='""&amp;D249&amp;""'"",1))"),0.0)</f>
        <v>0</v>
      </c>
      <c r="AH249" s="24">
        <f>IFERROR(__xludf.DUMMYFUNCTION("SUM(QUERY(Entregas_BD!D:W,""select S where D='""&amp;D249&amp;""'"",1))"),0.0)</f>
        <v>0</v>
      </c>
      <c r="AI249" s="24">
        <f>IFERROR(__xludf.DUMMYFUNCTION("SUM(QUERY(Entregas_BD!D:W,""select T where D='""&amp;D249&amp;""'"",1))"),0.0)</f>
        <v>0</v>
      </c>
    </row>
    <row r="250" ht="19.5" customHeight="1">
      <c r="A250" s="7"/>
      <c r="B250" s="8"/>
      <c r="C250" s="9">
        <v>249.0</v>
      </c>
      <c r="D250" s="10" t="s">
        <v>656</v>
      </c>
      <c r="E250" s="10" t="s">
        <v>197</v>
      </c>
      <c r="F250" s="10" t="s">
        <v>657</v>
      </c>
      <c r="G250" s="10" t="s">
        <v>658</v>
      </c>
      <c r="H250" s="12" t="s">
        <v>632</v>
      </c>
      <c r="I250" s="11" t="s">
        <v>41</v>
      </c>
      <c r="J250" s="12"/>
      <c r="K250" s="12"/>
      <c r="L250" s="13"/>
      <c r="M250" s="12"/>
      <c r="N250" s="9">
        <f>IFERROR(__xludf.DUMMYFUNCTION("SUM(QUERY(Entregas_BD!D:L,""select G where D='""&amp;D250&amp;""'"",1))"),0.0)</f>
        <v>0</v>
      </c>
      <c r="O250" s="9">
        <f>IFERROR(__xludf.DUMMYFUNCTION("SUM(QUERY(Entregas_BD!D:L,""select H where D='""&amp;D250&amp;""'"",1))"),0.0)</f>
        <v>0</v>
      </c>
      <c r="P250" s="9">
        <f>IFERROR(__xludf.DUMMYFUNCTION("SUM(QUERY(Entregas_BD!D:L,""select I where D='""&amp;D250&amp;""'"",1))"),0.0)</f>
        <v>0</v>
      </c>
      <c r="Q250" s="9">
        <f>IFERROR(__xludf.DUMMYFUNCTION("SUM(QUERY(Entregas_BD!D:L,""select J where D='""&amp;D250&amp;""'"",1))"),0.0)</f>
        <v>0</v>
      </c>
      <c r="R250" s="15">
        <f>IFERROR(__xludf.DUMMYFUNCTION("SUM(QUERY(Entregas_BD!D:L,""select K where D='""&amp;D250&amp;""'"",1))"),0.0)</f>
        <v>0</v>
      </c>
      <c r="S250" s="15">
        <f>IFERROR(__xludf.DUMMYFUNCTION("SUM(QUERY(Entregas_BD!D:L,""select L where D='""&amp;D250&amp;""'"",1))"),0.0)</f>
        <v>0</v>
      </c>
      <c r="T250" s="9">
        <f>IFERROR(__xludf.DUMMYFUNCTION("SUM(QUERY(Entregas_BD!D:AL,""select AG where D='""&amp;D250&amp;""'"",1))"),100.0)</f>
        <v>100</v>
      </c>
      <c r="U250" s="9">
        <f>IFERROR(__xludf.DUMMYFUNCTION("SUM(QUERY(Entregas_BD!D:AL,""select AH where D='""&amp;D250&amp;""'"",1))"),0.0)</f>
        <v>0</v>
      </c>
      <c r="V250" s="9">
        <f>IFERROR(__xludf.DUMMYFUNCTION("SUM(QUERY(Entregas_BD!D:AL,""select AI where D='""&amp;D250&amp;""'"",1))"),0.0)</f>
        <v>0</v>
      </c>
      <c r="W250" s="9">
        <f>IFERROR(__xludf.DUMMYFUNCTION("SUM(QUERY(Entregas_BD!D:AL,""select AJ where D='""&amp;D250&amp;""'"",1))"),0.0)</f>
        <v>0</v>
      </c>
      <c r="X250" s="9">
        <f>IFERROR(__xludf.DUMMYFUNCTION("SUM(QUERY(Entregas_BD!D:AL,""select AL where D='""&amp;D250&amp;""'"",1))"),0.0)</f>
        <v>0</v>
      </c>
      <c r="Y250" s="9">
        <f>IFERROR(__xludf.DUMMYFUNCTION("SUM(QUERY(Entregas_BD!D:AL,""select AK where D='""&amp;D250&amp;""'"",1))"),0.0)</f>
        <v>0</v>
      </c>
      <c r="Z250" s="9">
        <v>-100.0</v>
      </c>
      <c r="AA250" s="9">
        <v>0.0</v>
      </c>
      <c r="AB250" s="9">
        <v>0.0</v>
      </c>
      <c r="AC250" s="9">
        <v>0.0</v>
      </c>
      <c r="AD250" s="9">
        <v>0.0</v>
      </c>
      <c r="AE250" s="9">
        <v>0.0</v>
      </c>
      <c r="AF250" s="12"/>
      <c r="AG250" s="15">
        <f>IFERROR(__xludf.DUMMYFUNCTION("SUM(QUERY(Entregas_BD!D:W,""select U where D='""&amp;D250&amp;""'"",1))"),0.0)</f>
        <v>0</v>
      </c>
      <c r="AH250" s="15">
        <f>IFERROR(__xludf.DUMMYFUNCTION("SUM(QUERY(Entregas_BD!D:W,""select S where D='""&amp;D250&amp;""'"",1))"),0.0)</f>
        <v>0</v>
      </c>
      <c r="AI250" s="15">
        <f>IFERROR(__xludf.DUMMYFUNCTION("SUM(QUERY(Entregas_BD!D:W,""select T where D='""&amp;D250&amp;""'"",1))"),0.0)</f>
        <v>0</v>
      </c>
    </row>
    <row r="251" ht="19.5" customHeight="1">
      <c r="A251" s="28"/>
      <c r="B251" s="29"/>
      <c r="C251" s="19">
        <v>250.0</v>
      </c>
      <c r="D251" s="20" t="s">
        <v>659</v>
      </c>
      <c r="E251" s="20" t="s">
        <v>197</v>
      </c>
      <c r="F251" s="20" t="s">
        <v>243</v>
      </c>
      <c r="G251" s="20" t="s">
        <v>660</v>
      </c>
      <c r="H251" s="22" t="s">
        <v>632</v>
      </c>
      <c r="I251" s="21" t="s">
        <v>41</v>
      </c>
      <c r="J251" s="22"/>
      <c r="K251" s="22"/>
      <c r="L251" s="23"/>
      <c r="M251" s="22"/>
      <c r="N251" s="19">
        <f>IFERROR(__xludf.DUMMYFUNCTION("SUM(QUERY(Entregas_BD!D:L,""select G where D='""&amp;D251&amp;""'"",1))"),0.0)</f>
        <v>0</v>
      </c>
      <c r="O251" s="19">
        <f>IFERROR(__xludf.DUMMYFUNCTION("SUM(QUERY(Entregas_BD!D:L,""select H where D='""&amp;D251&amp;""'"",1))"),0.0)</f>
        <v>0</v>
      </c>
      <c r="P251" s="19">
        <f>IFERROR(__xludf.DUMMYFUNCTION("SUM(QUERY(Entregas_BD!D:L,""select I where D='""&amp;D251&amp;""'"",1))"),0.0)</f>
        <v>0</v>
      </c>
      <c r="Q251" s="19">
        <f>IFERROR(__xludf.DUMMYFUNCTION("SUM(QUERY(Entregas_BD!D:L,""select J where D='""&amp;D251&amp;""'"",1))"),0.0)</f>
        <v>0</v>
      </c>
      <c r="R251" s="24">
        <f>IFERROR(__xludf.DUMMYFUNCTION("SUM(QUERY(Entregas_BD!D:L,""select K where D='""&amp;D251&amp;""'"",1))"),0.0)</f>
        <v>0</v>
      </c>
      <c r="S251" s="24">
        <f>IFERROR(__xludf.DUMMYFUNCTION("SUM(QUERY(Entregas_BD!D:L,""select L where D='""&amp;D251&amp;""'"",1))"),0.0)</f>
        <v>0</v>
      </c>
      <c r="T251" s="19">
        <f>IFERROR(__xludf.DUMMYFUNCTION("SUM(QUERY(Entregas_BD!D:AL,""select AG where D='""&amp;D251&amp;""'"",1))"),25.0)</f>
        <v>25</v>
      </c>
      <c r="U251" s="19">
        <f>IFERROR(__xludf.DUMMYFUNCTION("SUM(QUERY(Entregas_BD!D:AL,""select AH where D='""&amp;D251&amp;""'"",1))"),0.0)</f>
        <v>0</v>
      </c>
      <c r="V251" s="19">
        <f>IFERROR(__xludf.DUMMYFUNCTION("SUM(QUERY(Entregas_BD!D:AL,""select AI where D='""&amp;D251&amp;""'"",1))"),0.0)</f>
        <v>0</v>
      </c>
      <c r="W251" s="19">
        <f>IFERROR(__xludf.DUMMYFUNCTION("SUM(QUERY(Entregas_BD!D:AL,""select AJ where D='""&amp;D251&amp;""'"",1))"),0.0)</f>
        <v>0</v>
      </c>
      <c r="X251" s="19">
        <f>IFERROR(__xludf.DUMMYFUNCTION("SUM(QUERY(Entregas_BD!D:AL,""select AL where D='""&amp;D251&amp;""'"",1))"),0.0)</f>
        <v>0</v>
      </c>
      <c r="Y251" s="19">
        <f>IFERROR(__xludf.DUMMYFUNCTION("SUM(QUERY(Entregas_BD!D:AL,""select AK where D='""&amp;D251&amp;""'"",1))"),0.0)</f>
        <v>0</v>
      </c>
      <c r="Z251" s="19">
        <v>-25.0</v>
      </c>
      <c r="AA251" s="19">
        <v>0.0</v>
      </c>
      <c r="AB251" s="19">
        <v>0.0</v>
      </c>
      <c r="AC251" s="19">
        <v>0.0</v>
      </c>
      <c r="AD251" s="19">
        <v>0.0</v>
      </c>
      <c r="AE251" s="19">
        <v>0.0</v>
      </c>
      <c r="AF251" s="22"/>
      <c r="AG251" s="24">
        <f>IFERROR(__xludf.DUMMYFUNCTION("SUM(QUERY(Entregas_BD!D:W,""select U where D='""&amp;D251&amp;""'"",1))"),0.0)</f>
        <v>0</v>
      </c>
      <c r="AH251" s="24">
        <f>IFERROR(__xludf.DUMMYFUNCTION("SUM(QUERY(Entregas_BD!D:W,""select S where D='""&amp;D251&amp;""'"",1))"),0.0)</f>
        <v>0</v>
      </c>
      <c r="AI251" s="24">
        <f>IFERROR(__xludf.DUMMYFUNCTION("SUM(QUERY(Entregas_BD!D:W,""select T where D='""&amp;D251&amp;""'"",1))"),0.0)</f>
        <v>0</v>
      </c>
    </row>
    <row r="252" ht="19.5" customHeight="1">
      <c r="A252" s="7"/>
      <c r="B252" s="8"/>
      <c r="C252" s="9">
        <v>251.0</v>
      </c>
      <c r="D252" s="10" t="s">
        <v>661</v>
      </c>
      <c r="E252" s="10" t="s">
        <v>197</v>
      </c>
      <c r="F252" s="10" t="s">
        <v>243</v>
      </c>
      <c r="G252" s="10" t="s">
        <v>662</v>
      </c>
      <c r="H252" s="12" t="s">
        <v>632</v>
      </c>
      <c r="I252" s="11" t="s">
        <v>41</v>
      </c>
      <c r="J252" s="12"/>
      <c r="K252" s="12"/>
      <c r="L252" s="13"/>
      <c r="M252" s="12"/>
      <c r="N252" s="9">
        <f>IFERROR(__xludf.DUMMYFUNCTION("SUM(QUERY(Entregas_BD!D:L,""select G where D='""&amp;D252&amp;""'"",1))"),0.0)</f>
        <v>0</v>
      </c>
      <c r="O252" s="9">
        <f>IFERROR(__xludf.DUMMYFUNCTION("SUM(QUERY(Entregas_BD!D:L,""select H where D='""&amp;D252&amp;""'"",1))"),0.0)</f>
        <v>0</v>
      </c>
      <c r="P252" s="9">
        <f>IFERROR(__xludf.DUMMYFUNCTION("SUM(QUERY(Entregas_BD!D:L,""select I where D='""&amp;D252&amp;""'"",1))"),0.0)</f>
        <v>0</v>
      </c>
      <c r="Q252" s="9">
        <f>IFERROR(__xludf.DUMMYFUNCTION("SUM(QUERY(Entregas_BD!D:L,""select J where D='""&amp;D252&amp;""'"",1))"),0.0)</f>
        <v>0</v>
      </c>
      <c r="R252" s="15">
        <f>IFERROR(__xludf.DUMMYFUNCTION("SUM(QUERY(Entregas_BD!D:L,""select K where D='""&amp;D252&amp;""'"",1))"),0.0)</f>
        <v>0</v>
      </c>
      <c r="S252" s="15">
        <f>IFERROR(__xludf.DUMMYFUNCTION("SUM(QUERY(Entregas_BD!D:L,""select L where D='""&amp;D252&amp;""'"",1))"),0.0)</f>
        <v>0</v>
      </c>
      <c r="T252" s="9">
        <f>IFERROR(__xludf.DUMMYFUNCTION("SUM(QUERY(Entregas_BD!D:AL,""select AG where D='""&amp;D252&amp;""'"",1))"),25.0)</f>
        <v>25</v>
      </c>
      <c r="U252" s="9">
        <f>IFERROR(__xludf.DUMMYFUNCTION("SUM(QUERY(Entregas_BD!D:AL,""select AH where D='""&amp;D252&amp;""'"",1))"),0.0)</f>
        <v>0</v>
      </c>
      <c r="V252" s="9">
        <f>IFERROR(__xludf.DUMMYFUNCTION("SUM(QUERY(Entregas_BD!D:AL,""select AI where D='""&amp;D252&amp;""'"",1))"),0.0)</f>
        <v>0</v>
      </c>
      <c r="W252" s="9">
        <f>IFERROR(__xludf.DUMMYFUNCTION("SUM(QUERY(Entregas_BD!D:AL,""select AJ where D='""&amp;D252&amp;""'"",1))"),0.0)</f>
        <v>0</v>
      </c>
      <c r="X252" s="9">
        <f>IFERROR(__xludf.DUMMYFUNCTION("SUM(QUERY(Entregas_BD!D:AL,""select AL where D='""&amp;D252&amp;""'"",1))"),0.0)</f>
        <v>0</v>
      </c>
      <c r="Y252" s="9">
        <f>IFERROR(__xludf.DUMMYFUNCTION("SUM(QUERY(Entregas_BD!D:AL,""select AK where D='""&amp;D252&amp;""'"",1))"),0.0)</f>
        <v>0</v>
      </c>
      <c r="Z252" s="9">
        <v>-25.0</v>
      </c>
      <c r="AA252" s="9">
        <v>0.0</v>
      </c>
      <c r="AB252" s="9">
        <v>0.0</v>
      </c>
      <c r="AC252" s="9">
        <v>0.0</v>
      </c>
      <c r="AD252" s="9">
        <v>0.0</v>
      </c>
      <c r="AE252" s="9">
        <v>0.0</v>
      </c>
      <c r="AF252" s="15"/>
      <c r="AG252" s="15">
        <f>IFERROR(__xludf.DUMMYFUNCTION("SUM(QUERY(Entregas_BD!D:W,""select U where D='""&amp;D252&amp;""'"",1))"),0.0)</f>
        <v>0</v>
      </c>
      <c r="AH252" s="15">
        <f>IFERROR(__xludf.DUMMYFUNCTION("SUM(QUERY(Entregas_BD!D:W,""select S where D='""&amp;D252&amp;""'"",1))"),0.0)</f>
        <v>0</v>
      </c>
      <c r="AI252" s="15">
        <f>IFERROR(__xludf.DUMMYFUNCTION("SUM(QUERY(Entregas_BD!D:W,""select T where D='""&amp;D252&amp;""'"",1))"),0.0)</f>
        <v>0</v>
      </c>
    </row>
    <row r="253" ht="19.5" customHeight="1">
      <c r="A253" s="28"/>
      <c r="B253" s="29"/>
      <c r="C253" s="19">
        <v>252.0</v>
      </c>
      <c r="D253" s="20" t="s">
        <v>663</v>
      </c>
      <c r="E253" s="20" t="s">
        <v>197</v>
      </c>
      <c r="F253" s="20" t="s">
        <v>243</v>
      </c>
      <c r="G253" s="20" t="s">
        <v>515</v>
      </c>
      <c r="H253" s="22" t="s">
        <v>632</v>
      </c>
      <c r="I253" s="21" t="s">
        <v>41</v>
      </c>
      <c r="J253" s="22"/>
      <c r="K253" s="22"/>
      <c r="L253" s="23"/>
      <c r="M253" s="22"/>
      <c r="N253" s="19">
        <f>IFERROR(__xludf.DUMMYFUNCTION("SUM(QUERY(Entregas_BD!D:L,""select G where D='""&amp;D253&amp;""'"",1))"),0.0)</f>
        <v>0</v>
      </c>
      <c r="O253" s="19">
        <f>IFERROR(__xludf.DUMMYFUNCTION("SUM(QUERY(Entregas_BD!D:L,""select H where D='""&amp;D253&amp;""'"",1))"),0.0)</f>
        <v>0</v>
      </c>
      <c r="P253" s="19">
        <f>IFERROR(__xludf.DUMMYFUNCTION("SUM(QUERY(Entregas_BD!D:L,""select I where D='""&amp;D253&amp;""'"",1))"),0.0)</f>
        <v>0</v>
      </c>
      <c r="Q253" s="19">
        <f>IFERROR(__xludf.DUMMYFUNCTION("SUM(QUERY(Entregas_BD!D:L,""select J where D='""&amp;D253&amp;""'"",1))"),0.0)</f>
        <v>0</v>
      </c>
      <c r="R253" s="24">
        <f>IFERROR(__xludf.DUMMYFUNCTION("SUM(QUERY(Entregas_BD!D:L,""select K where D='""&amp;D253&amp;""'"",1))"),0.0)</f>
        <v>0</v>
      </c>
      <c r="S253" s="24">
        <f>IFERROR(__xludf.DUMMYFUNCTION("SUM(QUERY(Entregas_BD!D:L,""select L where D='""&amp;D253&amp;""'"",1))"),0.0)</f>
        <v>0</v>
      </c>
      <c r="T253" s="19">
        <f>IFERROR(__xludf.DUMMYFUNCTION("SUM(QUERY(Entregas_BD!D:AL,""select AG where D='""&amp;D253&amp;""'"",1))"),25.0)</f>
        <v>25</v>
      </c>
      <c r="U253" s="19">
        <f>IFERROR(__xludf.DUMMYFUNCTION("SUM(QUERY(Entregas_BD!D:AL,""select AH where D='""&amp;D253&amp;""'"",1))"),0.0)</f>
        <v>0</v>
      </c>
      <c r="V253" s="19">
        <f>IFERROR(__xludf.DUMMYFUNCTION("SUM(QUERY(Entregas_BD!D:AL,""select AI where D='""&amp;D253&amp;""'"",1))"),0.0)</f>
        <v>0</v>
      </c>
      <c r="W253" s="19">
        <f>IFERROR(__xludf.DUMMYFUNCTION("SUM(QUERY(Entregas_BD!D:AL,""select AJ where D='""&amp;D253&amp;""'"",1))"),0.0)</f>
        <v>0</v>
      </c>
      <c r="X253" s="19">
        <f>IFERROR(__xludf.DUMMYFUNCTION("SUM(QUERY(Entregas_BD!D:AL,""select AL where D='""&amp;D253&amp;""'"",1))"),0.0)</f>
        <v>0</v>
      </c>
      <c r="Y253" s="19">
        <f>IFERROR(__xludf.DUMMYFUNCTION("SUM(QUERY(Entregas_BD!D:AL,""select AK where D='""&amp;D253&amp;""'"",1))"),0.0)</f>
        <v>0</v>
      </c>
      <c r="Z253" s="19">
        <v>-25.0</v>
      </c>
      <c r="AA253" s="19">
        <v>0.0</v>
      </c>
      <c r="AB253" s="19">
        <v>0.0</v>
      </c>
      <c r="AC253" s="19">
        <v>0.0</v>
      </c>
      <c r="AD253" s="19">
        <v>0.0</v>
      </c>
      <c r="AE253" s="19">
        <v>0.0</v>
      </c>
      <c r="AF253" s="22"/>
      <c r="AG253" s="24">
        <f>IFERROR(__xludf.DUMMYFUNCTION("SUM(QUERY(Entregas_BD!D:W,""select U where D='""&amp;D253&amp;""'"",1))"),0.0)</f>
        <v>0</v>
      </c>
      <c r="AH253" s="24">
        <f>IFERROR(__xludf.DUMMYFUNCTION("SUM(QUERY(Entregas_BD!D:W,""select S where D='""&amp;D253&amp;""'"",1))"),0.0)</f>
        <v>0</v>
      </c>
      <c r="AI253" s="24">
        <f>IFERROR(__xludf.DUMMYFUNCTION("SUM(QUERY(Entregas_BD!D:W,""select T where D='""&amp;D253&amp;""'"",1))"),0.0)</f>
        <v>0</v>
      </c>
    </row>
    <row r="254" ht="19.5" customHeight="1">
      <c r="A254" s="7"/>
      <c r="B254" s="8"/>
      <c r="C254" s="9">
        <v>253.0</v>
      </c>
      <c r="D254" s="10" t="s">
        <v>664</v>
      </c>
      <c r="E254" s="10" t="s">
        <v>197</v>
      </c>
      <c r="F254" s="10" t="s">
        <v>243</v>
      </c>
      <c r="G254" s="10" t="s">
        <v>665</v>
      </c>
      <c r="H254" s="12" t="s">
        <v>632</v>
      </c>
      <c r="I254" s="11" t="s">
        <v>41</v>
      </c>
      <c r="J254" s="12"/>
      <c r="K254" s="12"/>
      <c r="L254" s="13"/>
      <c r="M254" s="12"/>
      <c r="N254" s="9">
        <f>IFERROR(__xludf.DUMMYFUNCTION("SUM(QUERY(Entregas_BD!D:L,""select G where D='""&amp;D254&amp;""'"",1))"),0.0)</f>
        <v>0</v>
      </c>
      <c r="O254" s="9">
        <f>IFERROR(__xludf.DUMMYFUNCTION("SUM(QUERY(Entregas_BD!D:L,""select H where D='""&amp;D254&amp;""'"",1))"),0.0)</f>
        <v>0</v>
      </c>
      <c r="P254" s="9">
        <f>IFERROR(__xludf.DUMMYFUNCTION("SUM(QUERY(Entregas_BD!D:L,""select I where D='""&amp;D254&amp;""'"",1))"),0.0)</f>
        <v>0</v>
      </c>
      <c r="Q254" s="9">
        <f>IFERROR(__xludf.DUMMYFUNCTION("SUM(QUERY(Entregas_BD!D:L,""select J where D='""&amp;D254&amp;""'"",1))"),0.0)</f>
        <v>0</v>
      </c>
      <c r="R254" s="15">
        <f>IFERROR(__xludf.DUMMYFUNCTION("SUM(QUERY(Entregas_BD!D:L,""select K where D='""&amp;D254&amp;""'"",1))"),0.0)</f>
        <v>0</v>
      </c>
      <c r="S254" s="15">
        <f>IFERROR(__xludf.DUMMYFUNCTION("SUM(QUERY(Entregas_BD!D:L,""select L where D='""&amp;D254&amp;""'"",1))"),0.0)</f>
        <v>0</v>
      </c>
      <c r="T254" s="9">
        <f>IFERROR(__xludf.DUMMYFUNCTION("SUM(QUERY(Entregas_BD!D:AL,""select AG where D='""&amp;D254&amp;""'"",1))"),25.0)</f>
        <v>25</v>
      </c>
      <c r="U254" s="9">
        <f>IFERROR(__xludf.DUMMYFUNCTION("SUM(QUERY(Entregas_BD!D:AL,""select AH where D='""&amp;D254&amp;""'"",1))"),0.0)</f>
        <v>0</v>
      </c>
      <c r="V254" s="9">
        <f>IFERROR(__xludf.DUMMYFUNCTION("SUM(QUERY(Entregas_BD!D:AL,""select AI where D='""&amp;D254&amp;""'"",1))"),0.0)</f>
        <v>0</v>
      </c>
      <c r="W254" s="9">
        <f>IFERROR(__xludf.DUMMYFUNCTION("SUM(QUERY(Entregas_BD!D:AL,""select AJ where D='""&amp;D254&amp;""'"",1))"),0.0)</f>
        <v>0</v>
      </c>
      <c r="X254" s="9">
        <f>IFERROR(__xludf.DUMMYFUNCTION("SUM(QUERY(Entregas_BD!D:AL,""select AL where D='""&amp;D254&amp;""'"",1))"),0.0)</f>
        <v>0</v>
      </c>
      <c r="Y254" s="9">
        <f>IFERROR(__xludf.DUMMYFUNCTION("SUM(QUERY(Entregas_BD!D:AL,""select AK where D='""&amp;D254&amp;""'"",1))"),0.0)</f>
        <v>0</v>
      </c>
      <c r="Z254" s="9">
        <v>-25.0</v>
      </c>
      <c r="AA254" s="9">
        <v>0.0</v>
      </c>
      <c r="AB254" s="9">
        <v>0.0</v>
      </c>
      <c r="AC254" s="9">
        <v>0.0</v>
      </c>
      <c r="AD254" s="9">
        <v>0.0</v>
      </c>
      <c r="AE254" s="9">
        <v>0.0</v>
      </c>
      <c r="AF254" s="12"/>
      <c r="AG254" s="15">
        <f>IFERROR(__xludf.DUMMYFUNCTION("SUM(QUERY(Entregas_BD!D:W,""select U where D='""&amp;D254&amp;""'"",1))"),0.0)</f>
        <v>0</v>
      </c>
      <c r="AH254" s="15">
        <f>IFERROR(__xludf.DUMMYFUNCTION("SUM(QUERY(Entregas_BD!D:W,""select S where D='""&amp;D254&amp;""'"",1))"),0.0)</f>
        <v>0</v>
      </c>
      <c r="AI254" s="15">
        <f>IFERROR(__xludf.DUMMYFUNCTION("SUM(QUERY(Entregas_BD!D:W,""select T where D='""&amp;D254&amp;""'"",1))"),0.0)</f>
        <v>0</v>
      </c>
    </row>
    <row r="255" ht="19.5" customHeight="1">
      <c r="A255" s="28"/>
      <c r="B255" s="29"/>
      <c r="C255" s="19">
        <v>254.0</v>
      </c>
      <c r="D255" s="20" t="s">
        <v>666</v>
      </c>
      <c r="E255" s="20" t="s">
        <v>197</v>
      </c>
      <c r="F255" s="20" t="s">
        <v>243</v>
      </c>
      <c r="G255" s="20" t="s">
        <v>667</v>
      </c>
      <c r="H255" s="22" t="s">
        <v>632</v>
      </c>
      <c r="I255" s="21" t="s">
        <v>41</v>
      </c>
      <c r="J255" s="22"/>
      <c r="K255" s="22"/>
      <c r="L255" s="23"/>
      <c r="M255" s="22"/>
      <c r="N255" s="19">
        <f>IFERROR(__xludf.DUMMYFUNCTION("SUM(QUERY(Entregas_BD!D:L,""select G where D='""&amp;D255&amp;""'"",1))"),0.0)</f>
        <v>0</v>
      </c>
      <c r="O255" s="19">
        <f>IFERROR(__xludf.DUMMYFUNCTION("SUM(QUERY(Entregas_BD!D:L,""select H where D='""&amp;D255&amp;""'"",1))"),0.0)</f>
        <v>0</v>
      </c>
      <c r="P255" s="19">
        <f>IFERROR(__xludf.DUMMYFUNCTION("SUM(QUERY(Entregas_BD!D:L,""select I where D='""&amp;D255&amp;""'"",1))"),0.0)</f>
        <v>0</v>
      </c>
      <c r="Q255" s="19">
        <f>IFERROR(__xludf.DUMMYFUNCTION("SUM(QUERY(Entregas_BD!D:L,""select J where D='""&amp;D255&amp;""'"",1))"),0.0)</f>
        <v>0</v>
      </c>
      <c r="R255" s="24">
        <f>IFERROR(__xludf.DUMMYFUNCTION("SUM(QUERY(Entregas_BD!D:L,""select K where D='""&amp;D255&amp;""'"",1))"),0.0)</f>
        <v>0</v>
      </c>
      <c r="S255" s="24">
        <f>IFERROR(__xludf.DUMMYFUNCTION("SUM(QUERY(Entregas_BD!D:L,""select L where D='""&amp;D255&amp;""'"",1))"),0.0)</f>
        <v>0</v>
      </c>
      <c r="T255" s="19">
        <f>IFERROR(__xludf.DUMMYFUNCTION("SUM(QUERY(Entregas_BD!D:AL,""select AG where D='""&amp;D255&amp;""'"",1))"),25.0)</f>
        <v>25</v>
      </c>
      <c r="U255" s="19">
        <f>IFERROR(__xludf.DUMMYFUNCTION("SUM(QUERY(Entregas_BD!D:AL,""select AH where D='""&amp;D255&amp;""'"",1))"),0.0)</f>
        <v>0</v>
      </c>
      <c r="V255" s="19">
        <f>IFERROR(__xludf.DUMMYFUNCTION("SUM(QUERY(Entregas_BD!D:AL,""select AI where D='""&amp;D255&amp;""'"",1))"),0.0)</f>
        <v>0</v>
      </c>
      <c r="W255" s="19">
        <f>IFERROR(__xludf.DUMMYFUNCTION("SUM(QUERY(Entregas_BD!D:AL,""select AJ where D='""&amp;D255&amp;""'"",1))"),0.0)</f>
        <v>0</v>
      </c>
      <c r="X255" s="19">
        <f>IFERROR(__xludf.DUMMYFUNCTION("SUM(QUERY(Entregas_BD!D:AL,""select AL where D='""&amp;D255&amp;""'"",1))"),0.0)</f>
        <v>0</v>
      </c>
      <c r="Y255" s="19">
        <f>IFERROR(__xludf.DUMMYFUNCTION("SUM(QUERY(Entregas_BD!D:AL,""select AK where D='""&amp;D255&amp;""'"",1))"),0.0)</f>
        <v>0</v>
      </c>
      <c r="Z255" s="19">
        <v>-25.0</v>
      </c>
      <c r="AA255" s="19">
        <v>0.0</v>
      </c>
      <c r="AB255" s="19">
        <v>0.0</v>
      </c>
      <c r="AC255" s="19">
        <v>0.0</v>
      </c>
      <c r="AD255" s="19">
        <v>0.0</v>
      </c>
      <c r="AE255" s="19">
        <v>0.0</v>
      </c>
      <c r="AF255" s="24"/>
      <c r="AG255" s="24">
        <f>IFERROR(__xludf.DUMMYFUNCTION("SUM(QUERY(Entregas_BD!D:W,""select U where D='""&amp;D255&amp;""'"",1))"),0.0)</f>
        <v>0</v>
      </c>
      <c r="AH255" s="24">
        <f>IFERROR(__xludf.DUMMYFUNCTION("SUM(QUERY(Entregas_BD!D:W,""select S where D='""&amp;D255&amp;""'"",1))"),0.0)</f>
        <v>0</v>
      </c>
      <c r="AI255" s="24">
        <f>IFERROR(__xludf.DUMMYFUNCTION("SUM(QUERY(Entregas_BD!D:W,""select T where D='""&amp;D255&amp;""'"",1))"),0.0)</f>
        <v>0</v>
      </c>
    </row>
    <row r="256" ht="19.5" customHeight="1">
      <c r="A256" s="7"/>
      <c r="B256" s="8"/>
      <c r="C256" s="9">
        <v>255.0</v>
      </c>
      <c r="D256" s="10" t="s">
        <v>668</v>
      </c>
      <c r="E256" s="10" t="s">
        <v>63</v>
      </c>
      <c r="F256" s="10" t="s">
        <v>185</v>
      </c>
      <c r="G256" s="10" t="s">
        <v>72</v>
      </c>
      <c r="H256" s="12" t="s">
        <v>669</v>
      </c>
      <c r="I256" s="11" t="s">
        <v>41</v>
      </c>
      <c r="J256" s="50"/>
      <c r="K256" s="12"/>
      <c r="L256" s="13"/>
      <c r="M256" s="12"/>
      <c r="N256" s="9">
        <f>IFERROR(__xludf.DUMMYFUNCTION("SUM(QUERY(Entregas_BD!D:L,""select G where D='""&amp;D256&amp;""'"",1))"),0.0)</f>
        <v>0</v>
      </c>
      <c r="O256" s="9">
        <f>IFERROR(__xludf.DUMMYFUNCTION("SUM(QUERY(Entregas_BD!D:L,""select H where D='""&amp;D256&amp;""'"",1))"),0.0)</f>
        <v>0</v>
      </c>
      <c r="P256" s="9">
        <f>IFERROR(__xludf.DUMMYFUNCTION("SUM(QUERY(Entregas_BD!D:L,""select I where D='""&amp;D256&amp;""'"",1))"),0.0)</f>
        <v>0</v>
      </c>
      <c r="Q256" s="9">
        <f>IFERROR(__xludf.DUMMYFUNCTION("SUM(QUERY(Entregas_BD!D:L,""select J where D='""&amp;D256&amp;""'"",1))"),0.0)</f>
        <v>0</v>
      </c>
      <c r="R256" s="15">
        <f>IFERROR(__xludf.DUMMYFUNCTION("SUM(QUERY(Entregas_BD!D:L,""select K where D='""&amp;D256&amp;""'"",1))"),0.0)</f>
        <v>0</v>
      </c>
      <c r="S256" s="15">
        <f>IFERROR(__xludf.DUMMYFUNCTION("SUM(QUERY(Entregas_BD!D:L,""select L where D='""&amp;D256&amp;""'"",1))"),0.0)</f>
        <v>0</v>
      </c>
      <c r="T256" s="9">
        <f>IFERROR(__xludf.DUMMYFUNCTION("SUM(QUERY(Entregas_BD!D:AL,""select AG where D='""&amp;D256&amp;""'"",1))"),50.0)</f>
        <v>50</v>
      </c>
      <c r="U256" s="9">
        <f>IFERROR(__xludf.DUMMYFUNCTION("SUM(QUERY(Entregas_BD!D:AL,""select AH where D='""&amp;D256&amp;""'"",1))"),0.0)</f>
        <v>0</v>
      </c>
      <c r="V256" s="9">
        <f>IFERROR(__xludf.DUMMYFUNCTION("SUM(QUERY(Entregas_BD!D:AL,""select AI where D='""&amp;D256&amp;""'"",1))"),0.0)</f>
        <v>0</v>
      </c>
      <c r="W256" s="9">
        <f>IFERROR(__xludf.DUMMYFUNCTION("SUM(QUERY(Entregas_BD!D:AL,""select AJ where D='""&amp;D256&amp;""'"",1))"),0.0)</f>
        <v>0</v>
      </c>
      <c r="X256" s="9">
        <f>IFERROR(__xludf.DUMMYFUNCTION("SUM(QUERY(Entregas_BD!D:AL,""select AL where D='""&amp;D256&amp;""'"",1))"),0.0)</f>
        <v>0</v>
      </c>
      <c r="Y256" s="9">
        <f>IFERROR(__xludf.DUMMYFUNCTION("SUM(QUERY(Entregas_BD!D:AL,""select AK where D='""&amp;D256&amp;""'"",1))"),0.0)</f>
        <v>0</v>
      </c>
      <c r="Z256" s="9">
        <v>-50.0</v>
      </c>
      <c r="AA256" s="9">
        <v>0.0</v>
      </c>
      <c r="AB256" s="9">
        <v>0.0</v>
      </c>
      <c r="AC256" s="9">
        <v>0.0</v>
      </c>
      <c r="AD256" s="9">
        <v>0.0</v>
      </c>
      <c r="AE256" s="9">
        <v>0.0</v>
      </c>
      <c r="AF256" s="12"/>
      <c r="AG256" s="15">
        <f>IFERROR(__xludf.DUMMYFUNCTION("SUM(QUERY(Entregas_BD!D:W,""select U where D='""&amp;D256&amp;""'"",1))"),0.0)</f>
        <v>0</v>
      </c>
      <c r="AH256" s="15">
        <f>IFERROR(__xludf.DUMMYFUNCTION("SUM(QUERY(Entregas_BD!D:W,""select S where D='""&amp;D256&amp;""'"",1))"),0.0)</f>
        <v>0</v>
      </c>
      <c r="AI256" s="15">
        <f>IFERROR(__xludf.DUMMYFUNCTION("SUM(QUERY(Entregas_BD!D:W,""select T where D='""&amp;D256&amp;""'"",1))"),0.0)</f>
        <v>0</v>
      </c>
    </row>
    <row r="257" ht="19.5" customHeight="1">
      <c r="A257" s="28"/>
      <c r="B257" s="29"/>
      <c r="C257" s="19">
        <v>256.0</v>
      </c>
      <c r="D257" s="20" t="s">
        <v>670</v>
      </c>
      <c r="E257" s="20" t="s">
        <v>63</v>
      </c>
      <c r="F257" s="20" t="s">
        <v>243</v>
      </c>
      <c r="G257" s="20" t="s">
        <v>671</v>
      </c>
      <c r="H257" s="22" t="s">
        <v>632</v>
      </c>
      <c r="I257" s="21" t="s">
        <v>41</v>
      </c>
      <c r="J257" s="22"/>
      <c r="K257" s="22"/>
      <c r="L257" s="23"/>
      <c r="M257" s="22"/>
      <c r="N257" s="19">
        <f>IFERROR(__xludf.DUMMYFUNCTION("SUM(QUERY(Entregas_BD!D:L,""select G where D='""&amp;D257&amp;""'"",1))"),0.0)</f>
        <v>0</v>
      </c>
      <c r="O257" s="19">
        <f>IFERROR(__xludf.DUMMYFUNCTION("SUM(QUERY(Entregas_BD!D:L,""select H where D='""&amp;D257&amp;""'"",1))"),0.0)</f>
        <v>0</v>
      </c>
      <c r="P257" s="19">
        <f>IFERROR(__xludf.DUMMYFUNCTION("SUM(QUERY(Entregas_BD!D:L,""select I where D='""&amp;D257&amp;""'"",1))"),0.0)</f>
        <v>0</v>
      </c>
      <c r="Q257" s="19">
        <f>IFERROR(__xludf.DUMMYFUNCTION("SUM(QUERY(Entregas_BD!D:L,""select J where D='""&amp;D257&amp;""'"",1))"),0.0)</f>
        <v>0</v>
      </c>
      <c r="R257" s="24">
        <f>IFERROR(__xludf.DUMMYFUNCTION("SUM(QUERY(Entregas_BD!D:L,""select K where D='""&amp;D257&amp;""'"",1))"),0.0)</f>
        <v>0</v>
      </c>
      <c r="S257" s="24">
        <f>IFERROR(__xludf.DUMMYFUNCTION("SUM(QUERY(Entregas_BD!D:L,""select L where D='""&amp;D257&amp;""'"",1))"),0.0)</f>
        <v>0</v>
      </c>
      <c r="T257" s="19">
        <f>IFERROR(__xludf.DUMMYFUNCTION("SUM(QUERY(Entregas_BD!D:AL,""select AG where D='""&amp;D257&amp;""'"",1))"),25.0)</f>
        <v>25</v>
      </c>
      <c r="U257" s="19">
        <f>IFERROR(__xludf.DUMMYFUNCTION("SUM(QUERY(Entregas_BD!D:AL,""select AH where D='""&amp;D257&amp;""'"",1))"),0.0)</f>
        <v>0</v>
      </c>
      <c r="V257" s="19">
        <f>IFERROR(__xludf.DUMMYFUNCTION("SUM(QUERY(Entregas_BD!D:AL,""select AI where D='""&amp;D257&amp;""'"",1))"),0.0)</f>
        <v>0</v>
      </c>
      <c r="W257" s="19">
        <f>IFERROR(__xludf.DUMMYFUNCTION("SUM(QUERY(Entregas_BD!D:AL,""select AJ where D='""&amp;D257&amp;""'"",1))"),0.0)</f>
        <v>0</v>
      </c>
      <c r="X257" s="19">
        <f>IFERROR(__xludf.DUMMYFUNCTION("SUM(QUERY(Entregas_BD!D:AL,""select AL where D='""&amp;D257&amp;""'"",1))"),0.0)</f>
        <v>0</v>
      </c>
      <c r="Y257" s="19">
        <f>IFERROR(__xludf.DUMMYFUNCTION("SUM(QUERY(Entregas_BD!D:AL,""select AK where D='""&amp;D257&amp;""'"",1))"),0.0)</f>
        <v>0</v>
      </c>
      <c r="Z257" s="19">
        <v>-25.0</v>
      </c>
      <c r="AA257" s="19">
        <v>0.0</v>
      </c>
      <c r="AB257" s="19">
        <v>0.0</v>
      </c>
      <c r="AC257" s="19">
        <v>0.0</v>
      </c>
      <c r="AD257" s="19">
        <v>0.0</v>
      </c>
      <c r="AE257" s="19">
        <v>0.0</v>
      </c>
      <c r="AF257" s="22"/>
      <c r="AG257" s="24">
        <f>IFERROR(__xludf.DUMMYFUNCTION("SUM(QUERY(Entregas_BD!D:W,""select U where D='""&amp;D257&amp;""'"",1))"),0.0)</f>
        <v>0</v>
      </c>
      <c r="AH257" s="24">
        <f>IFERROR(__xludf.DUMMYFUNCTION("SUM(QUERY(Entregas_BD!D:W,""select S where D='""&amp;D257&amp;""'"",1))"),0.0)</f>
        <v>0</v>
      </c>
      <c r="AI257" s="24">
        <f>IFERROR(__xludf.DUMMYFUNCTION("SUM(QUERY(Entregas_BD!D:W,""select T where D='""&amp;D257&amp;""'"",1))"),0.0)</f>
        <v>0</v>
      </c>
    </row>
    <row r="258" ht="19.5" customHeight="1">
      <c r="A258" s="53"/>
      <c r="B258" s="8"/>
      <c r="C258" s="9">
        <v>257.0</v>
      </c>
      <c r="D258" s="10" t="s">
        <v>672</v>
      </c>
      <c r="E258" s="10" t="s">
        <v>197</v>
      </c>
      <c r="F258" s="10" t="s">
        <v>243</v>
      </c>
      <c r="G258" s="10" t="s">
        <v>673</v>
      </c>
      <c r="H258" s="12" t="s">
        <v>632</v>
      </c>
      <c r="I258" s="11" t="s">
        <v>41</v>
      </c>
      <c r="J258" s="50"/>
      <c r="K258" s="12"/>
      <c r="L258" s="13"/>
      <c r="M258" s="12"/>
      <c r="N258" s="9">
        <f>IFERROR(__xludf.DUMMYFUNCTION("SUM(QUERY(Entregas_BD!D:L,""select G where D='""&amp;D258&amp;""'"",1))"),0.0)</f>
        <v>0</v>
      </c>
      <c r="O258" s="9">
        <f>IFERROR(__xludf.DUMMYFUNCTION("SUM(QUERY(Entregas_BD!D:L,""select H where D='""&amp;D258&amp;""'"",1))"),0.0)</f>
        <v>0</v>
      </c>
      <c r="P258" s="9">
        <f>IFERROR(__xludf.DUMMYFUNCTION("SUM(QUERY(Entregas_BD!D:L,""select I where D='""&amp;D258&amp;""'"",1))"),0.0)</f>
        <v>0</v>
      </c>
      <c r="Q258" s="9">
        <f>IFERROR(__xludf.DUMMYFUNCTION("SUM(QUERY(Entregas_BD!D:L,""select J where D='""&amp;D258&amp;""'"",1))"),0.0)</f>
        <v>0</v>
      </c>
      <c r="R258" s="15">
        <f>IFERROR(__xludf.DUMMYFUNCTION("SUM(QUERY(Entregas_BD!D:L,""select K where D='""&amp;D258&amp;""'"",1))"),0.0)</f>
        <v>0</v>
      </c>
      <c r="S258" s="15">
        <f>IFERROR(__xludf.DUMMYFUNCTION("SUM(QUERY(Entregas_BD!D:L,""select L where D='""&amp;D258&amp;""'"",1))"),0.0)</f>
        <v>0</v>
      </c>
      <c r="T258" s="9">
        <f>IFERROR(__xludf.DUMMYFUNCTION("SUM(QUERY(Entregas_BD!D:AL,""select AG where D='""&amp;D258&amp;""'"",1))"),50.0)</f>
        <v>50</v>
      </c>
      <c r="U258" s="9">
        <f>IFERROR(__xludf.DUMMYFUNCTION("SUM(QUERY(Entregas_BD!D:AL,""select AH where D='""&amp;D258&amp;""'"",1))"),0.0)</f>
        <v>0</v>
      </c>
      <c r="V258" s="9">
        <f>IFERROR(__xludf.DUMMYFUNCTION("SUM(QUERY(Entregas_BD!D:AL,""select AI where D='""&amp;D258&amp;""'"",1))"),0.0)</f>
        <v>0</v>
      </c>
      <c r="W258" s="9">
        <f>IFERROR(__xludf.DUMMYFUNCTION("SUM(QUERY(Entregas_BD!D:AL,""select AJ where D='""&amp;D258&amp;""'"",1))"),0.0)</f>
        <v>0</v>
      </c>
      <c r="X258" s="9">
        <f>IFERROR(__xludf.DUMMYFUNCTION("SUM(QUERY(Entregas_BD!D:AL,""select AL where D='""&amp;D258&amp;""'"",1))"),0.0)</f>
        <v>0</v>
      </c>
      <c r="Y258" s="9">
        <f>IFERROR(__xludf.DUMMYFUNCTION("SUM(QUERY(Entregas_BD!D:AL,""select AK where D='""&amp;D258&amp;""'"",1))"),0.0)</f>
        <v>0</v>
      </c>
      <c r="Z258" s="9">
        <v>-50.0</v>
      </c>
      <c r="AA258" s="9">
        <v>0.0</v>
      </c>
      <c r="AB258" s="9">
        <v>0.0</v>
      </c>
      <c r="AC258" s="9">
        <v>0.0</v>
      </c>
      <c r="AD258" s="9">
        <v>0.0</v>
      </c>
      <c r="AE258" s="9">
        <v>0.0</v>
      </c>
      <c r="AF258" s="12"/>
      <c r="AG258" s="15">
        <f>IFERROR(__xludf.DUMMYFUNCTION("SUM(QUERY(Entregas_BD!D:W,""select U where D='""&amp;D258&amp;""'"",1))"),0.0)</f>
        <v>0</v>
      </c>
      <c r="AH258" s="15">
        <f>IFERROR(__xludf.DUMMYFUNCTION("SUM(QUERY(Entregas_BD!D:W,""select S where D='""&amp;D258&amp;""'"",1))"),0.0)</f>
        <v>0</v>
      </c>
      <c r="AI258" s="15">
        <f>IFERROR(__xludf.DUMMYFUNCTION("SUM(QUERY(Entregas_BD!D:W,""select T where D='""&amp;D258&amp;""'"",1))"),0.0)</f>
        <v>0</v>
      </c>
    </row>
    <row r="259" ht="19.5" customHeight="1">
      <c r="A259" s="54"/>
      <c r="B259" s="29"/>
      <c r="C259" s="19">
        <v>258.0</v>
      </c>
      <c r="D259" s="20" t="s">
        <v>674</v>
      </c>
      <c r="E259" s="20" t="s">
        <v>44</v>
      </c>
      <c r="F259" s="20" t="s">
        <v>571</v>
      </c>
      <c r="G259" s="20" t="s">
        <v>675</v>
      </c>
      <c r="H259" s="22" t="s">
        <v>632</v>
      </c>
      <c r="I259" s="21" t="s">
        <v>41</v>
      </c>
      <c r="J259" s="51"/>
      <c r="K259" s="22"/>
      <c r="L259" s="23"/>
      <c r="M259" s="22"/>
      <c r="N259" s="19">
        <f>IFERROR(__xludf.DUMMYFUNCTION("SUM(QUERY(Entregas_BD!D:L,""select G where D='""&amp;D259&amp;""'"",1))"),0.0)</f>
        <v>0</v>
      </c>
      <c r="O259" s="19">
        <f>IFERROR(__xludf.DUMMYFUNCTION("SUM(QUERY(Entregas_BD!D:L,""select H where D='""&amp;D259&amp;""'"",1))"),0.0)</f>
        <v>0</v>
      </c>
      <c r="P259" s="19">
        <f>IFERROR(__xludf.DUMMYFUNCTION("SUM(QUERY(Entregas_BD!D:L,""select I where D='""&amp;D259&amp;""'"",1))"),0.0)</f>
        <v>0</v>
      </c>
      <c r="Q259" s="19">
        <f>IFERROR(__xludf.DUMMYFUNCTION("SUM(QUERY(Entregas_BD!D:L,""select J where D='""&amp;D259&amp;""'"",1))"),0.0)</f>
        <v>0</v>
      </c>
      <c r="R259" s="24">
        <f>IFERROR(__xludf.DUMMYFUNCTION("SUM(QUERY(Entregas_BD!D:L,""select K where D='""&amp;D259&amp;""'"",1))"),0.0)</f>
        <v>0</v>
      </c>
      <c r="S259" s="24">
        <f>IFERROR(__xludf.DUMMYFUNCTION("SUM(QUERY(Entregas_BD!D:L,""select L where D='""&amp;D259&amp;""'"",1))"),0.0)</f>
        <v>0</v>
      </c>
      <c r="T259" s="19">
        <f>IFERROR(__xludf.DUMMYFUNCTION("SUM(QUERY(Entregas_BD!D:AL,""select AG where D='""&amp;D259&amp;""'"",1))"),25.0)</f>
        <v>25</v>
      </c>
      <c r="U259" s="19">
        <f>IFERROR(__xludf.DUMMYFUNCTION("SUM(QUERY(Entregas_BD!D:AL,""select AH where D='""&amp;D259&amp;""'"",1))"),0.0)</f>
        <v>0</v>
      </c>
      <c r="V259" s="19">
        <f>IFERROR(__xludf.DUMMYFUNCTION("SUM(QUERY(Entregas_BD!D:AL,""select AI where D='""&amp;D259&amp;""'"",1))"),0.0)</f>
        <v>0</v>
      </c>
      <c r="W259" s="19">
        <f>IFERROR(__xludf.DUMMYFUNCTION("SUM(QUERY(Entregas_BD!D:AL,""select AJ where D='""&amp;D259&amp;""'"",1))"),25.0)</f>
        <v>25</v>
      </c>
      <c r="X259" s="19">
        <f>IFERROR(__xludf.DUMMYFUNCTION("SUM(QUERY(Entregas_BD!D:AL,""select AL where D='""&amp;D259&amp;""'"",1))"),0.0)</f>
        <v>0</v>
      </c>
      <c r="Y259" s="19">
        <f>IFERROR(__xludf.DUMMYFUNCTION("SUM(QUERY(Entregas_BD!D:AL,""select AK where D='""&amp;D259&amp;""'"",1))"),0.0)</f>
        <v>0</v>
      </c>
      <c r="Z259" s="19">
        <v>-25.0</v>
      </c>
      <c r="AA259" s="19">
        <v>0.0</v>
      </c>
      <c r="AB259" s="19">
        <v>0.0</v>
      </c>
      <c r="AC259" s="19">
        <v>-25.0</v>
      </c>
      <c r="AD259" s="19">
        <v>0.0</v>
      </c>
      <c r="AE259" s="19">
        <v>0.0</v>
      </c>
      <c r="AF259" s="22"/>
      <c r="AG259" s="24">
        <f>IFERROR(__xludf.DUMMYFUNCTION("SUM(QUERY(Entregas_BD!D:W,""select U where D='""&amp;D259&amp;""'"",1))"),0.0)</f>
        <v>0</v>
      </c>
      <c r="AH259" s="24">
        <f>IFERROR(__xludf.DUMMYFUNCTION("SUM(QUERY(Entregas_BD!D:W,""select S where D='""&amp;D259&amp;""'"",1))"),0.0)</f>
        <v>0</v>
      </c>
      <c r="AI259" s="24">
        <f>IFERROR(__xludf.DUMMYFUNCTION("SUM(QUERY(Entregas_BD!D:W,""select T where D='""&amp;D259&amp;""'"",1))"),0.0)</f>
        <v>0</v>
      </c>
    </row>
    <row r="260" ht="19.5" customHeight="1">
      <c r="A260" s="53"/>
      <c r="B260" s="8"/>
      <c r="C260" s="9">
        <v>259.0</v>
      </c>
      <c r="D260" s="10" t="s">
        <v>676</v>
      </c>
      <c r="E260" s="10" t="s">
        <v>197</v>
      </c>
      <c r="F260" s="10" t="s">
        <v>677</v>
      </c>
      <c r="G260" s="10" t="s">
        <v>678</v>
      </c>
      <c r="H260" s="12" t="s">
        <v>679</v>
      </c>
      <c r="I260" s="11" t="s">
        <v>41</v>
      </c>
      <c r="J260" s="50"/>
      <c r="K260" s="12"/>
      <c r="L260" s="13"/>
      <c r="M260" s="12"/>
      <c r="N260" s="9">
        <f>IFERROR(__xludf.DUMMYFUNCTION("SUM(QUERY(Entregas_BD!D:L,""select G where D='""&amp;D260&amp;""'"",1))"),0.0)</f>
        <v>0</v>
      </c>
      <c r="O260" s="9">
        <f>IFERROR(__xludf.DUMMYFUNCTION("SUM(QUERY(Entregas_BD!D:L,""select H where D='""&amp;D260&amp;""'"",1))"),0.0)</f>
        <v>0</v>
      </c>
      <c r="P260" s="9">
        <f>IFERROR(__xludf.DUMMYFUNCTION("SUM(QUERY(Entregas_BD!D:L,""select I where D='""&amp;D260&amp;""'"",1))"),0.0)</f>
        <v>0</v>
      </c>
      <c r="Q260" s="9">
        <f>IFERROR(__xludf.DUMMYFUNCTION("SUM(QUERY(Entregas_BD!D:L,""select J where D='""&amp;D260&amp;""'"",1))"),0.0)</f>
        <v>0</v>
      </c>
      <c r="R260" s="15">
        <f>IFERROR(__xludf.DUMMYFUNCTION("SUM(QUERY(Entregas_BD!D:L,""select K where D='""&amp;D260&amp;""'"",1))"),0.0)</f>
        <v>0</v>
      </c>
      <c r="S260" s="15">
        <f>IFERROR(__xludf.DUMMYFUNCTION("SUM(QUERY(Entregas_BD!D:L,""select L where D='""&amp;D260&amp;""'"",1))"),0.0)</f>
        <v>0</v>
      </c>
      <c r="T260" s="9">
        <f>IFERROR(__xludf.DUMMYFUNCTION("SUM(QUERY(Entregas_BD!D:AL,""select AG where D='""&amp;D260&amp;""'"",1))"),50.0)</f>
        <v>50</v>
      </c>
      <c r="U260" s="9">
        <f>IFERROR(__xludf.DUMMYFUNCTION("SUM(QUERY(Entregas_BD!D:AL,""select AH where D='""&amp;D260&amp;""'"",1))"),0.0)</f>
        <v>0</v>
      </c>
      <c r="V260" s="9">
        <f>IFERROR(__xludf.DUMMYFUNCTION("SUM(QUERY(Entregas_BD!D:AL,""select AI where D='""&amp;D260&amp;""'"",1))"),0.0)</f>
        <v>0</v>
      </c>
      <c r="W260" s="9">
        <f>IFERROR(__xludf.DUMMYFUNCTION("SUM(QUERY(Entregas_BD!D:AL,""select AJ where D='""&amp;D260&amp;""'"",1))"),0.0)</f>
        <v>0</v>
      </c>
      <c r="X260" s="9">
        <f>IFERROR(__xludf.DUMMYFUNCTION("SUM(QUERY(Entregas_BD!D:AL,""select AL where D='""&amp;D260&amp;""'"",1))"),0.0)</f>
        <v>0</v>
      </c>
      <c r="Y260" s="9">
        <f>IFERROR(__xludf.DUMMYFUNCTION("SUM(QUERY(Entregas_BD!D:AL,""select AK where D='""&amp;D260&amp;""'"",1))"),0.0)</f>
        <v>0</v>
      </c>
      <c r="Z260" s="9">
        <v>-50.0</v>
      </c>
      <c r="AA260" s="9">
        <v>0.0</v>
      </c>
      <c r="AB260" s="9">
        <v>0.0</v>
      </c>
      <c r="AC260" s="9">
        <v>0.0</v>
      </c>
      <c r="AD260" s="9">
        <v>0.0</v>
      </c>
      <c r="AE260" s="9">
        <v>0.0</v>
      </c>
      <c r="AF260" s="12"/>
      <c r="AG260" s="15">
        <f>IFERROR(__xludf.DUMMYFUNCTION("SUM(QUERY(Entregas_BD!D:W,""select U where D='""&amp;D260&amp;""'"",1))"),0.0)</f>
        <v>0</v>
      </c>
      <c r="AH260" s="15">
        <f>IFERROR(__xludf.DUMMYFUNCTION("SUM(QUERY(Entregas_BD!D:W,""select S where D='""&amp;D260&amp;""'"",1))"),0.0)</f>
        <v>0</v>
      </c>
      <c r="AI260" s="15">
        <f>IFERROR(__xludf.DUMMYFUNCTION("SUM(QUERY(Entregas_BD!D:W,""select T where D='""&amp;D260&amp;""'"",1))"),0.0)</f>
        <v>0</v>
      </c>
    </row>
    <row r="261" ht="19.5" customHeight="1">
      <c r="A261" s="54"/>
      <c r="B261" s="29"/>
      <c r="C261" s="19">
        <v>260.0</v>
      </c>
      <c r="D261" s="20" t="s">
        <v>680</v>
      </c>
      <c r="E261" s="20" t="s">
        <v>63</v>
      </c>
      <c r="F261" s="20" t="s">
        <v>609</v>
      </c>
      <c r="G261" s="20" t="s">
        <v>681</v>
      </c>
      <c r="H261" s="22" t="s">
        <v>682</v>
      </c>
      <c r="I261" s="21" t="s">
        <v>41</v>
      </c>
      <c r="J261" s="51"/>
      <c r="K261" s="22"/>
      <c r="L261" s="23"/>
      <c r="M261" s="22"/>
      <c r="N261" s="19">
        <f>IFERROR(__xludf.DUMMYFUNCTION("SUM(QUERY(Entregas_BD!D:L,""select G where D='""&amp;D261&amp;""'"",1))"),0.0)</f>
        <v>0</v>
      </c>
      <c r="O261" s="19">
        <f>IFERROR(__xludf.DUMMYFUNCTION("SUM(QUERY(Entregas_BD!D:L,""select H where D='""&amp;D261&amp;""'"",1))"),0.0)</f>
        <v>0</v>
      </c>
      <c r="P261" s="19">
        <f>IFERROR(__xludf.DUMMYFUNCTION("SUM(QUERY(Entregas_BD!D:L,""select I where D='""&amp;D261&amp;""'"",1))"),0.0)</f>
        <v>0</v>
      </c>
      <c r="Q261" s="19">
        <f>IFERROR(__xludf.DUMMYFUNCTION("SUM(QUERY(Entregas_BD!D:L,""select J where D='""&amp;D261&amp;""'"",1))"),0.0)</f>
        <v>0</v>
      </c>
      <c r="R261" s="24">
        <f>IFERROR(__xludf.DUMMYFUNCTION("SUM(QUERY(Entregas_BD!D:L,""select K where D='""&amp;D261&amp;""'"",1))"),0.0)</f>
        <v>0</v>
      </c>
      <c r="S261" s="24">
        <f>IFERROR(__xludf.DUMMYFUNCTION("SUM(QUERY(Entregas_BD!D:L,""select L where D='""&amp;D261&amp;""'"",1))"),0.0)</f>
        <v>0</v>
      </c>
      <c r="T261" s="19">
        <f>IFERROR(__xludf.DUMMYFUNCTION("SUM(QUERY(Entregas_BD!D:AL,""select AG where D='""&amp;D261&amp;""'"",1))"),50.0)</f>
        <v>50</v>
      </c>
      <c r="U261" s="19">
        <f>IFERROR(__xludf.DUMMYFUNCTION("SUM(QUERY(Entregas_BD!D:AL,""select AH where D='""&amp;D261&amp;""'"",1))"),0.0)</f>
        <v>0</v>
      </c>
      <c r="V261" s="19">
        <f>IFERROR(__xludf.DUMMYFUNCTION("SUM(QUERY(Entregas_BD!D:AL,""select AI where D='""&amp;D261&amp;""'"",1))"),0.0)</f>
        <v>0</v>
      </c>
      <c r="W261" s="19">
        <f>IFERROR(__xludf.DUMMYFUNCTION("SUM(QUERY(Entregas_BD!D:AL,""select AJ where D='""&amp;D261&amp;""'"",1))"),50.0)</f>
        <v>50</v>
      </c>
      <c r="X261" s="19">
        <f>IFERROR(__xludf.DUMMYFUNCTION("SUM(QUERY(Entregas_BD!D:AL,""select AL where D='""&amp;D261&amp;""'"",1))"),0.0)</f>
        <v>0</v>
      </c>
      <c r="Y261" s="19">
        <f>IFERROR(__xludf.DUMMYFUNCTION("SUM(QUERY(Entregas_BD!D:AL,""select AK where D='""&amp;D261&amp;""'"",1))"),0.0)</f>
        <v>0</v>
      </c>
      <c r="Z261" s="19">
        <v>-50.0</v>
      </c>
      <c r="AA261" s="19">
        <v>0.0</v>
      </c>
      <c r="AB261" s="19">
        <v>0.0</v>
      </c>
      <c r="AC261" s="19">
        <v>-50.0</v>
      </c>
      <c r="AD261" s="19">
        <v>0.0</v>
      </c>
      <c r="AE261" s="19">
        <v>0.0</v>
      </c>
      <c r="AF261" s="22"/>
      <c r="AG261" s="24">
        <f>IFERROR(__xludf.DUMMYFUNCTION("SUM(QUERY(Entregas_BD!D:W,""select U where D='""&amp;D261&amp;""'"",1))"),0.0)</f>
        <v>0</v>
      </c>
      <c r="AH261" s="24">
        <f>IFERROR(__xludf.DUMMYFUNCTION("SUM(QUERY(Entregas_BD!D:W,""select S where D='""&amp;D261&amp;""'"",1))"),0.0)</f>
        <v>0</v>
      </c>
      <c r="AI261" s="24">
        <f>IFERROR(__xludf.DUMMYFUNCTION("SUM(QUERY(Entregas_BD!D:W,""select T where D='""&amp;D261&amp;""'"",1))"),0.0)</f>
        <v>0</v>
      </c>
    </row>
    <row r="262" ht="19.5" customHeight="1">
      <c r="A262" s="53"/>
      <c r="B262" s="8"/>
      <c r="C262" s="9">
        <v>261.0</v>
      </c>
      <c r="D262" s="10" t="s">
        <v>683</v>
      </c>
      <c r="E262" s="10" t="s">
        <v>197</v>
      </c>
      <c r="F262" s="10" t="s">
        <v>243</v>
      </c>
      <c r="G262" s="10" t="s">
        <v>684</v>
      </c>
      <c r="H262" s="12" t="s">
        <v>632</v>
      </c>
      <c r="I262" s="11" t="s">
        <v>41</v>
      </c>
      <c r="J262" s="50"/>
      <c r="K262" s="12"/>
      <c r="L262" s="13"/>
      <c r="M262" s="12"/>
      <c r="N262" s="9">
        <f>IFERROR(__xludf.DUMMYFUNCTION("SUM(QUERY(Entregas_BD!D:L,""select G where D='""&amp;D262&amp;""'"",1))"),0.0)</f>
        <v>0</v>
      </c>
      <c r="O262" s="9">
        <f>IFERROR(__xludf.DUMMYFUNCTION("SUM(QUERY(Entregas_BD!D:L,""select H where D='""&amp;D262&amp;""'"",1))"),0.0)</f>
        <v>0</v>
      </c>
      <c r="P262" s="9">
        <f>IFERROR(__xludf.DUMMYFUNCTION("SUM(QUERY(Entregas_BD!D:L,""select I where D='""&amp;D262&amp;""'"",1))"),0.0)</f>
        <v>0</v>
      </c>
      <c r="Q262" s="9">
        <f>IFERROR(__xludf.DUMMYFUNCTION("SUM(QUERY(Entregas_BD!D:L,""select J where D='""&amp;D262&amp;""'"",1))"),0.0)</f>
        <v>0</v>
      </c>
      <c r="R262" s="15">
        <f>IFERROR(__xludf.DUMMYFUNCTION("SUM(QUERY(Entregas_BD!D:L,""select K where D='""&amp;D262&amp;""'"",1))"),0.0)</f>
        <v>0</v>
      </c>
      <c r="S262" s="15">
        <f>IFERROR(__xludf.DUMMYFUNCTION("SUM(QUERY(Entregas_BD!D:L,""select L where D='""&amp;D262&amp;""'"",1))"),0.0)</f>
        <v>0</v>
      </c>
      <c r="T262" s="9">
        <f>IFERROR(__xludf.DUMMYFUNCTION("SUM(QUERY(Entregas_BD!D:AL,""select AG where D='""&amp;D262&amp;""'"",1))"),0.0)</f>
        <v>0</v>
      </c>
      <c r="U262" s="9">
        <f>IFERROR(__xludf.DUMMYFUNCTION("SUM(QUERY(Entregas_BD!D:AL,""select AH where D='""&amp;D262&amp;""'"",1))"),0.0)</f>
        <v>0</v>
      </c>
      <c r="V262" s="9">
        <f>IFERROR(__xludf.DUMMYFUNCTION("SUM(QUERY(Entregas_BD!D:AL,""select AI where D='""&amp;D262&amp;""'"",1))"),0.0)</f>
        <v>0</v>
      </c>
      <c r="W262" s="9">
        <f>IFERROR(__xludf.DUMMYFUNCTION("SUM(QUERY(Entregas_BD!D:AL,""select AJ where D='""&amp;D262&amp;""'"",1))"),0.0)</f>
        <v>0</v>
      </c>
      <c r="X262" s="9">
        <f>IFERROR(__xludf.DUMMYFUNCTION("SUM(QUERY(Entregas_BD!D:AL,""select AL where D='""&amp;D262&amp;""'"",1))"),0.0)</f>
        <v>0</v>
      </c>
      <c r="Y262" s="9">
        <f>IFERROR(__xludf.DUMMYFUNCTION("SUM(QUERY(Entregas_BD!D:AL,""select AK where D='""&amp;D262&amp;""'"",1))"),0.0)</f>
        <v>0</v>
      </c>
      <c r="Z262" s="9">
        <v>0.0</v>
      </c>
      <c r="AA262" s="9">
        <v>0.0</v>
      </c>
      <c r="AB262" s="9">
        <v>0.0</v>
      </c>
      <c r="AC262" s="9">
        <v>0.0</v>
      </c>
      <c r="AD262" s="9">
        <v>0.0</v>
      </c>
      <c r="AE262" s="9">
        <v>0.0</v>
      </c>
      <c r="AF262" s="12"/>
      <c r="AG262" s="15">
        <f>IFERROR(__xludf.DUMMYFUNCTION("SUM(QUERY(Entregas_BD!D:W,""select U where D='""&amp;D262&amp;""'"",1))"),0.0)</f>
        <v>0</v>
      </c>
      <c r="AH262" s="15">
        <f>IFERROR(__xludf.DUMMYFUNCTION("SUM(QUERY(Entregas_BD!D:W,""select S where D='""&amp;D262&amp;""'"",1))"),0.0)</f>
        <v>0</v>
      </c>
      <c r="AI262" s="15">
        <f>IFERROR(__xludf.DUMMYFUNCTION("SUM(QUERY(Entregas_BD!D:W,""select T where D='""&amp;D262&amp;""'"",1))"),0.0)</f>
        <v>0</v>
      </c>
    </row>
    <row r="263" ht="19.5" customHeight="1">
      <c r="A263" s="54"/>
      <c r="B263" s="29"/>
      <c r="C263" s="19">
        <v>262.0</v>
      </c>
      <c r="D263" s="20" t="s">
        <v>685</v>
      </c>
      <c r="E263" s="20" t="s">
        <v>58</v>
      </c>
      <c r="F263" s="20" t="s">
        <v>597</v>
      </c>
      <c r="G263" s="20" t="s">
        <v>686</v>
      </c>
      <c r="H263" s="22" t="s">
        <v>632</v>
      </c>
      <c r="I263" s="21" t="s">
        <v>41</v>
      </c>
      <c r="J263" s="51"/>
      <c r="K263" s="22"/>
      <c r="L263" s="23"/>
      <c r="M263" s="22"/>
      <c r="N263" s="19">
        <f>IFERROR(__xludf.DUMMYFUNCTION("SUM(QUERY(Entregas_BD!D:L,""select G where D='""&amp;D263&amp;""'"",1))"),0.0)</f>
        <v>0</v>
      </c>
      <c r="O263" s="19">
        <f>IFERROR(__xludf.DUMMYFUNCTION("SUM(QUERY(Entregas_BD!D:L,""select H where D='""&amp;D263&amp;""'"",1))"),0.0)</f>
        <v>0</v>
      </c>
      <c r="P263" s="19">
        <f>IFERROR(__xludf.DUMMYFUNCTION("SUM(QUERY(Entregas_BD!D:L,""select I where D='""&amp;D263&amp;""'"",1))"),0.0)</f>
        <v>0</v>
      </c>
      <c r="Q263" s="19">
        <f>IFERROR(__xludf.DUMMYFUNCTION("SUM(QUERY(Entregas_BD!D:L,""select J where D='""&amp;D263&amp;""'"",1))"),0.0)</f>
        <v>0</v>
      </c>
      <c r="R263" s="24">
        <f>IFERROR(__xludf.DUMMYFUNCTION("SUM(QUERY(Entregas_BD!D:L,""select K where D='""&amp;D263&amp;""'"",1))"),0.0)</f>
        <v>0</v>
      </c>
      <c r="S263" s="24">
        <f>IFERROR(__xludf.DUMMYFUNCTION("SUM(QUERY(Entregas_BD!D:L,""select L where D='""&amp;D263&amp;""'"",1))"),0.0)</f>
        <v>0</v>
      </c>
      <c r="T263" s="19">
        <f>IFERROR(__xludf.DUMMYFUNCTION("SUM(QUERY(Entregas_BD!D:AL,""select AG where D='""&amp;D263&amp;""'"",1))"),25.0)</f>
        <v>25</v>
      </c>
      <c r="U263" s="19">
        <f>IFERROR(__xludf.DUMMYFUNCTION("SUM(QUERY(Entregas_BD!D:AL,""select AH where D='""&amp;D263&amp;""'"",1))"),0.0)</f>
        <v>0</v>
      </c>
      <c r="V263" s="19">
        <f>IFERROR(__xludf.DUMMYFUNCTION("SUM(QUERY(Entregas_BD!D:AL,""select AI where D='""&amp;D263&amp;""'"",1))"),0.0)</f>
        <v>0</v>
      </c>
      <c r="W263" s="19">
        <f>IFERROR(__xludf.DUMMYFUNCTION("SUM(QUERY(Entregas_BD!D:AL,""select AJ where D='""&amp;D263&amp;""'"",1))"),0.0)</f>
        <v>0</v>
      </c>
      <c r="X263" s="19">
        <f>IFERROR(__xludf.DUMMYFUNCTION("SUM(QUERY(Entregas_BD!D:AL,""select AL where D='""&amp;D263&amp;""'"",1))"),0.0)</f>
        <v>0</v>
      </c>
      <c r="Y263" s="19">
        <f>IFERROR(__xludf.DUMMYFUNCTION("SUM(QUERY(Entregas_BD!D:AL,""select AK where D='""&amp;D263&amp;""'"",1))"),0.0)</f>
        <v>0</v>
      </c>
      <c r="Z263" s="19">
        <v>-25.0</v>
      </c>
      <c r="AA263" s="19">
        <v>0.0</v>
      </c>
      <c r="AB263" s="19">
        <v>0.0</v>
      </c>
      <c r="AC263" s="19">
        <v>0.0</v>
      </c>
      <c r="AD263" s="19">
        <v>0.0</v>
      </c>
      <c r="AE263" s="19">
        <v>0.0</v>
      </c>
      <c r="AF263" s="22"/>
      <c r="AG263" s="24">
        <f>IFERROR(__xludf.DUMMYFUNCTION("SUM(QUERY(Entregas_BD!D:W,""select U where D='""&amp;D263&amp;""'"",1))"),0.0)</f>
        <v>0</v>
      </c>
      <c r="AH263" s="24">
        <f>IFERROR(__xludf.DUMMYFUNCTION("SUM(QUERY(Entregas_BD!D:W,""select S where D='""&amp;D263&amp;""'"",1))"),0.0)</f>
        <v>0</v>
      </c>
      <c r="AI263" s="24">
        <f>IFERROR(__xludf.DUMMYFUNCTION("SUM(QUERY(Entregas_BD!D:W,""select T where D='""&amp;D263&amp;""'"",1))"),0.0)</f>
        <v>0</v>
      </c>
    </row>
    <row r="264" ht="19.5" customHeight="1">
      <c r="A264" s="53"/>
      <c r="B264" s="8"/>
      <c r="C264" s="9">
        <v>263.0</v>
      </c>
      <c r="D264" s="10" t="s">
        <v>687</v>
      </c>
      <c r="E264" s="10" t="s">
        <v>197</v>
      </c>
      <c r="F264" s="10" t="s">
        <v>243</v>
      </c>
      <c r="G264" s="10" t="s">
        <v>149</v>
      </c>
      <c r="H264" s="12" t="s">
        <v>617</v>
      </c>
      <c r="I264" s="11" t="s">
        <v>41</v>
      </c>
      <c r="J264" s="50"/>
      <c r="K264" s="12"/>
      <c r="L264" s="13"/>
      <c r="M264" s="12"/>
      <c r="N264" s="9">
        <f>IFERROR(__xludf.DUMMYFUNCTION("SUM(QUERY(Entregas_BD!D:L,""select G where D='""&amp;D264&amp;""'"",1))"),0.0)</f>
        <v>0</v>
      </c>
      <c r="O264" s="9">
        <f>IFERROR(__xludf.DUMMYFUNCTION("SUM(QUERY(Entregas_BD!D:L,""select H where D='""&amp;D264&amp;""'"",1))"),0.0)</f>
        <v>0</v>
      </c>
      <c r="P264" s="9">
        <f>IFERROR(__xludf.DUMMYFUNCTION("SUM(QUERY(Entregas_BD!D:L,""select I where D='""&amp;D264&amp;""'"",1))"),0.0)</f>
        <v>0</v>
      </c>
      <c r="Q264" s="9">
        <f>IFERROR(__xludf.DUMMYFUNCTION("SUM(QUERY(Entregas_BD!D:L,""select J where D='""&amp;D264&amp;""'"",1))"),0.0)</f>
        <v>0</v>
      </c>
      <c r="R264" s="15">
        <f>IFERROR(__xludf.DUMMYFUNCTION("SUM(QUERY(Entregas_BD!D:L,""select K where D='""&amp;D264&amp;""'"",1))"),0.0)</f>
        <v>0</v>
      </c>
      <c r="S264" s="15">
        <f>IFERROR(__xludf.DUMMYFUNCTION("SUM(QUERY(Entregas_BD!D:L,""select L where D='""&amp;D264&amp;""'"",1))"),0.0)</f>
        <v>0</v>
      </c>
      <c r="T264" s="9">
        <f>IFERROR(__xludf.DUMMYFUNCTION("SUM(QUERY(Entregas_BD!D:AL,""select AG where D='""&amp;D264&amp;""'"",1))"),0.0)</f>
        <v>0</v>
      </c>
      <c r="U264" s="9">
        <f>IFERROR(__xludf.DUMMYFUNCTION("SUM(QUERY(Entregas_BD!D:AL,""select AH where D='""&amp;D264&amp;""'"",1))"),0.0)</f>
        <v>0</v>
      </c>
      <c r="V264" s="9">
        <f>IFERROR(__xludf.DUMMYFUNCTION("SUM(QUERY(Entregas_BD!D:AL,""select AI where D='""&amp;D264&amp;""'"",1))"),0.0)</f>
        <v>0</v>
      </c>
      <c r="W264" s="9">
        <f>IFERROR(__xludf.DUMMYFUNCTION("SUM(QUERY(Entregas_BD!D:AL,""select AJ where D='""&amp;D264&amp;""'"",1))"),0.0)</f>
        <v>0</v>
      </c>
      <c r="X264" s="9">
        <f>IFERROR(__xludf.DUMMYFUNCTION("SUM(QUERY(Entregas_BD!D:AL,""select AL where D='""&amp;D264&amp;""'"",1))"),0.0)</f>
        <v>0</v>
      </c>
      <c r="Y264" s="9">
        <f>IFERROR(__xludf.DUMMYFUNCTION("SUM(QUERY(Entregas_BD!D:AL,""select AK where D='""&amp;D264&amp;""'"",1))"),0.0)</f>
        <v>0</v>
      </c>
      <c r="Z264" s="9">
        <v>0.0</v>
      </c>
      <c r="AA264" s="9">
        <v>0.0</v>
      </c>
      <c r="AB264" s="9">
        <v>0.0</v>
      </c>
      <c r="AC264" s="9">
        <v>0.0</v>
      </c>
      <c r="AD264" s="9">
        <v>0.0</v>
      </c>
      <c r="AE264" s="9">
        <v>0.0</v>
      </c>
      <c r="AF264" s="12"/>
      <c r="AG264" s="15">
        <f>IFERROR(__xludf.DUMMYFUNCTION("SUM(QUERY(Entregas_BD!D:W,""select U where D='""&amp;D264&amp;""'"",1))"),0.0)</f>
        <v>0</v>
      </c>
      <c r="AH264" s="15">
        <f>IFERROR(__xludf.DUMMYFUNCTION("SUM(QUERY(Entregas_BD!D:W,""select S where D='""&amp;D264&amp;""'"",1))"),0.0)</f>
        <v>0</v>
      </c>
      <c r="AI264" s="15">
        <f>IFERROR(__xludf.DUMMYFUNCTION("SUM(QUERY(Entregas_BD!D:W,""select T where D='""&amp;D264&amp;""'"",1))"),0.0)</f>
        <v>0</v>
      </c>
    </row>
    <row r="265" ht="19.5" customHeight="1">
      <c r="A265" s="54"/>
      <c r="B265" s="29"/>
      <c r="C265" s="19">
        <v>264.0</v>
      </c>
      <c r="D265" s="20" t="s">
        <v>688</v>
      </c>
      <c r="E265" s="20" t="s">
        <v>197</v>
      </c>
      <c r="F265" s="20" t="s">
        <v>243</v>
      </c>
      <c r="G265" s="20" t="s">
        <v>689</v>
      </c>
      <c r="H265" s="22" t="s">
        <v>690</v>
      </c>
      <c r="I265" s="21" t="s">
        <v>41</v>
      </c>
      <c r="J265" s="51"/>
      <c r="K265" s="22"/>
      <c r="L265" s="23"/>
      <c r="M265" s="22"/>
      <c r="N265" s="19">
        <f>IFERROR(__xludf.DUMMYFUNCTION("SUM(QUERY(Entregas_BD!D:L,""select G where D='""&amp;D265&amp;""'"",1))"),0.0)</f>
        <v>0</v>
      </c>
      <c r="O265" s="19">
        <f>IFERROR(__xludf.DUMMYFUNCTION("SUM(QUERY(Entregas_BD!D:L,""select H where D='""&amp;D265&amp;""'"",1))"),0.0)</f>
        <v>0</v>
      </c>
      <c r="P265" s="19">
        <f>IFERROR(__xludf.DUMMYFUNCTION("SUM(QUERY(Entregas_BD!D:L,""select I where D='""&amp;D265&amp;""'"",1))"),0.0)</f>
        <v>0</v>
      </c>
      <c r="Q265" s="19">
        <f>IFERROR(__xludf.DUMMYFUNCTION("SUM(QUERY(Entregas_BD!D:L,""select J where D='""&amp;D265&amp;""'"",1))"),0.0)</f>
        <v>0</v>
      </c>
      <c r="R265" s="24">
        <f>IFERROR(__xludf.DUMMYFUNCTION("SUM(QUERY(Entregas_BD!D:L,""select K where D='""&amp;D265&amp;""'"",1))"),0.0)</f>
        <v>0</v>
      </c>
      <c r="S265" s="24">
        <f>IFERROR(__xludf.DUMMYFUNCTION("SUM(QUERY(Entregas_BD!D:L,""select L where D='""&amp;D265&amp;""'"",1))"),0.0)</f>
        <v>0</v>
      </c>
      <c r="T265" s="19">
        <f>IFERROR(__xludf.DUMMYFUNCTION("SUM(QUERY(Entregas_BD!D:AL,""select AG where D='""&amp;D265&amp;""'"",1))"),0.0)</f>
        <v>0</v>
      </c>
      <c r="U265" s="19">
        <f>IFERROR(__xludf.DUMMYFUNCTION("SUM(QUERY(Entregas_BD!D:AL,""select AH where D='""&amp;D265&amp;""'"",1))"),0.0)</f>
        <v>0</v>
      </c>
      <c r="V265" s="19">
        <f>IFERROR(__xludf.DUMMYFUNCTION("SUM(QUERY(Entregas_BD!D:AL,""select AI where D='""&amp;D265&amp;""'"",1))"),0.0)</f>
        <v>0</v>
      </c>
      <c r="W265" s="19">
        <f>IFERROR(__xludf.DUMMYFUNCTION("SUM(QUERY(Entregas_BD!D:AL,""select AJ where D='""&amp;D265&amp;""'"",1))"),0.0)</f>
        <v>0</v>
      </c>
      <c r="X265" s="19">
        <f>IFERROR(__xludf.DUMMYFUNCTION("SUM(QUERY(Entregas_BD!D:AL,""select AL where D='""&amp;D265&amp;""'"",1))"),0.0)</f>
        <v>0</v>
      </c>
      <c r="Y265" s="19">
        <f>IFERROR(__xludf.DUMMYFUNCTION("SUM(QUERY(Entregas_BD!D:AL,""select AK where D='""&amp;D265&amp;""'"",1))"),0.0)</f>
        <v>0</v>
      </c>
      <c r="Z265" s="19">
        <v>0.0</v>
      </c>
      <c r="AA265" s="19">
        <v>0.0</v>
      </c>
      <c r="AB265" s="19">
        <v>0.0</v>
      </c>
      <c r="AC265" s="19">
        <v>0.0</v>
      </c>
      <c r="AD265" s="19">
        <v>0.0</v>
      </c>
      <c r="AE265" s="19">
        <v>0.0</v>
      </c>
      <c r="AF265" s="22"/>
      <c r="AG265" s="24">
        <f>IFERROR(__xludf.DUMMYFUNCTION("SUM(QUERY(Entregas_BD!D:W,""select U where D='""&amp;D265&amp;""'"",1))"),0.0)</f>
        <v>0</v>
      </c>
      <c r="AH265" s="24">
        <f>IFERROR(__xludf.DUMMYFUNCTION("SUM(QUERY(Entregas_BD!D:W,""select S where D='""&amp;D265&amp;""'"",1))"),0.0)</f>
        <v>0</v>
      </c>
      <c r="AI265" s="24">
        <f>IFERROR(__xludf.DUMMYFUNCTION("SUM(QUERY(Entregas_BD!D:W,""select T where D='""&amp;D265&amp;""'"",1))"),0.0)</f>
        <v>0</v>
      </c>
    </row>
    <row r="266" ht="19.5" customHeight="1">
      <c r="A266" s="53"/>
      <c r="B266" s="8"/>
      <c r="C266" s="9">
        <v>265.0</v>
      </c>
      <c r="D266" s="10" t="s">
        <v>691</v>
      </c>
      <c r="E266" s="10" t="s">
        <v>38</v>
      </c>
      <c r="F266" s="10" t="s">
        <v>692</v>
      </c>
      <c r="G266" s="10" t="s">
        <v>149</v>
      </c>
      <c r="H266" s="12" t="s">
        <v>693</v>
      </c>
      <c r="I266" s="11" t="s">
        <v>41</v>
      </c>
      <c r="J266" s="50"/>
      <c r="K266" s="12"/>
      <c r="L266" s="13"/>
      <c r="M266" s="12"/>
      <c r="N266" s="9">
        <f>IFERROR(__xludf.DUMMYFUNCTION("SUM(QUERY(Entregas_BD!D:L,""select G where D='""&amp;D266&amp;""'"",1))"),0.0)</f>
        <v>0</v>
      </c>
      <c r="O266" s="9">
        <f>IFERROR(__xludf.DUMMYFUNCTION("SUM(QUERY(Entregas_BD!D:L,""select H where D='""&amp;D266&amp;""'"",1))"),0.0)</f>
        <v>0</v>
      </c>
      <c r="P266" s="9">
        <f>IFERROR(__xludf.DUMMYFUNCTION("SUM(QUERY(Entregas_BD!D:L,""select I where D='""&amp;D266&amp;""'"",1))"),0.0)</f>
        <v>0</v>
      </c>
      <c r="Q266" s="9">
        <f>IFERROR(__xludf.DUMMYFUNCTION("SUM(QUERY(Entregas_BD!D:L,""select J where D='""&amp;D266&amp;""'"",1))"),0.0)</f>
        <v>0</v>
      </c>
      <c r="R266" s="15">
        <f>IFERROR(__xludf.DUMMYFUNCTION("SUM(QUERY(Entregas_BD!D:L,""select K where D='""&amp;D266&amp;""'"",1))"),0.0)</f>
        <v>0</v>
      </c>
      <c r="S266" s="15">
        <f>IFERROR(__xludf.DUMMYFUNCTION("SUM(QUERY(Entregas_BD!D:L,""select L where D='""&amp;D266&amp;""'"",1))"),0.0)</f>
        <v>0</v>
      </c>
      <c r="T266" s="9">
        <f>IFERROR(__xludf.DUMMYFUNCTION("SUM(QUERY(Entregas_BD!D:AL,""select AG where D='""&amp;D266&amp;""'"",1))"),0.0)</f>
        <v>0</v>
      </c>
      <c r="U266" s="9">
        <f>IFERROR(__xludf.DUMMYFUNCTION("SUM(QUERY(Entregas_BD!D:AL,""select AH where D='""&amp;D266&amp;""'"",1))"),0.0)</f>
        <v>0</v>
      </c>
      <c r="V266" s="9">
        <f>IFERROR(__xludf.DUMMYFUNCTION("SUM(QUERY(Entregas_BD!D:AL,""select AI where D='""&amp;D266&amp;""'"",1))"),0.0)</f>
        <v>0</v>
      </c>
      <c r="W266" s="9">
        <f>IFERROR(__xludf.DUMMYFUNCTION("SUM(QUERY(Entregas_BD!D:AL,""select AJ where D='""&amp;D266&amp;""'"",1))"),0.0)</f>
        <v>0</v>
      </c>
      <c r="X266" s="9">
        <f>IFERROR(__xludf.DUMMYFUNCTION("SUM(QUERY(Entregas_BD!D:AL,""select AL where D='""&amp;D266&amp;""'"",1))"),0.0)</f>
        <v>0</v>
      </c>
      <c r="Y266" s="9">
        <f>IFERROR(__xludf.DUMMYFUNCTION("SUM(QUERY(Entregas_BD!D:AL,""select AK where D='""&amp;D266&amp;""'"",1))"),0.0)</f>
        <v>0</v>
      </c>
      <c r="Z266" s="9">
        <v>0.0</v>
      </c>
      <c r="AA266" s="9">
        <v>0.0</v>
      </c>
      <c r="AB266" s="9">
        <v>0.0</v>
      </c>
      <c r="AC266" s="9">
        <v>0.0</v>
      </c>
      <c r="AD266" s="9">
        <v>0.0</v>
      </c>
      <c r="AE266" s="9">
        <v>0.0</v>
      </c>
      <c r="AF266" s="12"/>
      <c r="AG266" s="15">
        <f>IFERROR(__xludf.DUMMYFUNCTION("SUM(QUERY(Entregas_BD!D:W,""select U where D='""&amp;D266&amp;""'"",1))"),0.0)</f>
        <v>0</v>
      </c>
      <c r="AH266" s="15">
        <f>IFERROR(__xludf.DUMMYFUNCTION("SUM(QUERY(Entregas_BD!D:W,""select S where D='""&amp;D266&amp;""'"",1))"),0.0)</f>
        <v>0</v>
      </c>
      <c r="AI266" s="15">
        <f>IFERROR(__xludf.DUMMYFUNCTION("SUM(QUERY(Entregas_BD!D:W,""select T where D='""&amp;D266&amp;""'"",1))"),0.0)</f>
        <v>0</v>
      </c>
    </row>
    <row r="267" ht="19.5" customHeight="1">
      <c r="A267" s="54"/>
      <c r="B267" s="29"/>
      <c r="C267" s="19">
        <v>266.0</v>
      </c>
      <c r="D267" s="20" t="s">
        <v>694</v>
      </c>
      <c r="E267" s="20" t="s">
        <v>479</v>
      </c>
      <c r="F267" s="20" t="s">
        <v>580</v>
      </c>
      <c r="G267" s="20" t="s">
        <v>79</v>
      </c>
      <c r="H267" s="22" t="s">
        <v>695</v>
      </c>
      <c r="I267" s="21" t="s">
        <v>41</v>
      </c>
      <c r="J267" s="51"/>
      <c r="K267" s="22"/>
      <c r="L267" s="23"/>
      <c r="M267" s="22"/>
      <c r="N267" s="19">
        <f>IFERROR(__xludf.DUMMYFUNCTION("SUM(QUERY(Entregas_BD!D:L,""select G where D='""&amp;D267&amp;""'"",1))"),0.0)</f>
        <v>0</v>
      </c>
      <c r="O267" s="19">
        <f>IFERROR(__xludf.DUMMYFUNCTION("SUM(QUERY(Entregas_BD!D:L,""select H where D='""&amp;D267&amp;""'"",1))"),0.0)</f>
        <v>0</v>
      </c>
      <c r="P267" s="19">
        <f>IFERROR(__xludf.DUMMYFUNCTION("SUM(QUERY(Entregas_BD!D:L,""select I where D='""&amp;D267&amp;""'"",1))"),0.0)</f>
        <v>0</v>
      </c>
      <c r="Q267" s="19">
        <f>IFERROR(__xludf.DUMMYFUNCTION("SUM(QUERY(Entregas_BD!D:L,""select J where D='""&amp;D267&amp;""'"",1))"),0.0)</f>
        <v>0</v>
      </c>
      <c r="R267" s="24">
        <f>IFERROR(__xludf.DUMMYFUNCTION("SUM(QUERY(Entregas_BD!D:L,""select K where D='""&amp;D267&amp;""'"",1))"),0.0)</f>
        <v>0</v>
      </c>
      <c r="S267" s="24">
        <f>IFERROR(__xludf.DUMMYFUNCTION("SUM(QUERY(Entregas_BD!D:L,""select L where D='""&amp;D267&amp;""'"",1))"),0.0)</f>
        <v>0</v>
      </c>
      <c r="T267" s="19">
        <f>IFERROR(__xludf.DUMMYFUNCTION("SUM(QUERY(Entregas_BD!D:AL,""select AG where D='""&amp;D267&amp;""'"",1))"),0.0)</f>
        <v>0</v>
      </c>
      <c r="U267" s="19">
        <f>IFERROR(__xludf.DUMMYFUNCTION("SUM(QUERY(Entregas_BD!D:AL,""select AH where D='""&amp;D267&amp;""'"",1))"),0.0)</f>
        <v>0</v>
      </c>
      <c r="V267" s="19">
        <f>IFERROR(__xludf.DUMMYFUNCTION("SUM(QUERY(Entregas_BD!D:AL,""select AI where D='""&amp;D267&amp;""'"",1))"),0.0)</f>
        <v>0</v>
      </c>
      <c r="W267" s="19">
        <f>IFERROR(__xludf.DUMMYFUNCTION("SUM(QUERY(Entregas_BD!D:AL,""select AJ where D='""&amp;D267&amp;""'"",1))"),0.0)</f>
        <v>0</v>
      </c>
      <c r="X267" s="19">
        <f>IFERROR(__xludf.DUMMYFUNCTION("SUM(QUERY(Entregas_BD!D:AL,""select AL where D='""&amp;D267&amp;""'"",1))"),0.0)</f>
        <v>0</v>
      </c>
      <c r="Y267" s="19">
        <f>IFERROR(__xludf.DUMMYFUNCTION("SUM(QUERY(Entregas_BD!D:AL,""select AK where D='""&amp;D267&amp;""'"",1))"),0.0)</f>
        <v>0</v>
      </c>
      <c r="Z267" s="19">
        <v>0.0</v>
      </c>
      <c r="AA267" s="19">
        <v>0.0</v>
      </c>
      <c r="AB267" s="19">
        <v>0.0</v>
      </c>
      <c r="AC267" s="19">
        <v>0.0</v>
      </c>
      <c r="AD267" s="19">
        <v>0.0</v>
      </c>
      <c r="AE267" s="19">
        <v>0.0</v>
      </c>
      <c r="AF267" s="22"/>
      <c r="AG267" s="24">
        <f>IFERROR(__xludf.DUMMYFUNCTION("SUM(QUERY(Entregas_BD!D:W,""select U where D='""&amp;D267&amp;""'"",1))"),0.0)</f>
        <v>0</v>
      </c>
      <c r="AH267" s="24">
        <f>IFERROR(__xludf.DUMMYFUNCTION("SUM(QUERY(Entregas_BD!D:W,""select S where D='""&amp;D267&amp;""'"",1))"),0.0)</f>
        <v>0</v>
      </c>
      <c r="AI267" s="24">
        <f>IFERROR(__xludf.DUMMYFUNCTION("SUM(QUERY(Entregas_BD!D:W,""select T where D='""&amp;D267&amp;""'"",1))"),0.0)</f>
        <v>0</v>
      </c>
    </row>
    <row r="268" ht="19.5" customHeight="1">
      <c r="A268" s="53"/>
      <c r="B268" s="8"/>
      <c r="C268" s="9">
        <v>267.0</v>
      </c>
      <c r="D268" s="10" t="s">
        <v>696</v>
      </c>
      <c r="E268" s="10" t="s">
        <v>72</v>
      </c>
      <c r="F268" s="10" t="s">
        <v>45</v>
      </c>
      <c r="G268" s="10" t="s">
        <v>149</v>
      </c>
      <c r="H268" s="12" t="s">
        <v>697</v>
      </c>
      <c r="I268" s="11" t="s">
        <v>41</v>
      </c>
      <c r="J268" s="12"/>
      <c r="K268" s="12"/>
      <c r="L268" s="13"/>
      <c r="M268" s="12"/>
      <c r="N268" s="9">
        <f>IFERROR(__xludf.DUMMYFUNCTION("SUM(QUERY(Entregas_BD!D:L,""select G where D='""&amp;D268&amp;""'"",1))"),0.0)</f>
        <v>0</v>
      </c>
      <c r="O268" s="9">
        <f>IFERROR(__xludf.DUMMYFUNCTION("SUM(QUERY(Entregas_BD!D:L,""select H where D='""&amp;D268&amp;""'"",1))"),0.0)</f>
        <v>0</v>
      </c>
      <c r="P268" s="9">
        <f>IFERROR(__xludf.DUMMYFUNCTION("SUM(QUERY(Entregas_BD!D:L,""select I where D='""&amp;D268&amp;""'"",1))"),0.0)</f>
        <v>0</v>
      </c>
      <c r="Q268" s="9">
        <f>IFERROR(__xludf.DUMMYFUNCTION("SUM(QUERY(Entregas_BD!D:L,""select J where D='""&amp;D268&amp;""'"",1))"),0.0)</f>
        <v>0</v>
      </c>
      <c r="R268" s="15">
        <f>IFERROR(__xludf.DUMMYFUNCTION("SUM(QUERY(Entregas_BD!D:L,""select K where D='""&amp;D268&amp;""'"",1))"),0.0)</f>
        <v>0</v>
      </c>
      <c r="S268" s="15">
        <f>IFERROR(__xludf.DUMMYFUNCTION("SUM(QUERY(Entregas_BD!D:L,""select L where D='""&amp;D268&amp;""'"",1))"),0.0)</f>
        <v>0</v>
      </c>
      <c r="T268" s="9">
        <f>IFERROR(__xludf.DUMMYFUNCTION("SUM(QUERY(Entregas_BD!D:AL,""select AG where D='""&amp;D268&amp;""'"",1))"),0.0)</f>
        <v>0</v>
      </c>
      <c r="U268" s="9">
        <f>IFERROR(__xludf.DUMMYFUNCTION("SUM(QUERY(Entregas_BD!D:AL,""select AH where D='""&amp;D268&amp;""'"",1))"),0.0)</f>
        <v>0</v>
      </c>
      <c r="V268" s="9">
        <f>IFERROR(__xludf.DUMMYFUNCTION("SUM(QUERY(Entregas_BD!D:AL,""select AI where D='""&amp;D268&amp;""'"",1))"),0.0)</f>
        <v>0</v>
      </c>
      <c r="W268" s="9">
        <f>IFERROR(__xludf.DUMMYFUNCTION("SUM(QUERY(Entregas_BD!D:AL,""select AJ where D='""&amp;D268&amp;""'"",1))"),0.0)</f>
        <v>0</v>
      </c>
      <c r="X268" s="9">
        <f>IFERROR(__xludf.DUMMYFUNCTION("SUM(QUERY(Entregas_BD!D:AL,""select AL where D='""&amp;D268&amp;""'"",1))"),0.0)</f>
        <v>0</v>
      </c>
      <c r="Y268" s="9">
        <f>IFERROR(__xludf.DUMMYFUNCTION("SUM(QUERY(Entregas_BD!D:AL,""select AK where D='""&amp;D268&amp;""'"",1))"),0.0)</f>
        <v>0</v>
      </c>
      <c r="Z268" s="9">
        <v>0.0</v>
      </c>
      <c r="AA268" s="9">
        <v>0.0</v>
      </c>
      <c r="AB268" s="9">
        <v>0.0</v>
      </c>
      <c r="AC268" s="9">
        <v>0.0</v>
      </c>
      <c r="AD268" s="9">
        <v>0.0</v>
      </c>
      <c r="AE268" s="9">
        <v>0.0</v>
      </c>
      <c r="AF268" s="12"/>
      <c r="AG268" s="15">
        <f>IFERROR(__xludf.DUMMYFUNCTION("SUM(QUERY(Entregas_BD!D:W,""select U where D='""&amp;D268&amp;""'"",1))"),0.0)</f>
        <v>0</v>
      </c>
      <c r="AH268" s="15">
        <f>IFERROR(__xludf.DUMMYFUNCTION("SUM(QUERY(Entregas_BD!D:W,""select S where D='""&amp;D268&amp;""'"",1))"),0.0)</f>
        <v>0</v>
      </c>
      <c r="AI268" s="15">
        <f>IFERROR(__xludf.DUMMYFUNCTION("SUM(QUERY(Entregas_BD!D:W,""select T where D='""&amp;D268&amp;""'"",1))"),0.0)</f>
        <v>0</v>
      </c>
    </row>
    <row r="269" ht="19.5" customHeight="1">
      <c r="A269" s="54"/>
      <c r="B269" s="29"/>
      <c r="C269" s="19">
        <v>268.0</v>
      </c>
      <c r="D269" s="20" t="s">
        <v>698</v>
      </c>
      <c r="E269" s="20" t="s">
        <v>197</v>
      </c>
      <c r="F269" s="20" t="s">
        <v>243</v>
      </c>
      <c r="G269" s="20" t="s">
        <v>699</v>
      </c>
      <c r="H269" s="22" t="s">
        <v>632</v>
      </c>
      <c r="I269" s="21" t="s">
        <v>41</v>
      </c>
      <c r="J269" s="22"/>
      <c r="K269" s="22"/>
      <c r="L269" s="23"/>
      <c r="M269" s="22"/>
      <c r="N269" s="19">
        <f>IFERROR(__xludf.DUMMYFUNCTION("SUM(QUERY(Entregas_BD!D:L,""select G where D='""&amp;D269&amp;""'"",1))"),0.0)</f>
        <v>0</v>
      </c>
      <c r="O269" s="19">
        <f>IFERROR(__xludf.DUMMYFUNCTION("SUM(QUERY(Entregas_BD!D:L,""select H where D='""&amp;D269&amp;""'"",1))"),0.0)</f>
        <v>0</v>
      </c>
      <c r="P269" s="19">
        <f>IFERROR(__xludf.DUMMYFUNCTION("SUM(QUERY(Entregas_BD!D:L,""select I where D='""&amp;D269&amp;""'"",1))"),0.0)</f>
        <v>0</v>
      </c>
      <c r="Q269" s="19">
        <f>IFERROR(__xludf.DUMMYFUNCTION("SUM(QUERY(Entregas_BD!D:L,""select J where D='""&amp;D269&amp;""'"",1))"),0.0)</f>
        <v>0</v>
      </c>
      <c r="R269" s="24">
        <f>IFERROR(__xludf.DUMMYFUNCTION("SUM(QUERY(Entregas_BD!D:L,""select K where D='""&amp;D269&amp;""'"",1))"),0.0)</f>
        <v>0</v>
      </c>
      <c r="S269" s="24">
        <f>IFERROR(__xludf.DUMMYFUNCTION("SUM(QUERY(Entregas_BD!D:L,""select L where D='""&amp;D269&amp;""'"",1))"),0.0)</f>
        <v>0</v>
      </c>
      <c r="T269" s="19">
        <f>IFERROR(__xludf.DUMMYFUNCTION("SUM(QUERY(Entregas_BD!D:AL,""select AG where D='""&amp;D269&amp;""'"",1))"),0.0)</f>
        <v>0</v>
      </c>
      <c r="U269" s="19">
        <f>IFERROR(__xludf.DUMMYFUNCTION("SUM(QUERY(Entregas_BD!D:AL,""select AH where D='""&amp;D269&amp;""'"",1))"),0.0)</f>
        <v>0</v>
      </c>
      <c r="V269" s="19">
        <f>IFERROR(__xludf.DUMMYFUNCTION("SUM(QUERY(Entregas_BD!D:AL,""select AI where D='""&amp;D269&amp;""'"",1))"),0.0)</f>
        <v>0</v>
      </c>
      <c r="W269" s="19">
        <f>IFERROR(__xludf.DUMMYFUNCTION("SUM(QUERY(Entregas_BD!D:AL,""select AJ where D='""&amp;D269&amp;""'"",1))"),0.0)</f>
        <v>0</v>
      </c>
      <c r="X269" s="19">
        <f>IFERROR(__xludf.DUMMYFUNCTION("SUM(QUERY(Entregas_BD!D:AL,""select AL where D='""&amp;D269&amp;""'"",1))"),0.0)</f>
        <v>0</v>
      </c>
      <c r="Y269" s="19">
        <f>IFERROR(__xludf.DUMMYFUNCTION("SUM(QUERY(Entregas_BD!D:AL,""select AK where D='""&amp;D269&amp;""'"",1))"),0.0)</f>
        <v>0</v>
      </c>
      <c r="Z269" s="19">
        <v>0.0</v>
      </c>
      <c r="AA269" s="19">
        <v>0.0</v>
      </c>
      <c r="AB269" s="19">
        <v>0.0</v>
      </c>
      <c r="AC269" s="19">
        <v>0.0</v>
      </c>
      <c r="AD269" s="19">
        <v>0.0</v>
      </c>
      <c r="AE269" s="19">
        <v>0.0</v>
      </c>
      <c r="AF269" s="22"/>
      <c r="AG269" s="24">
        <f>IFERROR(__xludf.DUMMYFUNCTION("SUM(QUERY(Entregas_BD!D:W,""select U where D='""&amp;D269&amp;""'"",1))"),0.0)</f>
        <v>0</v>
      </c>
      <c r="AH269" s="24">
        <f>IFERROR(__xludf.DUMMYFUNCTION("SUM(QUERY(Entregas_BD!D:W,""select S where D='""&amp;D269&amp;""'"",1))"),0.0)</f>
        <v>0</v>
      </c>
      <c r="AI269" s="24">
        <f>IFERROR(__xludf.DUMMYFUNCTION("SUM(QUERY(Entregas_BD!D:W,""select T where D='""&amp;D269&amp;""'"",1))"),0.0)</f>
        <v>0</v>
      </c>
    </row>
    <row r="270" ht="19.5" customHeight="1">
      <c r="A270" s="53"/>
      <c r="B270" s="8"/>
      <c r="C270" s="9">
        <v>269.0</v>
      </c>
      <c r="D270" s="10" t="s">
        <v>700</v>
      </c>
      <c r="E270" s="10" t="s">
        <v>197</v>
      </c>
      <c r="F270" s="10" t="s">
        <v>243</v>
      </c>
      <c r="G270" s="10" t="s">
        <v>701</v>
      </c>
      <c r="H270" s="12" t="s">
        <v>632</v>
      </c>
      <c r="I270" s="11" t="s">
        <v>41</v>
      </c>
      <c r="J270" s="12"/>
      <c r="K270" s="12"/>
      <c r="L270" s="13"/>
      <c r="M270" s="12"/>
      <c r="N270" s="9">
        <f>IFERROR(__xludf.DUMMYFUNCTION("SUM(QUERY(Entregas_BD!D:L,""select G where D='""&amp;D270&amp;""'"",1))"),0.0)</f>
        <v>0</v>
      </c>
      <c r="O270" s="9">
        <f>IFERROR(__xludf.DUMMYFUNCTION("SUM(QUERY(Entregas_BD!D:L,""select H where D='""&amp;D270&amp;""'"",1))"),0.0)</f>
        <v>0</v>
      </c>
      <c r="P270" s="9">
        <f>IFERROR(__xludf.DUMMYFUNCTION("SUM(QUERY(Entregas_BD!D:L,""select I where D='""&amp;D270&amp;""'"",1))"),0.0)</f>
        <v>0</v>
      </c>
      <c r="Q270" s="9">
        <f>IFERROR(__xludf.DUMMYFUNCTION("SUM(QUERY(Entregas_BD!D:L,""select J where D='""&amp;D270&amp;""'"",1))"),0.0)</f>
        <v>0</v>
      </c>
      <c r="R270" s="15">
        <f>IFERROR(__xludf.DUMMYFUNCTION("SUM(QUERY(Entregas_BD!D:L,""select K where D='""&amp;D270&amp;""'"",1))"),0.0)</f>
        <v>0</v>
      </c>
      <c r="S270" s="15">
        <f>IFERROR(__xludf.DUMMYFUNCTION("SUM(QUERY(Entregas_BD!D:L,""select L where D='""&amp;D270&amp;""'"",1))"),0.0)</f>
        <v>0</v>
      </c>
      <c r="T270" s="9">
        <f>IFERROR(__xludf.DUMMYFUNCTION("SUM(QUERY(Entregas_BD!D:AL,""select AG where D='""&amp;D270&amp;""'"",1))"),0.0)</f>
        <v>0</v>
      </c>
      <c r="U270" s="9">
        <f>IFERROR(__xludf.DUMMYFUNCTION("SUM(QUERY(Entregas_BD!D:AL,""select AH where D='""&amp;D270&amp;""'"",1))"),0.0)</f>
        <v>0</v>
      </c>
      <c r="V270" s="9">
        <f>IFERROR(__xludf.DUMMYFUNCTION("SUM(QUERY(Entregas_BD!D:AL,""select AI where D='""&amp;D270&amp;""'"",1))"),0.0)</f>
        <v>0</v>
      </c>
      <c r="W270" s="9">
        <f>IFERROR(__xludf.DUMMYFUNCTION("SUM(QUERY(Entregas_BD!D:AL,""select AJ where D='""&amp;D270&amp;""'"",1))"),0.0)</f>
        <v>0</v>
      </c>
      <c r="X270" s="9">
        <f>IFERROR(__xludf.DUMMYFUNCTION("SUM(QUERY(Entregas_BD!D:AL,""select AL where D='""&amp;D270&amp;""'"",1))"),0.0)</f>
        <v>0</v>
      </c>
      <c r="Y270" s="9">
        <f>IFERROR(__xludf.DUMMYFUNCTION("SUM(QUERY(Entregas_BD!D:AL,""select AK where D='""&amp;D270&amp;""'"",1))"),0.0)</f>
        <v>0</v>
      </c>
      <c r="Z270" s="9">
        <v>0.0</v>
      </c>
      <c r="AA270" s="9">
        <v>0.0</v>
      </c>
      <c r="AB270" s="9">
        <v>0.0</v>
      </c>
      <c r="AC270" s="9">
        <v>0.0</v>
      </c>
      <c r="AD270" s="9">
        <v>0.0</v>
      </c>
      <c r="AE270" s="9">
        <v>0.0</v>
      </c>
      <c r="AF270" s="12"/>
      <c r="AG270" s="15">
        <f>IFERROR(__xludf.DUMMYFUNCTION("SUM(QUERY(Entregas_BD!D:W,""select U where D='""&amp;D270&amp;""'"",1))"),0.0)</f>
        <v>0</v>
      </c>
      <c r="AH270" s="15">
        <f>IFERROR(__xludf.DUMMYFUNCTION("SUM(QUERY(Entregas_BD!D:W,""select S where D='""&amp;D270&amp;""'"",1))"),0.0)</f>
        <v>0</v>
      </c>
      <c r="AI270" s="15">
        <f>IFERROR(__xludf.DUMMYFUNCTION("SUM(QUERY(Entregas_BD!D:W,""select T where D='""&amp;D270&amp;""'"",1))"),0.0)</f>
        <v>0</v>
      </c>
    </row>
    <row r="271" ht="19.5" customHeight="1">
      <c r="A271" s="54"/>
      <c r="B271" s="29"/>
      <c r="C271" s="19">
        <v>270.0</v>
      </c>
      <c r="D271" s="20" t="s">
        <v>702</v>
      </c>
      <c r="E271" s="20" t="s">
        <v>197</v>
      </c>
      <c r="F271" s="20" t="s">
        <v>243</v>
      </c>
      <c r="G271" s="20" t="s">
        <v>643</v>
      </c>
      <c r="H271" s="22" t="s">
        <v>632</v>
      </c>
      <c r="I271" s="21" t="s">
        <v>41</v>
      </c>
      <c r="J271" s="22"/>
      <c r="K271" s="22"/>
      <c r="L271" s="23"/>
      <c r="M271" s="22"/>
      <c r="N271" s="19">
        <f>IFERROR(__xludf.DUMMYFUNCTION("SUM(QUERY(Entregas_BD!D:L,""select G where D='""&amp;D271&amp;""'"",1))"),0.0)</f>
        <v>0</v>
      </c>
      <c r="O271" s="19">
        <f>IFERROR(__xludf.DUMMYFUNCTION("SUM(QUERY(Entregas_BD!D:L,""select H where D='""&amp;D271&amp;""'"",1))"),0.0)</f>
        <v>0</v>
      </c>
      <c r="P271" s="19">
        <f>IFERROR(__xludf.DUMMYFUNCTION("SUM(QUERY(Entregas_BD!D:L,""select I where D='""&amp;D271&amp;""'"",1))"),0.0)</f>
        <v>0</v>
      </c>
      <c r="Q271" s="19">
        <f>IFERROR(__xludf.DUMMYFUNCTION("SUM(QUERY(Entregas_BD!D:L,""select J where D='""&amp;D271&amp;""'"",1))"),0.0)</f>
        <v>0</v>
      </c>
      <c r="R271" s="24">
        <f>IFERROR(__xludf.DUMMYFUNCTION("SUM(QUERY(Entregas_BD!D:L,""select K where D='""&amp;D271&amp;""'"",1))"),0.0)</f>
        <v>0</v>
      </c>
      <c r="S271" s="24">
        <f>IFERROR(__xludf.DUMMYFUNCTION("SUM(QUERY(Entregas_BD!D:L,""select L where D='""&amp;D271&amp;""'"",1))"),0.0)</f>
        <v>0</v>
      </c>
      <c r="T271" s="19">
        <f>IFERROR(__xludf.DUMMYFUNCTION("SUM(QUERY(Entregas_BD!D:AL,""select AG where D='""&amp;D271&amp;""'"",1))"),0.0)</f>
        <v>0</v>
      </c>
      <c r="U271" s="19">
        <f>IFERROR(__xludf.DUMMYFUNCTION("SUM(QUERY(Entregas_BD!D:AL,""select AH where D='""&amp;D271&amp;""'"",1))"),0.0)</f>
        <v>0</v>
      </c>
      <c r="V271" s="19">
        <f>IFERROR(__xludf.DUMMYFUNCTION("SUM(QUERY(Entregas_BD!D:AL,""select AI where D='""&amp;D271&amp;""'"",1))"),0.0)</f>
        <v>0</v>
      </c>
      <c r="W271" s="19">
        <f>IFERROR(__xludf.DUMMYFUNCTION("SUM(QUERY(Entregas_BD!D:AL,""select AJ where D='""&amp;D271&amp;""'"",1))"),0.0)</f>
        <v>0</v>
      </c>
      <c r="X271" s="19">
        <f>IFERROR(__xludf.DUMMYFUNCTION("SUM(QUERY(Entregas_BD!D:AL,""select AL where D='""&amp;D271&amp;""'"",1))"),0.0)</f>
        <v>0</v>
      </c>
      <c r="Y271" s="19">
        <f>IFERROR(__xludf.DUMMYFUNCTION("SUM(QUERY(Entregas_BD!D:AL,""select AK where D='""&amp;D271&amp;""'"",1))"),0.0)</f>
        <v>0</v>
      </c>
      <c r="Z271" s="19">
        <v>0.0</v>
      </c>
      <c r="AA271" s="19">
        <v>0.0</v>
      </c>
      <c r="AB271" s="19">
        <v>0.0</v>
      </c>
      <c r="AC271" s="19">
        <v>0.0</v>
      </c>
      <c r="AD271" s="19">
        <v>0.0</v>
      </c>
      <c r="AE271" s="19">
        <v>0.0</v>
      </c>
      <c r="AF271" s="22"/>
      <c r="AG271" s="24">
        <f>IFERROR(__xludf.DUMMYFUNCTION("SUM(QUERY(Entregas_BD!D:W,""select U where D='""&amp;D271&amp;""'"",1))"),0.0)</f>
        <v>0</v>
      </c>
      <c r="AH271" s="24">
        <f>IFERROR(__xludf.DUMMYFUNCTION("SUM(QUERY(Entregas_BD!D:W,""select S where D='""&amp;D271&amp;""'"",1))"),0.0)</f>
        <v>0</v>
      </c>
      <c r="AI271" s="24">
        <f>IFERROR(__xludf.DUMMYFUNCTION("SUM(QUERY(Entregas_BD!D:W,""select T where D='""&amp;D271&amp;""'"",1))"),0.0)</f>
        <v>0</v>
      </c>
    </row>
    <row r="272" ht="19.5" customHeight="1">
      <c r="A272" s="53"/>
      <c r="B272" s="8"/>
      <c r="C272" s="9">
        <v>271.0</v>
      </c>
      <c r="D272" s="10" t="s">
        <v>703</v>
      </c>
      <c r="E272" s="10" t="s">
        <v>197</v>
      </c>
      <c r="F272" s="10" t="s">
        <v>243</v>
      </c>
      <c r="G272" s="10" t="s">
        <v>643</v>
      </c>
      <c r="H272" s="12" t="s">
        <v>632</v>
      </c>
      <c r="I272" s="11" t="s">
        <v>41</v>
      </c>
      <c r="J272" s="12"/>
      <c r="K272" s="12"/>
      <c r="L272" s="13"/>
      <c r="M272" s="12"/>
      <c r="N272" s="9">
        <f>IFERROR(__xludf.DUMMYFUNCTION("SUM(QUERY(Entregas_BD!D:L,""select G where D='""&amp;D272&amp;""'"",1))"),0.0)</f>
        <v>0</v>
      </c>
      <c r="O272" s="9">
        <f>IFERROR(__xludf.DUMMYFUNCTION("SUM(QUERY(Entregas_BD!D:L,""select H where D='""&amp;D272&amp;""'"",1))"),0.0)</f>
        <v>0</v>
      </c>
      <c r="P272" s="9">
        <f>IFERROR(__xludf.DUMMYFUNCTION("SUM(QUERY(Entregas_BD!D:L,""select I where D='""&amp;D272&amp;""'"",1))"),0.0)</f>
        <v>0</v>
      </c>
      <c r="Q272" s="9">
        <f>IFERROR(__xludf.DUMMYFUNCTION("SUM(QUERY(Entregas_BD!D:L,""select J where D='""&amp;D272&amp;""'"",1))"),0.0)</f>
        <v>0</v>
      </c>
      <c r="R272" s="15">
        <f>IFERROR(__xludf.DUMMYFUNCTION("SUM(QUERY(Entregas_BD!D:L,""select K where D='""&amp;D272&amp;""'"",1))"),0.0)</f>
        <v>0</v>
      </c>
      <c r="S272" s="15">
        <f>IFERROR(__xludf.DUMMYFUNCTION("SUM(QUERY(Entregas_BD!D:L,""select L where D='""&amp;D272&amp;""'"",1))"),0.0)</f>
        <v>0</v>
      </c>
      <c r="T272" s="9">
        <f>IFERROR(__xludf.DUMMYFUNCTION("SUM(QUERY(Entregas_BD!D:AL,""select AG where D='""&amp;D272&amp;""'"",1))"),0.0)</f>
        <v>0</v>
      </c>
      <c r="U272" s="9">
        <f>IFERROR(__xludf.DUMMYFUNCTION("SUM(QUERY(Entregas_BD!D:AL,""select AH where D='""&amp;D272&amp;""'"",1))"),0.0)</f>
        <v>0</v>
      </c>
      <c r="V272" s="9">
        <f>IFERROR(__xludf.DUMMYFUNCTION("SUM(QUERY(Entregas_BD!D:AL,""select AI where D='""&amp;D272&amp;""'"",1))"),0.0)</f>
        <v>0</v>
      </c>
      <c r="W272" s="9">
        <f>IFERROR(__xludf.DUMMYFUNCTION("SUM(QUERY(Entregas_BD!D:AL,""select AJ where D='""&amp;D272&amp;""'"",1))"),0.0)</f>
        <v>0</v>
      </c>
      <c r="X272" s="9">
        <f>IFERROR(__xludf.DUMMYFUNCTION("SUM(QUERY(Entregas_BD!D:AL,""select AL where D='""&amp;D272&amp;""'"",1))"),0.0)</f>
        <v>0</v>
      </c>
      <c r="Y272" s="9">
        <f>IFERROR(__xludf.DUMMYFUNCTION("SUM(QUERY(Entregas_BD!D:AL,""select AK where D='""&amp;D272&amp;""'"",1))"),0.0)</f>
        <v>0</v>
      </c>
      <c r="Z272" s="9">
        <v>0.0</v>
      </c>
      <c r="AA272" s="9">
        <v>0.0</v>
      </c>
      <c r="AB272" s="9">
        <v>0.0</v>
      </c>
      <c r="AC272" s="9">
        <v>0.0</v>
      </c>
      <c r="AD272" s="9">
        <v>0.0</v>
      </c>
      <c r="AE272" s="9">
        <v>0.0</v>
      </c>
      <c r="AF272" s="12"/>
      <c r="AG272" s="15">
        <f>IFERROR(__xludf.DUMMYFUNCTION("SUM(QUERY(Entregas_BD!D:W,""select U where D='""&amp;D272&amp;""'"",1))"),0.0)</f>
        <v>0</v>
      </c>
      <c r="AH272" s="15">
        <f>IFERROR(__xludf.DUMMYFUNCTION("SUM(QUERY(Entregas_BD!D:W,""select S where D='""&amp;D272&amp;""'"",1))"),0.0)</f>
        <v>0</v>
      </c>
      <c r="AI272" s="15">
        <f>IFERROR(__xludf.DUMMYFUNCTION("SUM(QUERY(Entregas_BD!D:W,""select T where D='""&amp;D272&amp;""'"",1))"),0.0)</f>
        <v>0</v>
      </c>
    </row>
    <row r="273" ht="19.5" customHeight="1">
      <c r="A273" s="54"/>
      <c r="B273" s="29"/>
      <c r="C273" s="19">
        <v>272.0</v>
      </c>
      <c r="D273" s="20" t="s">
        <v>704</v>
      </c>
      <c r="E273" s="20" t="s">
        <v>197</v>
      </c>
      <c r="F273" s="20" t="s">
        <v>243</v>
      </c>
      <c r="G273" s="20" t="s">
        <v>244</v>
      </c>
      <c r="H273" s="22" t="s">
        <v>632</v>
      </c>
      <c r="I273" s="21" t="s">
        <v>41</v>
      </c>
      <c r="J273" s="22"/>
      <c r="K273" s="22"/>
      <c r="L273" s="23"/>
      <c r="M273" s="22"/>
      <c r="N273" s="19">
        <f>IFERROR(__xludf.DUMMYFUNCTION("SUM(QUERY(Entregas_BD!D:L,""select G where D='""&amp;D273&amp;""'"",1))"),0.0)</f>
        <v>0</v>
      </c>
      <c r="O273" s="19">
        <f>IFERROR(__xludf.DUMMYFUNCTION("SUM(QUERY(Entregas_BD!D:L,""select H where D='""&amp;D273&amp;""'"",1))"),0.0)</f>
        <v>0</v>
      </c>
      <c r="P273" s="19">
        <f>IFERROR(__xludf.DUMMYFUNCTION("SUM(QUERY(Entregas_BD!D:L,""select I where D='""&amp;D273&amp;""'"",1))"),0.0)</f>
        <v>0</v>
      </c>
      <c r="Q273" s="19">
        <f>IFERROR(__xludf.DUMMYFUNCTION("SUM(QUERY(Entregas_BD!D:L,""select J where D='""&amp;D273&amp;""'"",1))"),0.0)</f>
        <v>0</v>
      </c>
      <c r="R273" s="24">
        <f>IFERROR(__xludf.DUMMYFUNCTION("SUM(QUERY(Entregas_BD!D:L,""select K where D='""&amp;D273&amp;""'"",1))"),0.0)</f>
        <v>0</v>
      </c>
      <c r="S273" s="24">
        <f>IFERROR(__xludf.DUMMYFUNCTION("SUM(QUERY(Entregas_BD!D:L,""select L where D='""&amp;D273&amp;""'"",1))"),0.0)</f>
        <v>0</v>
      </c>
      <c r="T273" s="19">
        <f>IFERROR(__xludf.DUMMYFUNCTION("SUM(QUERY(Entregas_BD!D:AL,""select AG where D='""&amp;D273&amp;""'"",1))"),0.0)</f>
        <v>0</v>
      </c>
      <c r="U273" s="19">
        <f>IFERROR(__xludf.DUMMYFUNCTION("SUM(QUERY(Entregas_BD!D:AL,""select AH where D='""&amp;D273&amp;""'"",1))"),0.0)</f>
        <v>0</v>
      </c>
      <c r="V273" s="19">
        <f>IFERROR(__xludf.DUMMYFUNCTION("SUM(QUERY(Entregas_BD!D:AL,""select AI where D='""&amp;D273&amp;""'"",1))"),0.0)</f>
        <v>0</v>
      </c>
      <c r="W273" s="19">
        <f>IFERROR(__xludf.DUMMYFUNCTION("SUM(QUERY(Entregas_BD!D:AL,""select AJ where D='""&amp;D273&amp;""'"",1))"),0.0)</f>
        <v>0</v>
      </c>
      <c r="X273" s="19">
        <f>IFERROR(__xludf.DUMMYFUNCTION("SUM(QUERY(Entregas_BD!D:AL,""select AL where D='""&amp;D273&amp;""'"",1))"),0.0)</f>
        <v>0</v>
      </c>
      <c r="Y273" s="19">
        <f>IFERROR(__xludf.DUMMYFUNCTION("SUM(QUERY(Entregas_BD!D:AL,""select AK where D='""&amp;D273&amp;""'"",1))"),0.0)</f>
        <v>0</v>
      </c>
      <c r="Z273" s="19">
        <v>0.0</v>
      </c>
      <c r="AA273" s="19">
        <v>0.0</v>
      </c>
      <c r="AB273" s="19">
        <v>0.0</v>
      </c>
      <c r="AC273" s="19">
        <v>0.0</v>
      </c>
      <c r="AD273" s="19">
        <v>0.0</v>
      </c>
      <c r="AE273" s="19">
        <v>0.0</v>
      </c>
      <c r="AF273" s="22"/>
      <c r="AG273" s="24">
        <f>IFERROR(__xludf.DUMMYFUNCTION("SUM(QUERY(Entregas_BD!D:W,""select U where D='""&amp;D273&amp;""'"",1))"),0.0)</f>
        <v>0</v>
      </c>
      <c r="AH273" s="24">
        <f>IFERROR(__xludf.DUMMYFUNCTION("SUM(QUERY(Entregas_BD!D:W,""select S where D='""&amp;D273&amp;""'"",1))"),0.0)</f>
        <v>0</v>
      </c>
      <c r="AI273" s="24">
        <f>IFERROR(__xludf.DUMMYFUNCTION("SUM(QUERY(Entregas_BD!D:W,""select T where D='""&amp;D273&amp;""'"",1))"),0.0)</f>
        <v>0</v>
      </c>
    </row>
    <row r="274" ht="19.5" customHeight="1">
      <c r="A274" s="53"/>
      <c r="B274" s="8"/>
      <c r="C274" s="9">
        <v>273.0</v>
      </c>
      <c r="D274" s="10" t="s">
        <v>705</v>
      </c>
      <c r="E274" s="10" t="s">
        <v>197</v>
      </c>
      <c r="F274" s="10" t="s">
        <v>243</v>
      </c>
      <c r="G274" s="10" t="s">
        <v>631</v>
      </c>
      <c r="H274" s="12" t="s">
        <v>632</v>
      </c>
      <c r="I274" s="11" t="s">
        <v>41</v>
      </c>
      <c r="J274" s="12"/>
      <c r="K274" s="12"/>
      <c r="L274" s="13"/>
      <c r="M274" s="12"/>
      <c r="N274" s="9">
        <f>IFERROR(__xludf.DUMMYFUNCTION("SUM(QUERY(Entregas_BD!D:L,""select G where D='""&amp;D274&amp;""'"",1))"),0.0)</f>
        <v>0</v>
      </c>
      <c r="O274" s="9">
        <f>IFERROR(__xludf.DUMMYFUNCTION("SUM(QUERY(Entregas_BD!D:L,""select H where D='""&amp;D274&amp;""'"",1))"),0.0)</f>
        <v>0</v>
      </c>
      <c r="P274" s="9">
        <f>IFERROR(__xludf.DUMMYFUNCTION("SUM(QUERY(Entregas_BD!D:L,""select I where D='""&amp;D274&amp;""'"",1))"),0.0)</f>
        <v>0</v>
      </c>
      <c r="Q274" s="9">
        <f>IFERROR(__xludf.DUMMYFUNCTION("SUM(QUERY(Entregas_BD!D:L,""select J where D='""&amp;D274&amp;""'"",1))"),0.0)</f>
        <v>0</v>
      </c>
      <c r="R274" s="15">
        <f>IFERROR(__xludf.DUMMYFUNCTION("SUM(QUERY(Entregas_BD!D:L,""select K where D='""&amp;D274&amp;""'"",1))"),0.0)</f>
        <v>0</v>
      </c>
      <c r="S274" s="15">
        <f>IFERROR(__xludf.DUMMYFUNCTION("SUM(QUERY(Entregas_BD!D:L,""select L where D='""&amp;D274&amp;""'"",1))"),0.0)</f>
        <v>0</v>
      </c>
      <c r="T274" s="9">
        <f>IFERROR(__xludf.DUMMYFUNCTION("SUM(QUERY(Entregas_BD!D:AL,""select AG where D='""&amp;D274&amp;""'"",1))"),0.0)</f>
        <v>0</v>
      </c>
      <c r="U274" s="9">
        <f>IFERROR(__xludf.DUMMYFUNCTION("SUM(QUERY(Entregas_BD!D:AL,""select AH where D='""&amp;D274&amp;""'"",1))"),0.0)</f>
        <v>0</v>
      </c>
      <c r="V274" s="9">
        <f>IFERROR(__xludf.DUMMYFUNCTION("SUM(QUERY(Entregas_BD!D:AL,""select AI where D='""&amp;D274&amp;""'"",1))"),0.0)</f>
        <v>0</v>
      </c>
      <c r="W274" s="9">
        <f>IFERROR(__xludf.DUMMYFUNCTION("SUM(QUERY(Entregas_BD!D:AL,""select AJ where D='""&amp;D274&amp;""'"",1))"),25.0)</f>
        <v>25</v>
      </c>
      <c r="X274" s="9">
        <f>IFERROR(__xludf.DUMMYFUNCTION("SUM(QUERY(Entregas_BD!D:AL,""select AL where D='""&amp;D274&amp;""'"",1))"),0.0)</f>
        <v>0</v>
      </c>
      <c r="Y274" s="9">
        <f>IFERROR(__xludf.DUMMYFUNCTION("SUM(QUERY(Entregas_BD!D:AL,""select AK where D='""&amp;D274&amp;""'"",1))"),0.0)</f>
        <v>0</v>
      </c>
      <c r="Z274" s="9">
        <v>0.0</v>
      </c>
      <c r="AA274" s="9">
        <v>0.0</v>
      </c>
      <c r="AB274" s="9">
        <v>0.0</v>
      </c>
      <c r="AC274" s="9">
        <v>-25.0</v>
      </c>
      <c r="AD274" s="9">
        <v>0.0</v>
      </c>
      <c r="AE274" s="9">
        <v>0.0</v>
      </c>
      <c r="AF274" s="12"/>
      <c r="AG274" s="15">
        <f>IFERROR(__xludf.DUMMYFUNCTION("SUM(QUERY(Entregas_BD!D:W,""select U where D='""&amp;D274&amp;""'"",1))"),0.0)</f>
        <v>0</v>
      </c>
      <c r="AH274" s="15">
        <f>IFERROR(__xludf.DUMMYFUNCTION("SUM(QUERY(Entregas_BD!D:W,""select S where D='""&amp;D274&amp;""'"",1))"),0.0)</f>
        <v>0</v>
      </c>
      <c r="AI274" s="15">
        <f>IFERROR(__xludf.DUMMYFUNCTION("SUM(QUERY(Entregas_BD!D:W,""select T where D='""&amp;D274&amp;""'"",1))"),0.0)</f>
        <v>0</v>
      </c>
    </row>
    <row r="275" ht="19.5" customHeight="1">
      <c r="A275" s="54"/>
      <c r="B275" s="29"/>
      <c r="C275" s="19">
        <v>274.0</v>
      </c>
      <c r="D275" s="20" t="s">
        <v>706</v>
      </c>
      <c r="E275" s="20" t="s">
        <v>197</v>
      </c>
      <c r="F275" s="20" t="s">
        <v>243</v>
      </c>
      <c r="G275" s="20" t="s">
        <v>707</v>
      </c>
      <c r="H275" s="22" t="s">
        <v>632</v>
      </c>
      <c r="I275" s="21" t="s">
        <v>41</v>
      </c>
      <c r="J275" s="22"/>
      <c r="K275" s="22"/>
      <c r="L275" s="23"/>
      <c r="M275" s="22"/>
      <c r="N275" s="19">
        <f>IFERROR(__xludf.DUMMYFUNCTION("SUM(QUERY(Entregas_BD!D:L,""select G where D='""&amp;D275&amp;""'"",1))"),0.0)</f>
        <v>0</v>
      </c>
      <c r="O275" s="19">
        <f>IFERROR(__xludf.DUMMYFUNCTION("SUM(QUERY(Entregas_BD!D:L,""select H where D='""&amp;D275&amp;""'"",1))"),0.0)</f>
        <v>0</v>
      </c>
      <c r="P275" s="19">
        <f>IFERROR(__xludf.DUMMYFUNCTION("SUM(QUERY(Entregas_BD!D:L,""select I where D='""&amp;D275&amp;""'"",1))"),0.0)</f>
        <v>0</v>
      </c>
      <c r="Q275" s="19">
        <f>IFERROR(__xludf.DUMMYFUNCTION("SUM(QUERY(Entregas_BD!D:L,""select J where D='""&amp;D275&amp;""'"",1))"),0.0)</f>
        <v>0</v>
      </c>
      <c r="R275" s="24">
        <f>IFERROR(__xludf.DUMMYFUNCTION("SUM(QUERY(Entregas_BD!D:L,""select K where D='""&amp;D275&amp;""'"",1))"),0.0)</f>
        <v>0</v>
      </c>
      <c r="S275" s="24">
        <f>IFERROR(__xludf.DUMMYFUNCTION("SUM(QUERY(Entregas_BD!D:L,""select L where D='""&amp;D275&amp;""'"",1))"),0.0)</f>
        <v>0</v>
      </c>
      <c r="T275" s="19">
        <f>IFERROR(__xludf.DUMMYFUNCTION("SUM(QUERY(Entregas_BD!D:AL,""select AG where D='""&amp;D275&amp;""'"",1))"),25.0)</f>
        <v>25</v>
      </c>
      <c r="U275" s="19">
        <f>IFERROR(__xludf.DUMMYFUNCTION("SUM(QUERY(Entregas_BD!D:AL,""select AH where D='""&amp;D275&amp;""'"",1))"),0.0)</f>
        <v>0</v>
      </c>
      <c r="V275" s="19">
        <f>IFERROR(__xludf.DUMMYFUNCTION("SUM(QUERY(Entregas_BD!D:AL,""select AI where D='""&amp;D275&amp;""'"",1))"),0.0)</f>
        <v>0</v>
      </c>
      <c r="W275" s="19">
        <f>IFERROR(__xludf.DUMMYFUNCTION("SUM(QUERY(Entregas_BD!D:AL,""select AJ where D='""&amp;D275&amp;""'"",1))"),0.0)</f>
        <v>0</v>
      </c>
      <c r="X275" s="19">
        <f>IFERROR(__xludf.DUMMYFUNCTION("SUM(QUERY(Entregas_BD!D:AL,""select AL where D='""&amp;D275&amp;""'"",1))"),0.0)</f>
        <v>0</v>
      </c>
      <c r="Y275" s="19">
        <f>IFERROR(__xludf.DUMMYFUNCTION("SUM(QUERY(Entregas_BD!D:AL,""select AK where D='""&amp;D275&amp;""'"",1))"),0.0)</f>
        <v>0</v>
      </c>
      <c r="Z275" s="19">
        <v>-25.0</v>
      </c>
      <c r="AA275" s="19">
        <v>0.0</v>
      </c>
      <c r="AB275" s="19">
        <v>0.0</v>
      </c>
      <c r="AC275" s="19">
        <v>0.0</v>
      </c>
      <c r="AD275" s="19">
        <v>0.0</v>
      </c>
      <c r="AE275" s="19">
        <v>0.0</v>
      </c>
      <c r="AF275" s="22"/>
      <c r="AG275" s="24">
        <f>IFERROR(__xludf.DUMMYFUNCTION("SUM(QUERY(Entregas_BD!D:W,""select U where D='""&amp;D275&amp;""'"",1))"),0.0)</f>
        <v>0</v>
      </c>
      <c r="AH275" s="24">
        <f>IFERROR(__xludf.DUMMYFUNCTION("SUM(QUERY(Entregas_BD!D:W,""select S where D='""&amp;D275&amp;""'"",1))"),0.0)</f>
        <v>0</v>
      </c>
      <c r="AI275" s="24">
        <f>IFERROR(__xludf.DUMMYFUNCTION("SUM(QUERY(Entregas_BD!D:W,""select T where D='""&amp;D275&amp;""'"",1))"),0.0)</f>
        <v>0</v>
      </c>
    </row>
    <row r="276" ht="19.5" customHeight="1">
      <c r="A276" s="53"/>
      <c r="B276" s="8"/>
      <c r="C276" s="9">
        <v>275.0</v>
      </c>
      <c r="D276" s="10" t="s">
        <v>708</v>
      </c>
      <c r="E276" s="10" t="s">
        <v>44</v>
      </c>
      <c r="F276" s="10" t="s">
        <v>571</v>
      </c>
      <c r="G276" s="10" t="s">
        <v>709</v>
      </c>
      <c r="H276" s="12" t="s">
        <v>710</v>
      </c>
      <c r="I276" s="11" t="s">
        <v>41</v>
      </c>
      <c r="J276" s="12"/>
      <c r="K276" s="12"/>
      <c r="L276" s="13"/>
      <c r="M276" s="12"/>
      <c r="N276" s="9">
        <f>IFERROR(__xludf.DUMMYFUNCTION("SUM(QUERY(Entregas_BD!D:L,""select G where D='""&amp;D276&amp;""'"",1))"),0.0)</f>
        <v>0</v>
      </c>
      <c r="O276" s="9">
        <f>IFERROR(__xludf.DUMMYFUNCTION("SUM(QUERY(Entregas_BD!D:L,""select H where D='""&amp;D276&amp;""'"",1))"),0.0)</f>
        <v>0</v>
      </c>
      <c r="P276" s="9">
        <f>IFERROR(__xludf.DUMMYFUNCTION("SUM(QUERY(Entregas_BD!D:L,""select I where D='""&amp;D276&amp;""'"",1))"),0.0)</f>
        <v>0</v>
      </c>
      <c r="Q276" s="9">
        <f>IFERROR(__xludf.DUMMYFUNCTION("SUM(QUERY(Entregas_BD!D:L,""select J where D='""&amp;D276&amp;""'"",1))"),0.0)</f>
        <v>0</v>
      </c>
      <c r="R276" s="15">
        <f>IFERROR(__xludf.DUMMYFUNCTION("SUM(QUERY(Entregas_BD!D:L,""select K where D='""&amp;D276&amp;""'"",1))"),0.0)</f>
        <v>0</v>
      </c>
      <c r="S276" s="15">
        <f>IFERROR(__xludf.DUMMYFUNCTION("SUM(QUERY(Entregas_BD!D:L,""select L where D='""&amp;D276&amp;""'"",1))"),0.0)</f>
        <v>0</v>
      </c>
      <c r="T276" s="9">
        <f>IFERROR(__xludf.DUMMYFUNCTION("SUM(QUERY(Entregas_BD!D:AL,""select AG where D='""&amp;D276&amp;""'"",1))"),50.0)</f>
        <v>50</v>
      </c>
      <c r="U276" s="9">
        <f>IFERROR(__xludf.DUMMYFUNCTION("SUM(QUERY(Entregas_BD!D:AL,""select AH where D='""&amp;D276&amp;""'"",1))"),0.0)</f>
        <v>0</v>
      </c>
      <c r="V276" s="9">
        <f>IFERROR(__xludf.DUMMYFUNCTION("SUM(QUERY(Entregas_BD!D:AL,""select AI where D='""&amp;D276&amp;""'"",1))"),0.0)</f>
        <v>0</v>
      </c>
      <c r="W276" s="9">
        <f>IFERROR(__xludf.DUMMYFUNCTION("SUM(QUERY(Entregas_BD!D:AL,""select AJ where D='""&amp;D276&amp;""'"",1))"),25.0)</f>
        <v>25</v>
      </c>
      <c r="X276" s="9">
        <f>IFERROR(__xludf.DUMMYFUNCTION("SUM(QUERY(Entregas_BD!D:AL,""select AL where D='""&amp;D276&amp;""'"",1))"),0.0)</f>
        <v>0</v>
      </c>
      <c r="Y276" s="9">
        <f>IFERROR(__xludf.DUMMYFUNCTION("SUM(QUERY(Entregas_BD!D:AL,""select AK where D='""&amp;D276&amp;""'"",1))"),0.0)</f>
        <v>0</v>
      </c>
      <c r="Z276" s="9">
        <v>-50.0</v>
      </c>
      <c r="AA276" s="9">
        <v>0.0</v>
      </c>
      <c r="AB276" s="9">
        <v>0.0</v>
      </c>
      <c r="AC276" s="9">
        <v>-25.0</v>
      </c>
      <c r="AD276" s="9">
        <v>0.0</v>
      </c>
      <c r="AE276" s="9">
        <v>0.0</v>
      </c>
      <c r="AF276" s="12"/>
      <c r="AG276" s="15">
        <f>IFERROR(__xludf.DUMMYFUNCTION("SUM(QUERY(Entregas_BD!D:W,""select U where D='""&amp;D276&amp;""'"",1))"),0.0)</f>
        <v>0</v>
      </c>
      <c r="AH276" s="15">
        <f>IFERROR(__xludf.DUMMYFUNCTION("SUM(QUERY(Entregas_BD!D:W,""select S where D='""&amp;D276&amp;""'"",1))"),0.0)</f>
        <v>0</v>
      </c>
      <c r="AI276" s="15">
        <f>IFERROR(__xludf.DUMMYFUNCTION("SUM(QUERY(Entregas_BD!D:W,""select T where D='""&amp;D276&amp;""'"",1))"),0.0)</f>
        <v>0</v>
      </c>
    </row>
    <row r="277" ht="19.5" customHeight="1">
      <c r="A277" s="54"/>
      <c r="B277" s="29"/>
      <c r="C277" s="19">
        <v>276.0</v>
      </c>
      <c r="D277" s="20" t="s">
        <v>711</v>
      </c>
      <c r="E277" s="20" t="s">
        <v>197</v>
      </c>
      <c r="F277" s="20" t="s">
        <v>243</v>
      </c>
      <c r="G277" s="20" t="s">
        <v>712</v>
      </c>
      <c r="H277" s="22" t="s">
        <v>632</v>
      </c>
      <c r="I277" s="21" t="s">
        <v>41</v>
      </c>
      <c r="J277" s="22"/>
      <c r="K277" s="22"/>
      <c r="L277" s="23"/>
      <c r="M277" s="22"/>
      <c r="N277" s="19">
        <f>IFERROR(__xludf.DUMMYFUNCTION("SUM(QUERY(Entregas_BD!D:L,""select G where D='""&amp;D277&amp;""'"",1))"),0.0)</f>
        <v>0</v>
      </c>
      <c r="O277" s="19">
        <f>IFERROR(__xludf.DUMMYFUNCTION("SUM(QUERY(Entregas_BD!D:L,""select H where D='""&amp;D277&amp;""'"",1))"),0.0)</f>
        <v>0</v>
      </c>
      <c r="P277" s="19">
        <f>IFERROR(__xludf.DUMMYFUNCTION("SUM(QUERY(Entregas_BD!D:L,""select I where D='""&amp;D277&amp;""'"",1))"),0.0)</f>
        <v>0</v>
      </c>
      <c r="Q277" s="19">
        <f>IFERROR(__xludf.DUMMYFUNCTION("SUM(QUERY(Entregas_BD!D:L,""select J where D='""&amp;D277&amp;""'"",1))"),0.0)</f>
        <v>0</v>
      </c>
      <c r="R277" s="24">
        <f>IFERROR(__xludf.DUMMYFUNCTION("SUM(QUERY(Entregas_BD!D:L,""select K where D='""&amp;D277&amp;""'"",1))"),0.0)</f>
        <v>0</v>
      </c>
      <c r="S277" s="24">
        <f>IFERROR(__xludf.DUMMYFUNCTION("SUM(QUERY(Entregas_BD!D:L,""select L where D='""&amp;D277&amp;""'"",1))"),0.0)</f>
        <v>0</v>
      </c>
      <c r="T277" s="19">
        <f>IFERROR(__xludf.DUMMYFUNCTION("SUM(QUERY(Entregas_BD!D:AL,""select AG where D='""&amp;D277&amp;""'"",1))"),25.0)</f>
        <v>25</v>
      </c>
      <c r="U277" s="19">
        <f>IFERROR(__xludf.DUMMYFUNCTION("SUM(QUERY(Entregas_BD!D:AL,""select AH where D='""&amp;D277&amp;""'"",1))"),0.0)</f>
        <v>0</v>
      </c>
      <c r="V277" s="19">
        <f>IFERROR(__xludf.DUMMYFUNCTION("SUM(QUERY(Entregas_BD!D:AL,""select AI where D='""&amp;D277&amp;""'"",1))"),0.0)</f>
        <v>0</v>
      </c>
      <c r="W277" s="19">
        <f>IFERROR(__xludf.DUMMYFUNCTION("SUM(QUERY(Entregas_BD!D:AL,""select AJ where D='""&amp;D277&amp;""'"",1))"),0.0)</f>
        <v>0</v>
      </c>
      <c r="X277" s="19">
        <f>IFERROR(__xludf.DUMMYFUNCTION("SUM(QUERY(Entregas_BD!D:AL,""select AL where D='""&amp;D277&amp;""'"",1))"),0.0)</f>
        <v>0</v>
      </c>
      <c r="Y277" s="19">
        <f>IFERROR(__xludf.DUMMYFUNCTION("SUM(QUERY(Entregas_BD!D:AL,""select AK where D='""&amp;D277&amp;""'"",1))"),0.0)</f>
        <v>0</v>
      </c>
      <c r="Z277" s="19">
        <v>-25.0</v>
      </c>
      <c r="AA277" s="19">
        <v>0.0</v>
      </c>
      <c r="AB277" s="19">
        <v>0.0</v>
      </c>
      <c r="AC277" s="19">
        <v>0.0</v>
      </c>
      <c r="AD277" s="19">
        <v>0.0</v>
      </c>
      <c r="AE277" s="19">
        <v>0.0</v>
      </c>
      <c r="AF277" s="22"/>
      <c r="AG277" s="24">
        <f>IFERROR(__xludf.DUMMYFUNCTION("SUM(QUERY(Entregas_BD!D:W,""select U where D='""&amp;D277&amp;""'"",1))"),0.0)</f>
        <v>0</v>
      </c>
      <c r="AH277" s="24">
        <f>IFERROR(__xludf.DUMMYFUNCTION("SUM(QUERY(Entregas_BD!D:W,""select S where D='""&amp;D277&amp;""'"",1))"),0.0)</f>
        <v>0</v>
      </c>
      <c r="AI277" s="24">
        <f>IFERROR(__xludf.DUMMYFUNCTION("SUM(QUERY(Entregas_BD!D:W,""select T where D='""&amp;D277&amp;""'"",1))"),0.0)</f>
        <v>0</v>
      </c>
    </row>
    <row r="278" ht="19.5" customHeight="1">
      <c r="A278" s="53"/>
      <c r="B278" s="8"/>
      <c r="C278" s="9">
        <v>277.0</v>
      </c>
      <c r="D278" s="10" t="s">
        <v>713</v>
      </c>
      <c r="E278" s="10" t="s">
        <v>197</v>
      </c>
      <c r="F278" s="10" t="s">
        <v>243</v>
      </c>
      <c r="G278" s="10" t="s">
        <v>714</v>
      </c>
      <c r="H278" s="12" t="s">
        <v>632</v>
      </c>
      <c r="I278" s="11" t="s">
        <v>41</v>
      </c>
      <c r="J278" s="12"/>
      <c r="K278" s="12"/>
      <c r="L278" s="13"/>
      <c r="M278" s="12"/>
      <c r="N278" s="9">
        <f>IFERROR(__xludf.DUMMYFUNCTION("SUM(QUERY(Entregas_BD!D:L,""select G where D='""&amp;D278&amp;""'"",1))"),0.0)</f>
        <v>0</v>
      </c>
      <c r="O278" s="9">
        <f>IFERROR(__xludf.DUMMYFUNCTION("SUM(QUERY(Entregas_BD!D:L,""select H where D='""&amp;D278&amp;""'"",1))"),0.0)</f>
        <v>0</v>
      </c>
      <c r="P278" s="9">
        <f>IFERROR(__xludf.DUMMYFUNCTION("SUM(QUERY(Entregas_BD!D:L,""select I where D='""&amp;D278&amp;""'"",1))"),0.0)</f>
        <v>0</v>
      </c>
      <c r="Q278" s="9">
        <f>IFERROR(__xludf.DUMMYFUNCTION("SUM(QUERY(Entregas_BD!D:L,""select J where D='""&amp;D278&amp;""'"",1))"),0.0)</f>
        <v>0</v>
      </c>
      <c r="R278" s="15">
        <f>IFERROR(__xludf.DUMMYFUNCTION("SUM(QUERY(Entregas_BD!D:L,""select K where D='""&amp;D278&amp;""'"",1))"),0.0)</f>
        <v>0</v>
      </c>
      <c r="S278" s="15">
        <f>IFERROR(__xludf.DUMMYFUNCTION("SUM(QUERY(Entregas_BD!D:L,""select L where D='""&amp;D278&amp;""'"",1))"),0.0)</f>
        <v>0</v>
      </c>
      <c r="T278" s="9">
        <f>IFERROR(__xludf.DUMMYFUNCTION("SUM(QUERY(Entregas_BD!D:AL,""select AG where D='""&amp;D278&amp;""'"",1))"),25.0)</f>
        <v>25</v>
      </c>
      <c r="U278" s="9">
        <f>IFERROR(__xludf.DUMMYFUNCTION("SUM(QUERY(Entregas_BD!D:AL,""select AH where D='""&amp;D278&amp;""'"",1))"),0.0)</f>
        <v>0</v>
      </c>
      <c r="V278" s="9">
        <f>IFERROR(__xludf.DUMMYFUNCTION("SUM(QUERY(Entregas_BD!D:AL,""select AI where D='""&amp;D278&amp;""'"",1))"),0.0)</f>
        <v>0</v>
      </c>
      <c r="W278" s="9">
        <f>IFERROR(__xludf.DUMMYFUNCTION("SUM(QUERY(Entregas_BD!D:AL,""select AJ where D='""&amp;D278&amp;""'"",1))"),0.0)</f>
        <v>0</v>
      </c>
      <c r="X278" s="9">
        <f>IFERROR(__xludf.DUMMYFUNCTION("SUM(QUERY(Entregas_BD!D:AL,""select AL where D='""&amp;D278&amp;""'"",1))"),0.0)</f>
        <v>0</v>
      </c>
      <c r="Y278" s="9">
        <f>IFERROR(__xludf.DUMMYFUNCTION("SUM(QUERY(Entregas_BD!D:AL,""select AK where D='""&amp;D278&amp;""'"",1))"),0.0)</f>
        <v>0</v>
      </c>
      <c r="Z278" s="9">
        <v>-25.0</v>
      </c>
      <c r="AA278" s="9">
        <v>0.0</v>
      </c>
      <c r="AB278" s="9">
        <v>0.0</v>
      </c>
      <c r="AC278" s="9">
        <v>0.0</v>
      </c>
      <c r="AD278" s="9">
        <v>0.0</v>
      </c>
      <c r="AE278" s="9">
        <v>0.0</v>
      </c>
      <c r="AF278" s="12"/>
      <c r="AG278" s="15">
        <f>IFERROR(__xludf.DUMMYFUNCTION("SUM(QUERY(Entregas_BD!D:W,""select U where D='""&amp;D278&amp;""'"",1))"),0.0)</f>
        <v>0</v>
      </c>
      <c r="AH278" s="15">
        <f>IFERROR(__xludf.DUMMYFUNCTION("SUM(QUERY(Entregas_BD!D:W,""select S where D='""&amp;D278&amp;""'"",1))"),0.0)</f>
        <v>0</v>
      </c>
      <c r="AI278" s="15">
        <f>IFERROR(__xludf.DUMMYFUNCTION("SUM(QUERY(Entregas_BD!D:W,""select T where D='""&amp;D278&amp;""'"",1))"),0.0)</f>
        <v>0</v>
      </c>
    </row>
    <row r="279" ht="19.5" customHeight="1">
      <c r="A279" s="54"/>
      <c r="B279" s="29"/>
      <c r="C279" s="19">
        <v>278.0</v>
      </c>
      <c r="D279" s="20" t="s">
        <v>715</v>
      </c>
      <c r="E279" s="20" t="s">
        <v>197</v>
      </c>
      <c r="F279" s="20" t="s">
        <v>716</v>
      </c>
      <c r="G279" s="20" t="s">
        <v>717</v>
      </c>
      <c r="H279" s="22" t="s">
        <v>593</v>
      </c>
      <c r="I279" s="21" t="s">
        <v>41</v>
      </c>
      <c r="J279" s="22"/>
      <c r="K279" s="22"/>
      <c r="L279" s="23"/>
      <c r="M279" s="22"/>
      <c r="N279" s="19">
        <f>IFERROR(__xludf.DUMMYFUNCTION("SUM(QUERY(Entregas_BD!D:L,""select G where D='""&amp;D279&amp;""'"",1))"),0.0)</f>
        <v>0</v>
      </c>
      <c r="O279" s="19">
        <f>IFERROR(__xludf.DUMMYFUNCTION("SUM(QUERY(Entregas_BD!D:L,""select H where D='""&amp;D279&amp;""'"",1))"),0.0)</f>
        <v>0</v>
      </c>
      <c r="P279" s="19">
        <f>IFERROR(__xludf.DUMMYFUNCTION("SUM(QUERY(Entregas_BD!D:L,""select I where D='""&amp;D279&amp;""'"",1))"),0.0)</f>
        <v>0</v>
      </c>
      <c r="Q279" s="19">
        <f>IFERROR(__xludf.DUMMYFUNCTION("SUM(QUERY(Entregas_BD!D:L,""select J where D='""&amp;D279&amp;""'"",1))"),0.0)</f>
        <v>0</v>
      </c>
      <c r="R279" s="24">
        <f>IFERROR(__xludf.DUMMYFUNCTION("SUM(QUERY(Entregas_BD!D:L,""select K where D='""&amp;D279&amp;""'"",1))"),0.0)</f>
        <v>0</v>
      </c>
      <c r="S279" s="24">
        <f>IFERROR(__xludf.DUMMYFUNCTION("SUM(QUERY(Entregas_BD!D:L,""select L where D='""&amp;D279&amp;""'"",1))"),0.0)</f>
        <v>0</v>
      </c>
      <c r="T279" s="19">
        <f>IFERROR(__xludf.DUMMYFUNCTION("SUM(QUERY(Entregas_BD!D:AL,""select AG where D='""&amp;D279&amp;""'"",1))"),0.0)</f>
        <v>0</v>
      </c>
      <c r="U279" s="19">
        <f>IFERROR(__xludf.DUMMYFUNCTION("SUM(QUERY(Entregas_BD!D:AL,""select AH where D='""&amp;D279&amp;""'"",1))"),0.0)</f>
        <v>0</v>
      </c>
      <c r="V279" s="19">
        <f>IFERROR(__xludf.DUMMYFUNCTION("SUM(QUERY(Entregas_BD!D:AL,""select AI where D='""&amp;D279&amp;""'"",1))"),0.0)</f>
        <v>0</v>
      </c>
      <c r="W279" s="19">
        <f>IFERROR(__xludf.DUMMYFUNCTION("SUM(QUERY(Entregas_BD!D:AL,""select AJ where D='""&amp;D279&amp;""'"",1))"),0.0)</f>
        <v>0</v>
      </c>
      <c r="X279" s="19">
        <f>IFERROR(__xludf.DUMMYFUNCTION("SUM(QUERY(Entregas_BD!D:AL,""select AL where D='""&amp;D279&amp;""'"",1))"),0.0)</f>
        <v>0</v>
      </c>
      <c r="Y279" s="19">
        <f>IFERROR(__xludf.DUMMYFUNCTION("SUM(QUERY(Entregas_BD!D:AL,""select AK where D='""&amp;D279&amp;""'"",1))"),0.0)</f>
        <v>0</v>
      </c>
      <c r="Z279" s="19">
        <v>0.0</v>
      </c>
      <c r="AA279" s="19">
        <v>0.0</v>
      </c>
      <c r="AB279" s="19">
        <v>0.0</v>
      </c>
      <c r="AC279" s="19">
        <v>0.0</v>
      </c>
      <c r="AD279" s="19">
        <v>0.0</v>
      </c>
      <c r="AE279" s="19">
        <v>0.0</v>
      </c>
      <c r="AF279" s="22"/>
      <c r="AG279" s="24">
        <f>IFERROR(__xludf.DUMMYFUNCTION("SUM(QUERY(Entregas_BD!D:W,""select U where D='""&amp;D279&amp;""'"",1))"),0.0)</f>
        <v>0</v>
      </c>
      <c r="AH279" s="24">
        <f>IFERROR(__xludf.DUMMYFUNCTION("SUM(QUERY(Entregas_BD!D:W,""select S where D='""&amp;D279&amp;""'"",1))"),0.0)</f>
        <v>0</v>
      </c>
      <c r="AI279" s="24">
        <f>IFERROR(__xludf.DUMMYFUNCTION("SUM(QUERY(Entregas_BD!D:W,""select T where D='""&amp;D279&amp;""'"",1))"),0.0)</f>
        <v>0</v>
      </c>
    </row>
    <row r="280" ht="19.5" customHeight="1">
      <c r="A280" s="53"/>
      <c r="B280" s="8"/>
      <c r="C280" s="9">
        <v>279.0</v>
      </c>
      <c r="D280" s="10" t="s">
        <v>718</v>
      </c>
      <c r="E280" s="10" t="s">
        <v>197</v>
      </c>
      <c r="F280" s="10" t="s">
        <v>243</v>
      </c>
      <c r="G280" s="10" t="s">
        <v>719</v>
      </c>
      <c r="H280" s="12" t="s">
        <v>632</v>
      </c>
      <c r="I280" s="11" t="s">
        <v>41</v>
      </c>
      <c r="J280" s="12"/>
      <c r="K280" s="12"/>
      <c r="L280" s="13"/>
      <c r="M280" s="12"/>
      <c r="N280" s="9">
        <f>IFERROR(__xludf.DUMMYFUNCTION("SUM(QUERY(Entregas_BD!D:L,""select G where D='""&amp;D280&amp;""'"",1))"),0.0)</f>
        <v>0</v>
      </c>
      <c r="O280" s="9">
        <f>IFERROR(__xludf.DUMMYFUNCTION("SUM(QUERY(Entregas_BD!D:L,""select H where D='""&amp;D280&amp;""'"",1))"),0.0)</f>
        <v>0</v>
      </c>
      <c r="P280" s="9">
        <f>IFERROR(__xludf.DUMMYFUNCTION("SUM(QUERY(Entregas_BD!D:L,""select I where D='""&amp;D280&amp;""'"",1))"),0.0)</f>
        <v>0</v>
      </c>
      <c r="Q280" s="9">
        <f>IFERROR(__xludf.DUMMYFUNCTION("SUM(QUERY(Entregas_BD!D:L,""select J where D='""&amp;D280&amp;""'"",1))"),0.0)</f>
        <v>0</v>
      </c>
      <c r="R280" s="15">
        <f>IFERROR(__xludf.DUMMYFUNCTION("SUM(QUERY(Entregas_BD!D:L,""select K where D='""&amp;D280&amp;""'"",1))"),0.0)</f>
        <v>0</v>
      </c>
      <c r="S280" s="15">
        <f>IFERROR(__xludf.DUMMYFUNCTION("SUM(QUERY(Entregas_BD!D:L,""select L where D='""&amp;D280&amp;""'"",1))"),0.0)</f>
        <v>0</v>
      </c>
      <c r="T280" s="9">
        <f>IFERROR(__xludf.DUMMYFUNCTION("SUM(QUERY(Entregas_BD!D:AL,""select AG where D='""&amp;D280&amp;""'"",1))"),25.0)</f>
        <v>25</v>
      </c>
      <c r="U280" s="9">
        <f>IFERROR(__xludf.DUMMYFUNCTION("SUM(QUERY(Entregas_BD!D:AL,""select AH where D='""&amp;D280&amp;""'"",1))"),0.0)</f>
        <v>0</v>
      </c>
      <c r="V280" s="9">
        <f>IFERROR(__xludf.DUMMYFUNCTION("SUM(QUERY(Entregas_BD!D:AL,""select AI where D='""&amp;D280&amp;""'"",1))"),0.0)</f>
        <v>0</v>
      </c>
      <c r="W280" s="9">
        <f>IFERROR(__xludf.DUMMYFUNCTION("SUM(QUERY(Entregas_BD!D:AL,""select AJ where D='""&amp;D280&amp;""'"",1))"),0.0)</f>
        <v>0</v>
      </c>
      <c r="X280" s="9">
        <f>IFERROR(__xludf.DUMMYFUNCTION("SUM(QUERY(Entregas_BD!D:AL,""select AL where D='""&amp;D280&amp;""'"",1))"),0.0)</f>
        <v>0</v>
      </c>
      <c r="Y280" s="9">
        <f>IFERROR(__xludf.DUMMYFUNCTION("SUM(QUERY(Entregas_BD!D:AL,""select AK where D='""&amp;D280&amp;""'"",1))"),0.0)</f>
        <v>0</v>
      </c>
      <c r="Z280" s="9">
        <v>-25.0</v>
      </c>
      <c r="AA280" s="9">
        <v>0.0</v>
      </c>
      <c r="AB280" s="9">
        <v>0.0</v>
      </c>
      <c r="AC280" s="9">
        <v>0.0</v>
      </c>
      <c r="AD280" s="9">
        <v>0.0</v>
      </c>
      <c r="AE280" s="9">
        <v>0.0</v>
      </c>
      <c r="AF280" s="12"/>
      <c r="AG280" s="15">
        <f>IFERROR(__xludf.DUMMYFUNCTION("SUM(QUERY(Entregas_BD!D:W,""select U where D='""&amp;D280&amp;""'"",1))"),0.0)</f>
        <v>0</v>
      </c>
      <c r="AH280" s="15">
        <f>IFERROR(__xludf.DUMMYFUNCTION("SUM(QUERY(Entregas_BD!D:W,""select S where D='""&amp;D280&amp;""'"",1))"),0.0)</f>
        <v>0</v>
      </c>
      <c r="AI280" s="15">
        <f>IFERROR(__xludf.DUMMYFUNCTION("SUM(QUERY(Entregas_BD!D:W,""select T where D='""&amp;D280&amp;""'"",1))"),0.0)</f>
        <v>0</v>
      </c>
    </row>
    <row r="281" ht="19.5" customHeight="1">
      <c r="A281" s="54"/>
      <c r="B281" s="29"/>
      <c r="C281" s="19">
        <v>280.0</v>
      </c>
      <c r="D281" s="20" t="s">
        <v>720</v>
      </c>
      <c r="E281" s="20" t="s">
        <v>197</v>
      </c>
      <c r="F281" s="20" t="s">
        <v>243</v>
      </c>
      <c r="G281" s="20" t="s">
        <v>654</v>
      </c>
      <c r="H281" s="22" t="s">
        <v>632</v>
      </c>
      <c r="I281" s="21" t="s">
        <v>41</v>
      </c>
      <c r="J281" s="22"/>
      <c r="K281" s="22"/>
      <c r="L281" s="23"/>
      <c r="M281" s="22"/>
      <c r="N281" s="19">
        <f>IFERROR(__xludf.DUMMYFUNCTION("SUM(QUERY(Entregas_BD!D:L,""select G where D='""&amp;D281&amp;""'"",1))"),0.0)</f>
        <v>0</v>
      </c>
      <c r="O281" s="19">
        <f>IFERROR(__xludf.DUMMYFUNCTION("SUM(QUERY(Entregas_BD!D:L,""select H where D='""&amp;D281&amp;""'"",1))"),0.0)</f>
        <v>0</v>
      </c>
      <c r="P281" s="19">
        <f>IFERROR(__xludf.DUMMYFUNCTION("SUM(QUERY(Entregas_BD!D:L,""select I where D='""&amp;D281&amp;""'"",1))"),0.0)</f>
        <v>0</v>
      </c>
      <c r="Q281" s="19">
        <f>IFERROR(__xludf.DUMMYFUNCTION("SUM(QUERY(Entregas_BD!D:L,""select J where D='""&amp;D281&amp;""'"",1))"),0.0)</f>
        <v>0</v>
      </c>
      <c r="R281" s="24">
        <f>IFERROR(__xludf.DUMMYFUNCTION("SUM(QUERY(Entregas_BD!D:L,""select K where D='""&amp;D281&amp;""'"",1))"),0.0)</f>
        <v>0</v>
      </c>
      <c r="S281" s="24">
        <f>IFERROR(__xludf.DUMMYFUNCTION("SUM(QUERY(Entregas_BD!D:L,""select L where D='""&amp;D281&amp;""'"",1))"),0.0)</f>
        <v>0</v>
      </c>
      <c r="T281" s="19">
        <f>IFERROR(__xludf.DUMMYFUNCTION("SUM(QUERY(Entregas_BD!D:AL,""select AG where D='""&amp;D281&amp;""'"",1))"),25.0)</f>
        <v>25</v>
      </c>
      <c r="U281" s="19">
        <f>IFERROR(__xludf.DUMMYFUNCTION("SUM(QUERY(Entregas_BD!D:AL,""select AH where D='""&amp;D281&amp;""'"",1))"),0.0)</f>
        <v>0</v>
      </c>
      <c r="V281" s="19">
        <f>IFERROR(__xludf.DUMMYFUNCTION("SUM(QUERY(Entregas_BD!D:AL,""select AI where D='""&amp;D281&amp;""'"",1))"),0.0)</f>
        <v>0</v>
      </c>
      <c r="W281" s="19">
        <f>IFERROR(__xludf.DUMMYFUNCTION("SUM(QUERY(Entregas_BD!D:AL,""select AJ where D='""&amp;D281&amp;""'"",1))"),0.0)</f>
        <v>0</v>
      </c>
      <c r="X281" s="19">
        <f>IFERROR(__xludf.DUMMYFUNCTION("SUM(QUERY(Entregas_BD!D:AL,""select AL where D='""&amp;D281&amp;""'"",1))"),0.0)</f>
        <v>0</v>
      </c>
      <c r="Y281" s="19">
        <f>IFERROR(__xludf.DUMMYFUNCTION("SUM(QUERY(Entregas_BD!D:AL,""select AK where D='""&amp;D281&amp;""'"",1))"),0.0)</f>
        <v>0</v>
      </c>
      <c r="Z281" s="19">
        <v>-25.0</v>
      </c>
      <c r="AA281" s="19">
        <v>0.0</v>
      </c>
      <c r="AB281" s="19">
        <v>0.0</v>
      </c>
      <c r="AC281" s="19">
        <v>0.0</v>
      </c>
      <c r="AD281" s="19">
        <v>0.0</v>
      </c>
      <c r="AE281" s="19">
        <v>0.0</v>
      </c>
      <c r="AF281" s="22"/>
      <c r="AG281" s="24">
        <f>IFERROR(__xludf.DUMMYFUNCTION("SUM(QUERY(Entregas_BD!D:W,""select U where D='""&amp;D281&amp;""'"",1))"),0.0)</f>
        <v>0</v>
      </c>
      <c r="AH281" s="24">
        <f>IFERROR(__xludf.DUMMYFUNCTION("SUM(QUERY(Entregas_BD!D:W,""select S where D='""&amp;D281&amp;""'"",1))"),0.0)</f>
        <v>0</v>
      </c>
      <c r="AI281" s="24">
        <f>IFERROR(__xludf.DUMMYFUNCTION("SUM(QUERY(Entregas_BD!D:W,""select T where D='""&amp;D281&amp;""'"",1))"),0.0)</f>
        <v>0</v>
      </c>
    </row>
    <row r="282" ht="19.5" customHeight="1">
      <c r="A282" s="53"/>
      <c r="B282" s="8"/>
      <c r="C282" s="9">
        <v>281.0</v>
      </c>
      <c r="D282" s="10" t="s">
        <v>721</v>
      </c>
      <c r="E282" s="10" t="s">
        <v>197</v>
      </c>
      <c r="F282" s="10" t="s">
        <v>243</v>
      </c>
      <c r="G282" s="10" t="s">
        <v>722</v>
      </c>
      <c r="H282" s="12" t="s">
        <v>632</v>
      </c>
      <c r="I282" s="11" t="s">
        <v>41</v>
      </c>
      <c r="J282" s="12"/>
      <c r="K282" s="12"/>
      <c r="L282" s="13"/>
      <c r="M282" s="12"/>
      <c r="N282" s="9">
        <f>IFERROR(__xludf.DUMMYFUNCTION("SUM(QUERY(Entregas_BD!D:L,""select G where D='""&amp;D282&amp;""'"",1))"),0.0)</f>
        <v>0</v>
      </c>
      <c r="O282" s="9">
        <f>IFERROR(__xludf.DUMMYFUNCTION("SUM(QUERY(Entregas_BD!D:L,""select H where D='""&amp;D282&amp;""'"",1))"),0.0)</f>
        <v>0</v>
      </c>
      <c r="P282" s="9">
        <f>IFERROR(__xludf.DUMMYFUNCTION("SUM(QUERY(Entregas_BD!D:L,""select I where D='""&amp;D282&amp;""'"",1))"),0.0)</f>
        <v>0</v>
      </c>
      <c r="Q282" s="9">
        <f>IFERROR(__xludf.DUMMYFUNCTION("SUM(QUERY(Entregas_BD!D:L,""select J where D='""&amp;D282&amp;""'"",1))"),0.0)</f>
        <v>0</v>
      </c>
      <c r="R282" s="15">
        <f>IFERROR(__xludf.DUMMYFUNCTION("SUM(QUERY(Entregas_BD!D:L,""select K where D='""&amp;D282&amp;""'"",1))"),0.0)</f>
        <v>0</v>
      </c>
      <c r="S282" s="15">
        <f>IFERROR(__xludf.DUMMYFUNCTION("SUM(QUERY(Entregas_BD!D:L,""select L where D='""&amp;D282&amp;""'"",1))"),0.0)</f>
        <v>0</v>
      </c>
      <c r="T282" s="9">
        <f>IFERROR(__xludf.DUMMYFUNCTION("SUM(QUERY(Entregas_BD!D:AL,""select AG where D='""&amp;D282&amp;""'"",1))"),25.0)</f>
        <v>25</v>
      </c>
      <c r="U282" s="9">
        <f>IFERROR(__xludf.DUMMYFUNCTION("SUM(QUERY(Entregas_BD!D:AL,""select AH where D='""&amp;D282&amp;""'"",1))"),0.0)</f>
        <v>0</v>
      </c>
      <c r="V282" s="9">
        <f>IFERROR(__xludf.DUMMYFUNCTION("SUM(QUERY(Entregas_BD!D:AL,""select AI where D='""&amp;D282&amp;""'"",1))"),0.0)</f>
        <v>0</v>
      </c>
      <c r="W282" s="9">
        <f>IFERROR(__xludf.DUMMYFUNCTION("SUM(QUERY(Entregas_BD!D:AL,""select AJ where D='""&amp;D282&amp;""'"",1))"),0.0)</f>
        <v>0</v>
      </c>
      <c r="X282" s="9">
        <f>IFERROR(__xludf.DUMMYFUNCTION("SUM(QUERY(Entregas_BD!D:AL,""select AL where D='""&amp;D282&amp;""'"",1))"),0.0)</f>
        <v>0</v>
      </c>
      <c r="Y282" s="9">
        <f>IFERROR(__xludf.DUMMYFUNCTION("SUM(QUERY(Entregas_BD!D:AL,""select AK where D='""&amp;D282&amp;""'"",1))"),0.0)</f>
        <v>0</v>
      </c>
      <c r="Z282" s="9">
        <v>-25.0</v>
      </c>
      <c r="AA282" s="9">
        <v>0.0</v>
      </c>
      <c r="AB282" s="9">
        <v>0.0</v>
      </c>
      <c r="AC282" s="9">
        <v>0.0</v>
      </c>
      <c r="AD282" s="9">
        <v>0.0</v>
      </c>
      <c r="AE282" s="9">
        <v>0.0</v>
      </c>
      <c r="AF282" s="12"/>
      <c r="AG282" s="15">
        <f>IFERROR(__xludf.DUMMYFUNCTION("SUM(QUERY(Entregas_BD!D:W,""select U where D='""&amp;D282&amp;""'"",1))"),0.0)</f>
        <v>0</v>
      </c>
      <c r="AH282" s="15">
        <f>IFERROR(__xludf.DUMMYFUNCTION("SUM(QUERY(Entregas_BD!D:W,""select S where D='""&amp;D282&amp;""'"",1))"),0.0)</f>
        <v>0</v>
      </c>
      <c r="AI282" s="15">
        <f>IFERROR(__xludf.DUMMYFUNCTION("SUM(QUERY(Entregas_BD!D:W,""select T where D='""&amp;D282&amp;""'"",1))"),0.0)</f>
        <v>0</v>
      </c>
    </row>
    <row r="283" ht="19.5" customHeight="1">
      <c r="A283" s="54"/>
      <c r="B283" s="29"/>
      <c r="C283" s="19">
        <v>282.0</v>
      </c>
      <c r="D283" s="20" t="s">
        <v>723</v>
      </c>
      <c r="E283" s="20" t="s">
        <v>479</v>
      </c>
      <c r="F283" s="20" t="s">
        <v>724</v>
      </c>
      <c r="G283" s="20" t="s">
        <v>725</v>
      </c>
      <c r="H283" s="22" t="s">
        <v>726</v>
      </c>
      <c r="I283" s="21" t="s">
        <v>41</v>
      </c>
      <c r="J283" s="51"/>
      <c r="K283" s="22"/>
      <c r="L283" s="23"/>
      <c r="M283" s="22"/>
      <c r="N283" s="19">
        <f>IFERROR(__xludf.DUMMYFUNCTION("SUM(QUERY(Entregas_BD!D:L,""select G where D='""&amp;D283&amp;""'"",1))"),0.0)</f>
        <v>0</v>
      </c>
      <c r="O283" s="19">
        <f>IFERROR(__xludf.DUMMYFUNCTION("SUM(QUERY(Entregas_BD!D:L,""select H where D='""&amp;D283&amp;""'"",1))"),0.0)</f>
        <v>0</v>
      </c>
      <c r="P283" s="19">
        <f>IFERROR(__xludf.DUMMYFUNCTION("SUM(QUERY(Entregas_BD!D:L,""select I where D='""&amp;D283&amp;""'"",1))"),0.0)</f>
        <v>0</v>
      </c>
      <c r="Q283" s="19">
        <f>IFERROR(__xludf.DUMMYFUNCTION("SUM(QUERY(Entregas_BD!D:L,""select J where D='""&amp;D283&amp;""'"",1))"),0.0)</f>
        <v>0</v>
      </c>
      <c r="R283" s="24">
        <f>IFERROR(__xludf.DUMMYFUNCTION("SUM(QUERY(Entregas_BD!D:L,""select K where D='""&amp;D283&amp;""'"",1))"),0.0)</f>
        <v>0</v>
      </c>
      <c r="S283" s="24">
        <f>IFERROR(__xludf.DUMMYFUNCTION("SUM(QUERY(Entregas_BD!D:L,""select L where D='""&amp;D283&amp;""'"",1))"),0.0)</f>
        <v>0</v>
      </c>
      <c r="T283" s="19">
        <f>IFERROR(__xludf.DUMMYFUNCTION("SUM(QUERY(Entregas_BD!D:AL,""select AG where D='""&amp;D283&amp;""'"",1))"),0.0)</f>
        <v>0</v>
      </c>
      <c r="U283" s="19">
        <f>IFERROR(__xludf.DUMMYFUNCTION("SUM(QUERY(Entregas_BD!D:AL,""select AH where D='""&amp;D283&amp;""'"",1))"),0.0)</f>
        <v>0</v>
      </c>
      <c r="V283" s="19">
        <f>IFERROR(__xludf.DUMMYFUNCTION("SUM(QUERY(Entregas_BD!D:AL,""select AI where D='""&amp;D283&amp;""'"",1))"),0.0)</f>
        <v>0</v>
      </c>
      <c r="W283" s="19">
        <f>IFERROR(__xludf.DUMMYFUNCTION("SUM(QUERY(Entregas_BD!D:AL,""select AJ where D='""&amp;D283&amp;""'"",1))"),0.0)</f>
        <v>0</v>
      </c>
      <c r="X283" s="19">
        <f>IFERROR(__xludf.DUMMYFUNCTION("SUM(QUERY(Entregas_BD!D:AL,""select AL where D='""&amp;D283&amp;""'"",1))"),0.0)</f>
        <v>0</v>
      </c>
      <c r="Y283" s="19">
        <f>IFERROR(__xludf.DUMMYFUNCTION("SUM(QUERY(Entregas_BD!D:AL,""select AK where D='""&amp;D283&amp;""'"",1))"),0.0)</f>
        <v>0</v>
      </c>
      <c r="Z283" s="19">
        <v>0.0</v>
      </c>
      <c r="AA283" s="19">
        <v>0.0</v>
      </c>
      <c r="AB283" s="19">
        <v>0.0</v>
      </c>
      <c r="AC283" s="19">
        <v>0.0</v>
      </c>
      <c r="AD283" s="19">
        <v>0.0</v>
      </c>
      <c r="AE283" s="19">
        <v>0.0</v>
      </c>
      <c r="AF283" s="22"/>
      <c r="AG283" s="24">
        <f>IFERROR(__xludf.DUMMYFUNCTION("SUM(QUERY(Entregas_BD!D:W,""select U where D='""&amp;D283&amp;""'"",1))"),0.0)</f>
        <v>0</v>
      </c>
      <c r="AH283" s="24">
        <f>IFERROR(__xludf.DUMMYFUNCTION("SUM(QUERY(Entregas_BD!D:W,""select S where D='""&amp;D283&amp;""'"",1))"),0.0)</f>
        <v>0</v>
      </c>
      <c r="AI283" s="24">
        <f>IFERROR(__xludf.DUMMYFUNCTION("SUM(QUERY(Entregas_BD!D:W,""select T where D='""&amp;D283&amp;""'"",1))"),0.0)</f>
        <v>0</v>
      </c>
    </row>
    <row r="284" ht="19.5" customHeight="1">
      <c r="A284" s="53"/>
      <c r="B284" s="8"/>
      <c r="C284" s="9">
        <v>283.0</v>
      </c>
      <c r="D284" s="10" t="s">
        <v>727</v>
      </c>
      <c r="E284" s="10" t="s">
        <v>44</v>
      </c>
      <c r="F284" s="10" t="s">
        <v>728</v>
      </c>
      <c r="G284" s="10" t="s">
        <v>729</v>
      </c>
      <c r="H284" s="12" t="s">
        <v>632</v>
      </c>
      <c r="I284" s="11" t="s">
        <v>41</v>
      </c>
      <c r="J284" s="12"/>
      <c r="K284" s="12"/>
      <c r="L284" s="13"/>
      <c r="M284" s="12"/>
      <c r="N284" s="9">
        <f>IFERROR(__xludf.DUMMYFUNCTION("SUM(QUERY(Entregas_BD!D:L,""select G where D='""&amp;D284&amp;""'"",1))"),0.0)</f>
        <v>0</v>
      </c>
      <c r="O284" s="9">
        <f>IFERROR(__xludf.DUMMYFUNCTION("SUM(QUERY(Entregas_BD!D:L,""select H where D='""&amp;D284&amp;""'"",1))"),0.0)</f>
        <v>0</v>
      </c>
      <c r="P284" s="9">
        <f>IFERROR(__xludf.DUMMYFUNCTION("SUM(QUERY(Entregas_BD!D:L,""select I where D='""&amp;D284&amp;""'"",1))"),0.0)</f>
        <v>0</v>
      </c>
      <c r="Q284" s="9">
        <f>IFERROR(__xludf.DUMMYFUNCTION("SUM(QUERY(Entregas_BD!D:L,""select J where D='""&amp;D284&amp;""'"",1))"),0.0)</f>
        <v>0</v>
      </c>
      <c r="R284" s="15">
        <f>IFERROR(__xludf.DUMMYFUNCTION("SUM(QUERY(Entregas_BD!D:L,""select K where D='""&amp;D284&amp;""'"",1))"),0.0)</f>
        <v>0</v>
      </c>
      <c r="S284" s="15">
        <f>IFERROR(__xludf.DUMMYFUNCTION("SUM(QUERY(Entregas_BD!D:L,""select L where D='""&amp;D284&amp;""'"",1))"),0.0)</f>
        <v>0</v>
      </c>
      <c r="T284" s="9">
        <f>IFERROR(__xludf.DUMMYFUNCTION("SUM(QUERY(Entregas_BD!D:AL,""select AG where D='""&amp;D284&amp;""'"",1))"),0.0)</f>
        <v>0</v>
      </c>
      <c r="U284" s="9">
        <f>IFERROR(__xludf.DUMMYFUNCTION("SUM(QUERY(Entregas_BD!D:AL,""select AH where D='""&amp;D284&amp;""'"",1))"),0.0)</f>
        <v>0</v>
      </c>
      <c r="V284" s="9">
        <f>IFERROR(__xludf.DUMMYFUNCTION("SUM(QUERY(Entregas_BD!D:AL,""select AI where D='""&amp;D284&amp;""'"",1))"),0.0)</f>
        <v>0</v>
      </c>
      <c r="W284" s="9">
        <f>IFERROR(__xludf.DUMMYFUNCTION("SUM(QUERY(Entregas_BD!D:AL,""select AJ where D='""&amp;D284&amp;""'"",1))"),0.0)</f>
        <v>0</v>
      </c>
      <c r="X284" s="9">
        <f>IFERROR(__xludf.DUMMYFUNCTION("SUM(QUERY(Entregas_BD!D:AL,""select AL where D='""&amp;D284&amp;""'"",1))"),0.0)</f>
        <v>0</v>
      </c>
      <c r="Y284" s="9">
        <f>IFERROR(__xludf.DUMMYFUNCTION("SUM(QUERY(Entregas_BD!D:AL,""select AK where D='""&amp;D284&amp;""'"",1))"),0.0)</f>
        <v>0</v>
      </c>
      <c r="Z284" s="9">
        <v>0.0</v>
      </c>
      <c r="AA284" s="9">
        <v>0.0</v>
      </c>
      <c r="AB284" s="9">
        <v>0.0</v>
      </c>
      <c r="AC284" s="9">
        <v>0.0</v>
      </c>
      <c r="AD284" s="9">
        <v>0.0</v>
      </c>
      <c r="AE284" s="9">
        <v>0.0</v>
      </c>
      <c r="AF284" s="12"/>
      <c r="AG284" s="15">
        <f>IFERROR(__xludf.DUMMYFUNCTION("SUM(QUERY(Entregas_BD!D:W,""select U where D='""&amp;D284&amp;""'"",1))"),0.0)</f>
        <v>0</v>
      </c>
      <c r="AH284" s="15">
        <f>IFERROR(__xludf.DUMMYFUNCTION("SUM(QUERY(Entregas_BD!D:W,""select S where D='""&amp;D284&amp;""'"",1))"),0.0)</f>
        <v>0</v>
      </c>
      <c r="AI284" s="15">
        <f>IFERROR(__xludf.DUMMYFUNCTION("SUM(QUERY(Entregas_BD!D:W,""select T where D='""&amp;D284&amp;""'"",1))"),0.0)</f>
        <v>0</v>
      </c>
    </row>
    <row r="285" ht="19.5" customHeight="1">
      <c r="A285" s="54"/>
      <c r="B285" s="29"/>
      <c r="C285" s="19">
        <v>284.0</v>
      </c>
      <c r="D285" s="20" t="s">
        <v>730</v>
      </c>
      <c r="E285" s="20" t="s">
        <v>63</v>
      </c>
      <c r="F285" s="20" t="s">
        <v>45</v>
      </c>
      <c r="G285" s="20" t="s">
        <v>731</v>
      </c>
      <c r="H285" s="22" t="s">
        <v>632</v>
      </c>
      <c r="I285" s="21" t="s">
        <v>41</v>
      </c>
      <c r="J285" s="22"/>
      <c r="K285" s="22"/>
      <c r="L285" s="23"/>
      <c r="M285" s="22"/>
      <c r="N285" s="19">
        <f>IFERROR(__xludf.DUMMYFUNCTION("SUM(QUERY(Entregas_BD!D:L,""select G where D='""&amp;D285&amp;""'"",1))"),0.0)</f>
        <v>0</v>
      </c>
      <c r="O285" s="19">
        <f>IFERROR(__xludf.DUMMYFUNCTION("SUM(QUERY(Entregas_BD!D:L,""select H where D='""&amp;D285&amp;""'"",1))"),0.0)</f>
        <v>0</v>
      </c>
      <c r="P285" s="19">
        <f>IFERROR(__xludf.DUMMYFUNCTION("SUM(QUERY(Entregas_BD!D:L,""select I where D='""&amp;D285&amp;""'"",1))"),0.0)</f>
        <v>0</v>
      </c>
      <c r="Q285" s="19">
        <f>IFERROR(__xludf.DUMMYFUNCTION("SUM(QUERY(Entregas_BD!D:L,""select J where D='""&amp;D285&amp;""'"",1))"),0.0)</f>
        <v>0</v>
      </c>
      <c r="R285" s="24">
        <f>IFERROR(__xludf.DUMMYFUNCTION("SUM(QUERY(Entregas_BD!D:L,""select K where D='""&amp;D285&amp;""'"",1))"),0.0)</f>
        <v>0</v>
      </c>
      <c r="S285" s="24">
        <f>IFERROR(__xludf.DUMMYFUNCTION("SUM(QUERY(Entregas_BD!D:L,""select L where D='""&amp;D285&amp;""'"",1))"),0.0)</f>
        <v>0</v>
      </c>
      <c r="T285" s="19">
        <f>IFERROR(__xludf.DUMMYFUNCTION("SUM(QUERY(Entregas_BD!D:AL,""select AG where D='""&amp;D285&amp;""'"",1))"),25.0)</f>
        <v>25</v>
      </c>
      <c r="U285" s="19">
        <f>IFERROR(__xludf.DUMMYFUNCTION("SUM(QUERY(Entregas_BD!D:AL,""select AH where D='""&amp;D285&amp;""'"",1))"),0.0)</f>
        <v>0</v>
      </c>
      <c r="V285" s="19">
        <f>IFERROR(__xludf.DUMMYFUNCTION("SUM(QUERY(Entregas_BD!D:AL,""select AI where D='""&amp;D285&amp;""'"",1))"),0.0)</f>
        <v>0</v>
      </c>
      <c r="W285" s="19">
        <f>IFERROR(__xludf.DUMMYFUNCTION("SUM(QUERY(Entregas_BD!D:AL,""select AJ where D='""&amp;D285&amp;""'"",1))"),0.0)</f>
        <v>0</v>
      </c>
      <c r="X285" s="19">
        <f>IFERROR(__xludf.DUMMYFUNCTION("SUM(QUERY(Entregas_BD!D:AL,""select AL where D='""&amp;D285&amp;""'"",1))"),0.0)</f>
        <v>0</v>
      </c>
      <c r="Y285" s="19">
        <f>IFERROR(__xludf.DUMMYFUNCTION("SUM(QUERY(Entregas_BD!D:AL,""select AK where D='""&amp;D285&amp;""'"",1))"),6.0)</f>
        <v>6</v>
      </c>
      <c r="Z285" s="19">
        <v>-25.0</v>
      </c>
      <c r="AA285" s="19">
        <v>0.0</v>
      </c>
      <c r="AB285" s="19">
        <v>0.0</v>
      </c>
      <c r="AC285" s="19">
        <v>0.0</v>
      </c>
      <c r="AD285" s="19">
        <v>-6.0</v>
      </c>
      <c r="AE285" s="19">
        <v>0.0</v>
      </c>
      <c r="AF285" s="22"/>
      <c r="AG285" s="24">
        <f>IFERROR(__xludf.DUMMYFUNCTION("SUM(QUERY(Entregas_BD!D:W,""select U where D='""&amp;D285&amp;""'"",1))"),0.0)</f>
        <v>0</v>
      </c>
      <c r="AH285" s="24">
        <f>IFERROR(__xludf.DUMMYFUNCTION("SUM(QUERY(Entregas_BD!D:W,""select S where D='""&amp;D285&amp;""'"",1))"),0.0)</f>
        <v>0</v>
      </c>
      <c r="AI285" s="24">
        <f>IFERROR(__xludf.DUMMYFUNCTION("SUM(QUERY(Entregas_BD!D:W,""select T where D='""&amp;D285&amp;""'"",1))"),0.0)</f>
        <v>0</v>
      </c>
    </row>
    <row r="286" ht="19.5" customHeight="1">
      <c r="A286" s="53"/>
      <c r="B286" s="8"/>
      <c r="C286" s="9">
        <v>285.0</v>
      </c>
      <c r="D286" s="10" t="s">
        <v>732</v>
      </c>
      <c r="E286" s="10" t="s">
        <v>324</v>
      </c>
      <c r="F286" s="10" t="s">
        <v>733</v>
      </c>
      <c r="G286" s="10" t="s">
        <v>734</v>
      </c>
      <c r="H286" s="12" t="s">
        <v>632</v>
      </c>
      <c r="I286" s="11" t="s">
        <v>41</v>
      </c>
      <c r="J286" s="12"/>
      <c r="K286" s="12"/>
      <c r="L286" s="13"/>
      <c r="M286" s="12"/>
      <c r="N286" s="9">
        <f>IFERROR(__xludf.DUMMYFUNCTION("SUM(QUERY(Entregas_BD!D:L,""select G where D='""&amp;D286&amp;""'"",1))"),0.0)</f>
        <v>0</v>
      </c>
      <c r="O286" s="9">
        <f>IFERROR(__xludf.DUMMYFUNCTION("SUM(QUERY(Entregas_BD!D:L,""select H where D='""&amp;D286&amp;""'"",1))"),0.0)</f>
        <v>0</v>
      </c>
      <c r="P286" s="9">
        <f>IFERROR(__xludf.DUMMYFUNCTION("SUM(QUERY(Entregas_BD!D:L,""select I where D='""&amp;D286&amp;""'"",1))"),0.0)</f>
        <v>0</v>
      </c>
      <c r="Q286" s="9">
        <f>IFERROR(__xludf.DUMMYFUNCTION("SUM(QUERY(Entregas_BD!D:L,""select J where D='""&amp;D286&amp;""'"",1))"),0.0)</f>
        <v>0</v>
      </c>
      <c r="R286" s="15">
        <f>IFERROR(__xludf.DUMMYFUNCTION("SUM(QUERY(Entregas_BD!D:L,""select K where D='""&amp;D286&amp;""'"",1))"),0.0)</f>
        <v>0</v>
      </c>
      <c r="S286" s="15">
        <f>IFERROR(__xludf.DUMMYFUNCTION("SUM(QUERY(Entregas_BD!D:L,""select L where D='""&amp;D286&amp;""'"",1))"),0.0)</f>
        <v>0</v>
      </c>
      <c r="T286" s="9">
        <f>IFERROR(__xludf.DUMMYFUNCTION("SUM(QUERY(Entregas_BD!D:AL,""select AG where D='""&amp;D286&amp;""'"",1))"),0.0)</f>
        <v>0</v>
      </c>
      <c r="U286" s="9">
        <f>IFERROR(__xludf.DUMMYFUNCTION("SUM(QUERY(Entregas_BD!D:AL,""select AH where D='""&amp;D286&amp;""'"",1))"),0.0)</f>
        <v>0</v>
      </c>
      <c r="V286" s="9">
        <f>IFERROR(__xludf.DUMMYFUNCTION("SUM(QUERY(Entregas_BD!D:AL,""select AI where D='""&amp;D286&amp;""'"",1))"),0.0)</f>
        <v>0</v>
      </c>
      <c r="W286" s="9">
        <f>IFERROR(__xludf.DUMMYFUNCTION("SUM(QUERY(Entregas_BD!D:AL,""select AJ where D='""&amp;D286&amp;""'"",1))"),0.0)</f>
        <v>0</v>
      </c>
      <c r="X286" s="9">
        <f>IFERROR(__xludf.DUMMYFUNCTION("SUM(QUERY(Entregas_BD!D:AL,""select AL where D='""&amp;D286&amp;""'"",1))"),0.0)</f>
        <v>0</v>
      </c>
      <c r="Y286" s="9">
        <f>IFERROR(__xludf.DUMMYFUNCTION("SUM(QUERY(Entregas_BD!D:AL,""select AK where D='""&amp;D286&amp;""'"",1))"),0.0)</f>
        <v>0</v>
      </c>
      <c r="Z286" s="9">
        <v>0.0</v>
      </c>
      <c r="AA286" s="9">
        <v>0.0</v>
      </c>
      <c r="AB286" s="9">
        <v>0.0</v>
      </c>
      <c r="AC286" s="9">
        <v>0.0</v>
      </c>
      <c r="AD286" s="9">
        <v>0.0</v>
      </c>
      <c r="AE286" s="9">
        <v>0.0</v>
      </c>
      <c r="AF286" s="12"/>
      <c r="AG286" s="15">
        <f>IFERROR(__xludf.DUMMYFUNCTION("SUM(QUERY(Entregas_BD!D:W,""select U where D='""&amp;D286&amp;""'"",1))"),0.0)</f>
        <v>0</v>
      </c>
      <c r="AH286" s="15">
        <f>IFERROR(__xludf.DUMMYFUNCTION("SUM(QUERY(Entregas_BD!D:W,""select S where D='""&amp;D286&amp;""'"",1))"),0.0)</f>
        <v>0</v>
      </c>
      <c r="AI286" s="15">
        <f>IFERROR(__xludf.DUMMYFUNCTION("SUM(QUERY(Entregas_BD!D:W,""select T where D='""&amp;D286&amp;""'"",1))"),0.0)</f>
        <v>0</v>
      </c>
    </row>
    <row r="287" ht="19.5" customHeight="1">
      <c r="A287" s="54"/>
      <c r="B287" s="29"/>
      <c r="C287" s="19">
        <v>286.0</v>
      </c>
      <c r="D287" s="20" t="s">
        <v>735</v>
      </c>
      <c r="E287" s="20" t="s">
        <v>58</v>
      </c>
      <c r="F287" s="20" t="s">
        <v>45</v>
      </c>
      <c r="G287" s="20" t="s">
        <v>736</v>
      </c>
      <c r="H287" s="22" t="s">
        <v>632</v>
      </c>
      <c r="I287" s="21" t="s">
        <v>41</v>
      </c>
      <c r="J287" s="22"/>
      <c r="K287" s="22"/>
      <c r="L287" s="23"/>
      <c r="M287" s="22"/>
      <c r="N287" s="19">
        <f>IFERROR(__xludf.DUMMYFUNCTION("SUM(QUERY(Entregas_BD!D:L,""select G where D='""&amp;D287&amp;""'"",1))"),0.0)</f>
        <v>0</v>
      </c>
      <c r="O287" s="19">
        <f>IFERROR(__xludf.DUMMYFUNCTION("SUM(QUERY(Entregas_BD!D:L,""select H where D='""&amp;D287&amp;""'"",1))"),0.0)</f>
        <v>0</v>
      </c>
      <c r="P287" s="19">
        <f>IFERROR(__xludf.DUMMYFUNCTION("SUM(QUERY(Entregas_BD!D:L,""select I where D='""&amp;D287&amp;""'"",1))"),0.0)</f>
        <v>0</v>
      </c>
      <c r="Q287" s="19">
        <f>IFERROR(__xludf.DUMMYFUNCTION("SUM(QUERY(Entregas_BD!D:L,""select J where D='""&amp;D287&amp;""'"",1))"),0.0)</f>
        <v>0</v>
      </c>
      <c r="R287" s="24">
        <f>IFERROR(__xludf.DUMMYFUNCTION("SUM(QUERY(Entregas_BD!D:L,""select K where D='""&amp;D287&amp;""'"",1))"),0.0)</f>
        <v>0</v>
      </c>
      <c r="S287" s="24">
        <f>IFERROR(__xludf.DUMMYFUNCTION("SUM(QUERY(Entregas_BD!D:L,""select L where D='""&amp;D287&amp;""'"",1))"),0.0)</f>
        <v>0</v>
      </c>
      <c r="T287" s="19">
        <f>IFERROR(__xludf.DUMMYFUNCTION("SUM(QUERY(Entregas_BD!D:AL,""select AG where D='""&amp;D287&amp;""'"",1))"),0.0)</f>
        <v>0</v>
      </c>
      <c r="U287" s="19">
        <f>IFERROR(__xludf.DUMMYFUNCTION("SUM(QUERY(Entregas_BD!D:AL,""select AH where D='""&amp;D287&amp;""'"",1))"),0.0)</f>
        <v>0</v>
      </c>
      <c r="V287" s="19">
        <f>IFERROR(__xludf.DUMMYFUNCTION("SUM(QUERY(Entregas_BD!D:AL,""select AI where D='""&amp;D287&amp;""'"",1))"),0.0)</f>
        <v>0</v>
      </c>
      <c r="W287" s="19">
        <f>IFERROR(__xludf.DUMMYFUNCTION("SUM(QUERY(Entregas_BD!D:AL,""select AJ where D='""&amp;D287&amp;""'"",1))"),0.0)</f>
        <v>0</v>
      </c>
      <c r="X287" s="19">
        <f>IFERROR(__xludf.DUMMYFUNCTION("SUM(QUERY(Entregas_BD!D:AL,""select AL where D='""&amp;D287&amp;""'"",1))"),0.0)</f>
        <v>0</v>
      </c>
      <c r="Y287" s="19">
        <f>IFERROR(__xludf.DUMMYFUNCTION("SUM(QUERY(Entregas_BD!D:AL,""select AK where D='""&amp;D287&amp;""'"",1))"),0.0)</f>
        <v>0</v>
      </c>
      <c r="Z287" s="19">
        <v>0.0</v>
      </c>
      <c r="AA287" s="19">
        <v>0.0</v>
      </c>
      <c r="AB287" s="19">
        <v>0.0</v>
      </c>
      <c r="AC287" s="19">
        <v>0.0</v>
      </c>
      <c r="AD287" s="19">
        <v>0.0</v>
      </c>
      <c r="AE287" s="19">
        <v>0.0</v>
      </c>
      <c r="AF287" s="22"/>
      <c r="AG287" s="24">
        <f>IFERROR(__xludf.DUMMYFUNCTION("SUM(QUERY(Entregas_BD!D:W,""select U where D='""&amp;D287&amp;""'"",1))"),0.0)</f>
        <v>0</v>
      </c>
      <c r="AH287" s="24">
        <f>IFERROR(__xludf.DUMMYFUNCTION("SUM(QUERY(Entregas_BD!D:W,""select S where D='""&amp;D287&amp;""'"",1))"),0.0)</f>
        <v>0</v>
      </c>
      <c r="AI287" s="24">
        <f>IFERROR(__xludf.DUMMYFUNCTION("SUM(QUERY(Entregas_BD!D:W,""select T where D='""&amp;D287&amp;""'"",1))"),0.0)</f>
        <v>0</v>
      </c>
    </row>
    <row r="288" ht="19.5" customHeight="1">
      <c r="A288" s="53"/>
      <c r="B288" s="8"/>
      <c r="C288" s="9">
        <v>287.0</v>
      </c>
      <c r="D288" s="10" t="s">
        <v>737</v>
      </c>
      <c r="E288" s="10" t="s">
        <v>72</v>
      </c>
      <c r="F288" s="10" t="s">
        <v>45</v>
      </c>
      <c r="G288" s="10" t="s">
        <v>182</v>
      </c>
      <c r="H288" s="12" t="s">
        <v>632</v>
      </c>
      <c r="I288" s="11" t="s">
        <v>41</v>
      </c>
      <c r="J288" s="12"/>
      <c r="K288" s="12"/>
      <c r="L288" s="13"/>
      <c r="M288" s="12"/>
      <c r="N288" s="9">
        <f>IFERROR(__xludf.DUMMYFUNCTION("SUM(QUERY(Entregas_BD!D:L,""select G where D='""&amp;D288&amp;""'"",1))"),0.0)</f>
        <v>0</v>
      </c>
      <c r="O288" s="9">
        <f>IFERROR(__xludf.DUMMYFUNCTION("SUM(QUERY(Entregas_BD!D:L,""select H where D='""&amp;D288&amp;""'"",1))"),0.0)</f>
        <v>0</v>
      </c>
      <c r="P288" s="9">
        <f>IFERROR(__xludf.DUMMYFUNCTION("SUM(QUERY(Entregas_BD!D:L,""select I where D='""&amp;D288&amp;""'"",1))"),0.0)</f>
        <v>0</v>
      </c>
      <c r="Q288" s="9">
        <f>IFERROR(__xludf.DUMMYFUNCTION("SUM(QUERY(Entregas_BD!D:L,""select J where D='""&amp;D288&amp;""'"",1))"),0.0)</f>
        <v>0</v>
      </c>
      <c r="R288" s="15">
        <f>IFERROR(__xludf.DUMMYFUNCTION("SUM(QUERY(Entregas_BD!D:L,""select K where D='""&amp;D288&amp;""'"",1))"),0.0)</f>
        <v>0</v>
      </c>
      <c r="S288" s="15">
        <f>IFERROR(__xludf.DUMMYFUNCTION("SUM(QUERY(Entregas_BD!D:L,""select L where D='""&amp;D288&amp;""'"",1))"),0.0)</f>
        <v>0</v>
      </c>
      <c r="T288" s="9">
        <f>IFERROR(__xludf.DUMMYFUNCTION("SUM(QUERY(Entregas_BD!D:AL,""select AG where D='""&amp;D288&amp;""'"",1))"),0.0)</f>
        <v>0</v>
      </c>
      <c r="U288" s="9">
        <f>IFERROR(__xludf.DUMMYFUNCTION("SUM(QUERY(Entregas_BD!D:AL,""select AH where D='""&amp;D288&amp;""'"",1))"),0.0)</f>
        <v>0</v>
      </c>
      <c r="V288" s="9">
        <f>IFERROR(__xludf.DUMMYFUNCTION("SUM(QUERY(Entregas_BD!D:AL,""select AI where D='""&amp;D288&amp;""'"",1))"),0.0)</f>
        <v>0</v>
      </c>
      <c r="W288" s="9">
        <f>IFERROR(__xludf.DUMMYFUNCTION("SUM(QUERY(Entregas_BD!D:AL,""select AJ where D='""&amp;D288&amp;""'"",1))"),0.0)</f>
        <v>0</v>
      </c>
      <c r="X288" s="9">
        <f>IFERROR(__xludf.DUMMYFUNCTION("SUM(QUERY(Entregas_BD!D:AL,""select AL where D='""&amp;D288&amp;""'"",1))"),0.0)</f>
        <v>0</v>
      </c>
      <c r="Y288" s="9">
        <f>IFERROR(__xludf.DUMMYFUNCTION("SUM(QUERY(Entregas_BD!D:AL,""select AK where D='""&amp;D288&amp;""'"",1))"),0.0)</f>
        <v>0</v>
      </c>
      <c r="Z288" s="9">
        <v>0.0</v>
      </c>
      <c r="AA288" s="9">
        <v>0.0</v>
      </c>
      <c r="AB288" s="9">
        <v>0.0</v>
      </c>
      <c r="AC288" s="9">
        <v>0.0</v>
      </c>
      <c r="AD288" s="9">
        <v>0.0</v>
      </c>
      <c r="AE288" s="9">
        <v>0.0</v>
      </c>
      <c r="AF288" s="12"/>
      <c r="AG288" s="15">
        <f>IFERROR(__xludf.DUMMYFUNCTION("SUM(QUERY(Entregas_BD!D:W,""select U where D='""&amp;D288&amp;""'"",1))"),0.0)</f>
        <v>0</v>
      </c>
      <c r="AH288" s="15">
        <f>IFERROR(__xludf.DUMMYFUNCTION("SUM(QUERY(Entregas_BD!D:W,""select S where D='""&amp;D288&amp;""'"",1))"),0.0)</f>
        <v>0</v>
      </c>
      <c r="AI288" s="15">
        <f>IFERROR(__xludf.DUMMYFUNCTION("SUM(QUERY(Entregas_BD!D:W,""select T where D='""&amp;D288&amp;""'"",1))"),0.0)</f>
        <v>0</v>
      </c>
    </row>
    <row r="289" ht="19.5" customHeight="1">
      <c r="A289" s="54"/>
      <c r="B289" s="29"/>
      <c r="C289" s="19">
        <v>288.0</v>
      </c>
      <c r="D289" s="20" t="s">
        <v>738</v>
      </c>
      <c r="E289" s="20" t="s">
        <v>44</v>
      </c>
      <c r="F289" s="20" t="s">
        <v>45</v>
      </c>
      <c r="G289" s="20" t="s">
        <v>606</v>
      </c>
      <c r="H289" s="22" t="s">
        <v>632</v>
      </c>
      <c r="I289" s="21" t="s">
        <v>41</v>
      </c>
      <c r="J289" s="22"/>
      <c r="K289" s="22"/>
      <c r="L289" s="23"/>
      <c r="M289" s="22"/>
      <c r="N289" s="19">
        <f>IFERROR(__xludf.DUMMYFUNCTION("SUM(QUERY(Entregas_BD!D:L,""select G where D='""&amp;D289&amp;""'"",1))"),0.0)</f>
        <v>0</v>
      </c>
      <c r="O289" s="19">
        <f>IFERROR(__xludf.DUMMYFUNCTION("SUM(QUERY(Entregas_BD!D:L,""select H where D='""&amp;D289&amp;""'"",1))"),0.0)</f>
        <v>0</v>
      </c>
      <c r="P289" s="19">
        <f>IFERROR(__xludf.DUMMYFUNCTION("SUM(QUERY(Entregas_BD!D:L,""select I where D='""&amp;D289&amp;""'"",1))"),0.0)</f>
        <v>0</v>
      </c>
      <c r="Q289" s="19">
        <f>IFERROR(__xludf.DUMMYFUNCTION("SUM(QUERY(Entregas_BD!D:L,""select J where D='""&amp;D289&amp;""'"",1))"),0.0)</f>
        <v>0</v>
      </c>
      <c r="R289" s="24">
        <f>IFERROR(__xludf.DUMMYFUNCTION("SUM(QUERY(Entregas_BD!D:L,""select K where D='""&amp;D289&amp;""'"",1))"),0.0)</f>
        <v>0</v>
      </c>
      <c r="S289" s="24">
        <f>IFERROR(__xludf.DUMMYFUNCTION("SUM(QUERY(Entregas_BD!D:L,""select L where D='""&amp;D289&amp;""'"",1))"),0.0)</f>
        <v>0</v>
      </c>
      <c r="T289" s="19">
        <f>IFERROR(__xludf.DUMMYFUNCTION("SUM(QUERY(Entregas_BD!D:AL,""select AG where D='""&amp;D289&amp;""'"",1))"),0.0)</f>
        <v>0</v>
      </c>
      <c r="U289" s="19">
        <f>IFERROR(__xludf.DUMMYFUNCTION("SUM(QUERY(Entregas_BD!D:AL,""select AH where D='""&amp;D289&amp;""'"",1))"),0.0)</f>
        <v>0</v>
      </c>
      <c r="V289" s="19">
        <f>IFERROR(__xludf.DUMMYFUNCTION("SUM(QUERY(Entregas_BD!D:AL,""select AI where D='""&amp;D289&amp;""'"",1))"),0.0)</f>
        <v>0</v>
      </c>
      <c r="W289" s="19">
        <f>IFERROR(__xludf.DUMMYFUNCTION("SUM(QUERY(Entregas_BD!D:AL,""select AJ where D='""&amp;D289&amp;""'"",1))"),0.0)</f>
        <v>0</v>
      </c>
      <c r="X289" s="19">
        <f>IFERROR(__xludf.DUMMYFUNCTION("SUM(QUERY(Entregas_BD!D:AL,""select AL where D='""&amp;D289&amp;""'"",1))"),0.0)</f>
        <v>0</v>
      </c>
      <c r="Y289" s="19">
        <f>IFERROR(__xludf.DUMMYFUNCTION("SUM(QUERY(Entregas_BD!D:AL,""select AK where D='""&amp;D289&amp;""'"",1))"),0.0)</f>
        <v>0</v>
      </c>
      <c r="Z289" s="19">
        <v>0.0</v>
      </c>
      <c r="AA289" s="19">
        <v>0.0</v>
      </c>
      <c r="AB289" s="19">
        <v>0.0</v>
      </c>
      <c r="AC289" s="19">
        <v>0.0</v>
      </c>
      <c r="AD289" s="19">
        <v>0.0</v>
      </c>
      <c r="AE289" s="19">
        <v>0.0</v>
      </c>
      <c r="AF289" s="22"/>
      <c r="AG289" s="24">
        <f>IFERROR(__xludf.DUMMYFUNCTION("SUM(QUERY(Entregas_BD!D:W,""select U where D='""&amp;D289&amp;""'"",1))"),0.0)</f>
        <v>0</v>
      </c>
      <c r="AH289" s="24">
        <f>IFERROR(__xludf.DUMMYFUNCTION("SUM(QUERY(Entregas_BD!D:W,""select S where D='""&amp;D289&amp;""'"",1))"),0.0)</f>
        <v>0</v>
      </c>
      <c r="AI289" s="24">
        <f>IFERROR(__xludf.DUMMYFUNCTION("SUM(QUERY(Entregas_BD!D:W,""select T where D='""&amp;D289&amp;""'"",1))"),0.0)</f>
        <v>0</v>
      </c>
    </row>
    <row r="290" ht="19.5" customHeight="1">
      <c r="A290" s="53"/>
      <c r="B290" s="8"/>
      <c r="C290" s="9">
        <v>289.0</v>
      </c>
      <c r="D290" s="10" t="s">
        <v>739</v>
      </c>
      <c r="E290" s="10" t="s">
        <v>54</v>
      </c>
      <c r="F290" s="10" t="s">
        <v>45</v>
      </c>
      <c r="G290" s="10" t="s">
        <v>430</v>
      </c>
      <c r="H290" s="12" t="s">
        <v>617</v>
      </c>
      <c r="I290" s="11" t="s">
        <v>41</v>
      </c>
      <c r="J290" s="50"/>
      <c r="K290" s="12"/>
      <c r="L290" s="13"/>
      <c r="M290" s="12"/>
      <c r="N290" s="9">
        <f>IFERROR(__xludf.DUMMYFUNCTION("SUM(QUERY(Entregas_BD!D:L,""select G where D='""&amp;D290&amp;""'"",1))"),0.0)</f>
        <v>0</v>
      </c>
      <c r="O290" s="9">
        <f>IFERROR(__xludf.DUMMYFUNCTION("SUM(QUERY(Entregas_BD!D:L,""select H where D='""&amp;D290&amp;""'"",1))"),0.0)</f>
        <v>0</v>
      </c>
      <c r="P290" s="9">
        <f>IFERROR(__xludf.DUMMYFUNCTION("SUM(QUERY(Entregas_BD!D:L,""select I where D='""&amp;D290&amp;""'"",1))"),0.0)</f>
        <v>0</v>
      </c>
      <c r="Q290" s="9">
        <f>IFERROR(__xludf.DUMMYFUNCTION("SUM(QUERY(Entregas_BD!D:L,""select J where D='""&amp;D290&amp;""'"",1))"),0.0)</f>
        <v>0</v>
      </c>
      <c r="R290" s="15">
        <f>IFERROR(__xludf.DUMMYFUNCTION("SUM(QUERY(Entregas_BD!D:L,""select K where D='""&amp;D290&amp;""'"",1))"),0.0)</f>
        <v>0</v>
      </c>
      <c r="S290" s="15">
        <f>IFERROR(__xludf.DUMMYFUNCTION("SUM(QUERY(Entregas_BD!D:L,""select L where D='""&amp;D290&amp;""'"",1))"),0.0)</f>
        <v>0</v>
      </c>
      <c r="T290" s="9">
        <f>IFERROR(__xludf.DUMMYFUNCTION("SUM(QUERY(Entregas_BD!D:AL,""select AG where D='""&amp;D290&amp;""'"",1))"),0.0)</f>
        <v>0</v>
      </c>
      <c r="U290" s="9">
        <f>IFERROR(__xludf.DUMMYFUNCTION("SUM(QUERY(Entregas_BD!D:AL,""select AH where D='""&amp;D290&amp;""'"",1))"),0.0)</f>
        <v>0</v>
      </c>
      <c r="V290" s="9">
        <f>IFERROR(__xludf.DUMMYFUNCTION("SUM(QUERY(Entregas_BD!D:AL,""select AI where D='""&amp;D290&amp;""'"",1))"),0.0)</f>
        <v>0</v>
      </c>
      <c r="W290" s="9">
        <f>IFERROR(__xludf.DUMMYFUNCTION("SUM(QUERY(Entregas_BD!D:AL,""select AJ where D='""&amp;D290&amp;""'"",1))"),0.0)</f>
        <v>0</v>
      </c>
      <c r="X290" s="9">
        <f>IFERROR(__xludf.DUMMYFUNCTION("SUM(QUERY(Entregas_BD!D:AL,""select AL where D='""&amp;D290&amp;""'"",1))"),0.0)</f>
        <v>0</v>
      </c>
      <c r="Y290" s="9">
        <f>IFERROR(__xludf.DUMMYFUNCTION("SUM(QUERY(Entregas_BD!D:AL,""select AK where D='""&amp;D290&amp;""'"",1))"),0.0)</f>
        <v>0</v>
      </c>
      <c r="Z290" s="9">
        <v>0.0</v>
      </c>
      <c r="AA290" s="9">
        <v>0.0</v>
      </c>
      <c r="AB290" s="9">
        <v>0.0</v>
      </c>
      <c r="AC290" s="9">
        <v>0.0</v>
      </c>
      <c r="AD290" s="9">
        <v>0.0</v>
      </c>
      <c r="AE290" s="9">
        <v>0.0</v>
      </c>
      <c r="AF290" s="12"/>
      <c r="AG290" s="15">
        <f>IFERROR(__xludf.DUMMYFUNCTION("SUM(QUERY(Entregas_BD!D:W,""select U where D='""&amp;D290&amp;""'"",1))"),0.0)</f>
        <v>0</v>
      </c>
      <c r="AH290" s="15">
        <f>IFERROR(__xludf.DUMMYFUNCTION("SUM(QUERY(Entregas_BD!D:W,""select S where D='""&amp;D290&amp;""'"",1))"),0.0)</f>
        <v>0</v>
      </c>
      <c r="AI290" s="15">
        <f>IFERROR(__xludf.DUMMYFUNCTION("SUM(QUERY(Entregas_BD!D:W,""select T where D='""&amp;D290&amp;""'"",1))"),0.0)</f>
        <v>0</v>
      </c>
    </row>
    <row r="291" ht="19.5" customHeight="1">
      <c r="A291" s="54"/>
      <c r="B291" s="29"/>
      <c r="C291" s="19">
        <v>290.0</v>
      </c>
      <c r="D291" s="20" t="s">
        <v>740</v>
      </c>
      <c r="E291" s="20" t="s">
        <v>44</v>
      </c>
      <c r="F291" s="20" t="s">
        <v>571</v>
      </c>
      <c r="G291" s="20" t="s">
        <v>741</v>
      </c>
      <c r="H291" s="22" t="s">
        <v>632</v>
      </c>
      <c r="I291" s="21" t="s">
        <v>41</v>
      </c>
      <c r="J291" s="22"/>
      <c r="K291" s="22"/>
      <c r="L291" s="23"/>
      <c r="M291" s="22"/>
      <c r="N291" s="19">
        <f>IFERROR(__xludf.DUMMYFUNCTION("SUM(QUERY(Entregas_BD!D:L,""select G where D='""&amp;D291&amp;""'"",1))"),0.0)</f>
        <v>0</v>
      </c>
      <c r="O291" s="19">
        <f>IFERROR(__xludf.DUMMYFUNCTION("SUM(QUERY(Entregas_BD!D:L,""select H where D='""&amp;D291&amp;""'"",1))"),0.0)</f>
        <v>0</v>
      </c>
      <c r="P291" s="19">
        <f>IFERROR(__xludf.DUMMYFUNCTION("SUM(QUERY(Entregas_BD!D:L,""select I where D='""&amp;D291&amp;""'"",1))"),0.0)</f>
        <v>0</v>
      </c>
      <c r="Q291" s="19">
        <f>IFERROR(__xludf.DUMMYFUNCTION("SUM(QUERY(Entregas_BD!D:L,""select J where D='""&amp;D291&amp;""'"",1))"),0.0)</f>
        <v>0</v>
      </c>
      <c r="R291" s="24">
        <f>IFERROR(__xludf.DUMMYFUNCTION("SUM(QUERY(Entregas_BD!D:L,""select K where D='""&amp;D291&amp;""'"",1))"),0.0)</f>
        <v>0</v>
      </c>
      <c r="S291" s="24">
        <f>IFERROR(__xludf.DUMMYFUNCTION("SUM(QUERY(Entregas_BD!D:L,""select L where D='""&amp;D291&amp;""'"",1))"),0.0)</f>
        <v>0</v>
      </c>
      <c r="T291" s="19">
        <f>IFERROR(__xludf.DUMMYFUNCTION("SUM(QUERY(Entregas_BD!D:AL,""select AG where D='""&amp;D291&amp;""'"",1))"),50.0)</f>
        <v>50</v>
      </c>
      <c r="U291" s="19">
        <f>IFERROR(__xludf.DUMMYFUNCTION("SUM(QUERY(Entregas_BD!D:AL,""select AH where D='""&amp;D291&amp;""'"",1))"),0.0)</f>
        <v>0</v>
      </c>
      <c r="V291" s="19">
        <f>IFERROR(__xludf.DUMMYFUNCTION("SUM(QUERY(Entregas_BD!D:AL,""select AI where D='""&amp;D291&amp;""'"",1))"),0.0)</f>
        <v>0</v>
      </c>
      <c r="W291" s="19">
        <f>IFERROR(__xludf.DUMMYFUNCTION("SUM(QUERY(Entregas_BD!D:AL,""select AJ where D='""&amp;D291&amp;""'"",1))"),25.0)</f>
        <v>25</v>
      </c>
      <c r="X291" s="19">
        <f>IFERROR(__xludf.DUMMYFUNCTION("SUM(QUERY(Entregas_BD!D:AL,""select AL where D='""&amp;D291&amp;""'"",1))"),0.0)</f>
        <v>0</v>
      </c>
      <c r="Y291" s="19">
        <f>IFERROR(__xludf.DUMMYFUNCTION("SUM(QUERY(Entregas_BD!D:AL,""select AK where D='""&amp;D291&amp;""'"",1))"),0.0)</f>
        <v>0</v>
      </c>
      <c r="Z291" s="19">
        <v>-50.0</v>
      </c>
      <c r="AA291" s="19">
        <v>0.0</v>
      </c>
      <c r="AB291" s="19">
        <v>0.0</v>
      </c>
      <c r="AC291" s="19">
        <v>-25.0</v>
      </c>
      <c r="AD291" s="19">
        <v>0.0</v>
      </c>
      <c r="AE291" s="19">
        <v>0.0</v>
      </c>
      <c r="AF291" s="22"/>
      <c r="AG291" s="24">
        <f>IFERROR(__xludf.DUMMYFUNCTION("SUM(QUERY(Entregas_BD!D:W,""select U where D='""&amp;D291&amp;""'"",1))"),0.0)</f>
        <v>0</v>
      </c>
      <c r="AH291" s="24">
        <f>IFERROR(__xludf.DUMMYFUNCTION("SUM(QUERY(Entregas_BD!D:W,""select S where D='""&amp;D291&amp;""'"",1))"),0.0)</f>
        <v>0</v>
      </c>
      <c r="AI291" s="24">
        <f>IFERROR(__xludf.DUMMYFUNCTION("SUM(QUERY(Entregas_BD!D:W,""select T where D='""&amp;D291&amp;""'"",1))"),0.0)</f>
        <v>0</v>
      </c>
    </row>
    <row r="292" ht="19.5" customHeight="1">
      <c r="A292" s="53"/>
      <c r="B292" s="8"/>
      <c r="C292" s="9">
        <v>291.0</v>
      </c>
      <c r="D292" s="10" t="s">
        <v>742</v>
      </c>
      <c r="E292" s="10" t="s">
        <v>197</v>
      </c>
      <c r="F292" s="10" t="s">
        <v>716</v>
      </c>
      <c r="G292" s="10" t="s">
        <v>743</v>
      </c>
      <c r="H292" s="12" t="s">
        <v>632</v>
      </c>
      <c r="I292" s="11" t="s">
        <v>41</v>
      </c>
      <c r="J292" s="12"/>
      <c r="K292" s="12"/>
      <c r="L292" s="13"/>
      <c r="M292" s="12"/>
      <c r="N292" s="9">
        <f>IFERROR(__xludf.DUMMYFUNCTION("SUM(QUERY(Entregas_BD!D:L,""select G where D='""&amp;D292&amp;""'"",1))"),0.0)</f>
        <v>0</v>
      </c>
      <c r="O292" s="9">
        <f>IFERROR(__xludf.DUMMYFUNCTION("SUM(QUERY(Entregas_BD!D:L,""select H where D='""&amp;D292&amp;""'"",1))"),0.0)</f>
        <v>0</v>
      </c>
      <c r="P292" s="9">
        <f>IFERROR(__xludf.DUMMYFUNCTION("SUM(QUERY(Entregas_BD!D:L,""select I where D='""&amp;D292&amp;""'"",1))"),0.0)</f>
        <v>0</v>
      </c>
      <c r="Q292" s="9">
        <f>IFERROR(__xludf.DUMMYFUNCTION("SUM(QUERY(Entregas_BD!D:L,""select J where D='""&amp;D292&amp;""'"",1))"),0.0)</f>
        <v>0</v>
      </c>
      <c r="R292" s="15">
        <f>IFERROR(__xludf.DUMMYFUNCTION("SUM(QUERY(Entregas_BD!D:L,""select K where D='""&amp;D292&amp;""'"",1))"),0.0)</f>
        <v>0</v>
      </c>
      <c r="S292" s="15">
        <f>IFERROR(__xludf.DUMMYFUNCTION("SUM(QUERY(Entregas_BD!D:L,""select L where D='""&amp;D292&amp;""'"",1))"),0.0)</f>
        <v>0</v>
      </c>
      <c r="T292" s="9">
        <f>IFERROR(__xludf.DUMMYFUNCTION("SUM(QUERY(Entregas_BD!D:AL,""select AG where D='""&amp;D292&amp;""'"",1))"),25.0)</f>
        <v>25</v>
      </c>
      <c r="U292" s="9">
        <f>IFERROR(__xludf.DUMMYFUNCTION("SUM(QUERY(Entregas_BD!D:AL,""select AH where D='""&amp;D292&amp;""'"",1))"),0.0)</f>
        <v>0</v>
      </c>
      <c r="V292" s="9">
        <f>IFERROR(__xludf.DUMMYFUNCTION("SUM(QUERY(Entregas_BD!D:AL,""select AI where D='""&amp;D292&amp;""'"",1))"),0.0)</f>
        <v>0</v>
      </c>
      <c r="W292" s="9">
        <f>IFERROR(__xludf.DUMMYFUNCTION("SUM(QUERY(Entregas_BD!D:AL,""select AJ where D='""&amp;D292&amp;""'"",1))"),0.0)</f>
        <v>0</v>
      </c>
      <c r="X292" s="9">
        <f>IFERROR(__xludf.DUMMYFUNCTION("SUM(QUERY(Entregas_BD!D:AL,""select AL where D='""&amp;D292&amp;""'"",1))"),0.0)</f>
        <v>0</v>
      </c>
      <c r="Y292" s="9">
        <f>IFERROR(__xludf.DUMMYFUNCTION("SUM(QUERY(Entregas_BD!D:AL,""select AK where D='""&amp;D292&amp;""'"",1))"),6.0)</f>
        <v>6</v>
      </c>
      <c r="Z292" s="9">
        <v>-25.0</v>
      </c>
      <c r="AA292" s="9">
        <v>0.0</v>
      </c>
      <c r="AB292" s="9">
        <v>0.0</v>
      </c>
      <c r="AC292" s="9">
        <v>0.0</v>
      </c>
      <c r="AD292" s="9">
        <v>-6.0</v>
      </c>
      <c r="AE292" s="9">
        <v>0.0</v>
      </c>
      <c r="AF292" s="12"/>
      <c r="AG292" s="15">
        <f>IFERROR(__xludf.DUMMYFUNCTION("SUM(QUERY(Entregas_BD!D:W,""select U where D='""&amp;D292&amp;""'"",1))"),0.0)</f>
        <v>0</v>
      </c>
      <c r="AH292" s="15">
        <f>IFERROR(__xludf.DUMMYFUNCTION("SUM(QUERY(Entregas_BD!D:W,""select S where D='""&amp;D292&amp;""'"",1))"),0.0)</f>
        <v>0</v>
      </c>
      <c r="AI292" s="15">
        <f>IFERROR(__xludf.DUMMYFUNCTION("SUM(QUERY(Entregas_BD!D:W,""select T where D='""&amp;D292&amp;""'"",1))"),0.0)</f>
        <v>0</v>
      </c>
    </row>
    <row r="293" ht="19.5" customHeight="1">
      <c r="A293" s="54"/>
      <c r="B293" s="29"/>
      <c r="C293" s="19">
        <v>292.0</v>
      </c>
      <c r="D293" s="20" t="s">
        <v>744</v>
      </c>
      <c r="E293" s="20" t="s">
        <v>58</v>
      </c>
      <c r="F293" s="20" t="s">
        <v>45</v>
      </c>
      <c r="G293" s="20" t="s">
        <v>745</v>
      </c>
      <c r="H293" s="22" t="s">
        <v>746</v>
      </c>
      <c r="I293" s="21" t="s">
        <v>41</v>
      </c>
      <c r="J293" s="51"/>
      <c r="K293" s="22"/>
      <c r="L293" s="23"/>
      <c r="M293" s="22"/>
      <c r="N293" s="19">
        <f>IFERROR(__xludf.DUMMYFUNCTION("SUM(QUERY(Entregas_BD!D:L,""select G where D='""&amp;D293&amp;""'"",1))"),0.0)</f>
        <v>0</v>
      </c>
      <c r="O293" s="19">
        <f>IFERROR(__xludf.DUMMYFUNCTION("SUM(QUERY(Entregas_BD!D:L,""select H where D='""&amp;D293&amp;""'"",1))"),0.0)</f>
        <v>0</v>
      </c>
      <c r="P293" s="19">
        <f>IFERROR(__xludf.DUMMYFUNCTION("SUM(QUERY(Entregas_BD!D:L,""select I where D='""&amp;D293&amp;""'"",1))"),0.0)</f>
        <v>0</v>
      </c>
      <c r="Q293" s="19">
        <f>IFERROR(__xludf.DUMMYFUNCTION("SUM(QUERY(Entregas_BD!D:L,""select J where D='""&amp;D293&amp;""'"",1))"),0.0)</f>
        <v>0</v>
      </c>
      <c r="R293" s="24">
        <f>IFERROR(__xludf.DUMMYFUNCTION("SUM(QUERY(Entregas_BD!D:L,""select K where D='""&amp;D293&amp;""'"",1))"),0.0)</f>
        <v>0</v>
      </c>
      <c r="S293" s="24">
        <f>IFERROR(__xludf.DUMMYFUNCTION("SUM(QUERY(Entregas_BD!D:L,""select L where D='""&amp;D293&amp;""'"",1))"),0.0)</f>
        <v>0</v>
      </c>
      <c r="T293" s="19">
        <f>IFERROR(__xludf.DUMMYFUNCTION("SUM(QUERY(Entregas_BD!D:AL,""select AG where D='""&amp;D293&amp;""'"",1))"),50.0)</f>
        <v>50</v>
      </c>
      <c r="U293" s="19">
        <f>IFERROR(__xludf.DUMMYFUNCTION("SUM(QUERY(Entregas_BD!D:AL,""select AH where D='""&amp;D293&amp;""'"",1))"),0.0)</f>
        <v>0</v>
      </c>
      <c r="V293" s="19">
        <f>IFERROR(__xludf.DUMMYFUNCTION("SUM(QUERY(Entregas_BD!D:AL,""select AI where D='""&amp;D293&amp;""'"",1))"),0.0)</f>
        <v>0</v>
      </c>
      <c r="W293" s="19">
        <f>IFERROR(__xludf.DUMMYFUNCTION("SUM(QUERY(Entregas_BD!D:AL,""select AJ where D='""&amp;D293&amp;""'"",1))"),0.0)</f>
        <v>0</v>
      </c>
      <c r="X293" s="19">
        <f>IFERROR(__xludf.DUMMYFUNCTION("SUM(QUERY(Entregas_BD!D:AL,""select AL where D='""&amp;D293&amp;""'"",1))"),0.0)</f>
        <v>0</v>
      </c>
      <c r="Y293" s="19">
        <f>IFERROR(__xludf.DUMMYFUNCTION("SUM(QUERY(Entregas_BD!D:AL,""select AK where D='""&amp;D293&amp;""'"",1))"),20.0)</f>
        <v>20</v>
      </c>
      <c r="Z293" s="19">
        <v>-50.0</v>
      </c>
      <c r="AA293" s="19">
        <v>0.0</v>
      </c>
      <c r="AB293" s="19">
        <v>0.0</v>
      </c>
      <c r="AC293" s="19">
        <v>0.0</v>
      </c>
      <c r="AD293" s="19">
        <v>-20.0</v>
      </c>
      <c r="AE293" s="19">
        <v>0.0</v>
      </c>
      <c r="AF293" s="22"/>
      <c r="AG293" s="24">
        <f>IFERROR(__xludf.DUMMYFUNCTION("SUM(QUERY(Entregas_BD!D:W,""select U where D='""&amp;D293&amp;""'"",1))"),0.0)</f>
        <v>0</v>
      </c>
      <c r="AH293" s="24">
        <f>IFERROR(__xludf.DUMMYFUNCTION("SUM(QUERY(Entregas_BD!D:W,""select S where D='""&amp;D293&amp;""'"",1))"),0.0)</f>
        <v>0</v>
      </c>
      <c r="AI293" s="24">
        <f>IFERROR(__xludf.DUMMYFUNCTION("SUM(QUERY(Entregas_BD!D:W,""select T where D='""&amp;D293&amp;""'"",1))"),0.0)</f>
        <v>0</v>
      </c>
    </row>
    <row r="294" ht="19.5" customHeight="1">
      <c r="A294" s="53"/>
      <c r="B294" s="8"/>
      <c r="C294" s="9">
        <v>293.0</v>
      </c>
      <c r="D294" s="10" t="s">
        <v>747</v>
      </c>
      <c r="E294" s="10" t="s">
        <v>44</v>
      </c>
      <c r="F294" s="10" t="s">
        <v>45</v>
      </c>
      <c r="G294" s="10" t="s">
        <v>300</v>
      </c>
      <c r="H294" s="12" t="s">
        <v>632</v>
      </c>
      <c r="I294" s="11" t="s">
        <v>41</v>
      </c>
      <c r="J294" s="50"/>
      <c r="K294" s="12"/>
      <c r="L294" s="13"/>
      <c r="M294" s="12"/>
      <c r="N294" s="9">
        <f>IFERROR(__xludf.DUMMYFUNCTION("SUM(QUERY(Entregas_BD!D:L,""select G where D='""&amp;D294&amp;""'"",1))"),0.0)</f>
        <v>0</v>
      </c>
      <c r="O294" s="9">
        <f>IFERROR(__xludf.DUMMYFUNCTION("SUM(QUERY(Entregas_BD!D:L,""select H where D='""&amp;D294&amp;""'"",1))"),0.0)</f>
        <v>0</v>
      </c>
      <c r="P294" s="9">
        <f>IFERROR(__xludf.DUMMYFUNCTION("SUM(QUERY(Entregas_BD!D:L,""select I where D='""&amp;D294&amp;""'"",1))"),0.0)</f>
        <v>0</v>
      </c>
      <c r="Q294" s="9">
        <f>IFERROR(__xludf.DUMMYFUNCTION("SUM(QUERY(Entregas_BD!D:L,""select J where D='""&amp;D294&amp;""'"",1))"),0.0)</f>
        <v>0</v>
      </c>
      <c r="R294" s="15">
        <f>IFERROR(__xludf.DUMMYFUNCTION("SUM(QUERY(Entregas_BD!D:L,""select K where D='""&amp;D294&amp;""'"",1))"),0.0)</f>
        <v>0</v>
      </c>
      <c r="S294" s="15">
        <f>IFERROR(__xludf.DUMMYFUNCTION("SUM(QUERY(Entregas_BD!D:L,""select L where D='""&amp;D294&amp;""'"",1))"),0.0)</f>
        <v>0</v>
      </c>
      <c r="T294" s="9">
        <f>IFERROR(__xludf.DUMMYFUNCTION("SUM(QUERY(Entregas_BD!D:AL,""select AG where D='""&amp;D294&amp;""'"",1))"),25.0)</f>
        <v>25</v>
      </c>
      <c r="U294" s="9">
        <f>IFERROR(__xludf.DUMMYFUNCTION("SUM(QUERY(Entregas_BD!D:AL,""select AH where D='""&amp;D294&amp;""'"",1))"),0.0)</f>
        <v>0</v>
      </c>
      <c r="V294" s="9">
        <f>IFERROR(__xludf.DUMMYFUNCTION("SUM(QUERY(Entregas_BD!D:AL,""select AI where D='""&amp;D294&amp;""'"",1))"),0.0)</f>
        <v>0</v>
      </c>
      <c r="W294" s="9">
        <f>IFERROR(__xludf.DUMMYFUNCTION("SUM(QUERY(Entregas_BD!D:AL,""select AJ where D='""&amp;D294&amp;""'"",1))"),25.0)</f>
        <v>25</v>
      </c>
      <c r="X294" s="9">
        <f>IFERROR(__xludf.DUMMYFUNCTION("SUM(QUERY(Entregas_BD!D:AL,""select AL where D='""&amp;D294&amp;""'"",1))"),0.0)</f>
        <v>0</v>
      </c>
      <c r="Y294" s="9">
        <f>IFERROR(__xludf.DUMMYFUNCTION("SUM(QUERY(Entregas_BD!D:AL,""select AK where D='""&amp;D294&amp;""'"",1))"),0.0)</f>
        <v>0</v>
      </c>
      <c r="Z294" s="9">
        <v>-25.0</v>
      </c>
      <c r="AA294" s="9">
        <v>0.0</v>
      </c>
      <c r="AB294" s="9">
        <v>0.0</v>
      </c>
      <c r="AC294" s="9">
        <v>-25.0</v>
      </c>
      <c r="AD294" s="9">
        <v>0.0</v>
      </c>
      <c r="AE294" s="9">
        <v>0.0</v>
      </c>
      <c r="AF294" s="12"/>
      <c r="AG294" s="15">
        <f>IFERROR(__xludf.DUMMYFUNCTION("SUM(QUERY(Entregas_BD!D:W,""select U where D='""&amp;D294&amp;""'"",1))"),0.0)</f>
        <v>0</v>
      </c>
      <c r="AH294" s="15">
        <f>IFERROR(__xludf.DUMMYFUNCTION("SUM(QUERY(Entregas_BD!D:W,""select S where D='""&amp;D294&amp;""'"",1))"),0.0)</f>
        <v>0</v>
      </c>
      <c r="AI294" s="15">
        <f>IFERROR(__xludf.DUMMYFUNCTION("SUM(QUERY(Entregas_BD!D:W,""select T where D='""&amp;D294&amp;""'"",1))"),0.0)</f>
        <v>0</v>
      </c>
    </row>
    <row r="295" ht="19.5" customHeight="1">
      <c r="A295" s="54"/>
      <c r="B295" s="29"/>
      <c r="C295" s="19">
        <v>294.0</v>
      </c>
      <c r="D295" s="20" t="s">
        <v>748</v>
      </c>
      <c r="E295" s="20" t="s">
        <v>63</v>
      </c>
      <c r="F295" s="20" t="s">
        <v>749</v>
      </c>
      <c r="G295" s="20" t="s">
        <v>149</v>
      </c>
      <c r="H295" s="22" t="s">
        <v>750</v>
      </c>
      <c r="I295" s="21" t="s">
        <v>41</v>
      </c>
      <c r="J295" s="51"/>
      <c r="K295" s="22"/>
      <c r="L295" s="23"/>
      <c r="M295" s="22"/>
      <c r="N295" s="19">
        <f>IFERROR(__xludf.DUMMYFUNCTION("SUM(QUERY(Entregas_BD!D:L,""select G where D='""&amp;D295&amp;""'"",1))"),0.0)</f>
        <v>0</v>
      </c>
      <c r="O295" s="19">
        <f>IFERROR(__xludf.DUMMYFUNCTION("SUM(QUERY(Entregas_BD!D:L,""select H where D='""&amp;D295&amp;""'"",1))"),0.0)</f>
        <v>0</v>
      </c>
      <c r="P295" s="19">
        <f>IFERROR(__xludf.DUMMYFUNCTION("SUM(QUERY(Entregas_BD!D:L,""select I where D='""&amp;D295&amp;""'"",1))"),0.0)</f>
        <v>0</v>
      </c>
      <c r="Q295" s="19">
        <f>IFERROR(__xludf.DUMMYFUNCTION("SUM(QUERY(Entregas_BD!D:L,""select J where D='""&amp;D295&amp;""'"",1))"),0.0)</f>
        <v>0</v>
      </c>
      <c r="R295" s="24">
        <f>IFERROR(__xludf.DUMMYFUNCTION("SUM(QUERY(Entregas_BD!D:L,""select K where D='""&amp;D295&amp;""'"",1))"),0.0)</f>
        <v>0</v>
      </c>
      <c r="S295" s="24">
        <f>IFERROR(__xludf.DUMMYFUNCTION("SUM(QUERY(Entregas_BD!D:L,""select L where D='""&amp;D295&amp;""'"",1))"),0.0)</f>
        <v>0</v>
      </c>
      <c r="T295" s="19">
        <f>IFERROR(__xludf.DUMMYFUNCTION("SUM(QUERY(Entregas_BD!D:AL,""select AG where D='""&amp;D295&amp;""'"",1))"),50.0)</f>
        <v>50</v>
      </c>
      <c r="U295" s="19">
        <f>IFERROR(__xludf.DUMMYFUNCTION("SUM(QUERY(Entregas_BD!D:AL,""select AH where D='""&amp;D295&amp;""'"",1))"),0.0)</f>
        <v>0</v>
      </c>
      <c r="V295" s="19">
        <f>IFERROR(__xludf.DUMMYFUNCTION("SUM(QUERY(Entregas_BD!D:AL,""select AI where D='""&amp;D295&amp;""'"",1))"),0.0)</f>
        <v>0</v>
      </c>
      <c r="W295" s="19">
        <f>IFERROR(__xludf.DUMMYFUNCTION("SUM(QUERY(Entregas_BD!D:AL,""select AJ where D='""&amp;D295&amp;""'"",1))"),0.0)</f>
        <v>0</v>
      </c>
      <c r="X295" s="19">
        <f>IFERROR(__xludf.DUMMYFUNCTION("SUM(QUERY(Entregas_BD!D:AL,""select AL where D='""&amp;D295&amp;""'"",1))"),0.0)</f>
        <v>0</v>
      </c>
      <c r="Y295" s="19">
        <f>IFERROR(__xludf.DUMMYFUNCTION("SUM(QUERY(Entregas_BD!D:AL,""select AK where D='""&amp;D295&amp;""'"",1))"),0.0)</f>
        <v>0</v>
      </c>
      <c r="Z295" s="19">
        <v>-50.0</v>
      </c>
      <c r="AA295" s="19">
        <v>0.0</v>
      </c>
      <c r="AB295" s="19">
        <v>0.0</v>
      </c>
      <c r="AC295" s="19">
        <v>0.0</v>
      </c>
      <c r="AD295" s="19">
        <v>0.0</v>
      </c>
      <c r="AE295" s="19">
        <v>0.0</v>
      </c>
      <c r="AF295" s="22"/>
      <c r="AG295" s="24">
        <f>IFERROR(__xludf.DUMMYFUNCTION("SUM(QUERY(Entregas_BD!D:W,""select U where D='""&amp;D295&amp;""'"",1))"),0.0)</f>
        <v>0</v>
      </c>
      <c r="AH295" s="24">
        <f>IFERROR(__xludf.DUMMYFUNCTION("SUM(QUERY(Entregas_BD!D:W,""select S where D='""&amp;D295&amp;""'"",1))"),0.0)</f>
        <v>0</v>
      </c>
      <c r="AI295" s="24">
        <f>IFERROR(__xludf.DUMMYFUNCTION("SUM(QUERY(Entregas_BD!D:W,""select T where D='""&amp;D295&amp;""'"",1))"),0.0)</f>
        <v>0</v>
      </c>
    </row>
    <row r="296" ht="19.5" customHeight="1">
      <c r="A296" s="53"/>
      <c r="B296" s="8"/>
      <c r="C296" s="9">
        <v>295.0</v>
      </c>
      <c r="D296" s="10" t="s">
        <v>751</v>
      </c>
      <c r="E296" s="10" t="s">
        <v>197</v>
      </c>
      <c r="F296" s="10" t="s">
        <v>583</v>
      </c>
      <c r="G296" s="10" t="s">
        <v>149</v>
      </c>
      <c r="H296" s="12" t="s">
        <v>632</v>
      </c>
      <c r="I296" s="11" t="s">
        <v>41</v>
      </c>
      <c r="J296" s="50"/>
      <c r="K296" s="12"/>
      <c r="L296" s="13"/>
      <c r="M296" s="12"/>
      <c r="N296" s="9">
        <f>IFERROR(__xludf.DUMMYFUNCTION("SUM(QUERY(Entregas_BD!D:L,""select G where D='""&amp;D296&amp;""'"",1))"),0.0)</f>
        <v>0</v>
      </c>
      <c r="O296" s="9">
        <f>IFERROR(__xludf.DUMMYFUNCTION("SUM(QUERY(Entregas_BD!D:L,""select H where D='""&amp;D296&amp;""'"",1))"),0.0)</f>
        <v>0</v>
      </c>
      <c r="P296" s="9">
        <f>IFERROR(__xludf.DUMMYFUNCTION("SUM(QUERY(Entregas_BD!D:L,""select I where D='""&amp;D296&amp;""'"",1))"),0.0)</f>
        <v>0</v>
      </c>
      <c r="Q296" s="9">
        <f>IFERROR(__xludf.DUMMYFUNCTION("SUM(QUERY(Entregas_BD!D:L,""select J where D='""&amp;D296&amp;""'"",1))"),0.0)</f>
        <v>0</v>
      </c>
      <c r="R296" s="15">
        <f>IFERROR(__xludf.DUMMYFUNCTION("SUM(QUERY(Entregas_BD!D:L,""select K where D='""&amp;D296&amp;""'"",1))"),0.0)</f>
        <v>0</v>
      </c>
      <c r="S296" s="15">
        <f>IFERROR(__xludf.DUMMYFUNCTION("SUM(QUERY(Entregas_BD!D:L,""select L where D='""&amp;D296&amp;""'"",1))"),0.0)</f>
        <v>0</v>
      </c>
      <c r="T296" s="9">
        <f>IFERROR(__xludf.DUMMYFUNCTION("SUM(QUERY(Entregas_BD!D:AL,""select AG where D='""&amp;D296&amp;""'"",1))"),0.0)</f>
        <v>0</v>
      </c>
      <c r="U296" s="9">
        <f>IFERROR(__xludf.DUMMYFUNCTION("SUM(QUERY(Entregas_BD!D:AL,""select AH where D='""&amp;D296&amp;""'"",1))"),0.0)</f>
        <v>0</v>
      </c>
      <c r="V296" s="9">
        <f>IFERROR(__xludf.DUMMYFUNCTION("SUM(QUERY(Entregas_BD!D:AL,""select AI where D='""&amp;D296&amp;""'"",1))"),0.0)</f>
        <v>0</v>
      </c>
      <c r="W296" s="9">
        <f>IFERROR(__xludf.DUMMYFUNCTION("SUM(QUERY(Entregas_BD!D:AL,""select AJ where D='""&amp;D296&amp;""'"",1))"),0.0)</f>
        <v>0</v>
      </c>
      <c r="X296" s="9">
        <f>IFERROR(__xludf.DUMMYFUNCTION("SUM(QUERY(Entregas_BD!D:AL,""select AL where D='""&amp;D296&amp;""'"",1))"),0.0)</f>
        <v>0</v>
      </c>
      <c r="Y296" s="9">
        <f>IFERROR(__xludf.DUMMYFUNCTION("SUM(QUERY(Entregas_BD!D:AL,""select AK where D='""&amp;D296&amp;""'"",1))"),0.0)</f>
        <v>0</v>
      </c>
      <c r="Z296" s="9">
        <v>0.0</v>
      </c>
      <c r="AA296" s="9">
        <v>0.0</v>
      </c>
      <c r="AB296" s="9">
        <v>0.0</v>
      </c>
      <c r="AC296" s="9">
        <v>0.0</v>
      </c>
      <c r="AD296" s="9">
        <v>0.0</v>
      </c>
      <c r="AE296" s="9">
        <v>0.0</v>
      </c>
      <c r="AF296" s="12"/>
      <c r="AG296" s="15">
        <f>IFERROR(__xludf.DUMMYFUNCTION("SUM(QUERY(Entregas_BD!D:W,""select U where D='""&amp;D296&amp;""'"",1))"),0.0)</f>
        <v>0</v>
      </c>
      <c r="AH296" s="15">
        <f>IFERROR(__xludf.DUMMYFUNCTION("SUM(QUERY(Entregas_BD!D:W,""select S where D='""&amp;D296&amp;""'"",1))"),0.0)</f>
        <v>0</v>
      </c>
      <c r="AI296" s="15">
        <f>IFERROR(__xludf.DUMMYFUNCTION("SUM(QUERY(Entregas_BD!D:W,""select T where D='""&amp;D296&amp;""'"",1))"),0.0)</f>
        <v>0</v>
      </c>
    </row>
    <row r="297" ht="19.5" customHeight="1">
      <c r="A297" s="54"/>
      <c r="B297" s="29"/>
      <c r="C297" s="19">
        <v>296.0</v>
      </c>
      <c r="D297" s="20" t="s">
        <v>752</v>
      </c>
      <c r="E297" s="20" t="s">
        <v>44</v>
      </c>
      <c r="F297" s="20" t="s">
        <v>571</v>
      </c>
      <c r="G297" s="20" t="s">
        <v>675</v>
      </c>
      <c r="H297" s="22" t="s">
        <v>632</v>
      </c>
      <c r="I297" s="21" t="s">
        <v>41</v>
      </c>
      <c r="J297" s="51"/>
      <c r="K297" s="22"/>
      <c r="L297" s="23"/>
      <c r="M297" s="22"/>
      <c r="N297" s="19">
        <f>IFERROR(__xludf.DUMMYFUNCTION("SUM(QUERY(Entregas_BD!D:L,""select G where D='""&amp;D297&amp;""'"",1))"),0.0)</f>
        <v>0</v>
      </c>
      <c r="O297" s="19">
        <f>IFERROR(__xludf.DUMMYFUNCTION("SUM(QUERY(Entregas_BD!D:L,""select H where D='""&amp;D297&amp;""'"",1))"),0.0)</f>
        <v>0</v>
      </c>
      <c r="P297" s="19">
        <f>IFERROR(__xludf.DUMMYFUNCTION("SUM(QUERY(Entregas_BD!D:L,""select I where D='""&amp;D297&amp;""'"",1))"),0.0)</f>
        <v>0</v>
      </c>
      <c r="Q297" s="19">
        <f>IFERROR(__xludf.DUMMYFUNCTION("SUM(QUERY(Entregas_BD!D:L,""select J where D='""&amp;D297&amp;""'"",1))"),0.0)</f>
        <v>0</v>
      </c>
      <c r="R297" s="24">
        <f>IFERROR(__xludf.DUMMYFUNCTION("SUM(QUERY(Entregas_BD!D:L,""select K where D='""&amp;D297&amp;""'"",1))"),0.0)</f>
        <v>0</v>
      </c>
      <c r="S297" s="24">
        <f>IFERROR(__xludf.DUMMYFUNCTION("SUM(QUERY(Entregas_BD!D:L,""select L where D='""&amp;D297&amp;""'"",1))"),0.0)</f>
        <v>0</v>
      </c>
      <c r="T297" s="19">
        <f>IFERROR(__xludf.DUMMYFUNCTION("SUM(QUERY(Entregas_BD!D:AL,""select AG where D='""&amp;D297&amp;""'"",1))"),0.0)</f>
        <v>0</v>
      </c>
      <c r="U297" s="19">
        <f>IFERROR(__xludf.DUMMYFUNCTION("SUM(QUERY(Entregas_BD!D:AL,""select AH where D='""&amp;D297&amp;""'"",1))"),0.0)</f>
        <v>0</v>
      </c>
      <c r="V297" s="19">
        <f>IFERROR(__xludf.DUMMYFUNCTION("SUM(QUERY(Entregas_BD!D:AL,""select AI where D='""&amp;D297&amp;""'"",1))"),0.0)</f>
        <v>0</v>
      </c>
      <c r="W297" s="19">
        <f>IFERROR(__xludf.DUMMYFUNCTION("SUM(QUERY(Entregas_BD!D:AL,""select AJ where D='""&amp;D297&amp;""'"",1))"),0.0)</f>
        <v>0</v>
      </c>
      <c r="X297" s="19">
        <f>IFERROR(__xludf.DUMMYFUNCTION("SUM(QUERY(Entregas_BD!D:AL,""select AL where D='""&amp;D297&amp;""'"",1))"),0.0)</f>
        <v>0</v>
      </c>
      <c r="Y297" s="19">
        <f>IFERROR(__xludf.DUMMYFUNCTION("SUM(QUERY(Entregas_BD!D:AL,""select AK where D='""&amp;D297&amp;""'"",1))"),0.0)</f>
        <v>0</v>
      </c>
      <c r="Z297" s="19">
        <v>0.0</v>
      </c>
      <c r="AA297" s="19">
        <v>0.0</v>
      </c>
      <c r="AB297" s="19">
        <v>0.0</v>
      </c>
      <c r="AC297" s="19">
        <v>0.0</v>
      </c>
      <c r="AD297" s="19">
        <v>0.0</v>
      </c>
      <c r="AE297" s="19">
        <v>0.0</v>
      </c>
      <c r="AF297" s="22"/>
      <c r="AG297" s="24">
        <f>IFERROR(__xludf.DUMMYFUNCTION("SUM(QUERY(Entregas_BD!D:W,""select U where D='""&amp;D297&amp;""'"",1))"),0.0)</f>
        <v>0</v>
      </c>
      <c r="AH297" s="24">
        <f>IFERROR(__xludf.DUMMYFUNCTION("SUM(QUERY(Entregas_BD!D:W,""select S where D='""&amp;D297&amp;""'"",1))"),0.0)</f>
        <v>0</v>
      </c>
      <c r="AI297" s="24">
        <f>IFERROR(__xludf.DUMMYFUNCTION("SUM(QUERY(Entregas_BD!D:W,""select T where D='""&amp;D297&amp;""'"",1))"),0.0)</f>
        <v>0</v>
      </c>
    </row>
    <row r="298" ht="19.5" customHeight="1">
      <c r="A298" s="53"/>
      <c r="B298" s="8"/>
      <c r="C298" s="9">
        <v>297.0</v>
      </c>
      <c r="D298" s="10" t="s">
        <v>753</v>
      </c>
      <c r="E298" s="10" t="s">
        <v>197</v>
      </c>
      <c r="F298" s="10" t="s">
        <v>677</v>
      </c>
      <c r="G298" s="10" t="s">
        <v>754</v>
      </c>
      <c r="H298" s="12" t="s">
        <v>755</v>
      </c>
      <c r="I298" s="11" t="s">
        <v>41</v>
      </c>
      <c r="J298" s="50"/>
      <c r="K298" s="12"/>
      <c r="L298" s="13"/>
      <c r="M298" s="12"/>
      <c r="N298" s="9">
        <f>IFERROR(__xludf.DUMMYFUNCTION("SUM(QUERY(Entregas_BD!D:L,""select G where D='""&amp;D298&amp;""'"",1))"),0.0)</f>
        <v>0</v>
      </c>
      <c r="O298" s="9">
        <f>IFERROR(__xludf.DUMMYFUNCTION("SUM(QUERY(Entregas_BD!D:L,""select H where D='""&amp;D298&amp;""'"",1))"),0.0)</f>
        <v>0</v>
      </c>
      <c r="P298" s="9">
        <f>IFERROR(__xludf.DUMMYFUNCTION("SUM(QUERY(Entregas_BD!D:L,""select I where D='""&amp;D298&amp;""'"",1))"),0.0)</f>
        <v>0</v>
      </c>
      <c r="Q298" s="9">
        <f>IFERROR(__xludf.DUMMYFUNCTION("SUM(QUERY(Entregas_BD!D:L,""select J where D='""&amp;D298&amp;""'"",1))"),0.0)</f>
        <v>0</v>
      </c>
      <c r="R298" s="15">
        <f>IFERROR(__xludf.DUMMYFUNCTION("SUM(QUERY(Entregas_BD!D:L,""select K where D='""&amp;D298&amp;""'"",1))"),0.0)</f>
        <v>0</v>
      </c>
      <c r="S298" s="15">
        <f>IFERROR(__xludf.DUMMYFUNCTION("SUM(QUERY(Entregas_BD!D:L,""select L where D='""&amp;D298&amp;""'"",1))"),0.0)</f>
        <v>0</v>
      </c>
      <c r="T298" s="9">
        <f>IFERROR(__xludf.DUMMYFUNCTION("SUM(QUERY(Entregas_BD!D:AL,""select AG where D='""&amp;D298&amp;""'"",1))"),0.0)</f>
        <v>0</v>
      </c>
      <c r="U298" s="9">
        <f>IFERROR(__xludf.DUMMYFUNCTION("SUM(QUERY(Entregas_BD!D:AL,""select AH where D='""&amp;D298&amp;""'"",1))"),0.0)</f>
        <v>0</v>
      </c>
      <c r="V298" s="9">
        <f>IFERROR(__xludf.DUMMYFUNCTION("SUM(QUERY(Entregas_BD!D:AL,""select AI where D='""&amp;D298&amp;""'"",1))"),0.0)</f>
        <v>0</v>
      </c>
      <c r="W298" s="9">
        <f>IFERROR(__xludf.DUMMYFUNCTION("SUM(QUERY(Entregas_BD!D:AL,""select AJ where D='""&amp;D298&amp;""'"",1))"),0.0)</f>
        <v>0</v>
      </c>
      <c r="X298" s="9">
        <f>IFERROR(__xludf.DUMMYFUNCTION("SUM(QUERY(Entregas_BD!D:AL,""select AL where D='""&amp;D298&amp;""'"",1))"),0.0)</f>
        <v>0</v>
      </c>
      <c r="Y298" s="9">
        <f>IFERROR(__xludf.DUMMYFUNCTION("SUM(QUERY(Entregas_BD!D:AL,""select AK where D='""&amp;D298&amp;""'"",1))"),0.0)</f>
        <v>0</v>
      </c>
      <c r="Z298" s="9">
        <v>0.0</v>
      </c>
      <c r="AA298" s="9">
        <v>0.0</v>
      </c>
      <c r="AB298" s="9">
        <v>0.0</v>
      </c>
      <c r="AC298" s="9">
        <v>0.0</v>
      </c>
      <c r="AD298" s="9">
        <v>0.0</v>
      </c>
      <c r="AE298" s="9">
        <v>0.0</v>
      </c>
      <c r="AF298" s="12"/>
      <c r="AG298" s="15">
        <f>IFERROR(__xludf.DUMMYFUNCTION("SUM(QUERY(Entregas_BD!D:W,""select U where D='""&amp;D298&amp;""'"",1))"),0.0)</f>
        <v>0</v>
      </c>
      <c r="AH298" s="15">
        <f>IFERROR(__xludf.DUMMYFUNCTION("SUM(QUERY(Entregas_BD!D:W,""select S where D='""&amp;D298&amp;""'"",1))"),0.0)</f>
        <v>0</v>
      </c>
      <c r="AI298" s="15">
        <f>IFERROR(__xludf.DUMMYFUNCTION("SUM(QUERY(Entregas_BD!D:W,""select T where D='""&amp;D298&amp;""'"",1))"),0.0)</f>
        <v>0</v>
      </c>
    </row>
    <row r="299" ht="19.5" customHeight="1">
      <c r="A299" s="54"/>
      <c r="B299" s="29"/>
      <c r="C299" s="19">
        <v>298.0</v>
      </c>
      <c r="D299" s="20" t="s">
        <v>756</v>
      </c>
      <c r="E299" s="20" t="s">
        <v>197</v>
      </c>
      <c r="F299" s="20" t="s">
        <v>494</v>
      </c>
      <c r="G299" s="20" t="s">
        <v>757</v>
      </c>
      <c r="H299" s="22" t="s">
        <v>632</v>
      </c>
      <c r="I299" s="21" t="s">
        <v>41</v>
      </c>
      <c r="J299" s="22"/>
      <c r="K299" s="22"/>
      <c r="L299" s="23"/>
      <c r="M299" s="22"/>
      <c r="N299" s="19">
        <f>IFERROR(__xludf.DUMMYFUNCTION("SUM(QUERY(Entregas_BD!D:L,""select G where D='""&amp;D299&amp;""'"",1))"),0.0)</f>
        <v>0</v>
      </c>
      <c r="O299" s="19">
        <f>IFERROR(__xludf.DUMMYFUNCTION("SUM(QUERY(Entregas_BD!D:L,""select H where D='""&amp;D299&amp;""'"",1))"),0.0)</f>
        <v>0</v>
      </c>
      <c r="P299" s="19">
        <f>IFERROR(__xludf.DUMMYFUNCTION("SUM(QUERY(Entregas_BD!D:L,""select I where D='""&amp;D299&amp;""'"",1))"),0.0)</f>
        <v>0</v>
      </c>
      <c r="Q299" s="19">
        <f>IFERROR(__xludf.DUMMYFUNCTION("SUM(QUERY(Entregas_BD!D:L,""select J where D='""&amp;D299&amp;""'"",1))"),0.0)</f>
        <v>0</v>
      </c>
      <c r="R299" s="24">
        <f>IFERROR(__xludf.DUMMYFUNCTION("SUM(QUERY(Entregas_BD!D:L,""select K where D='""&amp;D299&amp;""'"",1))"),0.0)</f>
        <v>0</v>
      </c>
      <c r="S299" s="24">
        <f>IFERROR(__xludf.DUMMYFUNCTION("SUM(QUERY(Entregas_BD!D:L,""select L where D='""&amp;D299&amp;""'"",1))"),0.0)</f>
        <v>0</v>
      </c>
      <c r="T299" s="19">
        <f>IFERROR(__xludf.DUMMYFUNCTION("SUM(QUERY(Entregas_BD!D:AL,""select AG where D='""&amp;D299&amp;""'"",1))"),0.0)</f>
        <v>0</v>
      </c>
      <c r="U299" s="19">
        <f>IFERROR(__xludf.DUMMYFUNCTION("SUM(QUERY(Entregas_BD!D:AL,""select AH where D='""&amp;D299&amp;""'"",1))"),0.0)</f>
        <v>0</v>
      </c>
      <c r="V299" s="19">
        <f>IFERROR(__xludf.DUMMYFUNCTION("SUM(QUERY(Entregas_BD!D:AL,""select AI where D='""&amp;D299&amp;""'"",1))"),0.0)</f>
        <v>0</v>
      </c>
      <c r="W299" s="19">
        <f>IFERROR(__xludf.DUMMYFUNCTION("SUM(QUERY(Entregas_BD!D:AL,""select AJ where D='""&amp;D299&amp;""'"",1))"),0.0)</f>
        <v>0</v>
      </c>
      <c r="X299" s="19">
        <f>IFERROR(__xludf.DUMMYFUNCTION("SUM(QUERY(Entregas_BD!D:AL,""select AL where D='""&amp;D299&amp;""'"",1))"),0.0)</f>
        <v>0</v>
      </c>
      <c r="Y299" s="19">
        <f>IFERROR(__xludf.DUMMYFUNCTION("SUM(QUERY(Entregas_BD!D:AL,""select AK where D='""&amp;D299&amp;""'"",1))"),0.0)</f>
        <v>0</v>
      </c>
      <c r="Z299" s="19">
        <v>0.0</v>
      </c>
      <c r="AA299" s="19">
        <v>0.0</v>
      </c>
      <c r="AB299" s="19">
        <v>0.0</v>
      </c>
      <c r="AC299" s="19">
        <v>0.0</v>
      </c>
      <c r="AD299" s="19">
        <v>0.0</v>
      </c>
      <c r="AE299" s="19">
        <v>0.0</v>
      </c>
      <c r="AF299" s="22"/>
      <c r="AG299" s="24">
        <f>IFERROR(__xludf.DUMMYFUNCTION("SUM(QUERY(Entregas_BD!D:W,""select U where D='""&amp;D299&amp;""'"",1))"),0.0)</f>
        <v>0</v>
      </c>
      <c r="AH299" s="24">
        <f>IFERROR(__xludf.DUMMYFUNCTION("SUM(QUERY(Entregas_BD!D:W,""select S where D='""&amp;D299&amp;""'"",1))"),0.0)</f>
        <v>0</v>
      </c>
      <c r="AI299" s="24">
        <f>IFERROR(__xludf.DUMMYFUNCTION("SUM(QUERY(Entregas_BD!D:W,""select T where D='""&amp;D299&amp;""'"",1))"),0.0)</f>
        <v>0</v>
      </c>
    </row>
    <row r="300" ht="19.5" customHeight="1">
      <c r="A300" s="53"/>
      <c r="B300" s="8"/>
      <c r="C300" s="9">
        <v>299.0</v>
      </c>
      <c r="D300" s="10" t="s">
        <v>758</v>
      </c>
      <c r="E300" s="10" t="s">
        <v>58</v>
      </c>
      <c r="F300" s="10" t="s">
        <v>45</v>
      </c>
      <c r="G300" s="10" t="s">
        <v>759</v>
      </c>
      <c r="H300" s="12" t="s">
        <v>632</v>
      </c>
      <c r="I300" s="11" t="s">
        <v>41</v>
      </c>
      <c r="J300" s="12"/>
      <c r="K300" s="12"/>
      <c r="L300" s="13"/>
      <c r="M300" s="12"/>
      <c r="N300" s="9">
        <f>IFERROR(__xludf.DUMMYFUNCTION("SUM(QUERY(Entregas_BD!D:L,""select G where D='""&amp;D300&amp;""'"",1))"),0.0)</f>
        <v>0</v>
      </c>
      <c r="O300" s="9">
        <f>IFERROR(__xludf.DUMMYFUNCTION("SUM(QUERY(Entregas_BD!D:L,""select H where D='""&amp;D300&amp;""'"",1))"),0.0)</f>
        <v>0</v>
      </c>
      <c r="P300" s="9">
        <f>IFERROR(__xludf.DUMMYFUNCTION("SUM(QUERY(Entregas_BD!D:L,""select I where D='""&amp;D300&amp;""'"",1))"),0.0)</f>
        <v>0</v>
      </c>
      <c r="Q300" s="9">
        <f>IFERROR(__xludf.DUMMYFUNCTION("SUM(QUERY(Entregas_BD!D:L,""select J where D='""&amp;D300&amp;""'"",1))"),0.0)</f>
        <v>0</v>
      </c>
      <c r="R300" s="15">
        <f>IFERROR(__xludf.DUMMYFUNCTION("SUM(QUERY(Entregas_BD!D:L,""select K where D='""&amp;D300&amp;""'"",1))"),0.0)</f>
        <v>0</v>
      </c>
      <c r="S300" s="15">
        <f>IFERROR(__xludf.DUMMYFUNCTION("SUM(QUERY(Entregas_BD!D:L,""select L where D='""&amp;D300&amp;""'"",1))"),0.0)</f>
        <v>0</v>
      </c>
      <c r="T300" s="9">
        <f>IFERROR(__xludf.DUMMYFUNCTION("SUM(QUERY(Entregas_BD!D:AL,""select AG where D='""&amp;D300&amp;""'"",1))"),50.0)</f>
        <v>50</v>
      </c>
      <c r="U300" s="9">
        <f>IFERROR(__xludf.DUMMYFUNCTION("SUM(QUERY(Entregas_BD!D:AL,""select AH where D='""&amp;D300&amp;""'"",1))"),0.0)</f>
        <v>0</v>
      </c>
      <c r="V300" s="9">
        <f>IFERROR(__xludf.DUMMYFUNCTION("SUM(QUERY(Entregas_BD!D:AL,""select AI where D='""&amp;D300&amp;""'"",1))"),0.0)</f>
        <v>0</v>
      </c>
      <c r="W300" s="9">
        <f>IFERROR(__xludf.DUMMYFUNCTION("SUM(QUERY(Entregas_BD!D:AL,""select AJ where D='""&amp;D300&amp;""'"",1))"),0.0)</f>
        <v>0</v>
      </c>
      <c r="X300" s="9">
        <f>IFERROR(__xludf.DUMMYFUNCTION("SUM(QUERY(Entregas_BD!D:AL,""select AL where D='""&amp;D300&amp;""'"",1))"),0.0)</f>
        <v>0</v>
      </c>
      <c r="Y300" s="9">
        <f>IFERROR(__xludf.DUMMYFUNCTION("SUM(QUERY(Entregas_BD!D:AL,""select AK where D='""&amp;D300&amp;""'"",1))"),0.0)</f>
        <v>0</v>
      </c>
      <c r="Z300" s="9">
        <v>-50.0</v>
      </c>
      <c r="AA300" s="9">
        <v>0.0</v>
      </c>
      <c r="AB300" s="9">
        <v>0.0</v>
      </c>
      <c r="AC300" s="9">
        <v>0.0</v>
      </c>
      <c r="AD300" s="9">
        <v>0.0</v>
      </c>
      <c r="AE300" s="9">
        <v>0.0</v>
      </c>
      <c r="AF300" s="12"/>
      <c r="AG300" s="15">
        <f>IFERROR(__xludf.DUMMYFUNCTION("SUM(QUERY(Entregas_BD!D:W,""select U where D='""&amp;D300&amp;""'"",1))"),0.0)</f>
        <v>0</v>
      </c>
      <c r="AH300" s="15">
        <f>IFERROR(__xludf.DUMMYFUNCTION("SUM(QUERY(Entregas_BD!D:W,""select S where D='""&amp;D300&amp;""'"",1))"),0.0)</f>
        <v>0</v>
      </c>
      <c r="AI300" s="15">
        <f>IFERROR(__xludf.DUMMYFUNCTION("SUM(QUERY(Entregas_BD!D:W,""select T where D='""&amp;D300&amp;""'"",1))"),0.0)</f>
        <v>0</v>
      </c>
    </row>
    <row r="301" ht="19.5" customHeight="1">
      <c r="A301" s="54"/>
      <c r="B301" s="29"/>
      <c r="C301" s="19">
        <v>300.0</v>
      </c>
      <c r="D301" s="20" t="s">
        <v>760</v>
      </c>
      <c r="E301" s="20" t="s">
        <v>58</v>
      </c>
      <c r="F301" s="20" t="s">
        <v>45</v>
      </c>
      <c r="G301" s="20" t="s">
        <v>378</v>
      </c>
      <c r="H301" s="22" t="s">
        <v>622</v>
      </c>
      <c r="I301" s="21" t="s">
        <v>41</v>
      </c>
      <c r="J301" s="22"/>
      <c r="K301" s="22"/>
      <c r="L301" s="23"/>
      <c r="M301" s="22"/>
      <c r="N301" s="19">
        <f>IFERROR(__xludf.DUMMYFUNCTION("SUM(QUERY(Entregas_BD!D:L,""select G where D='""&amp;D301&amp;""'"",1))"),0.0)</f>
        <v>0</v>
      </c>
      <c r="O301" s="19">
        <f>IFERROR(__xludf.DUMMYFUNCTION("SUM(QUERY(Entregas_BD!D:L,""select H where D='""&amp;D301&amp;""'"",1))"),0.0)</f>
        <v>0</v>
      </c>
      <c r="P301" s="19">
        <f>IFERROR(__xludf.DUMMYFUNCTION("SUM(QUERY(Entregas_BD!D:L,""select I where D='""&amp;D301&amp;""'"",1))"),0.0)</f>
        <v>0</v>
      </c>
      <c r="Q301" s="19">
        <f>IFERROR(__xludf.DUMMYFUNCTION("SUM(QUERY(Entregas_BD!D:L,""select J where D='""&amp;D301&amp;""'"",1))"),0.0)</f>
        <v>0</v>
      </c>
      <c r="R301" s="24">
        <f>IFERROR(__xludf.DUMMYFUNCTION("SUM(QUERY(Entregas_BD!D:L,""select K where D='""&amp;D301&amp;""'"",1))"),0.0)</f>
        <v>0</v>
      </c>
      <c r="S301" s="24">
        <f>IFERROR(__xludf.DUMMYFUNCTION("SUM(QUERY(Entregas_BD!D:L,""select L where D='""&amp;D301&amp;""'"",1))"),0.0)</f>
        <v>0</v>
      </c>
      <c r="T301" s="19">
        <f>IFERROR(__xludf.DUMMYFUNCTION("SUM(QUERY(Entregas_BD!D:AL,""select AG where D='""&amp;D301&amp;""'"",1))"),0.0)</f>
        <v>0</v>
      </c>
      <c r="U301" s="19">
        <f>IFERROR(__xludf.DUMMYFUNCTION("SUM(QUERY(Entregas_BD!D:AL,""select AH where D='""&amp;D301&amp;""'"",1))"),0.0)</f>
        <v>0</v>
      </c>
      <c r="V301" s="19">
        <f>IFERROR(__xludf.DUMMYFUNCTION("SUM(QUERY(Entregas_BD!D:AL,""select AI where D='""&amp;D301&amp;""'"",1))"),0.0)</f>
        <v>0</v>
      </c>
      <c r="W301" s="19">
        <f>IFERROR(__xludf.DUMMYFUNCTION("SUM(QUERY(Entregas_BD!D:AL,""select AJ where D='""&amp;D301&amp;""'"",1))"),0.0)</f>
        <v>0</v>
      </c>
      <c r="X301" s="19">
        <f>IFERROR(__xludf.DUMMYFUNCTION("SUM(QUERY(Entregas_BD!D:AL,""select AL where D='""&amp;D301&amp;""'"",1))"),0.0)</f>
        <v>0</v>
      </c>
      <c r="Y301" s="19">
        <f>IFERROR(__xludf.DUMMYFUNCTION("SUM(QUERY(Entregas_BD!D:AL,""select AK where D='""&amp;D301&amp;""'"",1))"),0.0)</f>
        <v>0</v>
      </c>
      <c r="Z301" s="19">
        <v>0.0</v>
      </c>
      <c r="AA301" s="19">
        <v>0.0</v>
      </c>
      <c r="AB301" s="19">
        <v>0.0</v>
      </c>
      <c r="AC301" s="19">
        <v>0.0</v>
      </c>
      <c r="AD301" s="19">
        <v>0.0</v>
      </c>
      <c r="AE301" s="19">
        <v>0.0</v>
      </c>
      <c r="AF301" s="22"/>
      <c r="AG301" s="24">
        <f>IFERROR(__xludf.DUMMYFUNCTION("SUM(QUERY(Entregas_BD!D:W,""select U where D='""&amp;D301&amp;""'"",1))"),0.0)</f>
        <v>0</v>
      </c>
      <c r="AH301" s="24">
        <f>IFERROR(__xludf.DUMMYFUNCTION("SUM(QUERY(Entregas_BD!D:W,""select S where D='""&amp;D301&amp;""'"",1))"),0.0)</f>
        <v>0</v>
      </c>
      <c r="AI301" s="24">
        <f>IFERROR(__xludf.DUMMYFUNCTION("SUM(QUERY(Entregas_BD!D:W,""select T where D='""&amp;D301&amp;""'"",1))"),0.0)</f>
        <v>0</v>
      </c>
    </row>
    <row r="302" ht="19.5" customHeight="1">
      <c r="A302" s="53"/>
      <c r="B302" s="8"/>
      <c r="C302" s="9">
        <v>301.0</v>
      </c>
      <c r="D302" s="10" t="s">
        <v>761</v>
      </c>
      <c r="E302" s="10" t="s">
        <v>72</v>
      </c>
      <c r="F302" s="10" t="s">
        <v>45</v>
      </c>
      <c r="G302" s="10" t="s">
        <v>79</v>
      </c>
      <c r="H302" s="12" t="s">
        <v>617</v>
      </c>
      <c r="I302" s="11" t="s">
        <v>41</v>
      </c>
      <c r="J302" s="12"/>
      <c r="K302" s="12"/>
      <c r="L302" s="13"/>
      <c r="M302" s="12"/>
      <c r="N302" s="9">
        <f>IFERROR(__xludf.DUMMYFUNCTION("SUM(QUERY(Entregas_BD!D:L,""select G where D='""&amp;D302&amp;""'"",1))"),0.0)</f>
        <v>0</v>
      </c>
      <c r="O302" s="9">
        <f>IFERROR(__xludf.DUMMYFUNCTION("SUM(QUERY(Entregas_BD!D:L,""select H where D='""&amp;D302&amp;""'"",1))"),0.0)</f>
        <v>0</v>
      </c>
      <c r="P302" s="9">
        <f>IFERROR(__xludf.DUMMYFUNCTION("SUM(QUERY(Entregas_BD!D:L,""select I where D='""&amp;D302&amp;""'"",1))"),0.0)</f>
        <v>0</v>
      </c>
      <c r="Q302" s="9">
        <f>IFERROR(__xludf.DUMMYFUNCTION("SUM(QUERY(Entregas_BD!D:L,""select J where D='""&amp;D302&amp;""'"",1))"),0.0)</f>
        <v>0</v>
      </c>
      <c r="R302" s="15">
        <f>IFERROR(__xludf.DUMMYFUNCTION("SUM(QUERY(Entregas_BD!D:L,""select K where D='""&amp;D302&amp;""'"",1))"),0.0)</f>
        <v>0</v>
      </c>
      <c r="S302" s="15">
        <f>IFERROR(__xludf.DUMMYFUNCTION("SUM(QUERY(Entregas_BD!D:L,""select L where D='""&amp;D302&amp;""'"",1))"),0.0)</f>
        <v>0</v>
      </c>
      <c r="T302" s="9">
        <f>IFERROR(__xludf.DUMMYFUNCTION("SUM(QUERY(Entregas_BD!D:AL,""select AG where D='""&amp;D302&amp;""'"",1))"),0.0)</f>
        <v>0</v>
      </c>
      <c r="U302" s="9">
        <f>IFERROR(__xludf.DUMMYFUNCTION("SUM(QUERY(Entregas_BD!D:AL,""select AH where D='""&amp;D302&amp;""'"",1))"),0.0)</f>
        <v>0</v>
      </c>
      <c r="V302" s="9">
        <f>IFERROR(__xludf.DUMMYFUNCTION("SUM(QUERY(Entregas_BD!D:AL,""select AI where D='""&amp;D302&amp;""'"",1))"),0.0)</f>
        <v>0</v>
      </c>
      <c r="W302" s="9">
        <f>IFERROR(__xludf.DUMMYFUNCTION("SUM(QUERY(Entregas_BD!D:AL,""select AJ where D='""&amp;D302&amp;""'"",1))"),0.0)</f>
        <v>0</v>
      </c>
      <c r="X302" s="9">
        <f>IFERROR(__xludf.DUMMYFUNCTION("SUM(QUERY(Entregas_BD!D:AL,""select AL where D='""&amp;D302&amp;""'"",1))"),0.0)</f>
        <v>0</v>
      </c>
      <c r="Y302" s="9">
        <f>IFERROR(__xludf.DUMMYFUNCTION("SUM(QUERY(Entregas_BD!D:AL,""select AK where D='""&amp;D302&amp;""'"",1))"),0.0)</f>
        <v>0</v>
      </c>
      <c r="Z302" s="9">
        <v>0.0</v>
      </c>
      <c r="AA302" s="9">
        <v>0.0</v>
      </c>
      <c r="AB302" s="9">
        <v>0.0</v>
      </c>
      <c r="AC302" s="9">
        <v>0.0</v>
      </c>
      <c r="AD302" s="9">
        <v>0.0</v>
      </c>
      <c r="AE302" s="9">
        <v>0.0</v>
      </c>
      <c r="AF302" s="12"/>
      <c r="AG302" s="15">
        <f>IFERROR(__xludf.DUMMYFUNCTION("SUM(QUERY(Entregas_BD!D:W,""select U where D='""&amp;D302&amp;""'"",1))"),0.0)</f>
        <v>0</v>
      </c>
      <c r="AH302" s="15">
        <f>IFERROR(__xludf.DUMMYFUNCTION("SUM(QUERY(Entregas_BD!D:W,""select S where D='""&amp;D302&amp;""'"",1))"),0.0)</f>
        <v>0</v>
      </c>
      <c r="AI302" s="15">
        <f>IFERROR(__xludf.DUMMYFUNCTION("SUM(QUERY(Entregas_BD!D:W,""select T where D='""&amp;D302&amp;""'"",1))"),0.0)</f>
        <v>0</v>
      </c>
    </row>
    <row r="303" ht="19.5" customHeight="1">
      <c r="A303" s="54"/>
      <c r="B303" s="29"/>
      <c r="C303" s="19">
        <v>302.0</v>
      </c>
      <c r="D303" s="20" t="s">
        <v>762</v>
      </c>
      <c r="E303" s="20" t="s">
        <v>197</v>
      </c>
      <c r="F303" s="20" t="s">
        <v>763</v>
      </c>
      <c r="G303" s="20" t="s">
        <v>764</v>
      </c>
      <c r="H303" s="22" t="s">
        <v>593</v>
      </c>
      <c r="I303" s="21" t="s">
        <v>41</v>
      </c>
      <c r="J303" s="22"/>
      <c r="K303" s="22"/>
      <c r="L303" s="23"/>
      <c r="M303" s="22"/>
      <c r="N303" s="19">
        <f>IFERROR(__xludf.DUMMYFUNCTION("SUM(QUERY(Entregas_BD!D:L,""select G where D='""&amp;D303&amp;""'"",1))"),0.0)</f>
        <v>0</v>
      </c>
      <c r="O303" s="19">
        <f>IFERROR(__xludf.DUMMYFUNCTION("SUM(QUERY(Entregas_BD!D:L,""select H where D='""&amp;D303&amp;""'"",1))"),0.0)</f>
        <v>0</v>
      </c>
      <c r="P303" s="19">
        <f>IFERROR(__xludf.DUMMYFUNCTION("SUM(QUERY(Entregas_BD!D:L,""select I where D='""&amp;D303&amp;""'"",1))"),0.0)</f>
        <v>0</v>
      </c>
      <c r="Q303" s="19">
        <f>IFERROR(__xludf.DUMMYFUNCTION("SUM(QUERY(Entregas_BD!D:L,""select J where D='""&amp;D303&amp;""'"",1))"),0.0)</f>
        <v>0</v>
      </c>
      <c r="R303" s="24">
        <f>IFERROR(__xludf.DUMMYFUNCTION("SUM(QUERY(Entregas_BD!D:L,""select K where D='""&amp;D303&amp;""'"",1))"),0.0)</f>
        <v>0</v>
      </c>
      <c r="S303" s="24">
        <f>IFERROR(__xludf.DUMMYFUNCTION("SUM(QUERY(Entregas_BD!D:L,""select L where D='""&amp;D303&amp;""'"",1))"),0.0)</f>
        <v>0</v>
      </c>
      <c r="T303" s="19">
        <f>IFERROR(__xludf.DUMMYFUNCTION("SUM(QUERY(Entregas_BD!D:AL,""select AG where D='""&amp;D303&amp;""'"",1))"),100.0)</f>
        <v>100</v>
      </c>
      <c r="U303" s="19">
        <f>IFERROR(__xludf.DUMMYFUNCTION("SUM(QUERY(Entregas_BD!D:AL,""select AH where D='""&amp;D303&amp;""'"",1))"),0.0)</f>
        <v>0</v>
      </c>
      <c r="V303" s="19">
        <f>IFERROR(__xludf.DUMMYFUNCTION("SUM(QUERY(Entregas_BD!D:AL,""select AI where D='""&amp;D303&amp;""'"",1))"),0.0)</f>
        <v>0</v>
      </c>
      <c r="W303" s="19">
        <f>IFERROR(__xludf.DUMMYFUNCTION("SUM(QUERY(Entregas_BD!D:AL,""select AJ where D='""&amp;D303&amp;""'"",1))"),0.0)</f>
        <v>0</v>
      </c>
      <c r="X303" s="19">
        <f>IFERROR(__xludf.DUMMYFUNCTION("SUM(QUERY(Entregas_BD!D:AL,""select AL where D='""&amp;D303&amp;""'"",1))"),0.0)</f>
        <v>0</v>
      </c>
      <c r="Y303" s="19">
        <f>IFERROR(__xludf.DUMMYFUNCTION("SUM(QUERY(Entregas_BD!D:AL,""select AK where D='""&amp;D303&amp;""'"",1))"),0.0)</f>
        <v>0</v>
      </c>
      <c r="Z303" s="19">
        <v>-100.0</v>
      </c>
      <c r="AA303" s="19">
        <v>0.0</v>
      </c>
      <c r="AB303" s="19">
        <v>0.0</v>
      </c>
      <c r="AC303" s="19">
        <v>0.0</v>
      </c>
      <c r="AD303" s="19">
        <v>0.0</v>
      </c>
      <c r="AE303" s="19">
        <v>0.0</v>
      </c>
      <c r="AF303" s="22"/>
      <c r="AG303" s="24">
        <f>IFERROR(__xludf.DUMMYFUNCTION("SUM(QUERY(Entregas_BD!D:W,""select U where D='""&amp;D303&amp;""'"",1))"),0.0)</f>
        <v>0</v>
      </c>
      <c r="AH303" s="24">
        <f>IFERROR(__xludf.DUMMYFUNCTION("SUM(QUERY(Entregas_BD!D:W,""select S where D='""&amp;D303&amp;""'"",1))"),0.0)</f>
        <v>0</v>
      </c>
      <c r="AI303" s="24">
        <f>IFERROR(__xludf.DUMMYFUNCTION("SUM(QUERY(Entregas_BD!D:W,""select T where D='""&amp;D303&amp;""'"",1))"),0.0)</f>
        <v>0</v>
      </c>
    </row>
    <row r="304" ht="19.5" customHeight="1">
      <c r="A304" s="53"/>
      <c r="B304" s="8"/>
      <c r="C304" s="9">
        <v>303.0</v>
      </c>
      <c r="D304" s="10" t="s">
        <v>765</v>
      </c>
      <c r="E304" s="10" t="s">
        <v>63</v>
      </c>
      <c r="F304" s="10" t="s">
        <v>45</v>
      </c>
      <c r="G304" s="10" t="s">
        <v>240</v>
      </c>
      <c r="H304" s="12" t="s">
        <v>632</v>
      </c>
      <c r="I304" s="11" t="s">
        <v>41</v>
      </c>
      <c r="J304" s="50"/>
      <c r="K304" s="12"/>
      <c r="L304" s="13"/>
      <c r="M304" s="12"/>
      <c r="N304" s="9">
        <f>IFERROR(__xludf.DUMMYFUNCTION("SUM(QUERY(Entregas_BD!D:L,""select G where D='""&amp;D304&amp;""'"",1))"),0.0)</f>
        <v>0</v>
      </c>
      <c r="O304" s="9">
        <f>IFERROR(__xludf.DUMMYFUNCTION("SUM(QUERY(Entregas_BD!D:L,""select H where D='""&amp;D304&amp;""'"",1))"),0.0)</f>
        <v>0</v>
      </c>
      <c r="P304" s="9">
        <f>IFERROR(__xludf.DUMMYFUNCTION("SUM(QUERY(Entregas_BD!D:L,""select I where D='""&amp;D304&amp;""'"",1))"),0.0)</f>
        <v>0</v>
      </c>
      <c r="Q304" s="9">
        <f>IFERROR(__xludf.DUMMYFUNCTION("SUM(QUERY(Entregas_BD!D:L,""select J where D='""&amp;D304&amp;""'"",1))"),0.0)</f>
        <v>0</v>
      </c>
      <c r="R304" s="15">
        <f>IFERROR(__xludf.DUMMYFUNCTION("SUM(QUERY(Entregas_BD!D:L,""select K where D='""&amp;D304&amp;""'"",1))"),0.0)</f>
        <v>0</v>
      </c>
      <c r="S304" s="15">
        <f>IFERROR(__xludf.DUMMYFUNCTION("SUM(QUERY(Entregas_BD!D:L,""select L where D='""&amp;D304&amp;""'"",1))"),0.0)</f>
        <v>0</v>
      </c>
      <c r="T304" s="9">
        <f>IFERROR(__xludf.DUMMYFUNCTION("SUM(QUERY(Entregas_BD!D:AL,""select AG where D='""&amp;D304&amp;""'"",1))"),50.0)</f>
        <v>50</v>
      </c>
      <c r="U304" s="9">
        <f>IFERROR(__xludf.DUMMYFUNCTION("SUM(QUERY(Entregas_BD!D:AL,""select AH where D='""&amp;D304&amp;""'"",1))"),0.0)</f>
        <v>0</v>
      </c>
      <c r="V304" s="9">
        <f>IFERROR(__xludf.DUMMYFUNCTION("SUM(QUERY(Entregas_BD!D:AL,""select AI where D='""&amp;D304&amp;""'"",1))"),0.0)</f>
        <v>0</v>
      </c>
      <c r="W304" s="9">
        <f>IFERROR(__xludf.DUMMYFUNCTION("SUM(QUERY(Entregas_BD!D:AL,""select AJ where D='""&amp;D304&amp;""'"",1))"),0.0)</f>
        <v>0</v>
      </c>
      <c r="X304" s="9">
        <f>IFERROR(__xludf.DUMMYFUNCTION("SUM(QUERY(Entregas_BD!D:AL,""select AL where D='""&amp;D304&amp;""'"",1))"),0.0)</f>
        <v>0</v>
      </c>
      <c r="Y304" s="9">
        <f>IFERROR(__xludf.DUMMYFUNCTION("SUM(QUERY(Entregas_BD!D:AL,""select AK where D='""&amp;D304&amp;""'"",1))"),0.0)</f>
        <v>0</v>
      </c>
      <c r="Z304" s="9">
        <v>-50.0</v>
      </c>
      <c r="AA304" s="9">
        <v>0.0</v>
      </c>
      <c r="AB304" s="9">
        <v>0.0</v>
      </c>
      <c r="AC304" s="9">
        <v>0.0</v>
      </c>
      <c r="AD304" s="9">
        <v>0.0</v>
      </c>
      <c r="AE304" s="9">
        <v>0.0</v>
      </c>
      <c r="AF304" s="12"/>
      <c r="AG304" s="15">
        <f>IFERROR(__xludf.DUMMYFUNCTION("SUM(QUERY(Entregas_BD!D:W,""select U where D='""&amp;D304&amp;""'"",1))"),0.0)</f>
        <v>0</v>
      </c>
      <c r="AH304" s="15">
        <f>IFERROR(__xludf.DUMMYFUNCTION("SUM(QUERY(Entregas_BD!D:W,""select S where D='""&amp;D304&amp;""'"",1))"),0.0)</f>
        <v>0</v>
      </c>
      <c r="AI304" s="15">
        <f>IFERROR(__xludf.DUMMYFUNCTION("SUM(QUERY(Entregas_BD!D:W,""select T where D='""&amp;D304&amp;""'"",1))"),0.0)</f>
        <v>0</v>
      </c>
    </row>
    <row r="305" ht="19.5" customHeight="1">
      <c r="A305" s="54"/>
      <c r="B305" s="29"/>
      <c r="C305" s="19">
        <v>304.0</v>
      </c>
      <c r="D305" s="20" t="s">
        <v>766</v>
      </c>
      <c r="E305" s="20" t="s">
        <v>63</v>
      </c>
      <c r="F305" s="20" t="s">
        <v>571</v>
      </c>
      <c r="G305" s="20" t="s">
        <v>767</v>
      </c>
      <c r="H305" s="22" t="s">
        <v>632</v>
      </c>
      <c r="I305" s="21" t="s">
        <v>41</v>
      </c>
      <c r="J305" s="22"/>
      <c r="K305" s="22"/>
      <c r="L305" s="23"/>
      <c r="M305" s="22"/>
      <c r="N305" s="19">
        <f>IFERROR(__xludf.DUMMYFUNCTION("SUM(QUERY(Entregas_BD!D:L,""select G where D='""&amp;D305&amp;""'"",1))"),0.0)</f>
        <v>0</v>
      </c>
      <c r="O305" s="19">
        <f>IFERROR(__xludf.DUMMYFUNCTION("SUM(QUERY(Entregas_BD!D:L,""select H where D='""&amp;D305&amp;""'"",1))"),0.0)</f>
        <v>0</v>
      </c>
      <c r="P305" s="19">
        <f>IFERROR(__xludf.DUMMYFUNCTION("SUM(QUERY(Entregas_BD!D:L,""select I where D='""&amp;D305&amp;""'"",1))"),0.0)</f>
        <v>0</v>
      </c>
      <c r="Q305" s="19">
        <f>IFERROR(__xludf.DUMMYFUNCTION("SUM(QUERY(Entregas_BD!D:L,""select J where D='""&amp;D305&amp;""'"",1))"),0.0)</f>
        <v>0</v>
      </c>
      <c r="R305" s="24">
        <f>IFERROR(__xludf.DUMMYFUNCTION("SUM(QUERY(Entregas_BD!D:L,""select K where D='""&amp;D305&amp;""'"",1))"),0.0)</f>
        <v>0</v>
      </c>
      <c r="S305" s="24">
        <f>IFERROR(__xludf.DUMMYFUNCTION("SUM(QUERY(Entregas_BD!D:L,""select L where D='""&amp;D305&amp;""'"",1))"),0.0)</f>
        <v>0</v>
      </c>
      <c r="T305" s="19">
        <f>IFERROR(__xludf.DUMMYFUNCTION("SUM(QUERY(Entregas_BD!D:AL,""select AG where D='""&amp;D305&amp;""'"",1))"),50.0)</f>
        <v>50</v>
      </c>
      <c r="U305" s="19">
        <f>IFERROR(__xludf.DUMMYFUNCTION("SUM(QUERY(Entregas_BD!D:AL,""select AH where D='""&amp;D305&amp;""'"",1))"),0.0)</f>
        <v>0</v>
      </c>
      <c r="V305" s="19">
        <f>IFERROR(__xludf.DUMMYFUNCTION("SUM(QUERY(Entregas_BD!D:AL,""select AI where D='""&amp;D305&amp;""'"",1))"),0.0)</f>
        <v>0</v>
      </c>
      <c r="W305" s="19">
        <f>IFERROR(__xludf.DUMMYFUNCTION("SUM(QUERY(Entregas_BD!D:AL,""select AJ where D='""&amp;D305&amp;""'"",1))"),0.0)</f>
        <v>0</v>
      </c>
      <c r="X305" s="19">
        <f>IFERROR(__xludf.DUMMYFUNCTION("SUM(QUERY(Entregas_BD!D:AL,""select AL where D='""&amp;D305&amp;""'"",1))"),50.0)</f>
        <v>50</v>
      </c>
      <c r="Y305" s="19">
        <f>IFERROR(__xludf.DUMMYFUNCTION("SUM(QUERY(Entregas_BD!D:AL,""select AK where D='""&amp;D305&amp;""'"",1))"),0.0)</f>
        <v>0</v>
      </c>
      <c r="Z305" s="19">
        <v>-50.0</v>
      </c>
      <c r="AA305" s="19">
        <v>0.0</v>
      </c>
      <c r="AB305" s="19">
        <v>0.0</v>
      </c>
      <c r="AC305" s="19">
        <v>0.0</v>
      </c>
      <c r="AD305" s="19">
        <v>0.0</v>
      </c>
      <c r="AE305" s="19">
        <v>-50.0</v>
      </c>
      <c r="AF305" s="22"/>
      <c r="AG305" s="24">
        <f>IFERROR(__xludf.DUMMYFUNCTION("SUM(QUERY(Entregas_BD!D:W,""select U where D='""&amp;D305&amp;""'"",1))"),0.0)</f>
        <v>0</v>
      </c>
      <c r="AH305" s="24">
        <f>IFERROR(__xludf.DUMMYFUNCTION("SUM(QUERY(Entregas_BD!D:W,""select S where D='""&amp;D305&amp;""'"",1))"),0.0)</f>
        <v>0</v>
      </c>
      <c r="AI305" s="24">
        <f>IFERROR(__xludf.DUMMYFUNCTION("SUM(QUERY(Entregas_BD!D:W,""select T where D='""&amp;D305&amp;""'"",1))"),0.0)</f>
        <v>0</v>
      </c>
    </row>
    <row r="306" ht="19.5" customHeight="1">
      <c r="A306" s="53"/>
      <c r="B306" s="8"/>
      <c r="C306" s="9">
        <v>305.0</v>
      </c>
      <c r="D306" s="10" t="s">
        <v>768</v>
      </c>
      <c r="E306" s="10" t="s">
        <v>197</v>
      </c>
      <c r="F306" s="10" t="s">
        <v>647</v>
      </c>
      <c r="G306" s="10" t="s">
        <v>648</v>
      </c>
      <c r="H306" s="12" t="s">
        <v>632</v>
      </c>
      <c r="I306" s="11" t="s">
        <v>41</v>
      </c>
      <c r="J306" s="12"/>
      <c r="K306" s="12"/>
      <c r="L306" s="13"/>
      <c r="M306" s="12"/>
      <c r="N306" s="9">
        <f>IFERROR(__xludf.DUMMYFUNCTION("SUM(QUERY(Entregas_BD!D:L,""select G where D='""&amp;D306&amp;""'"",1))"),0.0)</f>
        <v>0</v>
      </c>
      <c r="O306" s="9">
        <f>IFERROR(__xludf.DUMMYFUNCTION("SUM(QUERY(Entregas_BD!D:L,""select H where D='""&amp;D306&amp;""'"",1))"),0.0)</f>
        <v>0</v>
      </c>
      <c r="P306" s="9">
        <f>IFERROR(__xludf.DUMMYFUNCTION("SUM(QUERY(Entregas_BD!D:L,""select I where D='""&amp;D306&amp;""'"",1))"),0.0)</f>
        <v>0</v>
      </c>
      <c r="Q306" s="9">
        <f>IFERROR(__xludf.DUMMYFUNCTION("SUM(QUERY(Entregas_BD!D:L,""select J where D='""&amp;D306&amp;""'"",1))"),0.0)</f>
        <v>0</v>
      </c>
      <c r="R306" s="15">
        <f>IFERROR(__xludf.DUMMYFUNCTION("SUM(QUERY(Entregas_BD!D:L,""select K where D='""&amp;D306&amp;""'"",1))"),0.0)</f>
        <v>0</v>
      </c>
      <c r="S306" s="15">
        <f>IFERROR(__xludf.DUMMYFUNCTION("SUM(QUERY(Entregas_BD!D:L,""select L where D='""&amp;D306&amp;""'"",1))"),0.0)</f>
        <v>0</v>
      </c>
      <c r="T306" s="9">
        <f>IFERROR(__xludf.DUMMYFUNCTION("SUM(QUERY(Entregas_BD!D:AL,""select AG where D='""&amp;D306&amp;""'"",1))"),50.0)</f>
        <v>50</v>
      </c>
      <c r="U306" s="9">
        <f>IFERROR(__xludf.DUMMYFUNCTION("SUM(QUERY(Entregas_BD!D:AL,""select AH where D='""&amp;D306&amp;""'"",1))"),0.0)</f>
        <v>0</v>
      </c>
      <c r="V306" s="9">
        <f>IFERROR(__xludf.DUMMYFUNCTION("SUM(QUERY(Entregas_BD!D:AL,""select AI where D='""&amp;D306&amp;""'"",1))"),0.0)</f>
        <v>0</v>
      </c>
      <c r="W306" s="9">
        <f>IFERROR(__xludf.DUMMYFUNCTION("SUM(QUERY(Entregas_BD!D:AL,""select AJ where D='""&amp;D306&amp;""'"",1))"),25.0)</f>
        <v>25</v>
      </c>
      <c r="X306" s="9">
        <f>IFERROR(__xludf.DUMMYFUNCTION("SUM(QUERY(Entregas_BD!D:AL,""select AL where D='""&amp;D306&amp;""'"",1))"),0.0)</f>
        <v>0</v>
      </c>
      <c r="Y306" s="9">
        <f>IFERROR(__xludf.DUMMYFUNCTION("SUM(QUERY(Entregas_BD!D:AL,""select AK where D='""&amp;D306&amp;""'"",1))"),0.0)</f>
        <v>0</v>
      </c>
      <c r="Z306" s="9">
        <v>-50.0</v>
      </c>
      <c r="AA306" s="9">
        <v>0.0</v>
      </c>
      <c r="AB306" s="9">
        <v>0.0</v>
      </c>
      <c r="AC306" s="9">
        <v>-25.0</v>
      </c>
      <c r="AD306" s="9">
        <v>0.0</v>
      </c>
      <c r="AE306" s="9">
        <v>0.0</v>
      </c>
      <c r="AF306" s="12"/>
      <c r="AG306" s="15">
        <f>IFERROR(__xludf.DUMMYFUNCTION("SUM(QUERY(Entregas_BD!D:W,""select U where D='""&amp;D306&amp;""'"",1))"),0.0)</f>
        <v>0</v>
      </c>
      <c r="AH306" s="15">
        <f>IFERROR(__xludf.DUMMYFUNCTION("SUM(QUERY(Entregas_BD!D:W,""select S where D='""&amp;D306&amp;""'"",1))"),0.0)</f>
        <v>0</v>
      </c>
      <c r="AI306" s="15">
        <f>IFERROR(__xludf.DUMMYFUNCTION("SUM(QUERY(Entregas_BD!D:W,""select T where D='""&amp;D306&amp;""'"",1))"),0.0)</f>
        <v>0</v>
      </c>
    </row>
    <row r="307" ht="19.5" customHeight="1">
      <c r="A307" s="54"/>
      <c r="B307" s="29"/>
      <c r="C307" s="19">
        <v>306.0</v>
      </c>
      <c r="D307" s="55" t="s">
        <v>769</v>
      </c>
      <c r="E307" s="20" t="s">
        <v>58</v>
      </c>
      <c r="F307" s="20" t="s">
        <v>45</v>
      </c>
      <c r="G307" s="20" t="s">
        <v>174</v>
      </c>
      <c r="H307" s="25" t="s">
        <v>770</v>
      </c>
      <c r="I307" s="21" t="s">
        <v>41</v>
      </c>
      <c r="J307" s="22"/>
      <c r="K307" s="25"/>
      <c r="L307" s="23"/>
      <c r="M307" s="22"/>
      <c r="N307" s="19">
        <f>IFERROR(__xludf.DUMMYFUNCTION("SUM(QUERY(Entregas_BD!D:L,""select G where D='""&amp;D307&amp;""'"",1))"),0.0)</f>
        <v>0</v>
      </c>
      <c r="O307" s="19">
        <f>IFERROR(__xludf.DUMMYFUNCTION("SUM(QUERY(Entregas_BD!D:L,""select H where D='""&amp;D307&amp;""'"",1))"),0.0)</f>
        <v>0</v>
      </c>
      <c r="P307" s="19">
        <f>IFERROR(__xludf.DUMMYFUNCTION("SUM(QUERY(Entregas_BD!D:L,""select I where D='""&amp;D307&amp;""'"",1))"),0.0)</f>
        <v>0</v>
      </c>
      <c r="Q307" s="19">
        <f>IFERROR(__xludf.DUMMYFUNCTION("SUM(QUERY(Entregas_BD!D:L,""select J where D='""&amp;D307&amp;""'"",1))"),0.0)</f>
        <v>0</v>
      </c>
      <c r="R307" s="24">
        <f>IFERROR(__xludf.DUMMYFUNCTION("SUM(QUERY(Entregas_BD!D:L,""select K where D='""&amp;D307&amp;""'"",1))"),0.0)</f>
        <v>0</v>
      </c>
      <c r="S307" s="24">
        <f>IFERROR(__xludf.DUMMYFUNCTION("SUM(QUERY(Entregas_BD!D:L,""select L where D='""&amp;D307&amp;""'"",1))"),0.0)</f>
        <v>0</v>
      </c>
      <c r="T307" s="19">
        <f>IFERROR(__xludf.DUMMYFUNCTION("SUM(QUERY(Entregas_BD!D:AL,""select AG where D='""&amp;D307&amp;""'"",1))"),17.0)</f>
        <v>17</v>
      </c>
      <c r="U307" s="19">
        <f>IFERROR(__xludf.DUMMYFUNCTION("SUM(QUERY(Entregas_BD!D:AL,""select AH where D='""&amp;D307&amp;""'"",1))"),0.0)</f>
        <v>0</v>
      </c>
      <c r="V307" s="19">
        <f>IFERROR(__xludf.DUMMYFUNCTION("SUM(QUERY(Entregas_BD!D:AL,""select AI where D='""&amp;D307&amp;""'"",1))"),0.0)</f>
        <v>0</v>
      </c>
      <c r="W307" s="19">
        <f>IFERROR(__xludf.DUMMYFUNCTION("SUM(QUERY(Entregas_BD!D:AL,""select AJ where D='""&amp;D307&amp;""'"",1))"),0.0)</f>
        <v>0</v>
      </c>
      <c r="X307" s="19">
        <f>IFERROR(__xludf.DUMMYFUNCTION("SUM(QUERY(Entregas_BD!D:AL,""select AL where D='""&amp;D307&amp;""'"",1))"),0.0)</f>
        <v>0</v>
      </c>
      <c r="Y307" s="19">
        <f>IFERROR(__xludf.DUMMYFUNCTION("SUM(QUERY(Entregas_BD!D:AL,""select AK where D='""&amp;D307&amp;""'"",1))"),0.0)</f>
        <v>0</v>
      </c>
      <c r="Z307" s="19">
        <v>-17.0</v>
      </c>
      <c r="AA307" s="19">
        <v>0.0</v>
      </c>
      <c r="AB307" s="19">
        <v>0.0</v>
      </c>
      <c r="AC307" s="19">
        <v>0.0</v>
      </c>
      <c r="AD307" s="19">
        <v>0.0</v>
      </c>
      <c r="AE307" s="19">
        <v>0.0</v>
      </c>
      <c r="AF307" s="22"/>
      <c r="AG307" s="24">
        <f>IFERROR(__xludf.DUMMYFUNCTION("SUM(QUERY(Entregas_BD!D:W,""select U where D='""&amp;D307&amp;""'"",1))"),0.0)</f>
        <v>0</v>
      </c>
      <c r="AH307" s="24">
        <f>IFERROR(__xludf.DUMMYFUNCTION("SUM(QUERY(Entregas_BD!D:W,""select S where D='""&amp;D307&amp;""'"",1))"),0.0)</f>
        <v>0</v>
      </c>
      <c r="AI307" s="24">
        <f>IFERROR(__xludf.DUMMYFUNCTION("SUM(QUERY(Entregas_BD!D:W,""select T where D='""&amp;D307&amp;""'"",1))"),0.0)</f>
        <v>0</v>
      </c>
    </row>
    <row r="308" ht="19.5" customHeight="1">
      <c r="A308" s="53"/>
      <c r="B308" s="8"/>
      <c r="C308" s="9">
        <v>307.0</v>
      </c>
      <c r="D308" s="44" t="s">
        <v>771</v>
      </c>
      <c r="E308" s="10" t="s">
        <v>58</v>
      </c>
      <c r="F308" s="10" t="s">
        <v>45</v>
      </c>
      <c r="G308" s="10" t="s">
        <v>772</v>
      </c>
      <c r="H308" s="32" t="s">
        <v>770</v>
      </c>
      <c r="I308" s="11" t="s">
        <v>41</v>
      </c>
      <c r="J308" s="12"/>
      <c r="K308" s="32"/>
      <c r="L308" s="13"/>
      <c r="M308" s="12"/>
      <c r="N308" s="9">
        <f>IFERROR(__xludf.DUMMYFUNCTION("SUM(QUERY(Entregas_BD!D:L,""select G where D='""&amp;D308&amp;""'"",1))"),0.0)</f>
        <v>0</v>
      </c>
      <c r="O308" s="9">
        <f>IFERROR(__xludf.DUMMYFUNCTION("SUM(QUERY(Entregas_BD!D:L,""select H where D='""&amp;D308&amp;""'"",1))"),0.0)</f>
        <v>0</v>
      </c>
      <c r="P308" s="9">
        <f>IFERROR(__xludf.DUMMYFUNCTION("SUM(QUERY(Entregas_BD!D:L,""select I where D='""&amp;D308&amp;""'"",1))"),0.0)</f>
        <v>0</v>
      </c>
      <c r="Q308" s="9">
        <f>IFERROR(__xludf.DUMMYFUNCTION("SUM(QUERY(Entregas_BD!D:L,""select J where D='""&amp;D308&amp;""'"",1))"),0.0)</f>
        <v>0</v>
      </c>
      <c r="R308" s="15">
        <f>IFERROR(__xludf.DUMMYFUNCTION("SUM(QUERY(Entregas_BD!D:L,""select K where D='""&amp;D308&amp;""'"",1))"),0.0)</f>
        <v>0</v>
      </c>
      <c r="S308" s="15">
        <f>IFERROR(__xludf.DUMMYFUNCTION("SUM(QUERY(Entregas_BD!D:L,""select L where D='""&amp;D308&amp;""'"",1))"),0.0)</f>
        <v>0</v>
      </c>
      <c r="T308" s="9">
        <f>IFERROR(__xludf.DUMMYFUNCTION("SUM(QUERY(Entregas_BD!D:AL,""select AG where D='""&amp;D308&amp;""'"",1))"),10.0)</f>
        <v>10</v>
      </c>
      <c r="U308" s="9">
        <f>IFERROR(__xludf.DUMMYFUNCTION("SUM(QUERY(Entregas_BD!D:AL,""select AH where D='""&amp;D308&amp;""'"",1))"),0.0)</f>
        <v>0</v>
      </c>
      <c r="V308" s="9">
        <f>IFERROR(__xludf.DUMMYFUNCTION("SUM(QUERY(Entregas_BD!D:AL,""select AI where D='""&amp;D308&amp;""'"",1))"),0.0)</f>
        <v>0</v>
      </c>
      <c r="W308" s="9">
        <f>IFERROR(__xludf.DUMMYFUNCTION("SUM(QUERY(Entregas_BD!D:AL,""select AJ where D='""&amp;D308&amp;""'"",1))"),0.0)</f>
        <v>0</v>
      </c>
      <c r="X308" s="9">
        <f>IFERROR(__xludf.DUMMYFUNCTION("SUM(QUERY(Entregas_BD!D:AL,""select AL where D='""&amp;D308&amp;""'"",1))"),0.0)</f>
        <v>0</v>
      </c>
      <c r="Y308" s="9">
        <f>IFERROR(__xludf.DUMMYFUNCTION("SUM(QUERY(Entregas_BD!D:AL,""select AK where D='""&amp;D308&amp;""'"",1))"),0.0)</f>
        <v>0</v>
      </c>
      <c r="Z308" s="9">
        <v>-10.0</v>
      </c>
      <c r="AA308" s="9">
        <v>0.0</v>
      </c>
      <c r="AB308" s="9">
        <v>0.0</v>
      </c>
      <c r="AC308" s="9">
        <v>0.0</v>
      </c>
      <c r="AD308" s="9">
        <v>0.0</v>
      </c>
      <c r="AE308" s="9">
        <v>0.0</v>
      </c>
      <c r="AF308" s="32"/>
      <c r="AG308" s="15">
        <f>IFERROR(__xludf.DUMMYFUNCTION("SUM(QUERY(Entregas_BD!D:W,""select U where D='""&amp;D308&amp;""'"",1))"),0.0)</f>
        <v>0</v>
      </c>
      <c r="AH308" s="15">
        <f>IFERROR(__xludf.DUMMYFUNCTION("SUM(QUERY(Entregas_BD!D:W,""select S where D='""&amp;D308&amp;""'"",1))"),0.0)</f>
        <v>0</v>
      </c>
      <c r="AI308" s="15">
        <f>IFERROR(__xludf.DUMMYFUNCTION("SUM(QUERY(Entregas_BD!D:W,""select T where D='""&amp;D308&amp;""'"",1))"),0.0)</f>
        <v>0</v>
      </c>
    </row>
    <row r="309" ht="19.5" customHeight="1">
      <c r="A309" s="54"/>
      <c r="B309" s="29"/>
      <c r="C309" s="19">
        <v>308.0</v>
      </c>
      <c r="D309" s="20" t="s">
        <v>773</v>
      </c>
      <c r="E309" s="20" t="s">
        <v>54</v>
      </c>
      <c r="F309" s="20" t="s">
        <v>45</v>
      </c>
      <c r="G309" s="20" t="s">
        <v>440</v>
      </c>
      <c r="H309" s="25" t="s">
        <v>40</v>
      </c>
      <c r="I309" s="21" t="s">
        <v>41</v>
      </c>
      <c r="J309" s="22"/>
      <c r="K309" s="22"/>
      <c r="L309" s="23"/>
      <c r="M309" s="22"/>
      <c r="N309" s="19">
        <f>IFERROR(__xludf.DUMMYFUNCTION("SUM(QUERY(Entregas_BD!D:L,""select G where D='""&amp;D309&amp;""'"",1))"),0.0)</f>
        <v>0</v>
      </c>
      <c r="O309" s="19">
        <f>IFERROR(__xludf.DUMMYFUNCTION("SUM(QUERY(Entregas_BD!D:L,""select H where D='""&amp;D309&amp;""'"",1))"),0.0)</f>
        <v>0</v>
      </c>
      <c r="P309" s="19">
        <f>IFERROR(__xludf.DUMMYFUNCTION("SUM(QUERY(Entregas_BD!D:L,""select I where D='""&amp;D309&amp;""'"",1))"),0.0)</f>
        <v>0</v>
      </c>
      <c r="Q309" s="19">
        <f>IFERROR(__xludf.DUMMYFUNCTION("SUM(QUERY(Entregas_BD!D:L,""select J where D='""&amp;D309&amp;""'"",1))"),0.0)</f>
        <v>0</v>
      </c>
      <c r="R309" s="24">
        <f>IFERROR(__xludf.DUMMYFUNCTION("SUM(QUERY(Entregas_BD!D:L,""select K where D='""&amp;D309&amp;""'"",1))"),0.0)</f>
        <v>0</v>
      </c>
      <c r="S309" s="24">
        <f>IFERROR(__xludf.DUMMYFUNCTION("SUM(QUERY(Entregas_BD!D:L,""select L where D='""&amp;D309&amp;""'"",1))"),0.0)</f>
        <v>0</v>
      </c>
      <c r="T309" s="19">
        <f>IFERROR(__xludf.DUMMYFUNCTION("SUM(QUERY(Entregas_BD!D:AL,""select AG where D='""&amp;D309&amp;""'"",1))"),75.0)</f>
        <v>75</v>
      </c>
      <c r="U309" s="19">
        <f>IFERROR(__xludf.DUMMYFUNCTION("SUM(QUERY(Entregas_BD!D:AL,""select AH where D='""&amp;D309&amp;""'"",1))"),0.0)</f>
        <v>0</v>
      </c>
      <c r="V309" s="19">
        <f>IFERROR(__xludf.DUMMYFUNCTION("SUM(QUERY(Entregas_BD!D:AL,""select AI where D='""&amp;D309&amp;""'"",1))"),0.0)</f>
        <v>0</v>
      </c>
      <c r="W309" s="19">
        <f>IFERROR(__xludf.DUMMYFUNCTION("SUM(QUERY(Entregas_BD!D:AL,""select AJ where D='""&amp;D309&amp;""'"",1))"),0.0)</f>
        <v>0</v>
      </c>
      <c r="X309" s="19">
        <f>IFERROR(__xludf.DUMMYFUNCTION("SUM(QUERY(Entregas_BD!D:AL,""select AL where D='""&amp;D309&amp;""'"",1))"),0.0)</f>
        <v>0</v>
      </c>
      <c r="Y309" s="19">
        <f>IFERROR(__xludf.DUMMYFUNCTION("SUM(QUERY(Entregas_BD!D:AL,""select AK where D='""&amp;D309&amp;""'"",1))"),0.0)</f>
        <v>0</v>
      </c>
      <c r="Z309" s="19">
        <v>-75.0</v>
      </c>
      <c r="AA309" s="19">
        <v>0.0</v>
      </c>
      <c r="AB309" s="19">
        <v>0.0</v>
      </c>
      <c r="AC309" s="19">
        <v>0.0</v>
      </c>
      <c r="AD309" s="19">
        <v>0.0</v>
      </c>
      <c r="AE309" s="19">
        <v>0.0</v>
      </c>
      <c r="AF309" s="22"/>
      <c r="AG309" s="24">
        <f>IFERROR(__xludf.DUMMYFUNCTION("SUM(QUERY(Entregas_BD!D:W,""select U where D='""&amp;D309&amp;""'"",1))"),0.0)</f>
        <v>0</v>
      </c>
      <c r="AH309" s="24">
        <f>IFERROR(__xludf.DUMMYFUNCTION("SUM(QUERY(Entregas_BD!D:W,""select S where D='""&amp;D309&amp;""'"",1))"),0.0)</f>
        <v>0</v>
      </c>
      <c r="AI309" s="24">
        <f>IFERROR(__xludf.DUMMYFUNCTION("SUM(QUERY(Entregas_BD!D:W,""select T where D='""&amp;D309&amp;""'"",1))"),0.0)</f>
        <v>0</v>
      </c>
    </row>
    <row r="310" ht="19.5" customHeight="1">
      <c r="A310" s="53"/>
      <c r="B310" s="8"/>
      <c r="C310" s="9">
        <v>309.0</v>
      </c>
      <c r="D310" s="10" t="s">
        <v>774</v>
      </c>
      <c r="E310" s="10" t="s">
        <v>54</v>
      </c>
      <c r="F310" s="10" t="s">
        <v>45</v>
      </c>
      <c r="G310" s="10" t="s">
        <v>440</v>
      </c>
      <c r="H310" s="32" t="s">
        <v>775</v>
      </c>
      <c r="I310" s="11" t="s">
        <v>41</v>
      </c>
      <c r="J310" s="12"/>
      <c r="K310" s="12"/>
      <c r="L310" s="13"/>
      <c r="M310" s="12"/>
      <c r="N310" s="9">
        <f>IFERROR(__xludf.DUMMYFUNCTION("SUM(QUERY(Entregas_BD!D:L,""select G where D='""&amp;D310&amp;""'"",1))"),0.0)</f>
        <v>0</v>
      </c>
      <c r="O310" s="9">
        <f>IFERROR(__xludf.DUMMYFUNCTION("SUM(QUERY(Entregas_BD!D:L,""select H where D='""&amp;D310&amp;""'"",1))"),0.0)</f>
        <v>0</v>
      </c>
      <c r="P310" s="9">
        <f>IFERROR(__xludf.DUMMYFUNCTION("SUM(QUERY(Entregas_BD!D:L,""select I where D='""&amp;D310&amp;""'"",1))"),0.0)</f>
        <v>0</v>
      </c>
      <c r="Q310" s="9">
        <f>IFERROR(__xludf.DUMMYFUNCTION("SUM(QUERY(Entregas_BD!D:L,""select J where D='""&amp;D310&amp;""'"",1))"),0.0)</f>
        <v>0</v>
      </c>
      <c r="R310" s="15">
        <f>IFERROR(__xludf.DUMMYFUNCTION("SUM(QUERY(Entregas_BD!D:L,""select K where D='""&amp;D310&amp;""'"",1))"),0.0)</f>
        <v>0</v>
      </c>
      <c r="S310" s="15">
        <f>IFERROR(__xludf.DUMMYFUNCTION("SUM(QUERY(Entregas_BD!D:L,""select L where D='""&amp;D310&amp;""'"",1))"),0.0)</f>
        <v>0</v>
      </c>
      <c r="T310" s="9">
        <f>IFERROR(__xludf.DUMMYFUNCTION("SUM(QUERY(Entregas_BD!D:AL,""select AG where D='""&amp;D310&amp;""'"",1))"),75.0)</f>
        <v>75</v>
      </c>
      <c r="U310" s="9">
        <f>IFERROR(__xludf.DUMMYFUNCTION("SUM(QUERY(Entregas_BD!D:AL,""select AH where D='""&amp;D310&amp;""'"",1))"),0.0)</f>
        <v>0</v>
      </c>
      <c r="V310" s="9">
        <f>IFERROR(__xludf.DUMMYFUNCTION("SUM(QUERY(Entregas_BD!D:AL,""select AI where D='""&amp;D310&amp;""'"",1))"),0.0)</f>
        <v>0</v>
      </c>
      <c r="W310" s="9">
        <f>IFERROR(__xludf.DUMMYFUNCTION("SUM(QUERY(Entregas_BD!D:AL,""select AJ where D='""&amp;D310&amp;""'"",1))"),0.0)</f>
        <v>0</v>
      </c>
      <c r="X310" s="9">
        <f>IFERROR(__xludf.DUMMYFUNCTION("SUM(QUERY(Entregas_BD!D:AL,""select AL where D='""&amp;D310&amp;""'"",1))"),0.0)</f>
        <v>0</v>
      </c>
      <c r="Y310" s="9">
        <f>IFERROR(__xludf.DUMMYFUNCTION("SUM(QUERY(Entregas_BD!D:AL,""select AK where D='""&amp;D310&amp;""'"",1))"),0.0)</f>
        <v>0</v>
      </c>
      <c r="Z310" s="9">
        <v>-75.0</v>
      </c>
      <c r="AA310" s="9">
        <v>0.0</v>
      </c>
      <c r="AB310" s="9">
        <v>0.0</v>
      </c>
      <c r="AC310" s="9">
        <v>0.0</v>
      </c>
      <c r="AD310" s="9">
        <v>0.0</v>
      </c>
      <c r="AE310" s="9">
        <v>0.0</v>
      </c>
      <c r="AF310" s="12"/>
      <c r="AG310" s="15">
        <f>IFERROR(__xludf.DUMMYFUNCTION("SUM(QUERY(Entregas_BD!D:W,""select U where D='""&amp;D310&amp;""'"",1))"),0.0)</f>
        <v>0</v>
      </c>
      <c r="AH310" s="15">
        <f>IFERROR(__xludf.DUMMYFUNCTION("SUM(QUERY(Entregas_BD!D:W,""select S where D='""&amp;D310&amp;""'"",1))"),0.0)</f>
        <v>0</v>
      </c>
      <c r="AI310" s="15">
        <f>IFERROR(__xludf.DUMMYFUNCTION("SUM(QUERY(Entregas_BD!D:W,""select T where D='""&amp;D310&amp;""'"",1))"),0.0)</f>
        <v>0</v>
      </c>
    </row>
    <row r="311" ht="19.5" customHeight="1">
      <c r="A311" s="54"/>
      <c r="B311" s="29"/>
      <c r="C311" s="19">
        <v>310.0</v>
      </c>
      <c r="D311" s="20" t="s">
        <v>776</v>
      </c>
      <c r="E311" s="20" t="s">
        <v>58</v>
      </c>
      <c r="F311" s="20" t="s">
        <v>45</v>
      </c>
      <c r="G311" s="20" t="s">
        <v>598</v>
      </c>
      <c r="H311" s="19" t="s">
        <v>40</v>
      </c>
      <c r="I311" s="21" t="s">
        <v>41</v>
      </c>
      <c r="J311" s="22"/>
      <c r="K311" s="25"/>
      <c r="L311" s="23"/>
      <c r="M311" s="22"/>
      <c r="N311" s="19">
        <f>IFERROR(__xludf.DUMMYFUNCTION("SUM(QUERY(Entregas_BD!D:L,""select G where D='""&amp;D311&amp;""'"",1))"),0.0)</f>
        <v>0</v>
      </c>
      <c r="O311" s="19">
        <f>IFERROR(__xludf.DUMMYFUNCTION("SUM(QUERY(Entregas_BD!D:L,""select H where D='""&amp;D311&amp;""'"",1))"),0.0)</f>
        <v>0</v>
      </c>
      <c r="P311" s="19">
        <f>IFERROR(__xludf.DUMMYFUNCTION("SUM(QUERY(Entregas_BD!D:L,""select I where D='""&amp;D311&amp;""'"",1))"),0.0)</f>
        <v>0</v>
      </c>
      <c r="Q311" s="19">
        <f>IFERROR(__xludf.DUMMYFUNCTION("SUM(QUERY(Entregas_BD!D:L,""select J where D='""&amp;D311&amp;""'"",1))"),0.0)</f>
        <v>0</v>
      </c>
      <c r="R311" s="24">
        <f>IFERROR(__xludf.DUMMYFUNCTION("SUM(QUERY(Entregas_BD!D:L,""select K where D='""&amp;D311&amp;""'"",1))"),0.0)</f>
        <v>0</v>
      </c>
      <c r="S311" s="24">
        <f>IFERROR(__xludf.DUMMYFUNCTION("SUM(QUERY(Entregas_BD!D:L,""select L where D='""&amp;D311&amp;""'"",1))"),0.0)</f>
        <v>0</v>
      </c>
      <c r="T311" s="19">
        <f>IFERROR(__xludf.DUMMYFUNCTION("SUM(QUERY(Entregas_BD!D:AL,""select AG where D='""&amp;D311&amp;""'"",1))"),14.0)</f>
        <v>14</v>
      </c>
      <c r="U311" s="19">
        <f>IFERROR(__xludf.DUMMYFUNCTION("SUM(QUERY(Entregas_BD!D:AL,""select AH where D='""&amp;D311&amp;""'"",1))"),0.0)</f>
        <v>0</v>
      </c>
      <c r="V311" s="19">
        <f>IFERROR(__xludf.DUMMYFUNCTION("SUM(QUERY(Entregas_BD!D:AL,""select AI where D='""&amp;D311&amp;""'"",1))"),0.0)</f>
        <v>0</v>
      </c>
      <c r="W311" s="19">
        <f>IFERROR(__xludf.DUMMYFUNCTION("SUM(QUERY(Entregas_BD!D:AL,""select AJ where D='""&amp;D311&amp;""'"",1))"),0.0)</f>
        <v>0</v>
      </c>
      <c r="X311" s="19">
        <f>IFERROR(__xludf.DUMMYFUNCTION("SUM(QUERY(Entregas_BD!D:AL,""select AL where D='""&amp;D311&amp;""'"",1))"),0.0)</f>
        <v>0</v>
      </c>
      <c r="Y311" s="19">
        <f>IFERROR(__xludf.DUMMYFUNCTION("SUM(QUERY(Entregas_BD!D:AL,""select AK where D='""&amp;D311&amp;""'"",1))"),0.0)</f>
        <v>0</v>
      </c>
      <c r="Z311" s="19">
        <v>-14.0</v>
      </c>
      <c r="AA311" s="19">
        <v>0.0</v>
      </c>
      <c r="AB311" s="19">
        <v>0.0</v>
      </c>
      <c r="AC311" s="19">
        <v>0.0</v>
      </c>
      <c r="AD311" s="19">
        <v>0.0</v>
      </c>
      <c r="AE311" s="19">
        <v>0.0</v>
      </c>
      <c r="AF311" s="22"/>
      <c r="AG311" s="24">
        <f>IFERROR(__xludf.DUMMYFUNCTION("SUM(QUERY(Entregas_BD!D:W,""select U where D='""&amp;D311&amp;""'"",1))"),0.0)</f>
        <v>0</v>
      </c>
      <c r="AH311" s="24">
        <f>IFERROR(__xludf.DUMMYFUNCTION("SUM(QUERY(Entregas_BD!D:W,""select S where D='""&amp;D311&amp;""'"",1))"),0.0)</f>
        <v>0</v>
      </c>
      <c r="AI311" s="24">
        <f>IFERROR(__xludf.DUMMYFUNCTION("SUM(QUERY(Entregas_BD!D:W,""select T where D='""&amp;D311&amp;""'"",1))"),0.0)</f>
        <v>0</v>
      </c>
    </row>
    <row r="312" ht="19.5" customHeight="1">
      <c r="A312" s="53"/>
      <c r="B312" s="8"/>
      <c r="C312" s="9">
        <v>311.0</v>
      </c>
      <c r="D312" s="44" t="s">
        <v>777</v>
      </c>
      <c r="E312" s="10" t="s">
        <v>58</v>
      </c>
      <c r="F312" s="10" t="s">
        <v>45</v>
      </c>
      <c r="G312" s="10" t="s">
        <v>778</v>
      </c>
      <c r="H312" s="32" t="s">
        <v>770</v>
      </c>
      <c r="I312" s="11" t="s">
        <v>41</v>
      </c>
      <c r="J312" s="12"/>
      <c r="K312" s="32"/>
      <c r="L312" s="13"/>
      <c r="M312" s="12"/>
      <c r="N312" s="9">
        <f>IFERROR(__xludf.DUMMYFUNCTION("SUM(QUERY(Entregas_BD!D:L,""select G where D='""&amp;D312&amp;""'"",1))"),0.0)</f>
        <v>0</v>
      </c>
      <c r="O312" s="9">
        <f>IFERROR(__xludf.DUMMYFUNCTION("SUM(QUERY(Entregas_BD!D:L,""select H where D='""&amp;D312&amp;""'"",1))"),0.0)</f>
        <v>0</v>
      </c>
      <c r="P312" s="9">
        <f>IFERROR(__xludf.DUMMYFUNCTION("SUM(QUERY(Entregas_BD!D:L,""select I where D='""&amp;D312&amp;""'"",1))"),0.0)</f>
        <v>0</v>
      </c>
      <c r="Q312" s="9">
        <f>IFERROR(__xludf.DUMMYFUNCTION("SUM(QUERY(Entregas_BD!D:L,""select J where D='""&amp;D312&amp;""'"",1))"),0.0)</f>
        <v>0</v>
      </c>
      <c r="R312" s="15">
        <f>IFERROR(__xludf.DUMMYFUNCTION("SUM(QUERY(Entregas_BD!D:L,""select K where D='""&amp;D312&amp;""'"",1))"),0.0)</f>
        <v>0</v>
      </c>
      <c r="S312" s="15">
        <f>IFERROR(__xludf.DUMMYFUNCTION("SUM(QUERY(Entregas_BD!D:L,""select L where D='""&amp;D312&amp;""'"",1))"),0.0)</f>
        <v>0</v>
      </c>
      <c r="T312" s="9">
        <f>IFERROR(__xludf.DUMMYFUNCTION("SUM(QUERY(Entregas_BD!D:AL,""select AG where D='""&amp;D312&amp;""'"",1))"),15.0)</f>
        <v>15</v>
      </c>
      <c r="U312" s="9">
        <f>IFERROR(__xludf.DUMMYFUNCTION("SUM(QUERY(Entregas_BD!D:AL,""select AH where D='""&amp;D312&amp;""'"",1))"),0.0)</f>
        <v>0</v>
      </c>
      <c r="V312" s="9">
        <f>IFERROR(__xludf.DUMMYFUNCTION("SUM(QUERY(Entregas_BD!D:AL,""select AI where D='""&amp;D312&amp;""'"",1))"),0.0)</f>
        <v>0</v>
      </c>
      <c r="W312" s="9">
        <f>IFERROR(__xludf.DUMMYFUNCTION("SUM(QUERY(Entregas_BD!D:AL,""select AJ where D='""&amp;D312&amp;""'"",1))"),0.0)</f>
        <v>0</v>
      </c>
      <c r="X312" s="9">
        <f>IFERROR(__xludf.DUMMYFUNCTION("SUM(QUERY(Entregas_BD!D:AL,""select AL where D='""&amp;D312&amp;""'"",1))"),0.0)</f>
        <v>0</v>
      </c>
      <c r="Y312" s="9">
        <f>IFERROR(__xludf.DUMMYFUNCTION("SUM(QUERY(Entregas_BD!D:AL,""select AK where D='""&amp;D312&amp;""'"",1))"),0.0)</f>
        <v>0</v>
      </c>
      <c r="Z312" s="9">
        <v>-15.0</v>
      </c>
      <c r="AA312" s="9">
        <v>0.0</v>
      </c>
      <c r="AB312" s="9">
        <v>0.0</v>
      </c>
      <c r="AC312" s="9">
        <v>0.0</v>
      </c>
      <c r="AD312" s="9">
        <v>0.0</v>
      </c>
      <c r="AE312" s="9">
        <v>0.0</v>
      </c>
      <c r="AF312" s="32"/>
      <c r="AG312" s="15">
        <f>IFERROR(__xludf.DUMMYFUNCTION("SUM(QUERY(Entregas_BD!D:W,""select U where D='""&amp;D312&amp;""'"",1))"),0.0)</f>
        <v>0</v>
      </c>
      <c r="AH312" s="15">
        <f>IFERROR(__xludf.DUMMYFUNCTION("SUM(QUERY(Entregas_BD!D:W,""select S where D='""&amp;D312&amp;""'"",1))"),0.0)</f>
        <v>0</v>
      </c>
      <c r="AI312" s="15">
        <f>IFERROR(__xludf.DUMMYFUNCTION("SUM(QUERY(Entregas_BD!D:W,""select T where D='""&amp;D312&amp;""'"",1))"),0.0)</f>
        <v>0</v>
      </c>
    </row>
    <row r="313" ht="19.5" customHeight="1">
      <c r="A313" s="54"/>
      <c r="B313" s="29"/>
      <c r="C313" s="19">
        <v>312.0</v>
      </c>
      <c r="D313" s="20" t="s">
        <v>779</v>
      </c>
      <c r="E313" s="20" t="s">
        <v>58</v>
      </c>
      <c r="F313" s="20" t="s">
        <v>45</v>
      </c>
      <c r="G313" s="20" t="s">
        <v>560</v>
      </c>
      <c r="H313" s="25" t="s">
        <v>770</v>
      </c>
      <c r="I313" s="21" t="s">
        <v>41</v>
      </c>
      <c r="J313" s="22"/>
      <c r="K313" s="22"/>
      <c r="L313" s="23"/>
      <c r="M313" s="22"/>
      <c r="N313" s="19">
        <f>IFERROR(__xludf.DUMMYFUNCTION("SUM(QUERY(Entregas_BD!D:L,""select G where D='""&amp;D313&amp;""'"",1))"),0.0)</f>
        <v>0</v>
      </c>
      <c r="O313" s="19">
        <f>IFERROR(__xludf.DUMMYFUNCTION("SUM(QUERY(Entregas_BD!D:L,""select H where D='""&amp;D313&amp;""'"",1))"),0.0)</f>
        <v>0</v>
      </c>
      <c r="P313" s="19">
        <f>IFERROR(__xludf.DUMMYFUNCTION("SUM(QUERY(Entregas_BD!D:L,""select I where D='""&amp;D313&amp;""'"",1))"),0.0)</f>
        <v>0</v>
      </c>
      <c r="Q313" s="19">
        <f>IFERROR(__xludf.DUMMYFUNCTION("SUM(QUERY(Entregas_BD!D:L,""select J where D='""&amp;D313&amp;""'"",1))"),0.0)</f>
        <v>0</v>
      </c>
      <c r="R313" s="24">
        <f>IFERROR(__xludf.DUMMYFUNCTION("SUM(QUERY(Entregas_BD!D:L,""select K where D='""&amp;D313&amp;""'"",1))"),0.0)</f>
        <v>0</v>
      </c>
      <c r="S313" s="24">
        <f>IFERROR(__xludf.DUMMYFUNCTION("SUM(QUERY(Entregas_BD!D:L,""select L where D='""&amp;D313&amp;""'"",1))"),0.0)</f>
        <v>0</v>
      </c>
      <c r="T313" s="19">
        <f>IFERROR(__xludf.DUMMYFUNCTION("SUM(QUERY(Entregas_BD!D:AL,""select AG where D='""&amp;D313&amp;""'"",1))"),50.0)</f>
        <v>50</v>
      </c>
      <c r="U313" s="19">
        <f>IFERROR(__xludf.DUMMYFUNCTION("SUM(QUERY(Entregas_BD!D:AL,""select AH where D='""&amp;D313&amp;""'"",1))"),0.0)</f>
        <v>0</v>
      </c>
      <c r="V313" s="19">
        <f>IFERROR(__xludf.DUMMYFUNCTION("SUM(QUERY(Entregas_BD!D:AL,""select AI where D='""&amp;D313&amp;""'"",1))"),0.0)</f>
        <v>0</v>
      </c>
      <c r="W313" s="19">
        <f>IFERROR(__xludf.DUMMYFUNCTION("SUM(QUERY(Entregas_BD!D:AL,""select AJ where D='""&amp;D313&amp;""'"",1))"),0.0)</f>
        <v>0</v>
      </c>
      <c r="X313" s="19">
        <f>IFERROR(__xludf.DUMMYFUNCTION("SUM(QUERY(Entregas_BD!D:AL,""select AL where D='""&amp;D313&amp;""'"",1))"),0.0)</f>
        <v>0</v>
      </c>
      <c r="Y313" s="19">
        <f>IFERROR(__xludf.DUMMYFUNCTION("SUM(QUERY(Entregas_BD!D:AL,""select AK where D='""&amp;D313&amp;""'"",1))"),0.0)</f>
        <v>0</v>
      </c>
      <c r="Z313" s="19">
        <v>-50.0</v>
      </c>
      <c r="AA313" s="19">
        <v>0.0</v>
      </c>
      <c r="AB313" s="19">
        <v>0.0</v>
      </c>
      <c r="AC313" s="19">
        <v>0.0</v>
      </c>
      <c r="AD313" s="19">
        <v>0.0</v>
      </c>
      <c r="AE313" s="19">
        <v>0.0</v>
      </c>
      <c r="AF313" s="25"/>
      <c r="AG313" s="24">
        <f>IFERROR(__xludf.DUMMYFUNCTION("SUM(QUERY(Entregas_BD!D:W,""select U where D='""&amp;D313&amp;""'"",1))"),0.0)</f>
        <v>0</v>
      </c>
      <c r="AH313" s="24">
        <f>IFERROR(__xludf.DUMMYFUNCTION("SUM(QUERY(Entregas_BD!D:W,""select S where D='""&amp;D313&amp;""'"",1))"),0.0)</f>
        <v>0</v>
      </c>
      <c r="AI313" s="24">
        <f>IFERROR(__xludf.DUMMYFUNCTION("SUM(QUERY(Entregas_BD!D:W,""select T where D='""&amp;D313&amp;""'"",1))"),0.0)</f>
        <v>0</v>
      </c>
    </row>
    <row r="314" ht="19.5" customHeight="1">
      <c r="A314" s="53"/>
      <c r="B314" s="8"/>
      <c r="C314" s="9">
        <v>313.0</v>
      </c>
      <c r="D314" s="10" t="s">
        <v>780</v>
      </c>
      <c r="E314" s="10" t="s">
        <v>44</v>
      </c>
      <c r="F314" s="10" t="s">
        <v>45</v>
      </c>
      <c r="G314" s="10" t="s">
        <v>177</v>
      </c>
      <c r="H314" s="12" t="s">
        <v>622</v>
      </c>
      <c r="I314" s="11" t="s">
        <v>41</v>
      </c>
      <c r="J314" s="12"/>
      <c r="K314" s="12"/>
      <c r="L314" s="13"/>
      <c r="M314" s="12"/>
      <c r="N314" s="9">
        <f>IFERROR(__xludf.DUMMYFUNCTION("SUM(QUERY(Entregas_BD!D:L,""select G where D='""&amp;D314&amp;""'"",1))"),0.0)</f>
        <v>0</v>
      </c>
      <c r="O314" s="9">
        <f>IFERROR(__xludf.DUMMYFUNCTION("SUM(QUERY(Entregas_BD!D:L,""select H where D='""&amp;D314&amp;""'"",1))"),0.0)</f>
        <v>0</v>
      </c>
      <c r="P314" s="9">
        <f>IFERROR(__xludf.DUMMYFUNCTION("SUM(QUERY(Entregas_BD!D:L,""select I where D='""&amp;D314&amp;""'"",1))"),0.0)</f>
        <v>0</v>
      </c>
      <c r="Q314" s="9">
        <f>IFERROR(__xludf.DUMMYFUNCTION("SUM(QUERY(Entregas_BD!D:L,""select J where D='""&amp;D314&amp;""'"",1))"),0.0)</f>
        <v>0</v>
      </c>
      <c r="R314" s="15">
        <f>IFERROR(__xludf.DUMMYFUNCTION("SUM(QUERY(Entregas_BD!D:L,""select K where D='""&amp;D314&amp;""'"",1))"),0.0)</f>
        <v>0</v>
      </c>
      <c r="S314" s="15">
        <f>IFERROR(__xludf.DUMMYFUNCTION("SUM(QUERY(Entregas_BD!D:L,""select L where D='""&amp;D314&amp;""'"",1))"),0.0)</f>
        <v>0</v>
      </c>
      <c r="T314" s="9">
        <f>IFERROR(__xludf.DUMMYFUNCTION("SUM(QUERY(Entregas_BD!D:AL,""select AG where D='""&amp;D314&amp;""'"",1))"),50.0)</f>
        <v>50</v>
      </c>
      <c r="U314" s="9">
        <f>IFERROR(__xludf.DUMMYFUNCTION("SUM(QUERY(Entregas_BD!D:AL,""select AH where D='""&amp;D314&amp;""'"",1))"),0.0)</f>
        <v>0</v>
      </c>
      <c r="V314" s="9">
        <f>IFERROR(__xludf.DUMMYFUNCTION("SUM(QUERY(Entregas_BD!D:AL,""select AI where D='""&amp;D314&amp;""'"",1))"),0.0)</f>
        <v>0</v>
      </c>
      <c r="W314" s="9">
        <f>IFERROR(__xludf.DUMMYFUNCTION("SUM(QUERY(Entregas_BD!D:AL,""select AJ where D='""&amp;D314&amp;""'"",1))"),0.0)</f>
        <v>0</v>
      </c>
      <c r="X314" s="9">
        <f>IFERROR(__xludf.DUMMYFUNCTION("SUM(QUERY(Entregas_BD!D:AL,""select AL where D='""&amp;D314&amp;""'"",1))"),0.0)</f>
        <v>0</v>
      </c>
      <c r="Y314" s="9">
        <f>IFERROR(__xludf.DUMMYFUNCTION("SUM(QUERY(Entregas_BD!D:AL,""select AK where D='""&amp;D314&amp;""'"",1))"),0.0)</f>
        <v>0</v>
      </c>
      <c r="Z314" s="9">
        <v>-50.0</v>
      </c>
      <c r="AA314" s="9">
        <v>0.0</v>
      </c>
      <c r="AB314" s="9">
        <v>0.0</v>
      </c>
      <c r="AC314" s="9">
        <v>0.0</v>
      </c>
      <c r="AD314" s="9">
        <v>0.0</v>
      </c>
      <c r="AE314" s="9">
        <v>0.0</v>
      </c>
      <c r="AF314" s="12"/>
      <c r="AG314" s="15">
        <f>IFERROR(__xludf.DUMMYFUNCTION("SUM(QUERY(Entregas_BD!D:W,""select U where D='""&amp;D314&amp;""'"",1))"),0.0)</f>
        <v>0</v>
      </c>
      <c r="AH314" s="15">
        <f>IFERROR(__xludf.DUMMYFUNCTION("SUM(QUERY(Entregas_BD!D:W,""select S where D='""&amp;D314&amp;""'"",1))"),0.0)</f>
        <v>0</v>
      </c>
      <c r="AI314" s="15">
        <f>IFERROR(__xludf.DUMMYFUNCTION("SUM(QUERY(Entregas_BD!D:W,""select T where D='""&amp;D314&amp;""'"",1))"),0.0)</f>
        <v>0</v>
      </c>
    </row>
    <row r="315" ht="19.5" customHeight="1">
      <c r="A315" s="54"/>
      <c r="B315" s="29"/>
      <c r="C315" s="19">
        <v>314.0</v>
      </c>
      <c r="D315" s="55" t="s">
        <v>781</v>
      </c>
      <c r="E315" s="20" t="s">
        <v>72</v>
      </c>
      <c r="F315" s="20" t="s">
        <v>45</v>
      </c>
      <c r="G315" s="42"/>
      <c r="H315" s="25" t="s">
        <v>770</v>
      </c>
      <c r="I315" s="21" t="s">
        <v>41</v>
      </c>
      <c r="J315" s="22"/>
      <c r="K315" s="22"/>
      <c r="L315" s="23"/>
      <c r="M315" s="22"/>
      <c r="N315" s="19">
        <f>IFERROR(__xludf.DUMMYFUNCTION("SUM(QUERY(Entregas_BD!D:L,""select G where D='""&amp;D315&amp;""'"",1))"),0.0)</f>
        <v>0</v>
      </c>
      <c r="O315" s="19">
        <f>IFERROR(__xludf.DUMMYFUNCTION("SUM(QUERY(Entregas_BD!D:L,""select H where D='""&amp;D315&amp;""'"",1))"),0.0)</f>
        <v>0</v>
      </c>
      <c r="P315" s="19">
        <f>IFERROR(__xludf.DUMMYFUNCTION("SUM(QUERY(Entregas_BD!D:L,""select I where D='""&amp;D315&amp;""'"",1))"),0.0)</f>
        <v>0</v>
      </c>
      <c r="Q315" s="19">
        <f>IFERROR(__xludf.DUMMYFUNCTION("SUM(QUERY(Entregas_BD!D:L,""select J where D='""&amp;D315&amp;""'"",1))"),0.0)</f>
        <v>0</v>
      </c>
      <c r="R315" s="24">
        <f>IFERROR(__xludf.DUMMYFUNCTION("SUM(QUERY(Entregas_BD!D:L,""select K where D='""&amp;D315&amp;""'"",1))"),0.0)</f>
        <v>0</v>
      </c>
      <c r="S315" s="24">
        <f>IFERROR(__xludf.DUMMYFUNCTION("SUM(QUERY(Entregas_BD!D:L,""select L where D='""&amp;D315&amp;""'"",1))"),0.0)</f>
        <v>0</v>
      </c>
      <c r="T315" s="19">
        <f>IFERROR(__xludf.DUMMYFUNCTION("SUM(QUERY(Entregas_BD!D:AL,""select AG where D='""&amp;D315&amp;""'"",1))"),10.0)</f>
        <v>10</v>
      </c>
      <c r="U315" s="19">
        <f>IFERROR(__xludf.DUMMYFUNCTION("SUM(QUERY(Entregas_BD!D:AL,""select AH where D='""&amp;D315&amp;""'"",1))"),0.0)</f>
        <v>0</v>
      </c>
      <c r="V315" s="19">
        <f>IFERROR(__xludf.DUMMYFUNCTION("SUM(QUERY(Entregas_BD!D:AL,""select AI where D='""&amp;D315&amp;""'"",1))"),0.0)</f>
        <v>0</v>
      </c>
      <c r="W315" s="19">
        <f>IFERROR(__xludf.DUMMYFUNCTION("SUM(QUERY(Entregas_BD!D:AL,""select AJ where D='""&amp;D315&amp;""'"",1))"),0.0)</f>
        <v>0</v>
      </c>
      <c r="X315" s="19">
        <f>IFERROR(__xludf.DUMMYFUNCTION("SUM(QUERY(Entregas_BD!D:AL,""select AL where D='""&amp;D315&amp;""'"",1))"),0.0)</f>
        <v>0</v>
      </c>
      <c r="Y315" s="19">
        <f>IFERROR(__xludf.DUMMYFUNCTION("SUM(QUERY(Entregas_BD!D:AL,""select AK where D='""&amp;D315&amp;""'"",1))"),0.0)</f>
        <v>0</v>
      </c>
      <c r="Z315" s="19">
        <v>-10.0</v>
      </c>
      <c r="AA315" s="19">
        <v>0.0</v>
      </c>
      <c r="AB315" s="19">
        <v>0.0</v>
      </c>
      <c r="AC315" s="19">
        <v>0.0</v>
      </c>
      <c r="AD315" s="19">
        <v>0.0</v>
      </c>
      <c r="AE315" s="19">
        <v>0.0</v>
      </c>
      <c r="AF315" s="25"/>
      <c r="AG315" s="24">
        <f>IFERROR(__xludf.DUMMYFUNCTION("SUM(QUERY(Entregas_BD!D:W,""select U where D='""&amp;D315&amp;""'"",1))"),0.0)</f>
        <v>0</v>
      </c>
      <c r="AH315" s="24">
        <f>IFERROR(__xludf.DUMMYFUNCTION("SUM(QUERY(Entregas_BD!D:W,""select S where D='""&amp;D315&amp;""'"",1))"),0.0)</f>
        <v>0</v>
      </c>
      <c r="AI315" s="24">
        <f>IFERROR(__xludf.DUMMYFUNCTION("SUM(QUERY(Entregas_BD!D:W,""select T where D='""&amp;D315&amp;""'"",1))"),0.0)</f>
        <v>0</v>
      </c>
    </row>
    <row r="316" ht="19.5" customHeight="1">
      <c r="A316" s="53"/>
      <c r="B316" s="8"/>
      <c r="C316" s="9">
        <v>315.0</v>
      </c>
      <c r="D316" s="10" t="s">
        <v>782</v>
      </c>
      <c r="E316" s="10" t="s">
        <v>63</v>
      </c>
      <c r="F316" s="10" t="s">
        <v>139</v>
      </c>
      <c r="G316" s="10" t="s">
        <v>783</v>
      </c>
      <c r="H316" s="32" t="s">
        <v>770</v>
      </c>
      <c r="I316" s="11" t="s">
        <v>41</v>
      </c>
      <c r="J316" s="12"/>
      <c r="K316" s="12"/>
      <c r="L316" s="13"/>
      <c r="M316" s="12"/>
      <c r="N316" s="9">
        <f>IFERROR(__xludf.DUMMYFUNCTION("SUM(QUERY(Entregas_BD!D:L,""select G where D='""&amp;D316&amp;""'"",1))"),0.0)</f>
        <v>0</v>
      </c>
      <c r="O316" s="9">
        <f>IFERROR(__xludf.DUMMYFUNCTION("SUM(QUERY(Entregas_BD!D:L,""select H where D='""&amp;D316&amp;""'"",1))"),0.0)</f>
        <v>0</v>
      </c>
      <c r="P316" s="9">
        <f>IFERROR(__xludf.DUMMYFUNCTION("SUM(QUERY(Entregas_BD!D:L,""select I where D='""&amp;D316&amp;""'"",1))"),0.0)</f>
        <v>0</v>
      </c>
      <c r="Q316" s="9">
        <f>IFERROR(__xludf.DUMMYFUNCTION("SUM(QUERY(Entregas_BD!D:L,""select J where D='""&amp;D316&amp;""'"",1))"),0.0)</f>
        <v>0</v>
      </c>
      <c r="R316" s="15">
        <f>IFERROR(__xludf.DUMMYFUNCTION("SUM(QUERY(Entregas_BD!D:L,""select K where D='""&amp;D316&amp;""'"",1))"),0.0)</f>
        <v>0</v>
      </c>
      <c r="S316" s="15">
        <f>IFERROR(__xludf.DUMMYFUNCTION("SUM(QUERY(Entregas_BD!D:L,""select L where D='""&amp;D316&amp;""'"",1))"),0.0)</f>
        <v>0</v>
      </c>
      <c r="T316" s="9">
        <f>IFERROR(__xludf.DUMMYFUNCTION("SUM(QUERY(Entregas_BD!D:AL,""select AG where D='""&amp;D316&amp;""'"",1))"),15.0)</f>
        <v>15</v>
      </c>
      <c r="U316" s="9">
        <f>IFERROR(__xludf.DUMMYFUNCTION("SUM(QUERY(Entregas_BD!D:AL,""select AH where D='""&amp;D316&amp;""'"",1))"),0.0)</f>
        <v>0</v>
      </c>
      <c r="V316" s="9">
        <f>IFERROR(__xludf.DUMMYFUNCTION("SUM(QUERY(Entregas_BD!D:AL,""select AI where D='""&amp;D316&amp;""'"",1))"),0.0)</f>
        <v>0</v>
      </c>
      <c r="W316" s="9">
        <f>IFERROR(__xludf.DUMMYFUNCTION("SUM(QUERY(Entregas_BD!D:AL,""select AJ where D='""&amp;D316&amp;""'"",1))"),0.0)</f>
        <v>0</v>
      </c>
      <c r="X316" s="9">
        <f>IFERROR(__xludf.DUMMYFUNCTION("SUM(QUERY(Entregas_BD!D:AL,""select AL where D='""&amp;D316&amp;""'"",1))"),0.0)</f>
        <v>0</v>
      </c>
      <c r="Y316" s="9">
        <f>IFERROR(__xludf.DUMMYFUNCTION("SUM(QUERY(Entregas_BD!D:AL,""select AK where D='""&amp;D316&amp;""'"",1))"),0.0)</f>
        <v>0</v>
      </c>
      <c r="Z316" s="9">
        <v>-15.0</v>
      </c>
      <c r="AA316" s="9">
        <v>0.0</v>
      </c>
      <c r="AB316" s="9">
        <v>0.0</v>
      </c>
      <c r="AC316" s="9">
        <v>0.0</v>
      </c>
      <c r="AD316" s="9">
        <v>0.0</v>
      </c>
      <c r="AE316" s="9">
        <v>0.0</v>
      </c>
      <c r="AF316" s="32"/>
      <c r="AG316" s="15">
        <f>IFERROR(__xludf.DUMMYFUNCTION("SUM(QUERY(Entregas_BD!D:W,""select U where D='""&amp;D316&amp;""'"",1))"),0.0)</f>
        <v>0</v>
      </c>
      <c r="AH316" s="15">
        <f>IFERROR(__xludf.DUMMYFUNCTION("SUM(QUERY(Entregas_BD!D:W,""select S where D='""&amp;D316&amp;""'"",1))"),0.0)</f>
        <v>0</v>
      </c>
      <c r="AI316" s="15">
        <f>IFERROR(__xludf.DUMMYFUNCTION("SUM(QUERY(Entregas_BD!D:W,""select T where D='""&amp;D316&amp;""'"",1))"),0.0)</f>
        <v>0</v>
      </c>
    </row>
    <row r="317" ht="19.5" customHeight="1">
      <c r="A317" s="54"/>
      <c r="B317" s="29"/>
      <c r="C317" s="19">
        <v>316.0</v>
      </c>
      <c r="D317" s="20" t="s">
        <v>784</v>
      </c>
      <c r="E317" s="20" t="s">
        <v>58</v>
      </c>
      <c r="F317" s="20" t="s">
        <v>45</v>
      </c>
      <c r="G317" s="20" t="s">
        <v>598</v>
      </c>
      <c r="H317" s="22" t="s">
        <v>632</v>
      </c>
      <c r="I317" s="21" t="s">
        <v>41</v>
      </c>
      <c r="J317" s="22"/>
      <c r="K317" s="56"/>
      <c r="L317" s="57"/>
      <c r="M317" s="58"/>
      <c r="N317" s="19">
        <f>IFERROR(__xludf.DUMMYFUNCTION("SUM(QUERY(Entregas_BD!D:L,""select G where D='""&amp;D317&amp;""'"",1))"),0.0)</f>
        <v>0</v>
      </c>
      <c r="O317" s="19">
        <f>IFERROR(__xludf.DUMMYFUNCTION("SUM(QUERY(Entregas_BD!D:L,""select H where D='""&amp;D317&amp;""'"",1))"),0.0)</f>
        <v>0</v>
      </c>
      <c r="P317" s="19">
        <f>IFERROR(__xludf.DUMMYFUNCTION("SUM(QUERY(Entregas_BD!D:L,""select I where D='""&amp;D317&amp;""'"",1))"),0.0)</f>
        <v>0</v>
      </c>
      <c r="Q317" s="19">
        <f>IFERROR(__xludf.DUMMYFUNCTION("SUM(QUERY(Entregas_BD!D:L,""select J where D='""&amp;D317&amp;""'"",1))"),0.0)</f>
        <v>0</v>
      </c>
      <c r="R317" s="24">
        <f>IFERROR(__xludf.DUMMYFUNCTION("SUM(QUERY(Entregas_BD!D:L,""select K where D='""&amp;D317&amp;""'"",1))"),0.0)</f>
        <v>0</v>
      </c>
      <c r="S317" s="24">
        <f>IFERROR(__xludf.DUMMYFUNCTION("SUM(QUERY(Entregas_BD!D:L,""select L where D='""&amp;D317&amp;""'"",1))"),0.0)</f>
        <v>0</v>
      </c>
      <c r="T317" s="19">
        <f>IFERROR(__xludf.DUMMYFUNCTION("SUM(QUERY(Entregas_BD!D:AL,""select AG where D='""&amp;D317&amp;""'"",1))"),0.0)</f>
        <v>0</v>
      </c>
      <c r="U317" s="19">
        <f>IFERROR(__xludf.DUMMYFUNCTION("SUM(QUERY(Entregas_BD!D:AL,""select AH where D='""&amp;D317&amp;""'"",1))"),0.0)</f>
        <v>0</v>
      </c>
      <c r="V317" s="19">
        <f>IFERROR(__xludf.DUMMYFUNCTION("SUM(QUERY(Entregas_BD!D:AL,""select AI where D='""&amp;D317&amp;""'"",1))"),0.0)</f>
        <v>0</v>
      </c>
      <c r="W317" s="19">
        <f>IFERROR(__xludf.DUMMYFUNCTION("SUM(QUERY(Entregas_BD!D:AL,""select AJ where D='""&amp;D317&amp;""'"",1))"),0.0)</f>
        <v>0</v>
      </c>
      <c r="X317" s="19">
        <f>IFERROR(__xludf.DUMMYFUNCTION("SUM(QUERY(Entregas_BD!D:AL,""select AL where D='""&amp;D317&amp;""'"",1))"),0.0)</f>
        <v>0</v>
      </c>
      <c r="Y317" s="19">
        <f>IFERROR(__xludf.DUMMYFUNCTION("SUM(QUERY(Entregas_BD!D:AL,""select AK where D='""&amp;D317&amp;""'"",1))"),0.0)</f>
        <v>0</v>
      </c>
      <c r="Z317" s="19">
        <v>0.0</v>
      </c>
      <c r="AA317" s="19">
        <v>0.0</v>
      </c>
      <c r="AB317" s="19">
        <v>0.0</v>
      </c>
      <c r="AC317" s="19">
        <v>0.0</v>
      </c>
      <c r="AD317" s="19">
        <v>0.0</v>
      </c>
      <c r="AE317" s="19">
        <v>0.0</v>
      </c>
      <c r="AF317" s="25"/>
      <c r="AG317" s="24">
        <f>IFERROR(__xludf.DUMMYFUNCTION("SUM(QUERY(Entregas_BD!D:W,""select U where D='""&amp;D317&amp;""'"",1))"),0.0)</f>
        <v>0</v>
      </c>
      <c r="AH317" s="24">
        <f>IFERROR(__xludf.DUMMYFUNCTION("SUM(QUERY(Entregas_BD!D:W,""select S where D='""&amp;D317&amp;""'"",1))"),0.0)</f>
        <v>0</v>
      </c>
      <c r="AI317" s="24">
        <f>IFERROR(__xludf.DUMMYFUNCTION("SUM(QUERY(Entregas_BD!D:W,""select T where D='""&amp;D317&amp;""'"",1))"),0.0)</f>
        <v>0</v>
      </c>
    </row>
    <row r="318" ht="19.5" customHeight="1">
      <c r="A318" s="53"/>
      <c r="B318" s="8"/>
      <c r="C318" s="9">
        <v>317.0</v>
      </c>
      <c r="D318" s="10" t="s">
        <v>785</v>
      </c>
      <c r="E318" s="10" t="s">
        <v>44</v>
      </c>
      <c r="F318" s="10" t="s">
        <v>45</v>
      </c>
      <c r="G318" s="10" t="s">
        <v>46</v>
      </c>
      <c r="H318" s="32" t="s">
        <v>622</v>
      </c>
      <c r="I318" s="11" t="s">
        <v>41</v>
      </c>
      <c r="J318" s="12"/>
      <c r="K318" s="12"/>
      <c r="L318" s="13"/>
      <c r="M318" s="12"/>
      <c r="N318" s="9">
        <f>IFERROR(__xludf.DUMMYFUNCTION("SUM(QUERY(Entregas_BD!D:L,""select G where D='""&amp;D318&amp;""'"",1))"),0.0)</f>
        <v>0</v>
      </c>
      <c r="O318" s="9">
        <f>IFERROR(__xludf.DUMMYFUNCTION("SUM(QUERY(Entregas_BD!D:L,""select H where D='""&amp;D318&amp;""'"",1))"),0.0)</f>
        <v>0</v>
      </c>
      <c r="P318" s="9">
        <f>IFERROR(__xludf.DUMMYFUNCTION("SUM(QUERY(Entregas_BD!D:L,""select I where D='""&amp;D318&amp;""'"",1))"),0.0)</f>
        <v>0</v>
      </c>
      <c r="Q318" s="9">
        <f>IFERROR(__xludf.DUMMYFUNCTION("SUM(QUERY(Entregas_BD!D:L,""select J where D='""&amp;D318&amp;""'"",1))"),0.0)</f>
        <v>0</v>
      </c>
      <c r="R318" s="15">
        <f>IFERROR(__xludf.DUMMYFUNCTION("SUM(QUERY(Entregas_BD!D:L,""select K where D='""&amp;D318&amp;""'"",1))"),0.0)</f>
        <v>0</v>
      </c>
      <c r="S318" s="15">
        <f>IFERROR(__xludf.DUMMYFUNCTION("SUM(QUERY(Entregas_BD!D:L,""select L where D='""&amp;D318&amp;""'"",1))"),0.0)</f>
        <v>0</v>
      </c>
      <c r="T318" s="9">
        <f>IFERROR(__xludf.DUMMYFUNCTION("SUM(QUERY(Entregas_BD!D:AL,""select AG where D='""&amp;D318&amp;""'"",1))"),50.0)</f>
        <v>50</v>
      </c>
      <c r="U318" s="9">
        <f>IFERROR(__xludf.DUMMYFUNCTION("SUM(QUERY(Entregas_BD!D:AL,""select AH where D='""&amp;D318&amp;""'"",1))"),0.0)</f>
        <v>0</v>
      </c>
      <c r="V318" s="9">
        <f>IFERROR(__xludf.DUMMYFUNCTION("SUM(QUERY(Entregas_BD!D:AL,""select AI where D='""&amp;D318&amp;""'"",1))"),0.0)</f>
        <v>0</v>
      </c>
      <c r="W318" s="9">
        <f>IFERROR(__xludf.DUMMYFUNCTION("SUM(QUERY(Entregas_BD!D:AL,""select AJ where D='""&amp;D318&amp;""'"",1))"),0.0)</f>
        <v>0</v>
      </c>
      <c r="X318" s="9">
        <f>IFERROR(__xludf.DUMMYFUNCTION("SUM(QUERY(Entregas_BD!D:AL,""select AL where D='""&amp;D318&amp;""'"",1))"),50.0)</f>
        <v>50</v>
      </c>
      <c r="Y318" s="9">
        <f>IFERROR(__xludf.DUMMYFUNCTION("SUM(QUERY(Entregas_BD!D:AL,""select AK where D='""&amp;D318&amp;""'"",1))"),0.0)</f>
        <v>0</v>
      </c>
      <c r="Z318" s="9">
        <v>-50.0</v>
      </c>
      <c r="AA318" s="9">
        <v>0.0</v>
      </c>
      <c r="AB318" s="9">
        <v>0.0</v>
      </c>
      <c r="AC318" s="9">
        <v>0.0</v>
      </c>
      <c r="AD318" s="9">
        <v>0.0</v>
      </c>
      <c r="AE318" s="9">
        <v>-50.0</v>
      </c>
      <c r="AF318" s="32"/>
      <c r="AG318" s="15">
        <f>IFERROR(__xludf.DUMMYFUNCTION("SUM(QUERY(Entregas_BD!D:W,""select U where D='""&amp;D318&amp;""'"",1))"),0.0)</f>
        <v>0</v>
      </c>
      <c r="AH318" s="15">
        <f>IFERROR(__xludf.DUMMYFUNCTION("SUM(QUERY(Entregas_BD!D:W,""select S where D='""&amp;D318&amp;""'"",1))"),0.0)</f>
        <v>0</v>
      </c>
      <c r="AI318" s="15">
        <f>IFERROR(__xludf.DUMMYFUNCTION("SUM(QUERY(Entregas_BD!D:W,""select T where D='""&amp;D318&amp;""'"",1))"),0.0)</f>
        <v>0</v>
      </c>
    </row>
    <row r="319" ht="19.5" customHeight="1">
      <c r="A319" s="54"/>
      <c r="B319" s="29"/>
      <c r="C319" s="19">
        <v>318.0</v>
      </c>
      <c r="D319" s="55" t="s">
        <v>786</v>
      </c>
      <c r="E319" s="20" t="s">
        <v>58</v>
      </c>
      <c r="F319" s="20" t="s">
        <v>45</v>
      </c>
      <c r="G319" s="20" t="s">
        <v>736</v>
      </c>
      <c r="H319" s="22" t="s">
        <v>622</v>
      </c>
      <c r="I319" s="21" t="s">
        <v>41</v>
      </c>
      <c r="J319" s="22"/>
      <c r="K319" s="25"/>
      <c r="L319" s="23"/>
      <c r="M319" s="22"/>
      <c r="N319" s="19">
        <f>IFERROR(__xludf.DUMMYFUNCTION("SUM(QUERY(Entregas_BD!D:L,""select G where D='""&amp;D319&amp;""'"",1))"),0.0)</f>
        <v>0</v>
      </c>
      <c r="O319" s="19">
        <f>IFERROR(__xludf.DUMMYFUNCTION("SUM(QUERY(Entregas_BD!D:L,""select H where D='""&amp;D319&amp;""'"",1))"),0.0)</f>
        <v>0</v>
      </c>
      <c r="P319" s="19">
        <f>IFERROR(__xludf.DUMMYFUNCTION("SUM(QUERY(Entregas_BD!D:L,""select I where D='""&amp;D319&amp;""'"",1))"),0.0)</f>
        <v>0</v>
      </c>
      <c r="Q319" s="19">
        <f>IFERROR(__xludf.DUMMYFUNCTION("SUM(QUERY(Entregas_BD!D:L,""select J where D='""&amp;D319&amp;""'"",1))"),0.0)</f>
        <v>0</v>
      </c>
      <c r="R319" s="24">
        <f>IFERROR(__xludf.DUMMYFUNCTION("SUM(QUERY(Entregas_BD!D:L,""select K where D='""&amp;D319&amp;""'"",1))"),0.0)</f>
        <v>0</v>
      </c>
      <c r="S319" s="24">
        <f>IFERROR(__xludf.DUMMYFUNCTION("SUM(QUERY(Entregas_BD!D:L,""select L where D='""&amp;D319&amp;""'"",1))"),0.0)</f>
        <v>0</v>
      </c>
      <c r="T319" s="19">
        <f>IFERROR(__xludf.DUMMYFUNCTION("SUM(QUERY(Entregas_BD!D:AL,""select AG where D='""&amp;D319&amp;""'"",1))"),130.0)</f>
        <v>130</v>
      </c>
      <c r="U319" s="19">
        <f>IFERROR(__xludf.DUMMYFUNCTION("SUM(QUERY(Entregas_BD!D:AL,""select AH where D='""&amp;D319&amp;""'"",1))"),0.0)</f>
        <v>0</v>
      </c>
      <c r="V319" s="19">
        <f>IFERROR(__xludf.DUMMYFUNCTION("SUM(QUERY(Entregas_BD!D:AL,""select AI where D='""&amp;D319&amp;""'"",1))"),0.0)</f>
        <v>0</v>
      </c>
      <c r="W319" s="19">
        <f>IFERROR(__xludf.DUMMYFUNCTION("SUM(QUERY(Entregas_BD!D:AL,""select AJ where D='""&amp;D319&amp;""'"",1))"),0.0)</f>
        <v>0</v>
      </c>
      <c r="X319" s="19">
        <f>IFERROR(__xludf.DUMMYFUNCTION("SUM(QUERY(Entregas_BD!D:AL,""select AL where D='""&amp;D319&amp;""'"",1))"),10.0)</f>
        <v>10</v>
      </c>
      <c r="Y319" s="19">
        <f>IFERROR(__xludf.DUMMYFUNCTION("SUM(QUERY(Entregas_BD!D:AL,""select AK where D='""&amp;D319&amp;""'"",1))"),0.0)</f>
        <v>0</v>
      </c>
      <c r="Z319" s="19">
        <v>-130.0</v>
      </c>
      <c r="AA319" s="19">
        <v>0.0</v>
      </c>
      <c r="AB319" s="19">
        <v>0.0</v>
      </c>
      <c r="AC319" s="19">
        <v>0.0</v>
      </c>
      <c r="AD319" s="19">
        <v>0.0</v>
      </c>
      <c r="AE319" s="19">
        <v>-10.0</v>
      </c>
      <c r="AF319" s="25"/>
      <c r="AG319" s="24">
        <f>IFERROR(__xludf.DUMMYFUNCTION("SUM(QUERY(Entregas_BD!D:W,""select U where D='""&amp;D319&amp;""'"",1))"),0.0)</f>
        <v>0</v>
      </c>
      <c r="AH319" s="24">
        <f>IFERROR(__xludf.DUMMYFUNCTION("SUM(QUERY(Entregas_BD!D:W,""select S where D='""&amp;D319&amp;""'"",1))"),0.0)</f>
        <v>0</v>
      </c>
      <c r="AI319" s="24">
        <f>IFERROR(__xludf.DUMMYFUNCTION("SUM(QUERY(Entregas_BD!D:W,""select T where D='""&amp;D319&amp;""'"",1))"),0.0)</f>
        <v>0</v>
      </c>
    </row>
    <row r="320" ht="19.5" customHeight="1">
      <c r="A320" s="53"/>
      <c r="B320" s="8"/>
      <c r="C320" s="9">
        <v>319.0</v>
      </c>
      <c r="D320" s="44" t="s">
        <v>786</v>
      </c>
      <c r="E320" s="10" t="s">
        <v>58</v>
      </c>
      <c r="F320" s="10" t="s">
        <v>45</v>
      </c>
      <c r="G320" s="10" t="s">
        <v>736</v>
      </c>
      <c r="H320" s="12" t="s">
        <v>622</v>
      </c>
      <c r="I320" s="11" t="s">
        <v>41</v>
      </c>
      <c r="J320" s="12"/>
      <c r="K320" s="32"/>
      <c r="L320" s="13"/>
      <c r="M320" s="12"/>
      <c r="N320" s="9">
        <f>IFERROR(__xludf.DUMMYFUNCTION("SUM(QUERY(Entregas_BD!D:L,""select G where D='""&amp;D320&amp;""'"",1))"),0.0)</f>
        <v>0</v>
      </c>
      <c r="O320" s="9">
        <f>IFERROR(__xludf.DUMMYFUNCTION("SUM(QUERY(Entregas_BD!D:L,""select H where D='""&amp;D320&amp;""'"",1))"),0.0)</f>
        <v>0</v>
      </c>
      <c r="P320" s="9">
        <f>IFERROR(__xludf.DUMMYFUNCTION("SUM(QUERY(Entregas_BD!D:L,""select I where D='""&amp;D320&amp;""'"",1))"),0.0)</f>
        <v>0</v>
      </c>
      <c r="Q320" s="9">
        <f>IFERROR(__xludf.DUMMYFUNCTION("SUM(QUERY(Entregas_BD!D:L,""select J where D='""&amp;D320&amp;""'"",1))"),0.0)</f>
        <v>0</v>
      </c>
      <c r="R320" s="15">
        <f>IFERROR(__xludf.DUMMYFUNCTION("SUM(QUERY(Entregas_BD!D:L,""select K where D='""&amp;D320&amp;""'"",1))"),0.0)</f>
        <v>0</v>
      </c>
      <c r="S320" s="15">
        <f>IFERROR(__xludf.DUMMYFUNCTION("SUM(QUERY(Entregas_BD!D:L,""select L where D='""&amp;D320&amp;""'"",1))"),0.0)</f>
        <v>0</v>
      </c>
      <c r="T320" s="9">
        <f>IFERROR(__xludf.DUMMYFUNCTION("SUM(QUERY(Entregas_BD!D:AL,""select AG where D='""&amp;D320&amp;""'"",1))"),130.0)</f>
        <v>130</v>
      </c>
      <c r="U320" s="9">
        <f>IFERROR(__xludf.DUMMYFUNCTION("SUM(QUERY(Entregas_BD!D:AL,""select AH where D='""&amp;D320&amp;""'"",1))"),0.0)</f>
        <v>0</v>
      </c>
      <c r="V320" s="9">
        <f>IFERROR(__xludf.DUMMYFUNCTION("SUM(QUERY(Entregas_BD!D:AL,""select AI where D='""&amp;D320&amp;""'"",1))"),0.0)</f>
        <v>0</v>
      </c>
      <c r="W320" s="9">
        <f>IFERROR(__xludf.DUMMYFUNCTION("SUM(QUERY(Entregas_BD!D:AL,""select AJ where D='""&amp;D320&amp;""'"",1))"),0.0)</f>
        <v>0</v>
      </c>
      <c r="X320" s="9">
        <f>IFERROR(__xludf.DUMMYFUNCTION("SUM(QUERY(Entregas_BD!D:AL,""select AL where D='""&amp;D320&amp;""'"",1))"),10.0)</f>
        <v>10</v>
      </c>
      <c r="Y320" s="9">
        <f>IFERROR(__xludf.DUMMYFUNCTION("SUM(QUERY(Entregas_BD!D:AL,""select AK where D='""&amp;D320&amp;""'"",1))"),0.0)</f>
        <v>0</v>
      </c>
      <c r="Z320" s="9">
        <v>-130.0</v>
      </c>
      <c r="AA320" s="9">
        <v>0.0</v>
      </c>
      <c r="AB320" s="9">
        <v>0.0</v>
      </c>
      <c r="AC320" s="9">
        <v>0.0</v>
      </c>
      <c r="AD320" s="9">
        <v>0.0</v>
      </c>
      <c r="AE320" s="9">
        <v>-10.0</v>
      </c>
      <c r="AF320" s="32"/>
      <c r="AG320" s="15">
        <f>IFERROR(__xludf.DUMMYFUNCTION("SUM(QUERY(Entregas_BD!D:W,""select U where D='""&amp;D320&amp;""'"",1))"),0.0)</f>
        <v>0</v>
      </c>
      <c r="AH320" s="15">
        <f>IFERROR(__xludf.DUMMYFUNCTION("SUM(QUERY(Entregas_BD!D:W,""select S where D='""&amp;D320&amp;""'"",1))"),0.0)</f>
        <v>0</v>
      </c>
      <c r="AI320" s="15">
        <f>IFERROR(__xludf.DUMMYFUNCTION("SUM(QUERY(Entregas_BD!D:W,""select T where D='""&amp;D320&amp;""'"",1))"),0.0)</f>
        <v>0</v>
      </c>
    </row>
    <row r="321" ht="19.5" customHeight="1">
      <c r="A321" s="54"/>
      <c r="B321" s="29"/>
      <c r="C321" s="19">
        <v>320.0</v>
      </c>
      <c r="D321" s="20" t="s">
        <v>787</v>
      </c>
      <c r="E321" s="20" t="s">
        <v>54</v>
      </c>
      <c r="F321" s="20" t="s">
        <v>45</v>
      </c>
      <c r="G321" s="20" t="s">
        <v>109</v>
      </c>
      <c r="H321" s="22" t="s">
        <v>622</v>
      </c>
      <c r="I321" s="21" t="s">
        <v>41</v>
      </c>
      <c r="J321" s="22"/>
      <c r="K321" s="22"/>
      <c r="L321" s="23"/>
      <c r="M321" s="22"/>
      <c r="N321" s="19">
        <f>IFERROR(__xludf.DUMMYFUNCTION("SUM(QUERY(Entregas_BD!D:L,""select G where D='""&amp;D321&amp;""'"",1))"),0.0)</f>
        <v>0</v>
      </c>
      <c r="O321" s="19">
        <f>IFERROR(__xludf.DUMMYFUNCTION("SUM(QUERY(Entregas_BD!D:L,""select H where D='""&amp;D321&amp;""'"",1))"),0.0)</f>
        <v>0</v>
      </c>
      <c r="P321" s="19">
        <f>IFERROR(__xludf.DUMMYFUNCTION("SUM(QUERY(Entregas_BD!D:L,""select I where D='""&amp;D321&amp;""'"",1))"),0.0)</f>
        <v>0</v>
      </c>
      <c r="Q321" s="19">
        <f>IFERROR(__xludf.DUMMYFUNCTION("SUM(QUERY(Entregas_BD!D:L,""select J where D='""&amp;D321&amp;""'"",1))"),0.0)</f>
        <v>0</v>
      </c>
      <c r="R321" s="24">
        <f>IFERROR(__xludf.DUMMYFUNCTION("SUM(QUERY(Entregas_BD!D:L,""select K where D='""&amp;D321&amp;""'"",1))"),0.0)</f>
        <v>0</v>
      </c>
      <c r="S321" s="24">
        <f>IFERROR(__xludf.DUMMYFUNCTION("SUM(QUERY(Entregas_BD!D:L,""select L where D='""&amp;D321&amp;""'"",1))"),0.0)</f>
        <v>0</v>
      </c>
      <c r="T321" s="19">
        <f>IFERROR(__xludf.DUMMYFUNCTION("SUM(QUERY(Entregas_BD!D:AL,""select AG where D='""&amp;D321&amp;""'"",1))"),50.0)</f>
        <v>50</v>
      </c>
      <c r="U321" s="19">
        <f>IFERROR(__xludf.DUMMYFUNCTION("SUM(QUERY(Entregas_BD!D:AL,""select AH where D='""&amp;D321&amp;""'"",1))"),0.0)</f>
        <v>0</v>
      </c>
      <c r="V321" s="19">
        <f>IFERROR(__xludf.DUMMYFUNCTION("SUM(QUERY(Entregas_BD!D:AL,""select AI where D='""&amp;D321&amp;""'"",1))"),0.0)</f>
        <v>0</v>
      </c>
      <c r="W321" s="19">
        <f>IFERROR(__xludf.DUMMYFUNCTION("SUM(QUERY(Entregas_BD!D:AL,""select AJ where D='""&amp;D321&amp;""'"",1))"),0.0)</f>
        <v>0</v>
      </c>
      <c r="X321" s="19">
        <f>IFERROR(__xludf.DUMMYFUNCTION("SUM(QUERY(Entregas_BD!D:AL,""select AL where D='""&amp;D321&amp;""'"",1))"),0.0)</f>
        <v>0</v>
      </c>
      <c r="Y321" s="19">
        <f>IFERROR(__xludf.DUMMYFUNCTION("SUM(QUERY(Entregas_BD!D:AL,""select AK where D='""&amp;D321&amp;""'"",1))"),6.0)</f>
        <v>6</v>
      </c>
      <c r="Z321" s="19">
        <v>-50.0</v>
      </c>
      <c r="AA321" s="19">
        <v>0.0</v>
      </c>
      <c r="AB321" s="19">
        <v>0.0</v>
      </c>
      <c r="AC321" s="19">
        <v>0.0</v>
      </c>
      <c r="AD321" s="19">
        <v>-6.0</v>
      </c>
      <c r="AE321" s="19">
        <v>0.0</v>
      </c>
      <c r="AF321" s="25"/>
      <c r="AG321" s="24">
        <f>IFERROR(__xludf.DUMMYFUNCTION("SUM(QUERY(Entregas_BD!D:W,""select U where D='""&amp;D321&amp;""'"",1))"),0.0)</f>
        <v>0</v>
      </c>
      <c r="AH321" s="24">
        <f>IFERROR(__xludf.DUMMYFUNCTION("SUM(QUERY(Entregas_BD!D:W,""select S where D='""&amp;D321&amp;""'"",1))"),0.0)</f>
        <v>0</v>
      </c>
      <c r="AI321" s="24">
        <f>IFERROR(__xludf.DUMMYFUNCTION("SUM(QUERY(Entregas_BD!D:W,""select T where D='""&amp;D321&amp;""'"",1))"),0.0)</f>
        <v>0</v>
      </c>
    </row>
    <row r="322" ht="19.5" customHeight="1">
      <c r="A322" s="53"/>
      <c r="B322" s="8"/>
      <c r="C322" s="9">
        <v>321.0</v>
      </c>
      <c r="D322" s="32" t="s">
        <v>788</v>
      </c>
      <c r="E322" s="10" t="s">
        <v>58</v>
      </c>
      <c r="F322" s="10" t="s">
        <v>45</v>
      </c>
      <c r="G322" s="10" t="s">
        <v>736</v>
      </c>
      <c r="H322" s="32" t="s">
        <v>770</v>
      </c>
      <c r="I322" s="11" t="s">
        <v>41</v>
      </c>
      <c r="J322" s="12"/>
      <c r="K322" s="32"/>
      <c r="L322" s="13"/>
      <c r="M322" s="12"/>
      <c r="N322" s="9">
        <f>IFERROR(__xludf.DUMMYFUNCTION("SUM(QUERY(Entregas_BD!D:L,""select G where D='""&amp;D322&amp;""'"",1))"),0.0)</f>
        <v>0</v>
      </c>
      <c r="O322" s="9">
        <f>IFERROR(__xludf.DUMMYFUNCTION("SUM(QUERY(Entregas_BD!D:L,""select H where D='""&amp;D322&amp;""'"",1))"),0.0)</f>
        <v>0</v>
      </c>
      <c r="P322" s="9">
        <f>IFERROR(__xludf.DUMMYFUNCTION("SUM(QUERY(Entregas_BD!D:L,""select I where D='""&amp;D322&amp;""'"",1))"),0.0)</f>
        <v>0</v>
      </c>
      <c r="Q322" s="9">
        <f>IFERROR(__xludf.DUMMYFUNCTION("SUM(QUERY(Entregas_BD!D:L,""select J where D='""&amp;D322&amp;""'"",1))"),0.0)</f>
        <v>0</v>
      </c>
      <c r="R322" s="15">
        <f>IFERROR(__xludf.DUMMYFUNCTION("SUM(QUERY(Entregas_BD!D:L,""select K where D='""&amp;D322&amp;""'"",1))"),0.0)</f>
        <v>0</v>
      </c>
      <c r="S322" s="15">
        <f>IFERROR(__xludf.DUMMYFUNCTION("SUM(QUERY(Entregas_BD!D:L,""select L where D='""&amp;D322&amp;""'"",1))"),0.0)</f>
        <v>0</v>
      </c>
      <c r="T322" s="9">
        <f>IFERROR(__xludf.DUMMYFUNCTION("SUM(QUERY(Entregas_BD!D:AL,""select AG where D='""&amp;D322&amp;""'"",1))"),12.0)</f>
        <v>12</v>
      </c>
      <c r="U322" s="9">
        <f>IFERROR(__xludf.DUMMYFUNCTION("SUM(QUERY(Entregas_BD!D:AL,""select AH where D='""&amp;D322&amp;""'"",1))"),0.0)</f>
        <v>0</v>
      </c>
      <c r="V322" s="9">
        <f>IFERROR(__xludf.DUMMYFUNCTION("SUM(QUERY(Entregas_BD!D:AL,""select AI where D='""&amp;D322&amp;""'"",1))"),0.0)</f>
        <v>0</v>
      </c>
      <c r="W322" s="9">
        <f>IFERROR(__xludf.DUMMYFUNCTION("SUM(QUERY(Entregas_BD!D:AL,""select AJ where D='""&amp;D322&amp;""'"",1))"),0.0)</f>
        <v>0</v>
      </c>
      <c r="X322" s="9">
        <f>IFERROR(__xludf.DUMMYFUNCTION("SUM(QUERY(Entregas_BD!D:AL,""select AL where D='""&amp;D322&amp;""'"",1))"),0.0)</f>
        <v>0</v>
      </c>
      <c r="Y322" s="9">
        <f>IFERROR(__xludf.DUMMYFUNCTION("SUM(QUERY(Entregas_BD!D:AL,""select AK where D='""&amp;D322&amp;""'"",1))"),0.0)</f>
        <v>0</v>
      </c>
      <c r="Z322" s="9">
        <v>-12.0</v>
      </c>
      <c r="AA322" s="9">
        <v>0.0</v>
      </c>
      <c r="AB322" s="9">
        <v>0.0</v>
      </c>
      <c r="AC322" s="9">
        <v>0.0</v>
      </c>
      <c r="AD322" s="9">
        <v>0.0</v>
      </c>
      <c r="AE322" s="9">
        <v>0.0</v>
      </c>
      <c r="AF322" s="32"/>
      <c r="AG322" s="15">
        <f>IFERROR(__xludf.DUMMYFUNCTION("SUM(QUERY(Entregas_BD!D:W,""select U where D='""&amp;D322&amp;""'"",1))"),0.0)</f>
        <v>0</v>
      </c>
      <c r="AH322" s="15">
        <f>IFERROR(__xludf.DUMMYFUNCTION("SUM(QUERY(Entregas_BD!D:W,""select S where D='""&amp;D322&amp;""'"",1))"),0.0)</f>
        <v>0</v>
      </c>
      <c r="AI322" s="15">
        <f>IFERROR(__xludf.DUMMYFUNCTION("SUM(QUERY(Entregas_BD!D:W,""select T where D='""&amp;D322&amp;""'"",1))"),0.0)</f>
        <v>0</v>
      </c>
    </row>
    <row r="323" ht="19.5" customHeight="1">
      <c r="A323" s="54"/>
      <c r="B323" s="29"/>
      <c r="C323" s="19">
        <v>322.0</v>
      </c>
      <c r="D323" s="22" t="s">
        <v>789</v>
      </c>
      <c r="E323" s="20" t="s">
        <v>58</v>
      </c>
      <c r="F323" s="20" t="s">
        <v>45</v>
      </c>
      <c r="G323" s="20" t="s">
        <v>778</v>
      </c>
      <c r="H323" s="22" t="s">
        <v>632</v>
      </c>
      <c r="I323" s="21" t="s">
        <v>41</v>
      </c>
      <c r="J323" s="22"/>
      <c r="K323" s="25"/>
      <c r="L323" s="23"/>
      <c r="M323" s="22"/>
      <c r="N323" s="19">
        <f>IFERROR(__xludf.DUMMYFUNCTION("SUM(QUERY(Entregas_BD!D:L,""select G where D='""&amp;D323&amp;""'"",1))"),0.0)</f>
        <v>0</v>
      </c>
      <c r="O323" s="19">
        <f>IFERROR(__xludf.DUMMYFUNCTION("SUM(QUERY(Entregas_BD!D:L,""select H where D='""&amp;D323&amp;""'"",1))"),0.0)</f>
        <v>0</v>
      </c>
      <c r="P323" s="19">
        <f>IFERROR(__xludf.DUMMYFUNCTION("SUM(QUERY(Entregas_BD!D:L,""select I where D='""&amp;D323&amp;""'"",1))"),0.0)</f>
        <v>0</v>
      </c>
      <c r="Q323" s="19">
        <f>IFERROR(__xludf.DUMMYFUNCTION("SUM(QUERY(Entregas_BD!D:L,""select J where D='""&amp;D323&amp;""'"",1))"),0.0)</f>
        <v>0</v>
      </c>
      <c r="R323" s="24">
        <f>IFERROR(__xludf.DUMMYFUNCTION("SUM(QUERY(Entregas_BD!D:L,""select K where D='""&amp;D323&amp;""'"",1))"),0.0)</f>
        <v>0</v>
      </c>
      <c r="S323" s="24">
        <f>IFERROR(__xludf.DUMMYFUNCTION("SUM(QUERY(Entregas_BD!D:L,""select L where D='""&amp;D323&amp;""'"",1))"),0.0)</f>
        <v>0</v>
      </c>
      <c r="T323" s="19">
        <f>IFERROR(__xludf.DUMMYFUNCTION("SUM(QUERY(Entregas_BD!D:AL,""select AG where D='""&amp;D323&amp;""'"",1))"),10.0)</f>
        <v>10</v>
      </c>
      <c r="U323" s="19">
        <f>IFERROR(__xludf.DUMMYFUNCTION("SUM(QUERY(Entregas_BD!D:AL,""select AH where D='""&amp;D323&amp;""'"",1))"),0.0)</f>
        <v>0</v>
      </c>
      <c r="V323" s="19">
        <f>IFERROR(__xludf.DUMMYFUNCTION("SUM(QUERY(Entregas_BD!D:AL,""select AI where D='""&amp;D323&amp;""'"",1))"),0.0)</f>
        <v>0</v>
      </c>
      <c r="W323" s="19">
        <f>IFERROR(__xludf.DUMMYFUNCTION("SUM(QUERY(Entregas_BD!D:AL,""select AJ where D='""&amp;D323&amp;""'"",1))"),0.0)</f>
        <v>0</v>
      </c>
      <c r="X323" s="19">
        <f>IFERROR(__xludf.DUMMYFUNCTION("SUM(QUERY(Entregas_BD!D:AL,""select AL where D='""&amp;D323&amp;""'"",1))"),0.0)</f>
        <v>0</v>
      </c>
      <c r="Y323" s="19">
        <f>IFERROR(__xludf.DUMMYFUNCTION("SUM(QUERY(Entregas_BD!D:AL,""select AK where D='""&amp;D323&amp;""'"",1))"),0.0)</f>
        <v>0</v>
      </c>
      <c r="Z323" s="19">
        <v>-10.0</v>
      </c>
      <c r="AA323" s="19">
        <v>0.0</v>
      </c>
      <c r="AB323" s="19">
        <v>0.0</v>
      </c>
      <c r="AC323" s="19">
        <v>0.0</v>
      </c>
      <c r="AD323" s="19">
        <v>0.0</v>
      </c>
      <c r="AE323" s="19">
        <v>0.0</v>
      </c>
      <c r="AF323" s="22"/>
      <c r="AG323" s="24">
        <f>IFERROR(__xludf.DUMMYFUNCTION("SUM(QUERY(Entregas_BD!D:W,""select U where D='""&amp;D323&amp;""'"",1))"),0.0)</f>
        <v>0</v>
      </c>
      <c r="AH323" s="24">
        <f>IFERROR(__xludf.DUMMYFUNCTION("SUM(QUERY(Entregas_BD!D:W,""select S where D='""&amp;D323&amp;""'"",1))"),0.0)</f>
        <v>0</v>
      </c>
      <c r="AI323" s="24">
        <f>IFERROR(__xludf.DUMMYFUNCTION("SUM(QUERY(Entregas_BD!D:W,""select T where D='""&amp;D323&amp;""'"",1))"),0.0)</f>
        <v>0</v>
      </c>
    </row>
    <row r="324" ht="19.5" customHeight="1">
      <c r="A324" s="53"/>
      <c r="B324" s="8"/>
      <c r="C324" s="9">
        <v>323.0</v>
      </c>
      <c r="D324" s="10" t="s">
        <v>790</v>
      </c>
      <c r="E324" s="10" t="s">
        <v>153</v>
      </c>
      <c r="F324" s="10" t="s">
        <v>791</v>
      </c>
      <c r="G324" s="59"/>
      <c r="H324" s="32" t="s">
        <v>770</v>
      </c>
      <c r="I324" s="11" t="s">
        <v>41</v>
      </c>
      <c r="J324" s="12"/>
      <c r="K324" s="12"/>
      <c r="L324" s="13"/>
      <c r="M324" s="12"/>
      <c r="N324" s="9">
        <f>IFERROR(__xludf.DUMMYFUNCTION("SUM(QUERY(Entregas_BD!D:L,""select G where D='""&amp;D324&amp;""'"",1))"),0.0)</f>
        <v>0</v>
      </c>
      <c r="O324" s="9">
        <f>IFERROR(__xludf.DUMMYFUNCTION("SUM(QUERY(Entregas_BD!D:L,""select H where D='""&amp;D324&amp;""'"",1))"),0.0)</f>
        <v>0</v>
      </c>
      <c r="P324" s="9">
        <f>IFERROR(__xludf.DUMMYFUNCTION("SUM(QUERY(Entregas_BD!D:L,""select I where D='""&amp;D324&amp;""'"",1))"),0.0)</f>
        <v>0</v>
      </c>
      <c r="Q324" s="9">
        <f>IFERROR(__xludf.DUMMYFUNCTION("SUM(QUERY(Entregas_BD!D:L,""select J where D='""&amp;D324&amp;""'"",1))"),0.0)</f>
        <v>0</v>
      </c>
      <c r="R324" s="15">
        <f>IFERROR(__xludf.DUMMYFUNCTION("SUM(QUERY(Entregas_BD!D:L,""select K where D='""&amp;D324&amp;""'"",1))"),0.0)</f>
        <v>0</v>
      </c>
      <c r="S324" s="15">
        <f>IFERROR(__xludf.DUMMYFUNCTION("SUM(QUERY(Entregas_BD!D:L,""select L where D='""&amp;D324&amp;""'"",1))"),0.0)</f>
        <v>0</v>
      </c>
      <c r="T324" s="9">
        <f>IFERROR(__xludf.DUMMYFUNCTION("SUM(QUERY(Entregas_BD!D:AL,""select AG where D='""&amp;D324&amp;""'"",1))"),5.0)</f>
        <v>5</v>
      </c>
      <c r="U324" s="9">
        <f>IFERROR(__xludf.DUMMYFUNCTION("SUM(QUERY(Entregas_BD!D:AL,""select AH where D='""&amp;D324&amp;""'"",1))"),0.0)</f>
        <v>0</v>
      </c>
      <c r="V324" s="9">
        <f>IFERROR(__xludf.DUMMYFUNCTION("SUM(QUERY(Entregas_BD!D:AL,""select AI where D='""&amp;D324&amp;""'"",1))"),0.0)</f>
        <v>0</v>
      </c>
      <c r="W324" s="9">
        <f>IFERROR(__xludf.DUMMYFUNCTION("SUM(QUERY(Entregas_BD!D:AL,""select AJ where D='""&amp;D324&amp;""'"",1))"),0.0)</f>
        <v>0</v>
      </c>
      <c r="X324" s="9">
        <f>IFERROR(__xludf.DUMMYFUNCTION("SUM(QUERY(Entregas_BD!D:AL,""select AL where D='""&amp;D324&amp;""'"",1))"),0.0)</f>
        <v>0</v>
      </c>
      <c r="Y324" s="9">
        <f>IFERROR(__xludf.DUMMYFUNCTION("SUM(QUERY(Entregas_BD!D:AL,""select AK where D='""&amp;D324&amp;""'"",1))"),0.0)</f>
        <v>0</v>
      </c>
      <c r="Z324" s="9">
        <v>-5.0</v>
      </c>
      <c r="AA324" s="9">
        <v>0.0</v>
      </c>
      <c r="AB324" s="9">
        <v>0.0</v>
      </c>
      <c r="AC324" s="9">
        <v>0.0</v>
      </c>
      <c r="AD324" s="9">
        <v>0.0</v>
      </c>
      <c r="AE324" s="9">
        <v>0.0</v>
      </c>
      <c r="AF324" s="12"/>
      <c r="AG324" s="15">
        <f>IFERROR(__xludf.DUMMYFUNCTION("SUM(QUERY(Entregas_BD!D:W,""select U where D='""&amp;D324&amp;""'"",1))"),0.0)</f>
        <v>0</v>
      </c>
      <c r="AH324" s="15">
        <f>IFERROR(__xludf.DUMMYFUNCTION("SUM(QUERY(Entregas_BD!D:W,""select S where D='""&amp;D324&amp;""'"",1))"),0.0)</f>
        <v>0</v>
      </c>
      <c r="AI324" s="15">
        <f>IFERROR(__xludf.DUMMYFUNCTION("SUM(QUERY(Entregas_BD!D:W,""select T where D='""&amp;D324&amp;""'"",1))"),0.0)</f>
        <v>0</v>
      </c>
    </row>
    <row r="325" ht="19.5" customHeight="1">
      <c r="A325" s="54"/>
      <c r="B325" s="29"/>
      <c r="C325" s="19">
        <v>324.0</v>
      </c>
      <c r="D325" s="20" t="s">
        <v>792</v>
      </c>
      <c r="E325" s="20" t="s">
        <v>72</v>
      </c>
      <c r="F325" s="20" t="s">
        <v>45</v>
      </c>
      <c r="G325" s="20" t="s">
        <v>182</v>
      </c>
      <c r="H325" s="25" t="s">
        <v>40</v>
      </c>
      <c r="I325" s="21" t="s">
        <v>41</v>
      </c>
      <c r="J325" s="22"/>
      <c r="K325" s="22"/>
      <c r="L325" s="23"/>
      <c r="M325" s="22"/>
      <c r="N325" s="19">
        <f>IFERROR(__xludf.DUMMYFUNCTION("SUM(QUERY(Entregas_BD!D:L,""select G where D='""&amp;D325&amp;""'"",1))"),0.0)</f>
        <v>0</v>
      </c>
      <c r="O325" s="19">
        <f>IFERROR(__xludf.DUMMYFUNCTION("SUM(QUERY(Entregas_BD!D:L,""select H where D='""&amp;D325&amp;""'"",1))"),0.0)</f>
        <v>0</v>
      </c>
      <c r="P325" s="19">
        <f>IFERROR(__xludf.DUMMYFUNCTION("SUM(QUERY(Entregas_BD!D:L,""select I where D='""&amp;D325&amp;""'"",1))"),0.0)</f>
        <v>0</v>
      </c>
      <c r="Q325" s="19">
        <f>IFERROR(__xludf.DUMMYFUNCTION("SUM(QUERY(Entregas_BD!D:L,""select J where D='""&amp;D325&amp;""'"",1))"),0.0)</f>
        <v>0</v>
      </c>
      <c r="R325" s="24">
        <f>IFERROR(__xludf.DUMMYFUNCTION("SUM(QUERY(Entregas_BD!D:L,""select K where D='""&amp;D325&amp;""'"",1))"),0.0)</f>
        <v>0</v>
      </c>
      <c r="S325" s="24">
        <f>IFERROR(__xludf.DUMMYFUNCTION("SUM(QUERY(Entregas_BD!D:L,""select L where D='""&amp;D325&amp;""'"",1))"),0.0)</f>
        <v>0</v>
      </c>
      <c r="T325" s="19">
        <f>IFERROR(__xludf.DUMMYFUNCTION("SUM(QUERY(Entregas_BD!D:AL,""select AG where D='""&amp;D325&amp;""'"",1))"),100.0)</f>
        <v>100</v>
      </c>
      <c r="U325" s="19">
        <f>IFERROR(__xludf.DUMMYFUNCTION("SUM(QUERY(Entregas_BD!D:AL,""select AH where D='""&amp;D325&amp;""'"",1))"),0.0)</f>
        <v>0</v>
      </c>
      <c r="V325" s="19">
        <f>IFERROR(__xludf.DUMMYFUNCTION("SUM(QUERY(Entregas_BD!D:AL,""select AI where D='""&amp;D325&amp;""'"",1))"),0.0)</f>
        <v>0</v>
      </c>
      <c r="W325" s="19">
        <f>IFERROR(__xludf.DUMMYFUNCTION("SUM(QUERY(Entregas_BD!D:AL,""select AJ where D='""&amp;D325&amp;""'"",1))"),0.0)</f>
        <v>0</v>
      </c>
      <c r="X325" s="19">
        <f>IFERROR(__xludf.DUMMYFUNCTION("SUM(QUERY(Entregas_BD!D:AL,""select AL where D='""&amp;D325&amp;""'"",1))"),0.0)</f>
        <v>0</v>
      </c>
      <c r="Y325" s="19">
        <f>IFERROR(__xludf.DUMMYFUNCTION("SUM(QUERY(Entregas_BD!D:AL,""select AK where D='""&amp;D325&amp;""'"",1))"),0.0)</f>
        <v>0</v>
      </c>
      <c r="Z325" s="19">
        <v>-100.0</v>
      </c>
      <c r="AA325" s="19">
        <v>0.0</v>
      </c>
      <c r="AB325" s="19">
        <v>0.0</v>
      </c>
      <c r="AC325" s="19">
        <v>0.0</v>
      </c>
      <c r="AD325" s="19">
        <v>0.0</v>
      </c>
      <c r="AE325" s="19">
        <v>0.0</v>
      </c>
      <c r="AF325" s="22"/>
      <c r="AG325" s="24">
        <f>IFERROR(__xludf.DUMMYFUNCTION("SUM(QUERY(Entregas_BD!D:W,""select U where D='""&amp;D325&amp;""'"",1))"),0.0)</f>
        <v>0</v>
      </c>
      <c r="AH325" s="24">
        <f>IFERROR(__xludf.DUMMYFUNCTION("SUM(QUERY(Entregas_BD!D:W,""select S where D='""&amp;D325&amp;""'"",1))"),0.0)</f>
        <v>0</v>
      </c>
      <c r="AI325" s="24">
        <f>IFERROR(__xludf.DUMMYFUNCTION("SUM(QUERY(Entregas_BD!D:W,""select T where D='""&amp;D325&amp;""'"",1))"),0.0)</f>
        <v>0</v>
      </c>
    </row>
    <row r="326" ht="19.5" customHeight="1">
      <c r="A326" s="53"/>
      <c r="B326" s="8"/>
      <c r="C326" s="9">
        <v>325.0</v>
      </c>
      <c r="D326" s="12" t="s">
        <v>793</v>
      </c>
      <c r="E326" s="10" t="s">
        <v>58</v>
      </c>
      <c r="F326" s="10" t="s">
        <v>45</v>
      </c>
      <c r="G326" s="10" t="s">
        <v>598</v>
      </c>
      <c r="H326" s="12" t="s">
        <v>632</v>
      </c>
      <c r="I326" s="11" t="s">
        <v>41</v>
      </c>
      <c r="J326" s="12"/>
      <c r="K326" s="32"/>
      <c r="L326" s="13"/>
      <c r="M326" s="12"/>
      <c r="N326" s="9">
        <f>IFERROR(__xludf.DUMMYFUNCTION("SUM(QUERY(Entregas_BD!D:L,""select G where D='""&amp;D326&amp;""'"",1))"),0.0)</f>
        <v>0</v>
      </c>
      <c r="O326" s="9">
        <f>IFERROR(__xludf.DUMMYFUNCTION("SUM(QUERY(Entregas_BD!D:L,""select H where D='""&amp;D326&amp;""'"",1))"),0.0)</f>
        <v>0</v>
      </c>
      <c r="P326" s="9">
        <f>IFERROR(__xludf.DUMMYFUNCTION("SUM(QUERY(Entregas_BD!D:L,""select I where D='""&amp;D326&amp;""'"",1))"),0.0)</f>
        <v>0</v>
      </c>
      <c r="Q326" s="9">
        <f>IFERROR(__xludf.DUMMYFUNCTION("SUM(QUERY(Entregas_BD!D:L,""select J where D='""&amp;D326&amp;""'"",1))"),0.0)</f>
        <v>0</v>
      </c>
      <c r="R326" s="15">
        <f>IFERROR(__xludf.DUMMYFUNCTION("SUM(QUERY(Entregas_BD!D:L,""select K where D='""&amp;D326&amp;""'"",1))"),0.0)</f>
        <v>0</v>
      </c>
      <c r="S326" s="15">
        <f>IFERROR(__xludf.DUMMYFUNCTION("SUM(QUERY(Entregas_BD!D:L,""select L where D='""&amp;D326&amp;""'"",1))"),0.0)</f>
        <v>0</v>
      </c>
      <c r="T326" s="9">
        <f>IFERROR(__xludf.DUMMYFUNCTION("SUM(QUERY(Entregas_BD!D:AL,""select AG where D='""&amp;D326&amp;""'"",1))"),0.0)</f>
        <v>0</v>
      </c>
      <c r="U326" s="9">
        <f>IFERROR(__xludf.DUMMYFUNCTION("SUM(QUERY(Entregas_BD!D:AL,""select AH where D='""&amp;D326&amp;""'"",1))"),0.0)</f>
        <v>0</v>
      </c>
      <c r="V326" s="9">
        <f>IFERROR(__xludf.DUMMYFUNCTION("SUM(QUERY(Entregas_BD!D:AL,""select AI where D='""&amp;D326&amp;""'"",1))"),0.0)</f>
        <v>0</v>
      </c>
      <c r="W326" s="9">
        <f>IFERROR(__xludf.DUMMYFUNCTION("SUM(QUERY(Entregas_BD!D:AL,""select AJ where D='""&amp;D326&amp;""'"",1))"),25.0)</f>
        <v>25</v>
      </c>
      <c r="X326" s="9">
        <f>IFERROR(__xludf.DUMMYFUNCTION("SUM(QUERY(Entregas_BD!D:AL,""select AL where D='""&amp;D326&amp;""'"",1))"),0.0)</f>
        <v>0</v>
      </c>
      <c r="Y326" s="9">
        <f>IFERROR(__xludf.DUMMYFUNCTION("SUM(QUERY(Entregas_BD!D:AL,""select AK where D='""&amp;D326&amp;""'"",1))"),0.0)</f>
        <v>0</v>
      </c>
      <c r="Z326" s="9">
        <v>0.0</v>
      </c>
      <c r="AA326" s="9">
        <v>0.0</v>
      </c>
      <c r="AB326" s="9">
        <v>0.0</v>
      </c>
      <c r="AC326" s="9">
        <v>-25.0</v>
      </c>
      <c r="AD326" s="9">
        <v>0.0</v>
      </c>
      <c r="AE326" s="9">
        <v>0.0</v>
      </c>
      <c r="AF326" s="32"/>
      <c r="AG326" s="15">
        <f>IFERROR(__xludf.DUMMYFUNCTION("SUM(QUERY(Entregas_BD!D:W,""select U where D='""&amp;D326&amp;""'"",1))"),0.0)</f>
        <v>0</v>
      </c>
      <c r="AH326" s="15">
        <f>IFERROR(__xludf.DUMMYFUNCTION("SUM(QUERY(Entregas_BD!D:W,""select S where D='""&amp;D326&amp;""'"",1))"),0.0)</f>
        <v>0</v>
      </c>
      <c r="AI326" s="15">
        <f>IFERROR(__xludf.DUMMYFUNCTION("SUM(QUERY(Entregas_BD!D:W,""select T where D='""&amp;D326&amp;""'"",1))"),0.0)</f>
        <v>0</v>
      </c>
    </row>
    <row r="327" ht="19.5" customHeight="1">
      <c r="A327" s="54"/>
      <c r="B327" s="29"/>
      <c r="C327" s="19">
        <v>326.0</v>
      </c>
      <c r="D327" s="20" t="s">
        <v>794</v>
      </c>
      <c r="E327" s="20" t="s">
        <v>58</v>
      </c>
      <c r="F327" s="20" t="s">
        <v>45</v>
      </c>
      <c r="G327" s="20" t="s">
        <v>174</v>
      </c>
      <c r="H327" s="19" t="s">
        <v>40</v>
      </c>
      <c r="I327" s="21" t="s">
        <v>41</v>
      </c>
      <c r="J327" s="22"/>
      <c r="K327" s="25"/>
      <c r="L327" s="23"/>
      <c r="M327" s="22"/>
      <c r="N327" s="19">
        <f>IFERROR(__xludf.DUMMYFUNCTION("SUM(QUERY(Entregas_BD!D:L,""select G where D='""&amp;D327&amp;""'"",1))"),0.0)</f>
        <v>0</v>
      </c>
      <c r="O327" s="19">
        <f>IFERROR(__xludf.DUMMYFUNCTION("SUM(QUERY(Entregas_BD!D:L,""select H where D='""&amp;D327&amp;""'"",1))"),0.0)</f>
        <v>0</v>
      </c>
      <c r="P327" s="19">
        <f>IFERROR(__xludf.DUMMYFUNCTION("SUM(QUERY(Entregas_BD!D:L,""select I where D='""&amp;D327&amp;""'"",1))"),0.0)</f>
        <v>0</v>
      </c>
      <c r="Q327" s="19">
        <f>IFERROR(__xludf.DUMMYFUNCTION("SUM(QUERY(Entregas_BD!D:L,""select J where D='""&amp;D327&amp;""'"",1))"),0.0)</f>
        <v>0</v>
      </c>
      <c r="R327" s="24">
        <f>IFERROR(__xludf.DUMMYFUNCTION("SUM(QUERY(Entregas_BD!D:L,""select K where D='""&amp;D327&amp;""'"",1))"),0.0)</f>
        <v>0</v>
      </c>
      <c r="S327" s="24">
        <f>IFERROR(__xludf.DUMMYFUNCTION("SUM(QUERY(Entregas_BD!D:L,""select L where D='""&amp;D327&amp;""'"",1))"),0.0)</f>
        <v>0</v>
      </c>
      <c r="T327" s="19">
        <f>IFERROR(__xludf.DUMMYFUNCTION("SUM(QUERY(Entregas_BD!D:AL,""select AG where D='""&amp;D327&amp;""'"",1))"),0.0)</f>
        <v>0</v>
      </c>
      <c r="U327" s="19">
        <f>IFERROR(__xludf.DUMMYFUNCTION("SUM(QUERY(Entregas_BD!D:AL,""select AH where D='""&amp;D327&amp;""'"",1))"),0.0)</f>
        <v>0</v>
      </c>
      <c r="V327" s="19">
        <f>IFERROR(__xludf.DUMMYFUNCTION("SUM(QUERY(Entregas_BD!D:AL,""select AI where D='""&amp;D327&amp;""'"",1))"),0.0)</f>
        <v>0</v>
      </c>
      <c r="W327" s="19">
        <f>IFERROR(__xludf.DUMMYFUNCTION("SUM(QUERY(Entregas_BD!D:AL,""select AJ where D='""&amp;D327&amp;""'"",1))"),0.0)</f>
        <v>0</v>
      </c>
      <c r="X327" s="19">
        <f>IFERROR(__xludf.DUMMYFUNCTION("SUM(QUERY(Entregas_BD!D:AL,""select AL where D='""&amp;D327&amp;""'"",1))"),0.0)</f>
        <v>0</v>
      </c>
      <c r="Y327" s="19">
        <f>IFERROR(__xludf.DUMMYFUNCTION("SUM(QUERY(Entregas_BD!D:AL,""select AK where D='""&amp;D327&amp;""'"",1))"),0.0)</f>
        <v>0</v>
      </c>
      <c r="Z327" s="19">
        <v>0.0</v>
      </c>
      <c r="AA327" s="19">
        <v>0.0</v>
      </c>
      <c r="AB327" s="19">
        <v>0.0</v>
      </c>
      <c r="AC327" s="19">
        <v>0.0</v>
      </c>
      <c r="AD327" s="19">
        <v>0.0</v>
      </c>
      <c r="AE327" s="19">
        <v>0.0</v>
      </c>
      <c r="AF327" s="25"/>
      <c r="AG327" s="24">
        <f>IFERROR(__xludf.DUMMYFUNCTION("SUM(QUERY(Entregas_BD!D:W,""select U where D='""&amp;D327&amp;""'"",1))"),0.0)</f>
        <v>0</v>
      </c>
      <c r="AH327" s="24">
        <f>IFERROR(__xludf.DUMMYFUNCTION("SUM(QUERY(Entregas_BD!D:W,""select S where D='""&amp;D327&amp;""'"",1))"),0.0)</f>
        <v>0</v>
      </c>
      <c r="AI327" s="24">
        <f>IFERROR(__xludf.DUMMYFUNCTION("SUM(QUERY(Entregas_BD!D:W,""select T where D='""&amp;D327&amp;""'"",1))"),0.0)</f>
        <v>0</v>
      </c>
    </row>
    <row r="328" ht="19.5" customHeight="1">
      <c r="A328" s="53"/>
      <c r="B328" s="8"/>
      <c r="C328" s="9">
        <v>327.0</v>
      </c>
      <c r="D328" s="10" t="s">
        <v>795</v>
      </c>
      <c r="E328" s="10" t="s">
        <v>58</v>
      </c>
      <c r="F328" s="10" t="s">
        <v>45</v>
      </c>
      <c r="G328" s="10" t="s">
        <v>600</v>
      </c>
      <c r="H328" s="12" t="s">
        <v>632</v>
      </c>
      <c r="I328" s="11" t="s">
        <v>41</v>
      </c>
      <c r="J328" s="12"/>
      <c r="K328" s="12"/>
      <c r="L328" s="13"/>
      <c r="M328" s="12"/>
      <c r="N328" s="9">
        <f>IFERROR(__xludf.DUMMYFUNCTION("SUM(QUERY(Entregas_BD!D:L,""select G where D='""&amp;D328&amp;""'"",1))"),0.0)</f>
        <v>0</v>
      </c>
      <c r="O328" s="9">
        <f>IFERROR(__xludf.DUMMYFUNCTION("SUM(QUERY(Entregas_BD!D:L,""select H where D='""&amp;D328&amp;""'"",1))"),0.0)</f>
        <v>0</v>
      </c>
      <c r="P328" s="9">
        <f>IFERROR(__xludf.DUMMYFUNCTION("SUM(QUERY(Entregas_BD!D:L,""select I where D='""&amp;D328&amp;""'"",1))"),0.0)</f>
        <v>0</v>
      </c>
      <c r="Q328" s="9">
        <f>IFERROR(__xludf.DUMMYFUNCTION("SUM(QUERY(Entregas_BD!D:L,""select J where D='""&amp;D328&amp;""'"",1))"),0.0)</f>
        <v>0</v>
      </c>
      <c r="R328" s="15">
        <f>IFERROR(__xludf.DUMMYFUNCTION("SUM(QUERY(Entregas_BD!D:L,""select K where D='""&amp;D328&amp;""'"",1))"),0.0)</f>
        <v>0</v>
      </c>
      <c r="S328" s="15">
        <f>IFERROR(__xludf.DUMMYFUNCTION("SUM(QUERY(Entregas_BD!D:L,""select L where D='""&amp;D328&amp;""'"",1))"),0.0)</f>
        <v>0</v>
      </c>
      <c r="T328" s="9">
        <f>IFERROR(__xludf.DUMMYFUNCTION("SUM(QUERY(Entregas_BD!D:AL,""select AG where D='""&amp;D328&amp;""'"",1))"),25.0)</f>
        <v>25</v>
      </c>
      <c r="U328" s="9">
        <f>IFERROR(__xludf.DUMMYFUNCTION("SUM(QUERY(Entregas_BD!D:AL,""select AH where D='""&amp;D328&amp;""'"",1))"),0.0)</f>
        <v>0</v>
      </c>
      <c r="V328" s="9">
        <f>IFERROR(__xludf.DUMMYFUNCTION("SUM(QUERY(Entregas_BD!D:AL,""select AI where D='""&amp;D328&amp;""'"",1))"),0.0)</f>
        <v>0</v>
      </c>
      <c r="W328" s="9">
        <f>IFERROR(__xludf.DUMMYFUNCTION("SUM(QUERY(Entregas_BD!D:AL,""select AJ where D='""&amp;D328&amp;""'"",1))"),25.0)</f>
        <v>25</v>
      </c>
      <c r="X328" s="9">
        <f>IFERROR(__xludf.DUMMYFUNCTION("SUM(QUERY(Entregas_BD!D:AL,""select AL where D='""&amp;D328&amp;""'"",1))"),50.0)</f>
        <v>50</v>
      </c>
      <c r="Y328" s="9">
        <f>IFERROR(__xludf.DUMMYFUNCTION("SUM(QUERY(Entregas_BD!D:AL,""select AK where D='""&amp;D328&amp;""'"",1))"),0.0)</f>
        <v>0</v>
      </c>
      <c r="Z328" s="9">
        <v>-25.0</v>
      </c>
      <c r="AA328" s="9">
        <v>0.0</v>
      </c>
      <c r="AB328" s="9">
        <v>0.0</v>
      </c>
      <c r="AC328" s="9">
        <v>-25.0</v>
      </c>
      <c r="AD328" s="9">
        <v>0.0</v>
      </c>
      <c r="AE328" s="9">
        <v>-50.0</v>
      </c>
      <c r="AF328" s="32"/>
      <c r="AG328" s="15">
        <f>IFERROR(__xludf.DUMMYFUNCTION("SUM(QUERY(Entregas_BD!D:W,""select U where D='""&amp;D328&amp;""'"",1))"),0.0)</f>
        <v>0</v>
      </c>
      <c r="AH328" s="15">
        <f>IFERROR(__xludf.DUMMYFUNCTION("SUM(QUERY(Entregas_BD!D:W,""select S where D='""&amp;D328&amp;""'"",1))"),0.0)</f>
        <v>0</v>
      </c>
      <c r="AI328" s="15">
        <f>IFERROR(__xludf.DUMMYFUNCTION("SUM(QUERY(Entregas_BD!D:W,""select T where D='""&amp;D328&amp;""'"",1))"),0.0)</f>
        <v>0</v>
      </c>
    </row>
    <row r="329" ht="19.5" customHeight="1">
      <c r="A329" s="54"/>
      <c r="B329" s="29"/>
      <c r="C329" s="19">
        <v>328.0</v>
      </c>
      <c r="D329" s="20" t="s">
        <v>796</v>
      </c>
      <c r="E329" s="20" t="s">
        <v>63</v>
      </c>
      <c r="F329" s="20" t="s">
        <v>524</v>
      </c>
      <c r="G329" s="20" t="s">
        <v>492</v>
      </c>
      <c r="H329" s="25" t="s">
        <v>40</v>
      </c>
      <c r="I329" s="21" t="s">
        <v>41</v>
      </c>
      <c r="J329" s="22"/>
      <c r="K329" s="22"/>
      <c r="L329" s="23"/>
      <c r="M329" s="22"/>
      <c r="N329" s="19">
        <f>IFERROR(__xludf.DUMMYFUNCTION("SUM(QUERY(Entregas_BD!D:L,""select G where D='""&amp;D329&amp;""'"",1))"),0.0)</f>
        <v>0</v>
      </c>
      <c r="O329" s="19">
        <f>IFERROR(__xludf.DUMMYFUNCTION("SUM(QUERY(Entregas_BD!D:L,""select H where D='""&amp;D329&amp;""'"",1))"),0.0)</f>
        <v>0</v>
      </c>
      <c r="P329" s="19">
        <f>IFERROR(__xludf.DUMMYFUNCTION("SUM(QUERY(Entregas_BD!D:L,""select I where D='""&amp;D329&amp;""'"",1))"),0.0)</f>
        <v>0</v>
      </c>
      <c r="Q329" s="19">
        <f>IFERROR(__xludf.DUMMYFUNCTION("SUM(QUERY(Entregas_BD!D:L,""select J where D='""&amp;D329&amp;""'"",1))"),0.0)</f>
        <v>0</v>
      </c>
      <c r="R329" s="24">
        <f>IFERROR(__xludf.DUMMYFUNCTION("SUM(QUERY(Entregas_BD!D:L,""select K where D='""&amp;D329&amp;""'"",1))"),0.0)</f>
        <v>0</v>
      </c>
      <c r="S329" s="24">
        <f>IFERROR(__xludf.DUMMYFUNCTION("SUM(QUERY(Entregas_BD!D:L,""select L where D='""&amp;D329&amp;""'"",1))"),0.0)</f>
        <v>0</v>
      </c>
      <c r="T329" s="19">
        <f>IFERROR(__xludf.DUMMYFUNCTION("SUM(QUERY(Entregas_BD!D:AL,""select AG where D='""&amp;D329&amp;""'"",1))"),100.0)</f>
        <v>100</v>
      </c>
      <c r="U329" s="19">
        <f>IFERROR(__xludf.DUMMYFUNCTION("SUM(QUERY(Entregas_BD!D:AL,""select AH where D='""&amp;D329&amp;""'"",1))"),0.0)</f>
        <v>0</v>
      </c>
      <c r="V329" s="19">
        <f>IFERROR(__xludf.DUMMYFUNCTION("SUM(QUERY(Entregas_BD!D:AL,""select AI where D='""&amp;D329&amp;""'"",1))"),0.0)</f>
        <v>0</v>
      </c>
      <c r="W329" s="19">
        <f>IFERROR(__xludf.DUMMYFUNCTION("SUM(QUERY(Entregas_BD!D:AL,""select AJ where D='""&amp;D329&amp;""'"",1))"),50.0)</f>
        <v>50</v>
      </c>
      <c r="X329" s="19">
        <f>IFERROR(__xludf.DUMMYFUNCTION("SUM(QUERY(Entregas_BD!D:AL,""select AL where D='""&amp;D329&amp;""'"",1))"),0.0)</f>
        <v>0</v>
      </c>
      <c r="Y329" s="19">
        <f>IFERROR(__xludf.DUMMYFUNCTION("SUM(QUERY(Entregas_BD!D:AL,""select AK where D='""&amp;D329&amp;""'"",1))"),0.0)</f>
        <v>0</v>
      </c>
      <c r="Z329" s="19">
        <v>-100.0</v>
      </c>
      <c r="AA329" s="19">
        <v>0.0</v>
      </c>
      <c r="AB329" s="19">
        <v>0.0</v>
      </c>
      <c r="AC329" s="19">
        <v>-50.0</v>
      </c>
      <c r="AD329" s="19">
        <v>0.0</v>
      </c>
      <c r="AE329" s="19">
        <v>0.0</v>
      </c>
      <c r="AF329" s="25"/>
      <c r="AG329" s="24">
        <f>IFERROR(__xludf.DUMMYFUNCTION("SUM(QUERY(Entregas_BD!D:W,""select U where D='""&amp;D329&amp;""'"",1))"),0.0)</f>
        <v>0</v>
      </c>
      <c r="AH329" s="24">
        <f>IFERROR(__xludf.DUMMYFUNCTION("SUM(QUERY(Entregas_BD!D:W,""select S where D='""&amp;D329&amp;""'"",1))"),0.0)</f>
        <v>0</v>
      </c>
      <c r="AI329" s="24">
        <f>IFERROR(__xludf.DUMMYFUNCTION("SUM(QUERY(Entregas_BD!D:W,""select T where D='""&amp;D329&amp;""'"",1))"),0.0)</f>
        <v>0</v>
      </c>
    </row>
    <row r="330" ht="19.5" customHeight="1">
      <c r="A330" s="53"/>
      <c r="B330" s="8"/>
      <c r="C330" s="9">
        <v>329.0</v>
      </c>
      <c r="D330" s="10" t="s">
        <v>797</v>
      </c>
      <c r="E330" s="10" t="s">
        <v>63</v>
      </c>
      <c r="F330" s="10" t="s">
        <v>64</v>
      </c>
      <c r="G330" s="10" t="s">
        <v>149</v>
      </c>
      <c r="H330" s="12" t="s">
        <v>632</v>
      </c>
      <c r="I330" s="11" t="s">
        <v>41</v>
      </c>
      <c r="J330" s="12"/>
      <c r="K330" s="12"/>
      <c r="L330" s="13"/>
      <c r="M330" s="12"/>
      <c r="N330" s="9">
        <f>IFERROR(__xludf.DUMMYFUNCTION("SUM(QUERY(Entregas_BD!D:L,""select G where D='""&amp;D330&amp;""'"",1))"),0.0)</f>
        <v>0</v>
      </c>
      <c r="O330" s="9">
        <f>IFERROR(__xludf.DUMMYFUNCTION("SUM(QUERY(Entregas_BD!D:L,""select H where D='""&amp;D330&amp;""'"",1))"),0.0)</f>
        <v>0</v>
      </c>
      <c r="P330" s="9">
        <f>IFERROR(__xludf.DUMMYFUNCTION("SUM(QUERY(Entregas_BD!D:L,""select I where D='""&amp;D330&amp;""'"",1))"),0.0)</f>
        <v>0</v>
      </c>
      <c r="Q330" s="9">
        <f>IFERROR(__xludf.DUMMYFUNCTION("SUM(QUERY(Entregas_BD!D:L,""select J where D='""&amp;D330&amp;""'"",1))"),0.0)</f>
        <v>0</v>
      </c>
      <c r="R330" s="15">
        <f>IFERROR(__xludf.DUMMYFUNCTION("SUM(QUERY(Entregas_BD!D:L,""select K where D='""&amp;D330&amp;""'"",1))"),0.0)</f>
        <v>0</v>
      </c>
      <c r="S330" s="15">
        <f>IFERROR(__xludf.DUMMYFUNCTION("SUM(QUERY(Entregas_BD!D:L,""select L where D='""&amp;D330&amp;""'"",1))"),0.0)</f>
        <v>0</v>
      </c>
      <c r="T330" s="9">
        <f>IFERROR(__xludf.DUMMYFUNCTION("SUM(QUERY(Entregas_BD!D:AL,""select AG where D='""&amp;D330&amp;""'"",1))"),0.0)</f>
        <v>0</v>
      </c>
      <c r="U330" s="9">
        <f>IFERROR(__xludf.DUMMYFUNCTION("SUM(QUERY(Entregas_BD!D:AL,""select AH where D='""&amp;D330&amp;""'"",1))"),0.0)</f>
        <v>0</v>
      </c>
      <c r="V330" s="9">
        <f>IFERROR(__xludf.DUMMYFUNCTION("SUM(QUERY(Entregas_BD!D:AL,""select AI where D='""&amp;D330&amp;""'"",1))"),0.0)</f>
        <v>0</v>
      </c>
      <c r="W330" s="9">
        <f>IFERROR(__xludf.DUMMYFUNCTION("SUM(QUERY(Entregas_BD!D:AL,""select AJ where D='""&amp;D330&amp;""'"",1))"),0.0)</f>
        <v>0</v>
      </c>
      <c r="X330" s="9">
        <f>IFERROR(__xludf.DUMMYFUNCTION("SUM(QUERY(Entregas_BD!D:AL,""select AL where D='""&amp;D330&amp;""'"",1))"),0.0)</f>
        <v>0</v>
      </c>
      <c r="Y330" s="9">
        <f>IFERROR(__xludf.DUMMYFUNCTION("SUM(QUERY(Entregas_BD!D:AL,""select AK where D='""&amp;D330&amp;""'"",1))"),0.0)</f>
        <v>0</v>
      </c>
      <c r="Z330" s="9">
        <v>0.0</v>
      </c>
      <c r="AA330" s="9">
        <v>0.0</v>
      </c>
      <c r="AB330" s="9">
        <v>0.0</v>
      </c>
      <c r="AC330" s="9">
        <v>0.0</v>
      </c>
      <c r="AD330" s="9">
        <v>0.0</v>
      </c>
      <c r="AE330" s="9">
        <v>0.0</v>
      </c>
      <c r="AF330" s="32"/>
      <c r="AG330" s="15">
        <f>IFERROR(__xludf.DUMMYFUNCTION("SUM(QUERY(Entregas_BD!D:W,""select U where D='""&amp;D330&amp;""'"",1))"),0.0)</f>
        <v>0</v>
      </c>
      <c r="AH330" s="15">
        <f>IFERROR(__xludf.DUMMYFUNCTION("SUM(QUERY(Entregas_BD!D:W,""select S where D='""&amp;D330&amp;""'"",1))"),0.0)</f>
        <v>0</v>
      </c>
      <c r="AI330" s="15">
        <f>IFERROR(__xludf.DUMMYFUNCTION("SUM(QUERY(Entregas_BD!D:W,""select T where D='""&amp;D330&amp;""'"",1))"),0.0)</f>
        <v>0</v>
      </c>
    </row>
    <row r="331" ht="19.5" customHeight="1">
      <c r="A331" s="54"/>
      <c r="B331" s="29"/>
      <c r="C331" s="19">
        <v>330.0</v>
      </c>
      <c r="D331" s="60" t="s">
        <v>798</v>
      </c>
      <c r="E331" s="20" t="s">
        <v>58</v>
      </c>
      <c r="F331" s="20" t="s">
        <v>45</v>
      </c>
      <c r="G331" s="20" t="s">
        <v>79</v>
      </c>
      <c r="H331" s="22" t="s">
        <v>632</v>
      </c>
      <c r="I331" s="21" t="s">
        <v>41</v>
      </c>
      <c r="J331" s="22"/>
      <c r="K331" s="22"/>
      <c r="L331" s="23"/>
      <c r="M331" s="22"/>
      <c r="N331" s="19">
        <f>IFERROR(__xludf.DUMMYFUNCTION("SUM(QUERY(Entregas_BD!D:L,""select G where D='""&amp;D331&amp;""'"",1))"),0.0)</f>
        <v>0</v>
      </c>
      <c r="O331" s="19">
        <f>IFERROR(__xludf.DUMMYFUNCTION("SUM(QUERY(Entregas_BD!D:L,""select H where D='""&amp;D331&amp;""'"",1))"),0.0)</f>
        <v>0</v>
      </c>
      <c r="P331" s="19">
        <f>IFERROR(__xludf.DUMMYFUNCTION("SUM(QUERY(Entregas_BD!D:L,""select I where D='""&amp;D331&amp;""'"",1))"),0.0)</f>
        <v>0</v>
      </c>
      <c r="Q331" s="19">
        <f>IFERROR(__xludf.DUMMYFUNCTION("SUM(QUERY(Entregas_BD!D:L,""select J where D='""&amp;D331&amp;""'"",1))"),0.0)</f>
        <v>0</v>
      </c>
      <c r="R331" s="24">
        <f>IFERROR(__xludf.DUMMYFUNCTION("SUM(QUERY(Entregas_BD!D:L,""select K where D='""&amp;D331&amp;""'"",1))"),0.0)</f>
        <v>0</v>
      </c>
      <c r="S331" s="24">
        <f>IFERROR(__xludf.DUMMYFUNCTION("SUM(QUERY(Entregas_BD!D:L,""select L where D='""&amp;D331&amp;""'"",1))"),0.0)</f>
        <v>0</v>
      </c>
      <c r="T331" s="19">
        <f>IFERROR(__xludf.DUMMYFUNCTION("SUM(QUERY(Entregas_BD!D:AL,""select AG where D='""&amp;D331&amp;""'"",1))"),0.0)</f>
        <v>0</v>
      </c>
      <c r="U331" s="19">
        <f>IFERROR(__xludf.DUMMYFUNCTION("SUM(QUERY(Entregas_BD!D:AL,""select AH where D='""&amp;D331&amp;""'"",1))"),0.0)</f>
        <v>0</v>
      </c>
      <c r="V331" s="19">
        <f>IFERROR(__xludf.DUMMYFUNCTION("SUM(QUERY(Entregas_BD!D:AL,""select AI where D='""&amp;D331&amp;""'"",1))"),0.0)</f>
        <v>0</v>
      </c>
      <c r="W331" s="19">
        <f>IFERROR(__xludf.DUMMYFUNCTION("SUM(QUERY(Entregas_BD!D:AL,""select AJ where D='""&amp;D331&amp;""'"",1))"),0.0)</f>
        <v>0</v>
      </c>
      <c r="X331" s="19">
        <f>IFERROR(__xludf.DUMMYFUNCTION("SUM(QUERY(Entregas_BD!D:AL,""select AL where D='""&amp;D331&amp;""'"",1))"),0.0)</f>
        <v>0</v>
      </c>
      <c r="Y331" s="19">
        <f>IFERROR(__xludf.DUMMYFUNCTION("SUM(QUERY(Entregas_BD!D:AL,""select AK where D='""&amp;D331&amp;""'"",1))"),0.0)</f>
        <v>0</v>
      </c>
      <c r="Z331" s="19">
        <v>0.0</v>
      </c>
      <c r="AA331" s="19">
        <v>0.0</v>
      </c>
      <c r="AB331" s="19">
        <v>0.0</v>
      </c>
      <c r="AC331" s="19">
        <v>0.0</v>
      </c>
      <c r="AD331" s="19">
        <v>0.0</v>
      </c>
      <c r="AE331" s="19">
        <v>0.0</v>
      </c>
      <c r="AF331" s="25"/>
      <c r="AG331" s="24">
        <f>IFERROR(__xludf.DUMMYFUNCTION("SUM(QUERY(Entregas_BD!D:W,""select U where D='""&amp;D331&amp;""'"",1))"),0.0)</f>
        <v>0</v>
      </c>
      <c r="AH331" s="24">
        <f>IFERROR(__xludf.DUMMYFUNCTION("SUM(QUERY(Entregas_BD!D:W,""select S where D='""&amp;D331&amp;""'"",1))"),0.0)</f>
        <v>0</v>
      </c>
      <c r="AI331" s="24">
        <f>IFERROR(__xludf.DUMMYFUNCTION("SUM(QUERY(Entregas_BD!D:W,""select T where D='""&amp;D331&amp;""'"",1))"),0.0)</f>
        <v>0</v>
      </c>
    </row>
    <row r="332" ht="19.5" customHeight="1">
      <c r="A332" s="53"/>
      <c r="B332" s="8"/>
      <c r="C332" s="9">
        <v>331.0</v>
      </c>
      <c r="D332" s="32" t="s">
        <v>799</v>
      </c>
      <c r="E332" s="10" t="s">
        <v>479</v>
      </c>
      <c r="F332" s="10" t="s">
        <v>586</v>
      </c>
      <c r="G332" s="10" t="s">
        <v>800</v>
      </c>
      <c r="H332" s="32" t="s">
        <v>622</v>
      </c>
      <c r="I332" s="11" t="s">
        <v>41</v>
      </c>
      <c r="J332" s="12"/>
      <c r="K332" s="12"/>
      <c r="L332" s="13"/>
      <c r="M332" s="12"/>
      <c r="N332" s="9">
        <f>IFERROR(__xludf.DUMMYFUNCTION("SUM(QUERY(Entregas_BD!D:L,""select G where D='""&amp;D332&amp;""'"",1))"),0.0)</f>
        <v>0</v>
      </c>
      <c r="O332" s="9">
        <f>IFERROR(__xludf.DUMMYFUNCTION("SUM(QUERY(Entregas_BD!D:L,""select H where D='""&amp;D332&amp;""'"",1))"),0.0)</f>
        <v>0</v>
      </c>
      <c r="P332" s="9">
        <f>IFERROR(__xludf.DUMMYFUNCTION("SUM(QUERY(Entregas_BD!D:L,""select I where D='""&amp;D332&amp;""'"",1))"),0.0)</f>
        <v>0</v>
      </c>
      <c r="Q332" s="9">
        <f>IFERROR(__xludf.DUMMYFUNCTION("SUM(QUERY(Entregas_BD!D:L,""select J where D='""&amp;D332&amp;""'"",1))"),0.0)</f>
        <v>0</v>
      </c>
      <c r="R332" s="15">
        <f>IFERROR(__xludf.DUMMYFUNCTION("SUM(QUERY(Entregas_BD!D:L,""select K where D='""&amp;D332&amp;""'"",1))"),0.0)</f>
        <v>0</v>
      </c>
      <c r="S332" s="15">
        <f>IFERROR(__xludf.DUMMYFUNCTION("SUM(QUERY(Entregas_BD!D:L,""select L where D='""&amp;D332&amp;""'"",1))"),0.0)</f>
        <v>0</v>
      </c>
      <c r="T332" s="9">
        <f>IFERROR(__xludf.DUMMYFUNCTION("SUM(QUERY(Entregas_BD!D:AL,""select AG where D='""&amp;D332&amp;""'"",1))"),0.0)</f>
        <v>0</v>
      </c>
      <c r="U332" s="9">
        <f>IFERROR(__xludf.DUMMYFUNCTION("SUM(QUERY(Entregas_BD!D:AL,""select AH where D='""&amp;D332&amp;""'"",1))"),0.0)</f>
        <v>0</v>
      </c>
      <c r="V332" s="9">
        <f>IFERROR(__xludf.DUMMYFUNCTION("SUM(QUERY(Entregas_BD!D:AL,""select AI where D='""&amp;D332&amp;""'"",1))"),0.0)</f>
        <v>0</v>
      </c>
      <c r="W332" s="9">
        <f>IFERROR(__xludf.DUMMYFUNCTION("SUM(QUERY(Entregas_BD!D:AL,""select AJ where D='""&amp;D332&amp;""'"",1))"),0.0)</f>
        <v>0</v>
      </c>
      <c r="X332" s="9">
        <f>IFERROR(__xludf.DUMMYFUNCTION("SUM(QUERY(Entregas_BD!D:AL,""select AL where D='""&amp;D332&amp;""'"",1))"),0.0)</f>
        <v>0</v>
      </c>
      <c r="Y332" s="9">
        <f>IFERROR(__xludf.DUMMYFUNCTION("SUM(QUERY(Entregas_BD!D:AL,""select AK where D='""&amp;D332&amp;""'"",1))"),0.0)</f>
        <v>0</v>
      </c>
      <c r="Z332" s="9">
        <v>0.0</v>
      </c>
      <c r="AA332" s="9">
        <v>0.0</v>
      </c>
      <c r="AB332" s="9">
        <v>0.0</v>
      </c>
      <c r="AC332" s="9">
        <v>0.0</v>
      </c>
      <c r="AD332" s="9">
        <v>0.0</v>
      </c>
      <c r="AE332" s="9">
        <v>0.0</v>
      </c>
      <c r="AF332" s="32"/>
      <c r="AG332" s="15">
        <f>IFERROR(__xludf.DUMMYFUNCTION("SUM(QUERY(Entregas_BD!D:W,""select U where D='""&amp;D332&amp;""'"",1))"),0.0)</f>
        <v>0</v>
      </c>
      <c r="AH332" s="15">
        <f>IFERROR(__xludf.DUMMYFUNCTION("SUM(QUERY(Entregas_BD!D:W,""select S where D='""&amp;D332&amp;""'"",1))"),0.0)</f>
        <v>0</v>
      </c>
      <c r="AI332" s="15">
        <f>IFERROR(__xludf.DUMMYFUNCTION("SUM(QUERY(Entregas_BD!D:W,""select T where D='""&amp;D332&amp;""'"",1))"),0.0)</f>
        <v>0</v>
      </c>
    </row>
    <row r="333" ht="19.5" customHeight="1">
      <c r="A333" s="54"/>
      <c r="B333" s="29"/>
      <c r="C333" s="19">
        <v>332.0</v>
      </c>
      <c r="D333" s="61" t="s">
        <v>801</v>
      </c>
      <c r="E333" s="20" t="s">
        <v>58</v>
      </c>
      <c r="F333" s="20" t="s">
        <v>45</v>
      </c>
      <c r="G333" s="20" t="s">
        <v>802</v>
      </c>
      <c r="H333" s="22" t="s">
        <v>617</v>
      </c>
      <c r="I333" s="21" t="s">
        <v>41</v>
      </c>
      <c r="J333" s="51"/>
      <c r="K333" s="22"/>
      <c r="L333" s="23"/>
      <c r="M333" s="22"/>
      <c r="N333" s="19">
        <f>IFERROR(__xludf.DUMMYFUNCTION("SUM(QUERY(Entregas_BD!D:L,""select G where D='""&amp;D333&amp;""'"",1))"),0.0)</f>
        <v>0</v>
      </c>
      <c r="O333" s="19">
        <f>IFERROR(__xludf.DUMMYFUNCTION("SUM(QUERY(Entregas_BD!D:L,""select H where D='""&amp;D333&amp;""'"",1))"),0.0)</f>
        <v>0</v>
      </c>
      <c r="P333" s="19">
        <f>IFERROR(__xludf.DUMMYFUNCTION("SUM(QUERY(Entregas_BD!D:L,""select I where D='""&amp;D333&amp;""'"",1))"),0.0)</f>
        <v>0</v>
      </c>
      <c r="Q333" s="19">
        <f>IFERROR(__xludf.DUMMYFUNCTION("SUM(QUERY(Entregas_BD!D:L,""select J where D='""&amp;D333&amp;""'"",1))"),0.0)</f>
        <v>0</v>
      </c>
      <c r="R333" s="24">
        <f>IFERROR(__xludf.DUMMYFUNCTION("SUM(QUERY(Entregas_BD!D:L,""select K where D='""&amp;D333&amp;""'"",1))"),0.0)</f>
        <v>0</v>
      </c>
      <c r="S333" s="24">
        <f>IFERROR(__xludf.DUMMYFUNCTION("SUM(QUERY(Entregas_BD!D:L,""select L where D='""&amp;D333&amp;""'"",1))"),0.0)</f>
        <v>0</v>
      </c>
      <c r="T333" s="19">
        <f>IFERROR(__xludf.DUMMYFUNCTION("SUM(QUERY(Entregas_BD!D:AL,""select AG where D='""&amp;D333&amp;""'"",1))"),298.0)</f>
        <v>298</v>
      </c>
      <c r="U333" s="19">
        <f>IFERROR(__xludf.DUMMYFUNCTION("SUM(QUERY(Entregas_BD!D:AL,""select AH where D='""&amp;D333&amp;""'"",1))"),0.0)</f>
        <v>0</v>
      </c>
      <c r="V333" s="19">
        <f>IFERROR(__xludf.DUMMYFUNCTION("SUM(QUERY(Entregas_BD!D:AL,""select AI where D='""&amp;D333&amp;""'"",1))"),0.0)</f>
        <v>0</v>
      </c>
      <c r="W333" s="19">
        <f>IFERROR(__xludf.DUMMYFUNCTION("SUM(QUERY(Entregas_BD!D:AL,""select AJ where D='""&amp;D333&amp;""'"",1))"),0.0)</f>
        <v>0</v>
      </c>
      <c r="X333" s="19">
        <f>IFERROR(__xludf.DUMMYFUNCTION("SUM(QUERY(Entregas_BD!D:AL,""select AL where D='""&amp;D333&amp;""'"",1))"),0.0)</f>
        <v>0</v>
      </c>
      <c r="Y333" s="19">
        <f>IFERROR(__xludf.DUMMYFUNCTION("SUM(QUERY(Entregas_BD!D:AL,""select AK where D='""&amp;D333&amp;""'"",1))"),0.0)</f>
        <v>0</v>
      </c>
      <c r="Z333" s="19">
        <v>-298.0</v>
      </c>
      <c r="AA333" s="19">
        <v>0.0</v>
      </c>
      <c r="AB333" s="19">
        <v>0.0</v>
      </c>
      <c r="AC333" s="19">
        <v>0.0</v>
      </c>
      <c r="AD333" s="19">
        <v>0.0</v>
      </c>
      <c r="AE333" s="19">
        <v>0.0</v>
      </c>
      <c r="AF333" s="22"/>
      <c r="AG333" s="24">
        <f>IFERROR(__xludf.DUMMYFUNCTION("SUM(QUERY(Entregas_BD!D:W,""select U where D='""&amp;D333&amp;""'"",1))"),0.0)</f>
        <v>0</v>
      </c>
      <c r="AH333" s="24">
        <f>IFERROR(__xludf.DUMMYFUNCTION("SUM(QUERY(Entregas_BD!D:W,""select S where D='""&amp;D333&amp;""'"",1))"),0.0)</f>
        <v>0</v>
      </c>
      <c r="AI333" s="24">
        <f>IFERROR(__xludf.DUMMYFUNCTION("SUM(QUERY(Entregas_BD!D:W,""select T where D='""&amp;D333&amp;""'"",1))"),0.0)</f>
        <v>0</v>
      </c>
    </row>
    <row r="334" ht="19.5" customHeight="1">
      <c r="A334" s="53"/>
      <c r="B334" s="8"/>
      <c r="C334" s="9">
        <v>333.0</v>
      </c>
      <c r="D334" s="10" t="s">
        <v>803</v>
      </c>
      <c r="E334" s="10" t="s">
        <v>197</v>
      </c>
      <c r="F334" s="10" t="s">
        <v>243</v>
      </c>
      <c r="G334" s="10" t="s">
        <v>654</v>
      </c>
      <c r="H334" s="12" t="s">
        <v>632</v>
      </c>
      <c r="I334" s="11" t="s">
        <v>41</v>
      </c>
      <c r="J334" s="12"/>
      <c r="K334" s="12"/>
      <c r="L334" s="13"/>
      <c r="M334" s="12"/>
      <c r="N334" s="9">
        <f>IFERROR(__xludf.DUMMYFUNCTION("SUM(QUERY(Entregas_BD!D:L,""select G where D='""&amp;D334&amp;""'"",1))"),0.0)</f>
        <v>0</v>
      </c>
      <c r="O334" s="9">
        <f>IFERROR(__xludf.DUMMYFUNCTION("SUM(QUERY(Entregas_BD!D:L,""select H where D='""&amp;D334&amp;""'"",1))"),0.0)</f>
        <v>0</v>
      </c>
      <c r="P334" s="9">
        <f>IFERROR(__xludf.DUMMYFUNCTION("SUM(QUERY(Entregas_BD!D:L,""select I where D='""&amp;D334&amp;""'"",1))"),0.0)</f>
        <v>0</v>
      </c>
      <c r="Q334" s="9">
        <f>IFERROR(__xludf.DUMMYFUNCTION("SUM(QUERY(Entregas_BD!D:L,""select J where D='""&amp;D334&amp;""'"",1))"),0.0)</f>
        <v>0</v>
      </c>
      <c r="R334" s="15">
        <f>IFERROR(__xludf.DUMMYFUNCTION("SUM(QUERY(Entregas_BD!D:L,""select K where D='""&amp;D334&amp;""'"",1))"),0.0)</f>
        <v>0</v>
      </c>
      <c r="S334" s="15">
        <f>IFERROR(__xludf.DUMMYFUNCTION("SUM(QUERY(Entregas_BD!D:L,""select L where D='""&amp;D334&amp;""'"",1))"),0.0)</f>
        <v>0</v>
      </c>
      <c r="T334" s="9">
        <f>IFERROR(__xludf.DUMMYFUNCTION("SUM(QUERY(Entregas_BD!D:AL,""select AG where D='""&amp;D334&amp;""'"",1))"),0.0)</f>
        <v>0</v>
      </c>
      <c r="U334" s="9">
        <f>IFERROR(__xludf.DUMMYFUNCTION("SUM(QUERY(Entregas_BD!D:AL,""select AH where D='""&amp;D334&amp;""'"",1))"),0.0)</f>
        <v>0</v>
      </c>
      <c r="V334" s="9">
        <f>IFERROR(__xludf.DUMMYFUNCTION("SUM(QUERY(Entregas_BD!D:AL,""select AI where D='""&amp;D334&amp;""'"",1))"),0.0)</f>
        <v>0</v>
      </c>
      <c r="W334" s="9">
        <f>IFERROR(__xludf.DUMMYFUNCTION("SUM(QUERY(Entregas_BD!D:AL,""select AJ where D='""&amp;D334&amp;""'"",1))"),0.0)</f>
        <v>0</v>
      </c>
      <c r="X334" s="9">
        <f>IFERROR(__xludf.DUMMYFUNCTION("SUM(QUERY(Entregas_BD!D:AL,""select AL where D='""&amp;D334&amp;""'"",1))"),0.0)</f>
        <v>0</v>
      </c>
      <c r="Y334" s="9">
        <f>IFERROR(__xludf.DUMMYFUNCTION("SUM(QUERY(Entregas_BD!D:AL,""select AK where D='""&amp;D334&amp;""'"",1))"),0.0)</f>
        <v>0</v>
      </c>
      <c r="Z334" s="9">
        <v>0.0</v>
      </c>
      <c r="AA334" s="9">
        <v>0.0</v>
      </c>
      <c r="AB334" s="9">
        <v>0.0</v>
      </c>
      <c r="AC334" s="9">
        <v>0.0</v>
      </c>
      <c r="AD334" s="9">
        <v>0.0</v>
      </c>
      <c r="AE334" s="9">
        <v>0.0</v>
      </c>
      <c r="AF334" s="12"/>
      <c r="AG334" s="15">
        <f>IFERROR(__xludf.DUMMYFUNCTION("SUM(QUERY(Entregas_BD!D:W,""select U where D='""&amp;D334&amp;""'"",1))"),0.0)</f>
        <v>0</v>
      </c>
      <c r="AH334" s="15">
        <f>IFERROR(__xludf.DUMMYFUNCTION("SUM(QUERY(Entregas_BD!D:W,""select S where D='""&amp;D334&amp;""'"",1))"),0.0)</f>
        <v>0</v>
      </c>
      <c r="AI334" s="15">
        <f>IFERROR(__xludf.DUMMYFUNCTION("SUM(QUERY(Entregas_BD!D:W,""select T where D='""&amp;D334&amp;""'"",1))"),0.0)</f>
        <v>0</v>
      </c>
    </row>
    <row r="335" ht="19.5" customHeight="1">
      <c r="A335" s="54"/>
      <c r="B335" s="29"/>
      <c r="C335" s="19">
        <v>334.0</v>
      </c>
      <c r="D335" s="20" t="s">
        <v>804</v>
      </c>
      <c r="E335" s="20" t="s">
        <v>197</v>
      </c>
      <c r="F335" s="20" t="s">
        <v>243</v>
      </c>
      <c r="G335" s="20" t="s">
        <v>805</v>
      </c>
      <c r="H335" s="22" t="s">
        <v>632</v>
      </c>
      <c r="I335" s="21" t="s">
        <v>41</v>
      </c>
      <c r="J335" s="22"/>
      <c r="K335" s="22"/>
      <c r="L335" s="23"/>
      <c r="M335" s="22"/>
      <c r="N335" s="19">
        <f>IFERROR(__xludf.DUMMYFUNCTION("SUM(QUERY(Entregas_BD!D:L,""select G where D='""&amp;D335&amp;""'"",1))"),0.0)</f>
        <v>0</v>
      </c>
      <c r="O335" s="19">
        <f>IFERROR(__xludf.DUMMYFUNCTION("SUM(QUERY(Entregas_BD!D:L,""select H where D='""&amp;D335&amp;""'"",1))"),0.0)</f>
        <v>0</v>
      </c>
      <c r="P335" s="19">
        <f>IFERROR(__xludf.DUMMYFUNCTION("SUM(QUERY(Entregas_BD!D:L,""select I where D='""&amp;D335&amp;""'"",1))"),0.0)</f>
        <v>0</v>
      </c>
      <c r="Q335" s="19">
        <f>IFERROR(__xludf.DUMMYFUNCTION("SUM(QUERY(Entregas_BD!D:L,""select J where D='""&amp;D335&amp;""'"",1))"),0.0)</f>
        <v>0</v>
      </c>
      <c r="R335" s="24">
        <f>IFERROR(__xludf.DUMMYFUNCTION("SUM(QUERY(Entregas_BD!D:L,""select K where D='""&amp;D335&amp;""'"",1))"),0.0)</f>
        <v>0</v>
      </c>
      <c r="S335" s="24">
        <f>IFERROR(__xludf.DUMMYFUNCTION("SUM(QUERY(Entregas_BD!D:L,""select L where D='""&amp;D335&amp;""'"",1))"),0.0)</f>
        <v>0</v>
      </c>
      <c r="T335" s="19">
        <f>IFERROR(__xludf.DUMMYFUNCTION("SUM(QUERY(Entregas_BD!D:AL,""select AG where D='""&amp;D335&amp;""'"",1))"),0.0)</f>
        <v>0</v>
      </c>
      <c r="U335" s="19">
        <f>IFERROR(__xludf.DUMMYFUNCTION("SUM(QUERY(Entregas_BD!D:AL,""select AH where D='""&amp;D335&amp;""'"",1))"),0.0)</f>
        <v>0</v>
      </c>
      <c r="V335" s="19">
        <f>IFERROR(__xludf.DUMMYFUNCTION("SUM(QUERY(Entregas_BD!D:AL,""select AI where D='""&amp;D335&amp;""'"",1))"),0.0)</f>
        <v>0</v>
      </c>
      <c r="W335" s="19">
        <f>IFERROR(__xludf.DUMMYFUNCTION("SUM(QUERY(Entregas_BD!D:AL,""select AJ where D='""&amp;D335&amp;""'"",1))"),0.0)</f>
        <v>0</v>
      </c>
      <c r="X335" s="19">
        <f>IFERROR(__xludf.DUMMYFUNCTION("SUM(QUERY(Entregas_BD!D:AL,""select AL where D='""&amp;D335&amp;""'"",1))"),0.0)</f>
        <v>0</v>
      </c>
      <c r="Y335" s="19">
        <f>IFERROR(__xludf.DUMMYFUNCTION("SUM(QUERY(Entregas_BD!D:AL,""select AK where D='""&amp;D335&amp;""'"",1))"),0.0)</f>
        <v>0</v>
      </c>
      <c r="Z335" s="19">
        <v>0.0</v>
      </c>
      <c r="AA335" s="19">
        <v>0.0</v>
      </c>
      <c r="AB335" s="19">
        <v>0.0</v>
      </c>
      <c r="AC335" s="19">
        <v>0.0</v>
      </c>
      <c r="AD335" s="19">
        <v>0.0</v>
      </c>
      <c r="AE335" s="19">
        <v>0.0</v>
      </c>
      <c r="AF335" s="22"/>
      <c r="AG335" s="24">
        <f>IFERROR(__xludf.DUMMYFUNCTION("SUM(QUERY(Entregas_BD!D:W,""select U where D='""&amp;D335&amp;""'"",1))"),0.0)</f>
        <v>0</v>
      </c>
      <c r="AH335" s="24">
        <f>IFERROR(__xludf.DUMMYFUNCTION("SUM(QUERY(Entregas_BD!D:W,""select S where D='""&amp;D335&amp;""'"",1))"),0.0)</f>
        <v>0</v>
      </c>
      <c r="AI335" s="24">
        <f>IFERROR(__xludf.DUMMYFUNCTION("SUM(QUERY(Entregas_BD!D:W,""select T where D='""&amp;D335&amp;""'"",1))"),0.0)</f>
        <v>0</v>
      </c>
    </row>
    <row r="336" ht="19.5" customHeight="1">
      <c r="A336" s="53"/>
      <c r="B336" s="8"/>
      <c r="C336" s="9">
        <v>335.0</v>
      </c>
      <c r="D336" s="10" t="s">
        <v>806</v>
      </c>
      <c r="E336" s="10" t="s">
        <v>197</v>
      </c>
      <c r="F336" s="10" t="s">
        <v>243</v>
      </c>
      <c r="G336" s="10" t="s">
        <v>678</v>
      </c>
      <c r="H336" s="12" t="s">
        <v>632</v>
      </c>
      <c r="I336" s="11" t="s">
        <v>41</v>
      </c>
      <c r="J336" s="12"/>
      <c r="K336" s="12"/>
      <c r="L336" s="13"/>
      <c r="M336" s="12"/>
      <c r="N336" s="9">
        <f>IFERROR(__xludf.DUMMYFUNCTION("SUM(QUERY(Entregas_BD!D:L,""select G where D='""&amp;D336&amp;""'"",1))"),0.0)</f>
        <v>0</v>
      </c>
      <c r="O336" s="9">
        <f>IFERROR(__xludf.DUMMYFUNCTION("SUM(QUERY(Entregas_BD!D:L,""select H where D='""&amp;D336&amp;""'"",1))"),0.0)</f>
        <v>0</v>
      </c>
      <c r="P336" s="9">
        <f>IFERROR(__xludf.DUMMYFUNCTION("SUM(QUERY(Entregas_BD!D:L,""select I where D='""&amp;D336&amp;""'"",1))"),0.0)</f>
        <v>0</v>
      </c>
      <c r="Q336" s="9">
        <f>IFERROR(__xludf.DUMMYFUNCTION("SUM(QUERY(Entregas_BD!D:L,""select J where D='""&amp;D336&amp;""'"",1))"),0.0)</f>
        <v>0</v>
      </c>
      <c r="R336" s="15">
        <f>IFERROR(__xludf.DUMMYFUNCTION("SUM(QUERY(Entregas_BD!D:L,""select K where D='""&amp;D336&amp;""'"",1))"),0.0)</f>
        <v>0</v>
      </c>
      <c r="S336" s="15">
        <f>IFERROR(__xludf.DUMMYFUNCTION("SUM(QUERY(Entregas_BD!D:L,""select L where D='""&amp;D336&amp;""'"",1))"),0.0)</f>
        <v>0</v>
      </c>
      <c r="T336" s="9">
        <f>IFERROR(__xludf.DUMMYFUNCTION("SUM(QUERY(Entregas_BD!D:AL,""select AG where D='""&amp;D336&amp;""'"",1))"),0.0)</f>
        <v>0</v>
      </c>
      <c r="U336" s="9">
        <f>IFERROR(__xludf.DUMMYFUNCTION("SUM(QUERY(Entregas_BD!D:AL,""select AH where D='""&amp;D336&amp;""'"",1))"),0.0)</f>
        <v>0</v>
      </c>
      <c r="V336" s="9">
        <f>IFERROR(__xludf.DUMMYFUNCTION("SUM(QUERY(Entregas_BD!D:AL,""select AI where D='""&amp;D336&amp;""'"",1))"),0.0)</f>
        <v>0</v>
      </c>
      <c r="W336" s="9">
        <f>IFERROR(__xludf.DUMMYFUNCTION("SUM(QUERY(Entregas_BD!D:AL,""select AJ where D='""&amp;D336&amp;""'"",1))"),0.0)</f>
        <v>0</v>
      </c>
      <c r="X336" s="9">
        <f>IFERROR(__xludf.DUMMYFUNCTION("SUM(QUERY(Entregas_BD!D:AL,""select AL where D='""&amp;D336&amp;""'"",1))"),0.0)</f>
        <v>0</v>
      </c>
      <c r="Y336" s="9">
        <f>IFERROR(__xludf.DUMMYFUNCTION("SUM(QUERY(Entregas_BD!D:AL,""select AK where D='""&amp;D336&amp;""'"",1))"),0.0)</f>
        <v>0</v>
      </c>
      <c r="Z336" s="9">
        <v>0.0</v>
      </c>
      <c r="AA336" s="9">
        <v>0.0</v>
      </c>
      <c r="AB336" s="9">
        <v>0.0</v>
      </c>
      <c r="AC336" s="9">
        <v>0.0</v>
      </c>
      <c r="AD336" s="9">
        <v>0.0</v>
      </c>
      <c r="AE336" s="9">
        <v>0.0</v>
      </c>
      <c r="AF336" s="12"/>
      <c r="AG336" s="15">
        <f>IFERROR(__xludf.DUMMYFUNCTION("SUM(QUERY(Entregas_BD!D:W,""select U where D='""&amp;D336&amp;""'"",1))"),0.0)</f>
        <v>0</v>
      </c>
      <c r="AH336" s="15">
        <f>IFERROR(__xludf.DUMMYFUNCTION("SUM(QUERY(Entregas_BD!D:W,""select S where D='""&amp;D336&amp;""'"",1))"),0.0)</f>
        <v>0</v>
      </c>
      <c r="AI336" s="15">
        <f>IFERROR(__xludf.DUMMYFUNCTION("SUM(QUERY(Entregas_BD!D:W,""select T where D='""&amp;D336&amp;""'"",1))"),0.0)</f>
        <v>0</v>
      </c>
    </row>
    <row r="337" ht="19.5" customHeight="1">
      <c r="A337" s="54"/>
      <c r="B337" s="29"/>
      <c r="C337" s="19">
        <v>336.0</v>
      </c>
      <c r="D337" s="20" t="s">
        <v>807</v>
      </c>
      <c r="E337" s="20" t="s">
        <v>63</v>
      </c>
      <c r="F337" s="20" t="s">
        <v>243</v>
      </c>
      <c r="G337" s="20" t="s">
        <v>808</v>
      </c>
      <c r="H337" s="22" t="s">
        <v>632</v>
      </c>
      <c r="I337" s="21" t="s">
        <v>41</v>
      </c>
      <c r="J337" s="22"/>
      <c r="K337" s="22"/>
      <c r="L337" s="23"/>
      <c r="M337" s="22"/>
      <c r="N337" s="19">
        <f>IFERROR(__xludf.DUMMYFUNCTION("SUM(QUERY(Entregas_BD!D:L,""select G where D='""&amp;D337&amp;""'"",1))"),0.0)</f>
        <v>0</v>
      </c>
      <c r="O337" s="19">
        <f>IFERROR(__xludf.DUMMYFUNCTION("SUM(QUERY(Entregas_BD!D:L,""select H where D='""&amp;D337&amp;""'"",1))"),0.0)</f>
        <v>0</v>
      </c>
      <c r="P337" s="19">
        <f>IFERROR(__xludf.DUMMYFUNCTION("SUM(QUERY(Entregas_BD!D:L,""select I where D='""&amp;D337&amp;""'"",1))"),0.0)</f>
        <v>0</v>
      </c>
      <c r="Q337" s="19">
        <f>IFERROR(__xludf.DUMMYFUNCTION("SUM(QUERY(Entregas_BD!D:L,""select J where D='""&amp;D337&amp;""'"",1))"),0.0)</f>
        <v>0</v>
      </c>
      <c r="R337" s="24">
        <f>IFERROR(__xludf.DUMMYFUNCTION("SUM(QUERY(Entregas_BD!D:L,""select K where D='""&amp;D337&amp;""'"",1))"),0.0)</f>
        <v>0</v>
      </c>
      <c r="S337" s="24">
        <f>IFERROR(__xludf.DUMMYFUNCTION("SUM(QUERY(Entregas_BD!D:L,""select L where D='""&amp;D337&amp;""'"",1))"),0.0)</f>
        <v>0</v>
      </c>
      <c r="T337" s="19">
        <f>IFERROR(__xludf.DUMMYFUNCTION("SUM(QUERY(Entregas_BD!D:AL,""select AG where D='""&amp;D337&amp;""'"",1))"),0.0)</f>
        <v>0</v>
      </c>
      <c r="U337" s="19">
        <f>IFERROR(__xludf.DUMMYFUNCTION("SUM(QUERY(Entregas_BD!D:AL,""select AH where D='""&amp;D337&amp;""'"",1))"),0.0)</f>
        <v>0</v>
      </c>
      <c r="V337" s="19">
        <f>IFERROR(__xludf.DUMMYFUNCTION("SUM(QUERY(Entregas_BD!D:AL,""select AI where D='""&amp;D337&amp;""'"",1))"),0.0)</f>
        <v>0</v>
      </c>
      <c r="W337" s="19">
        <f>IFERROR(__xludf.DUMMYFUNCTION("SUM(QUERY(Entregas_BD!D:AL,""select AJ where D='""&amp;D337&amp;""'"",1))"),0.0)</f>
        <v>0</v>
      </c>
      <c r="X337" s="19">
        <f>IFERROR(__xludf.DUMMYFUNCTION("SUM(QUERY(Entregas_BD!D:AL,""select AL where D='""&amp;D337&amp;""'"",1))"),0.0)</f>
        <v>0</v>
      </c>
      <c r="Y337" s="19">
        <f>IFERROR(__xludf.DUMMYFUNCTION("SUM(QUERY(Entregas_BD!D:AL,""select AK where D='""&amp;D337&amp;""'"",1))"),0.0)</f>
        <v>0</v>
      </c>
      <c r="Z337" s="19">
        <v>0.0</v>
      </c>
      <c r="AA337" s="19">
        <v>0.0</v>
      </c>
      <c r="AB337" s="19">
        <v>0.0</v>
      </c>
      <c r="AC337" s="19">
        <v>0.0</v>
      </c>
      <c r="AD337" s="19">
        <v>0.0</v>
      </c>
      <c r="AE337" s="19">
        <v>0.0</v>
      </c>
      <c r="AF337" s="22"/>
      <c r="AG337" s="24">
        <f>IFERROR(__xludf.DUMMYFUNCTION("SUM(QUERY(Entregas_BD!D:W,""select U where D='""&amp;D337&amp;""'"",1))"),0.0)</f>
        <v>0</v>
      </c>
      <c r="AH337" s="24">
        <f>IFERROR(__xludf.DUMMYFUNCTION("SUM(QUERY(Entregas_BD!D:W,""select S where D='""&amp;D337&amp;""'"",1))"),0.0)</f>
        <v>0</v>
      </c>
      <c r="AI337" s="24">
        <f>IFERROR(__xludf.DUMMYFUNCTION("SUM(QUERY(Entregas_BD!D:W,""select T where D='""&amp;D337&amp;""'"",1))"),0.0)</f>
        <v>0</v>
      </c>
    </row>
    <row r="338" ht="19.5" customHeight="1">
      <c r="A338" s="53"/>
      <c r="B338" s="8"/>
      <c r="C338" s="9">
        <v>337.0</v>
      </c>
      <c r="D338" s="10" t="s">
        <v>809</v>
      </c>
      <c r="E338" s="10" t="s">
        <v>197</v>
      </c>
      <c r="F338" s="10" t="s">
        <v>243</v>
      </c>
      <c r="G338" s="10" t="s">
        <v>634</v>
      </c>
      <c r="H338" s="12" t="s">
        <v>632</v>
      </c>
      <c r="I338" s="11" t="s">
        <v>41</v>
      </c>
      <c r="J338" s="12"/>
      <c r="K338" s="12"/>
      <c r="L338" s="13"/>
      <c r="M338" s="12"/>
      <c r="N338" s="9">
        <f>IFERROR(__xludf.DUMMYFUNCTION("SUM(QUERY(Entregas_BD!D:L,""select G where D='""&amp;D338&amp;""'"",1))"),0.0)</f>
        <v>0</v>
      </c>
      <c r="O338" s="9">
        <f>IFERROR(__xludf.DUMMYFUNCTION("SUM(QUERY(Entregas_BD!D:L,""select H where D='""&amp;D338&amp;""'"",1))"),0.0)</f>
        <v>0</v>
      </c>
      <c r="P338" s="9">
        <f>IFERROR(__xludf.DUMMYFUNCTION("SUM(QUERY(Entregas_BD!D:L,""select I where D='""&amp;D338&amp;""'"",1))"),0.0)</f>
        <v>0</v>
      </c>
      <c r="Q338" s="9">
        <f>IFERROR(__xludf.DUMMYFUNCTION("SUM(QUERY(Entregas_BD!D:L,""select J where D='""&amp;D338&amp;""'"",1))"),0.0)</f>
        <v>0</v>
      </c>
      <c r="R338" s="15">
        <f>IFERROR(__xludf.DUMMYFUNCTION("SUM(QUERY(Entregas_BD!D:L,""select K where D='""&amp;D338&amp;""'"",1))"),0.0)</f>
        <v>0</v>
      </c>
      <c r="S338" s="15">
        <f>IFERROR(__xludf.DUMMYFUNCTION("SUM(QUERY(Entregas_BD!D:L,""select L where D='""&amp;D338&amp;""'"",1))"),0.0)</f>
        <v>0</v>
      </c>
      <c r="T338" s="9">
        <f>IFERROR(__xludf.DUMMYFUNCTION("SUM(QUERY(Entregas_BD!D:AL,""select AG where D='""&amp;D338&amp;""'"",1))"),0.0)</f>
        <v>0</v>
      </c>
      <c r="U338" s="9">
        <f>IFERROR(__xludf.DUMMYFUNCTION("SUM(QUERY(Entregas_BD!D:AL,""select AH where D='""&amp;D338&amp;""'"",1))"),0.0)</f>
        <v>0</v>
      </c>
      <c r="V338" s="9">
        <f>IFERROR(__xludf.DUMMYFUNCTION("SUM(QUERY(Entregas_BD!D:AL,""select AI where D='""&amp;D338&amp;""'"",1))"),0.0)</f>
        <v>0</v>
      </c>
      <c r="W338" s="9">
        <f>IFERROR(__xludf.DUMMYFUNCTION("SUM(QUERY(Entregas_BD!D:AL,""select AJ where D='""&amp;D338&amp;""'"",1))"),0.0)</f>
        <v>0</v>
      </c>
      <c r="X338" s="9">
        <f>IFERROR(__xludf.DUMMYFUNCTION("SUM(QUERY(Entregas_BD!D:AL,""select AL where D='""&amp;D338&amp;""'"",1))"),0.0)</f>
        <v>0</v>
      </c>
      <c r="Y338" s="9">
        <f>IFERROR(__xludf.DUMMYFUNCTION("SUM(QUERY(Entregas_BD!D:AL,""select AK where D='""&amp;D338&amp;""'"",1))"),0.0)</f>
        <v>0</v>
      </c>
      <c r="Z338" s="9">
        <v>0.0</v>
      </c>
      <c r="AA338" s="9">
        <v>0.0</v>
      </c>
      <c r="AB338" s="9">
        <v>0.0</v>
      </c>
      <c r="AC338" s="9">
        <v>0.0</v>
      </c>
      <c r="AD338" s="9">
        <v>0.0</v>
      </c>
      <c r="AE338" s="9">
        <v>0.0</v>
      </c>
      <c r="AF338" s="12"/>
      <c r="AG338" s="15">
        <f>IFERROR(__xludf.DUMMYFUNCTION("SUM(QUERY(Entregas_BD!D:W,""select U where D='""&amp;D338&amp;""'"",1))"),0.0)</f>
        <v>0</v>
      </c>
      <c r="AH338" s="15">
        <f>IFERROR(__xludf.DUMMYFUNCTION("SUM(QUERY(Entregas_BD!D:W,""select S where D='""&amp;D338&amp;""'"",1))"),0.0)</f>
        <v>0</v>
      </c>
      <c r="AI338" s="15">
        <f>IFERROR(__xludf.DUMMYFUNCTION("SUM(QUERY(Entregas_BD!D:W,""select T where D='""&amp;D338&amp;""'"",1))"),0.0)</f>
        <v>0</v>
      </c>
    </row>
    <row r="339" ht="19.5" customHeight="1">
      <c r="A339" s="54"/>
      <c r="B339" s="29"/>
      <c r="C339" s="19">
        <v>338.0</v>
      </c>
      <c r="D339" s="20" t="s">
        <v>810</v>
      </c>
      <c r="E339" s="20" t="s">
        <v>197</v>
      </c>
      <c r="F339" s="20" t="s">
        <v>243</v>
      </c>
      <c r="G339" s="20" t="s">
        <v>811</v>
      </c>
      <c r="H339" s="22" t="s">
        <v>632</v>
      </c>
      <c r="I339" s="21" t="s">
        <v>41</v>
      </c>
      <c r="J339" s="22"/>
      <c r="K339" s="22"/>
      <c r="L339" s="23"/>
      <c r="M339" s="22"/>
      <c r="N339" s="19">
        <f>IFERROR(__xludf.DUMMYFUNCTION("SUM(QUERY(Entregas_BD!D:L,""select G where D='""&amp;D339&amp;""'"",1))"),0.0)</f>
        <v>0</v>
      </c>
      <c r="O339" s="19">
        <f>IFERROR(__xludf.DUMMYFUNCTION("SUM(QUERY(Entregas_BD!D:L,""select H where D='""&amp;D339&amp;""'"",1))"),0.0)</f>
        <v>0</v>
      </c>
      <c r="P339" s="19">
        <f>IFERROR(__xludf.DUMMYFUNCTION("SUM(QUERY(Entregas_BD!D:L,""select I where D='""&amp;D339&amp;""'"",1))"),0.0)</f>
        <v>0</v>
      </c>
      <c r="Q339" s="19">
        <f>IFERROR(__xludf.DUMMYFUNCTION("SUM(QUERY(Entregas_BD!D:L,""select J where D='""&amp;D339&amp;""'"",1))"),0.0)</f>
        <v>0</v>
      </c>
      <c r="R339" s="24">
        <f>IFERROR(__xludf.DUMMYFUNCTION("SUM(QUERY(Entregas_BD!D:L,""select K where D='""&amp;D339&amp;""'"",1))"),25.0)</f>
        <v>25</v>
      </c>
      <c r="S339" s="24">
        <f>IFERROR(__xludf.DUMMYFUNCTION("SUM(QUERY(Entregas_BD!D:L,""select L where D='""&amp;D339&amp;""'"",1))"),25.0)</f>
        <v>25</v>
      </c>
      <c r="T339" s="19">
        <f>IFERROR(__xludf.DUMMYFUNCTION("SUM(QUERY(Entregas_BD!D:AL,""select AG where D='""&amp;D339&amp;""'"",1))"),0.0)</f>
        <v>0</v>
      </c>
      <c r="U339" s="19">
        <f>IFERROR(__xludf.DUMMYFUNCTION("SUM(QUERY(Entregas_BD!D:AL,""select AH where D='""&amp;D339&amp;""'"",1))"),0.0)</f>
        <v>0</v>
      </c>
      <c r="V339" s="19">
        <f>IFERROR(__xludf.DUMMYFUNCTION("SUM(QUERY(Entregas_BD!D:AL,""select AI where D='""&amp;D339&amp;""'"",1))"),0.0)</f>
        <v>0</v>
      </c>
      <c r="W339" s="19">
        <f>IFERROR(__xludf.DUMMYFUNCTION("SUM(QUERY(Entregas_BD!D:AL,""select AJ where D='""&amp;D339&amp;""'"",1))"),0.0)</f>
        <v>0</v>
      </c>
      <c r="X339" s="19">
        <f>IFERROR(__xludf.DUMMYFUNCTION("SUM(QUERY(Entregas_BD!D:AL,""select AL where D='""&amp;D339&amp;""'"",1))"),0.0)</f>
        <v>0</v>
      </c>
      <c r="Y339" s="19">
        <f>IFERROR(__xludf.DUMMYFUNCTION("SUM(QUERY(Entregas_BD!D:AL,""select AK where D='""&amp;D339&amp;""'"",1))"),0.0)</f>
        <v>0</v>
      </c>
      <c r="Z339" s="19">
        <v>0.0</v>
      </c>
      <c r="AA339" s="19">
        <v>0.0</v>
      </c>
      <c r="AB339" s="19">
        <v>0.0</v>
      </c>
      <c r="AC339" s="19">
        <v>0.0</v>
      </c>
      <c r="AD339" s="19">
        <v>25.0</v>
      </c>
      <c r="AE339" s="19">
        <v>25.0</v>
      </c>
      <c r="AF339" s="22"/>
      <c r="AG339" s="24">
        <f>IFERROR(__xludf.DUMMYFUNCTION("SUM(QUERY(Entregas_BD!D:W,""select U where D='""&amp;D339&amp;""'"",1))"),0.0)</f>
        <v>0</v>
      </c>
      <c r="AH339" s="24">
        <f>IFERROR(__xludf.DUMMYFUNCTION("SUM(QUERY(Entregas_BD!D:W,""select S where D='""&amp;D339&amp;""'"",1))"),0.0)</f>
        <v>0</v>
      </c>
      <c r="AI339" s="24">
        <f>IFERROR(__xludf.DUMMYFUNCTION("SUM(QUERY(Entregas_BD!D:W,""select T where D='""&amp;D339&amp;""'"",1))"),0.0)</f>
        <v>0</v>
      </c>
    </row>
    <row r="340" ht="19.5" customHeight="1">
      <c r="A340" s="53"/>
      <c r="B340" s="8"/>
      <c r="C340" s="9">
        <v>339.0</v>
      </c>
      <c r="D340" s="10" t="s">
        <v>812</v>
      </c>
      <c r="E340" s="10" t="s">
        <v>197</v>
      </c>
      <c r="F340" s="10" t="s">
        <v>243</v>
      </c>
      <c r="G340" s="10" t="s">
        <v>813</v>
      </c>
      <c r="H340" s="12" t="s">
        <v>632</v>
      </c>
      <c r="I340" s="11" t="s">
        <v>41</v>
      </c>
      <c r="J340" s="12"/>
      <c r="K340" s="12"/>
      <c r="L340" s="13"/>
      <c r="M340" s="12"/>
      <c r="N340" s="9">
        <f>IFERROR(__xludf.DUMMYFUNCTION("SUM(QUERY(Entregas_BD!D:L,""select G where D='""&amp;D340&amp;""'"",1))"),0.0)</f>
        <v>0</v>
      </c>
      <c r="O340" s="9">
        <f>IFERROR(__xludf.DUMMYFUNCTION("SUM(QUERY(Entregas_BD!D:L,""select H where D='""&amp;D340&amp;""'"",1))"),0.0)</f>
        <v>0</v>
      </c>
      <c r="P340" s="9">
        <f>IFERROR(__xludf.DUMMYFUNCTION("SUM(QUERY(Entregas_BD!D:L,""select I where D='""&amp;D340&amp;""'"",1))"),0.0)</f>
        <v>0</v>
      </c>
      <c r="Q340" s="9">
        <f>IFERROR(__xludf.DUMMYFUNCTION("SUM(QUERY(Entregas_BD!D:L,""select J where D='""&amp;D340&amp;""'"",1))"),0.0)</f>
        <v>0</v>
      </c>
      <c r="R340" s="15">
        <f>IFERROR(__xludf.DUMMYFUNCTION("SUM(QUERY(Entregas_BD!D:L,""select K where D='""&amp;D340&amp;""'"",1))"),0.0)</f>
        <v>0</v>
      </c>
      <c r="S340" s="15">
        <f>IFERROR(__xludf.DUMMYFUNCTION("SUM(QUERY(Entregas_BD!D:L,""select L where D='""&amp;D340&amp;""'"",1))"),0.0)</f>
        <v>0</v>
      </c>
      <c r="T340" s="9">
        <f>IFERROR(__xludf.DUMMYFUNCTION("SUM(QUERY(Entregas_BD!D:AL,""select AG where D='""&amp;D340&amp;""'"",1))"),0.0)</f>
        <v>0</v>
      </c>
      <c r="U340" s="9">
        <f>IFERROR(__xludf.DUMMYFUNCTION("SUM(QUERY(Entregas_BD!D:AL,""select AH where D='""&amp;D340&amp;""'"",1))"),0.0)</f>
        <v>0</v>
      </c>
      <c r="V340" s="9">
        <f>IFERROR(__xludf.DUMMYFUNCTION("SUM(QUERY(Entregas_BD!D:AL,""select AI where D='""&amp;D340&amp;""'"",1))"),0.0)</f>
        <v>0</v>
      </c>
      <c r="W340" s="9">
        <f>IFERROR(__xludf.DUMMYFUNCTION("SUM(QUERY(Entregas_BD!D:AL,""select AJ where D='""&amp;D340&amp;""'"",1))"),0.0)</f>
        <v>0</v>
      </c>
      <c r="X340" s="9">
        <f>IFERROR(__xludf.DUMMYFUNCTION("SUM(QUERY(Entregas_BD!D:AL,""select AL where D='""&amp;D340&amp;""'"",1))"),0.0)</f>
        <v>0</v>
      </c>
      <c r="Y340" s="9">
        <f>IFERROR(__xludf.DUMMYFUNCTION("SUM(QUERY(Entregas_BD!D:AL,""select AK where D='""&amp;D340&amp;""'"",1))"),0.0)</f>
        <v>0</v>
      </c>
      <c r="Z340" s="9">
        <v>0.0</v>
      </c>
      <c r="AA340" s="9">
        <v>0.0</v>
      </c>
      <c r="AB340" s="9">
        <v>0.0</v>
      </c>
      <c r="AC340" s="9">
        <v>0.0</v>
      </c>
      <c r="AD340" s="9">
        <v>0.0</v>
      </c>
      <c r="AE340" s="9">
        <v>0.0</v>
      </c>
      <c r="AF340" s="12"/>
      <c r="AG340" s="15">
        <f>IFERROR(__xludf.DUMMYFUNCTION("SUM(QUERY(Entregas_BD!D:W,""select U where D='""&amp;D340&amp;""'"",1))"),0.0)</f>
        <v>0</v>
      </c>
      <c r="AH340" s="15">
        <f>IFERROR(__xludf.DUMMYFUNCTION("SUM(QUERY(Entregas_BD!D:W,""select S where D='""&amp;D340&amp;""'"",1))"),0.0)</f>
        <v>0</v>
      </c>
      <c r="AI340" s="15">
        <f>IFERROR(__xludf.DUMMYFUNCTION("SUM(QUERY(Entregas_BD!D:W,""select T where D='""&amp;D340&amp;""'"",1))"),0.0)</f>
        <v>0</v>
      </c>
    </row>
    <row r="341" ht="19.5" customHeight="1">
      <c r="A341" s="54"/>
      <c r="B341" s="29"/>
      <c r="C341" s="19">
        <v>340.0</v>
      </c>
      <c r="D341" s="20" t="s">
        <v>814</v>
      </c>
      <c r="E341" s="20" t="s">
        <v>197</v>
      </c>
      <c r="F341" s="20" t="s">
        <v>243</v>
      </c>
      <c r="G341" s="20" t="s">
        <v>204</v>
      </c>
      <c r="H341" s="22" t="s">
        <v>632</v>
      </c>
      <c r="I341" s="21" t="s">
        <v>41</v>
      </c>
      <c r="J341" s="22"/>
      <c r="K341" s="22"/>
      <c r="L341" s="23"/>
      <c r="M341" s="22"/>
      <c r="N341" s="19">
        <f>IFERROR(__xludf.DUMMYFUNCTION("SUM(QUERY(Entregas_BD!D:L,""select G where D='""&amp;D341&amp;""'"",1))"),0.0)</f>
        <v>0</v>
      </c>
      <c r="O341" s="19">
        <f>IFERROR(__xludf.DUMMYFUNCTION("SUM(QUERY(Entregas_BD!D:L,""select H where D='""&amp;D341&amp;""'"",1))"),0.0)</f>
        <v>0</v>
      </c>
      <c r="P341" s="19">
        <f>IFERROR(__xludf.DUMMYFUNCTION("SUM(QUERY(Entregas_BD!D:L,""select I where D='""&amp;D341&amp;""'"",1))"),0.0)</f>
        <v>0</v>
      </c>
      <c r="Q341" s="19">
        <f>IFERROR(__xludf.DUMMYFUNCTION("SUM(QUERY(Entregas_BD!D:L,""select J where D='""&amp;D341&amp;""'"",1))"),0.0)</f>
        <v>0</v>
      </c>
      <c r="R341" s="24">
        <f>IFERROR(__xludf.DUMMYFUNCTION("SUM(QUERY(Entregas_BD!D:L,""select K where D='""&amp;D341&amp;""'"",1))"),0.0)</f>
        <v>0</v>
      </c>
      <c r="S341" s="24">
        <f>IFERROR(__xludf.DUMMYFUNCTION("SUM(QUERY(Entregas_BD!D:L,""select L where D='""&amp;D341&amp;""'"",1))"),0.0)</f>
        <v>0</v>
      </c>
      <c r="T341" s="19">
        <f>IFERROR(__xludf.DUMMYFUNCTION("SUM(QUERY(Entregas_BD!D:AL,""select AG where D='""&amp;D341&amp;""'"",1))"),0.0)</f>
        <v>0</v>
      </c>
      <c r="U341" s="19">
        <f>IFERROR(__xludf.DUMMYFUNCTION("SUM(QUERY(Entregas_BD!D:AL,""select AH where D='""&amp;D341&amp;""'"",1))"),0.0)</f>
        <v>0</v>
      </c>
      <c r="V341" s="19">
        <f>IFERROR(__xludf.DUMMYFUNCTION("SUM(QUERY(Entregas_BD!D:AL,""select AI where D='""&amp;D341&amp;""'"",1))"),0.0)</f>
        <v>0</v>
      </c>
      <c r="W341" s="19">
        <f>IFERROR(__xludf.DUMMYFUNCTION("SUM(QUERY(Entregas_BD!D:AL,""select AJ where D='""&amp;D341&amp;""'"",1))"),0.0)</f>
        <v>0</v>
      </c>
      <c r="X341" s="19">
        <f>IFERROR(__xludf.DUMMYFUNCTION("SUM(QUERY(Entregas_BD!D:AL,""select AL where D='""&amp;D341&amp;""'"",1))"),0.0)</f>
        <v>0</v>
      </c>
      <c r="Y341" s="19">
        <f>IFERROR(__xludf.DUMMYFUNCTION("SUM(QUERY(Entregas_BD!D:AL,""select AK where D='""&amp;D341&amp;""'"",1))"),0.0)</f>
        <v>0</v>
      </c>
      <c r="Z341" s="19">
        <v>0.0</v>
      </c>
      <c r="AA341" s="19">
        <v>0.0</v>
      </c>
      <c r="AB341" s="19">
        <v>0.0</v>
      </c>
      <c r="AC341" s="19">
        <v>0.0</v>
      </c>
      <c r="AD341" s="19">
        <v>0.0</v>
      </c>
      <c r="AE341" s="19">
        <v>0.0</v>
      </c>
      <c r="AF341" s="22"/>
      <c r="AG341" s="24">
        <f>IFERROR(__xludf.DUMMYFUNCTION("SUM(QUERY(Entregas_BD!D:W,""select U where D='""&amp;D341&amp;""'"",1))"),0.0)</f>
        <v>0</v>
      </c>
      <c r="AH341" s="24">
        <f>IFERROR(__xludf.DUMMYFUNCTION("SUM(QUERY(Entregas_BD!D:W,""select S where D='""&amp;D341&amp;""'"",1))"),0.0)</f>
        <v>0</v>
      </c>
      <c r="AI341" s="24">
        <f>IFERROR(__xludf.DUMMYFUNCTION("SUM(QUERY(Entregas_BD!D:W,""select T where D='""&amp;D341&amp;""'"",1))"),0.0)</f>
        <v>0</v>
      </c>
    </row>
    <row r="342" ht="19.5" customHeight="1">
      <c r="A342" s="53"/>
      <c r="B342" s="8"/>
      <c r="C342" s="9">
        <v>341.0</v>
      </c>
      <c r="D342" s="10" t="s">
        <v>815</v>
      </c>
      <c r="E342" s="10" t="s">
        <v>63</v>
      </c>
      <c r="F342" s="10" t="s">
        <v>243</v>
      </c>
      <c r="G342" s="10" t="s">
        <v>816</v>
      </c>
      <c r="H342" s="12" t="s">
        <v>632</v>
      </c>
      <c r="I342" s="11" t="s">
        <v>41</v>
      </c>
      <c r="J342" s="12"/>
      <c r="K342" s="12"/>
      <c r="L342" s="13"/>
      <c r="M342" s="12"/>
      <c r="N342" s="9">
        <f>IFERROR(__xludf.DUMMYFUNCTION("SUM(QUERY(Entregas_BD!D:L,""select G where D='""&amp;D342&amp;""'"",1))"),0.0)</f>
        <v>0</v>
      </c>
      <c r="O342" s="9">
        <f>IFERROR(__xludf.DUMMYFUNCTION("SUM(QUERY(Entregas_BD!D:L,""select H where D='""&amp;D342&amp;""'"",1))"),0.0)</f>
        <v>0</v>
      </c>
      <c r="P342" s="9">
        <f>IFERROR(__xludf.DUMMYFUNCTION("SUM(QUERY(Entregas_BD!D:L,""select I where D='""&amp;D342&amp;""'"",1))"),0.0)</f>
        <v>0</v>
      </c>
      <c r="Q342" s="9">
        <f>IFERROR(__xludf.DUMMYFUNCTION("SUM(QUERY(Entregas_BD!D:L,""select J where D='""&amp;D342&amp;""'"",1))"),0.0)</f>
        <v>0</v>
      </c>
      <c r="R342" s="15">
        <f>IFERROR(__xludf.DUMMYFUNCTION("SUM(QUERY(Entregas_BD!D:L,""select K where D='""&amp;D342&amp;""'"",1))"),0.0)</f>
        <v>0</v>
      </c>
      <c r="S342" s="15">
        <f>IFERROR(__xludf.DUMMYFUNCTION("SUM(QUERY(Entregas_BD!D:L,""select L where D='""&amp;D342&amp;""'"",1))"),0.0)</f>
        <v>0</v>
      </c>
      <c r="T342" s="9">
        <f>IFERROR(__xludf.DUMMYFUNCTION("SUM(QUERY(Entregas_BD!D:AL,""select AG where D='""&amp;D342&amp;""'"",1))"),0.0)</f>
        <v>0</v>
      </c>
      <c r="U342" s="9">
        <f>IFERROR(__xludf.DUMMYFUNCTION("SUM(QUERY(Entregas_BD!D:AL,""select AH where D='""&amp;D342&amp;""'"",1))"),0.0)</f>
        <v>0</v>
      </c>
      <c r="V342" s="9">
        <f>IFERROR(__xludf.DUMMYFUNCTION("SUM(QUERY(Entregas_BD!D:AL,""select AI where D='""&amp;D342&amp;""'"",1))"),0.0)</f>
        <v>0</v>
      </c>
      <c r="W342" s="9">
        <f>IFERROR(__xludf.DUMMYFUNCTION("SUM(QUERY(Entregas_BD!D:AL,""select AJ where D='""&amp;D342&amp;""'"",1))"),0.0)</f>
        <v>0</v>
      </c>
      <c r="X342" s="9">
        <f>IFERROR(__xludf.DUMMYFUNCTION("SUM(QUERY(Entregas_BD!D:AL,""select AL where D='""&amp;D342&amp;""'"",1))"),0.0)</f>
        <v>0</v>
      </c>
      <c r="Y342" s="9">
        <f>IFERROR(__xludf.DUMMYFUNCTION("SUM(QUERY(Entregas_BD!D:AL,""select AK where D='""&amp;D342&amp;""'"",1))"),0.0)</f>
        <v>0</v>
      </c>
      <c r="Z342" s="9">
        <v>0.0</v>
      </c>
      <c r="AA342" s="9">
        <v>0.0</v>
      </c>
      <c r="AB342" s="9">
        <v>0.0</v>
      </c>
      <c r="AC342" s="9">
        <v>0.0</v>
      </c>
      <c r="AD342" s="9">
        <v>0.0</v>
      </c>
      <c r="AE342" s="9">
        <v>0.0</v>
      </c>
      <c r="AF342" s="12"/>
      <c r="AG342" s="15">
        <f>IFERROR(__xludf.DUMMYFUNCTION("SUM(QUERY(Entregas_BD!D:W,""select U where D='""&amp;D342&amp;""'"",1))"),0.0)</f>
        <v>0</v>
      </c>
      <c r="AH342" s="15">
        <f>IFERROR(__xludf.DUMMYFUNCTION("SUM(QUERY(Entregas_BD!D:W,""select S where D='""&amp;D342&amp;""'"",1))"),0.0)</f>
        <v>0</v>
      </c>
      <c r="AI342" s="15">
        <f>IFERROR(__xludf.DUMMYFUNCTION("SUM(QUERY(Entregas_BD!D:W,""select T where D='""&amp;D342&amp;""'"",1))"),0.0)</f>
        <v>0</v>
      </c>
    </row>
    <row r="343" ht="19.5" customHeight="1">
      <c r="A343" s="54"/>
      <c r="B343" s="29"/>
      <c r="C343" s="19">
        <v>342.0</v>
      </c>
      <c r="D343" s="20" t="s">
        <v>817</v>
      </c>
      <c r="E343" s="20" t="s">
        <v>197</v>
      </c>
      <c r="F343" s="20" t="s">
        <v>243</v>
      </c>
      <c r="G343" s="20" t="s">
        <v>665</v>
      </c>
      <c r="H343" s="22" t="s">
        <v>632</v>
      </c>
      <c r="I343" s="21" t="s">
        <v>41</v>
      </c>
      <c r="J343" s="22"/>
      <c r="K343" s="22"/>
      <c r="L343" s="23"/>
      <c r="M343" s="22"/>
      <c r="N343" s="19">
        <f>IFERROR(__xludf.DUMMYFUNCTION("SUM(QUERY(Entregas_BD!D:L,""select G where D='""&amp;D343&amp;""'"",1))"),0.0)</f>
        <v>0</v>
      </c>
      <c r="O343" s="19">
        <f>IFERROR(__xludf.DUMMYFUNCTION("SUM(QUERY(Entregas_BD!D:L,""select H where D='""&amp;D343&amp;""'"",1))"),0.0)</f>
        <v>0</v>
      </c>
      <c r="P343" s="19">
        <f>IFERROR(__xludf.DUMMYFUNCTION("SUM(QUERY(Entregas_BD!D:L,""select I where D='""&amp;D343&amp;""'"",1))"),0.0)</f>
        <v>0</v>
      </c>
      <c r="Q343" s="19">
        <f>IFERROR(__xludf.DUMMYFUNCTION("SUM(QUERY(Entregas_BD!D:L,""select J where D='""&amp;D343&amp;""'"",1))"),0.0)</f>
        <v>0</v>
      </c>
      <c r="R343" s="24">
        <f>IFERROR(__xludf.DUMMYFUNCTION("SUM(QUERY(Entregas_BD!D:L,""select K where D='""&amp;D343&amp;""'"",1))"),0.0)</f>
        <v>0</v>
      </c>
      <c r="S343" s="24">
        <f>IFERROR(__xludf.DUMMYFUNCTION("SUM(QUERY(Entregas_BD!D:L,""select L where D='""&amp;D343&amp;""'"",1))"),0.0)</f>
        <v>0</v>
      </c>
      <c r="T343" s="19">
        <f>IFERROR(__xludf.DUMMYFUNCTION("SUM(QUERY(Entregas_BD!D:AL,""select AG where D='""&amp;D343&amp;""'"",1))"),0.0)</f>
        <v>0</v>
      </c>
      <c r="U343" s="19">
        <f>IFERROR(__xludf.DUMMYFUNCTION("SUM(QUERY(Entregas_BD!D:AL,""select AH where D='""&amp;D343&amp;""'"",1))"),0.0)</f>
        <v>0</v>
      </c>
      <c r="V343" s="19">
        <f>IFERROR(__xludf.DUMMYFUNCTION("SUM(QUERY(Entregas_BD!D:AL,""select AI where D='""&amp;D343&amp;""'"",1))"),0.0)</f>
        <v>0</v>
      </c>
      <c r="W343" s="19">
        <f>IFERROR(__xludf.DUMMYFUNCTION("SUM(QUERY(Entregas_BD!D:AL,""select AJ where D='""&amp;D343&amp;""'"",1))"),0.0)</f>
        <v>0</v>
      </c>
      <c r="X343" s="19">
        <f>IFERROR(__xludf.DUMMYFUNCTION("SUM(QUERY(Entregas_BD!D:AL,""select AL where D='""&amp;D343&amp;""'"",1))"),0.0)</f>
        <v>0</v>
      </c>
      <c r="Y343" s="19">
        <f>IFERROR(__xludf.DUMMYFUNCTION("SUM(QUERY(Entregas_BD!D:AL,""select AK where D='""&amp;D343&amp;""'"",1))"),0.0)</f>
        <v>0</v>
      </c>
      <c r="Z343" s="19">
        <v>0.0</v>
      </c>
      <c r="AA343" s="19">
        <v>0.0</v>
      </c>
      <c r="AB343" s="19">
        <v>0.0</v>
      </c>
      <c r="AC343" s="19">
        <v>0.0</v>
      </c>
      <c r="AD343" s="19">
        <v>0.0</v>
      </c>
      <c r="AE343" s="19">
        <v>0.0</v>
      </c>
      <c r="AF343" s="22"/>
      <c r="AG343" s="24">
        <f>IFERROR(__xludf.DUMMYFUNCTION("SUM(QUERY(Entregas_BD!D:W,""select U where D='""&amp;D343&amp;""'"",1))"),0.0)</f>
        <v>0</v>
      </c>
      <c r="AH343" s="24">
        <f>IFERROR(__xludf.DUMMYFUNCTION("SUM(QUERY(Entregas_BD!D:W,""select S where D='""&amp;D343&amp;""'"",1))"),0.0)</f>
        <v>0</v>
      </c>
      <c r="AI343" s="24">
        <f>IFERROR(__xludf.DUMMYFUNCTION("SUM(QUERY(Entregas_BD!D:W,""select T where D='""&amp;D343&amp;""'"",1))"),0.0)</f>
        <v>0</v>
      </c>
    </row>
    <row r="344" ht="19.5" customHeight="1">
      <c r="A344" s="53"/>
      <c r="B344" s="8"/>
      <c r="C344" s="9">
        <v>343.0</v>
      </c>
      <c r="D344" s="10" t="s">
        <v>761</v>
      </c>
      <c r="E344" s="10" t="s">
        <v>479</v>
      </c>
      <c r="F344" s="10" t="s">
        <v>45</v>
      </c>
      <c r="G344" s="10" t="s">
        <v>616</v>
      </c>
      <c r="H344" s="12" t="s">
        <v>617</v>
      </c>
      <c r="I344" s="11" t="s">
        <v>41</v>
      </c>
      <c r="J344" s="12"/>
      <c r="K344" s="12"/>
      <c r="L344" s="13"/>
      <c r="M344" s="12"/>
      <c r="N344" s="9">
        <f>IFERROR(__xludf.DUMMYFUNCTION("SUM(QUERY(Entregas_BD!D:L,""select G where D='""&amp;D344&amp;""'"",1))"),0.0)</f>
        <v>0</v>
      </c>
      <c r="O344" s="9">
        <f>IFERROR(__xludf.DUMMYFUNCTION("SUM(QUERY(Entregas_BD!D:L,""select H where D='""&amp;D344&amp;""'"",1))"),0.0)</f>
        <v>0</v>
      </c>
      <c r="P344" s="9">
        <f>IFERROR(__xludf.DUMMYFUNCTION("SUM(QUERY(Entregas_BD!D:L,""select I where D='""&amp;D344&amp;""'"",1))"),0.0)</f>
        <v>0</v>
      </c>
      <c r="Q344" s="9">
        <f>IFERROR(__xludf.DUMMYFUNCTION("SUM(QUERY(Entregas_BD!D:L,""select J where D='""&amp;D344&amp;""'"",1))"),0.0)</f>
        <v>0</v>
      </c>
      <c r="R344" s="15">
        <f>IFERROR(__xludf.DUMMYFUNCTION("SUM(QUERY(Entregas_BD!D:L,""select K where D='""&amp;D344&amp;""'"",1))"),0.0)</f>
        <v>0</v>
      </c>
      <c r="S344" s="15">
        <f>IFERROR(__xludf.DUMMYFUNCTION("SUM(QUERY(Entregas_BD!D:L,""select L where D='""&amp;D344&amp;""'"",1))"),0.0)</f>
        <v>0</v>
      </c>
      <c r="T344" s="9">
        <f>IFERROR(__xludf.DUMMYFUNCTION("SUM(QUERY(Entregas_BD!D:AL,""select AG where D='""&amp;D344&amp;""'"",1))"),0.0)</f>
        <v>0</v>
      </c>
      <c r="U344" s="9">
        <f>IFERROR(__xludf.DUMMYFUNCTION("SUM(QUERY(Entregas_BD!D:AL,""select AH where D='""&amp;D344&amp;""'"",1))"),0.0)</f>
        <v>0</v>
      </c>
      <c r="V344" s="9">
        <f>IFERROR(__xludf.DUMMYFUNCTION("SUM(QUERY(Entregas_BD!D:AL,""select AI where D='""&amp;D344&amp;""'"",1))"),0.0)</f>
        <v>0</v>
      </c>
      <c r="W344" s="9">
        <f>IFERROR(__xludf.DUMMYFUNCTION("SUM(QUERY(Entregas_BD!D:AL,""select AJ where D='""&amp;D344&amp;""'"",1))"),0.0)</f>
        <v>0</v>
      </c>
      <c r="X344" s="9">
        <f>IFERROR(__xludf.DUMMYFUNCTION("SUM(QUERY(Entregas_BD!D:AL,""select AL where D='""&amp;D344&amp;""'"",1))"),0.0)</f>
        <v>0</v>
      </c>
      <c r="Y344" s="9">
        <f>IFERROR(__xludf.DUMMYFUNCTION("SUM(QUERY(Entregas_BD!D:AL,""select AK where D='""&amp;D344&amp;""'"",1))"),0.0)</f>
        <v>0</v>
      </c>
      <c r="Z344" s="9">
        <v>0.0</v>
      </c>
      <c r="AA344" s="9">
        <v>0.0</v>
      </c>
      <c r="AB344" s="9">
        <v>0.0</v>
      </c>
      <c r="AC344" s="9">
        <v>0.0</v>
      </c>
      <c r="AD344" s="9">
        <v>0.0</v>
      </c>
      <c r="AE344" s="9">
        <v>0.0</v>
      </c>
      <c r="AF344" s="12"/>
      <c r="AG344" s="15">
        <f>IFERROR(__xludf.DUMMYFUNCTION("SUM(QUERY(Entregas_BD!D:W,""select U where D='""&amp;D344&amp;""'"",1))"),0.0)</f>
        <v>0</v>
      </c>
      <c r="AH344" s="15">
        <f>IFERROR(__xludf.DUMMYFUNCTION("SUM(QUERY(Entregas_BD!D:W,""select S where D='""&amp;D344&amp;""'"",1))"),0.0)</f>
        <v>0</v>
      </c>
      <c r="AI344" s="15">
        <f>IFERROR(__xludf.DUMMYFUNCTION("SUM(QUERY(Entregas_BD!D:W,""select T where D='""&amp;D344&amp;""'"",1))"),0.0)</f>
        <v>0</v>
      </c>
    </row>
    <row r="345" ht="19.5" customHeight="1">
      <c r="A345" s="54"/>
      <c r="B345" s="29"/>
      <c r="C345" s="19">
        <v>344.0</v>
      </c>
      <c r="D345" s="20" t="s">
        <v>273</v>
      </c>
      <c r="E345" s="20" t="s">
        <v>72</v>
      </c>
      <c r="F345" s="20" t="s">
        <v>45</v>
      </c>
      <c r="G345" s="20" t="s">
        <v>650</v>
      </c>
      <c r="H345" s="22" t="s">
        <v>622</v>
      </c>
      <c r="I345" s="21" t="s">
        <v>41</v>
      </c>
      <c r="J345" s="51"/>
      <c r="K345" s="22"/>
      <c r="L345" s="23"/>
      <c r="M345" s="22"/>
      <c r="N345" s="19">
        <f>IFERROR(__xludf.DUMMYFUNCTION("SUM(QUERY(Entregas_BD!D:L,""select G where D='""&amp;D345&amp;""'"",1))"),0.0)</f>
        <v>0</v>
      </c>
      <c r="O345" s="19">
        <f>IFERROR(__xludf.DUMMYFUNCTION("SUM(QUERY(Entregas_BD!D:L,""select H where D='""&amp;D345&amp;""'"",1))"),0.0)</f>
        <v>0</v>
      </c>
      <c r="P345" s="19">
        <f>IFERROR(__xludf.DUMMYFUNCTION("SUM(QUERY(Entregas_BD!D:L,""select I where D='""&amp;D345&amp;""'"",1))"),0.0)</f>
        <v>0</v>
      </c>
      <c r="Q345" s="19">
        <f>IFERROR(__xludf.DUMMYFUNCTION("SUM(QUERY(Entregas_BD!D:L,""select J where D='""&amp;D345&amp;""'"",1))"),0.0)</f>
        <v>0</v>
      </c>
      <c r="R345" s="24">
        <f>IFERROR(__xludf.DUMMYFUNCTION("SUM(QUERY(Entregas_BD!D:L,""select K where D='""&amp;D345&amp;""'"",1))"),0.0)</f>
        <v>0</v>
      </c>
      <c r="S345" s="24">
        <f>IFERROR(__xludf.DUMMYFUNCTION("SUM(QUERY(Entregas_BD!D:L,""select L where D='""&amp;D345&amp;""'"",1))"),0.0)</f>
        <v>0</v>
      </c>
      <c r="T345" s="19">
        <f>IFERROR(__xludf.DUMMYFUNCTION("SUM(QUERY(Entregas_BD!D:AL,""select AG where D='""&amp;D345&amp;""'"",1))"),200.0)</f>
        <v>200</v>
      </c>
      <c r="U345" s="19">
        <f>IFERROR(__xludf.DUMMYFUNCTION("SUM(QUERY(Entregas_BD!D:AL,""select AH where D='""&amp;D345&amp;""'"",1))"),0.0)</f>
        <v>0</v>
      </c>
      <c r="V345" s="19">
        <f>IFERROR(__xludf.DUMMYFUNCTION("SUM(QUERY(Entregas_BD!D:AL,""select AI where D='""&amp;D345&amp;""'"",1))"),0.0)</f>
        <v>0</v>
      </c>
      <c r="W345" s="19">
        <f>IFERROR(__xludf.DUMMYFUNCTION("SUM(QUERY(Entregas_BD!D:AL,""select AJ where D='""&amp;D345&amp;""'"",1))"),0.0)</f>
        <v>0</v>
      </c>
      <c r="X345" s="19">
        <f>IFERROR(__xludf.DUMMYFUNCTION("SUM(QUERY(Entregas_BD!D:AL,""select AL where D='""&amp;D345&amp;""'"",1))"),0.0)</f>
        <v>0</v>
      </c>
      <c r="Y345" s="19">
        <f>IFERROR(__xludf.DUMMYFUNCTION("SUM(QUERY(Entregas_BD!D:AL,""select AK where D='""&amp;D345&amp;""'"",1))"),0.0)</f>
        <v>0</v>
      </c>
      <c r="Z345" s="19">
        <v>-200.0</v>
      </c>
      <c r="AA345" s="19">
        <v>0.0</v>
      </c>
      <c r="AB345" s="19">
        <v>0.0</v>
      </c>
      <c r="AC345" s="19">
        <v>0.0</v>
      </c>
      <c r="AD345" s="19">
        <v>0.0</v>
      </c>
      <c r="AE345" s="19">
        <v>0.0</v>
      </c>
      <c r="AF345" s="22"/>
      <c r="AG345" s="24">
        <f>IFERROR(__xludf.DUMMYFUNCTION("SUM(QUERY(Entregas_BD!D:W,""select U where D='""&amp;D345&amp;""'"",1))"),0.0)</f>
        <v>0</v>
      </c>
      <c r="AH345" s="24">
        <f>IFERROR(__xludf.DUMMYFUNCTION("SUM(QUERY(Entregas_BD!D:W,""select S where D='""&amp;D345&amp;""'"",1))"),0.0)</f>
        <v>0</v>
      </c>
      <c r="AI345" s="24">
        <f>IFERROR(__xludf.DUMMYFUNCTION("SUM(QUERY(Entregas_BD!D:W,""select T where D='""&amp;D345&amp;""'"",1))"),0.0)</f>
        <v>0</v>
      </c>
    </row>
    <row r="346" ht="19.5" customHeight="1">
      <c r="A346" s="53"/>
      <c r="B346" s="8"/>
      <c r="C346" s="9">
        <v>345.0</v>
      </c>
      <c r="D346" s="62" t="s">
        <v>818</v>
      </c>
      <c r="E346" s="10" t="s">
        <v>63</v>
      </c>
      <c r="F346" s="10" t="s">
        <v>45</v>
      </c>
      <c r="G346" s="10" t="s">
        <v>600</v>
      </c>
      <c r="H346" s="12" t="s">
        <v>617</v>
      </c>
      <c r="I346" s="11" t="s">
        <v>41</v>
      </c>
      <c r="J346" s="50"/>
      <c r="K346" s="12"/>
      <c r="L346" s="13"/>
      <c r="M346" s="12"/>
      <c r="N346" s="9">
        <f>IFERROR(__xludf.DUMMYFUNCTION("SUM(QUERY(Entregas_BD!D:L,""select G where D='""&amp;D346&amp;""'"",1))"),0.0)</f>
        <v>0</v>
      </c>
      <c r="O346" s="9">
        <f>IFERROR(__xludf.DUMMYFUNCTION("SUM(QUERY(Entregas_BD!D:L,""select H where D='""&amp;D346&amp;""'"",1))"),0.0)</f>
        <v>0</v>
      </c>
      <c r="P346" s="9">
        <f>IFERROR(__xludf.DUMMYFUNCTION("SUM(QUERY(Entregas_BD!D:L,""select I where D='""&amp;D346&amp;""'"",1))"),0.0)</f>
        <v>0</v>
      </c>
      <c r="Q346" s="9">
        <f>IFERROR(__xludf.DUMMYFUNCTION("SUM(QUERY(Entregas_BD!D:L,""select J where D='""&amp;D346&amp;""'"",1))"),0.0)</f>
        <v>0</v>
      </c>
      <c r="R346" s="15">
        <f>IFERROR(__xludf.DUMMYFUNCTION("SUM(QUERY(Entregas_BD!D:L,""select K where D='""&amp;D346&amp;""'"",1))"),0.0)</f>
        <v>0</v>
      </c>
      <c r="S346" s="15">
        <f>IFERROR(__xludf.DUMMYFUNCTION("SUM(QUERY(Entregas_BD!D:L,""select L where D='""&amp;D346&amp;""'"",1))"),0.0)</f>
        <v>0</v>
      </c>
      <c r="T346" s="9">
        <f>IFERROR(__xludf.DUMMYFUNCTION("SUM(QUERY(Entregas_BD!D:AL,""select AG where D='""&amp;D346&amp;""'"",1))"),1000.0)</f>
        <v>1000</v>
      </c>
      <c r="U346" s="9">
        <f>IFERROR(__xludf.DUMMYFUNCTION("SUM(QUERY(Entregas_BD!D:AL,""select AH where D='""&amp;D346&amp;""'"",1))"),0.0)</f>
        <v>0</v>
      </c>
      <c r="V346" s="9">
        <f>IFERROR(__xludf.DUMMYFUNCTION("SUM(QUERY(Entregas_BD!D:AL,""select AI where D='""&amp;D346&amp;""'"",1))"),0.0)</f>
        <v>0</v>
      </c>
      <c r="W346" s="9">
        <f>IFERROR(__xludf.DUMMYFUNCTION("SUM(QUERY(Entregas_BD!D:AL,""select AJ where D='""&amp;D346&amp;""'"",1))"),0.0)</f>
        <v>0</v>
      </c>
      <c r="X346" s="9">
        <f>IFERROR(__xludf.DUMMYFUNCTION("SUM(QUERY(Entregas_BD!D:AL,""select AL where D='""&amp;D346&amp;""'"",1))"),0.0)</f>
        <v>0</v>
      </c>
      <c r="Y346" s="9">
        <f>IFERROR(__xludf.DUMMYFUNCTION("SUM(QUERY(Entregas_BD!D:AL,""select AK where D='""&amp;D346&amp;""'"",1))"),0.0)</f>
        <v>0</v>
      </c>
      <c r="Z346" s="9">
        <v>-1000.0</v>
      </c>
      <c r="AA346" s="9">
        <v>0.0</v>
      </c>
      <c r="AB346" s="9">
        <v>0.0</v>
      </c>
      <c r="AC346" s="9">
        <v>0.0</v>
      </c>
      <c r="AD346" s="9">
        <v>0.0</v>
      </c>
      <c r="AE346" s="9">
        <v>0.0</v>
      </c>
      <c r="AF346" s="12"/>
      <c r="AG346" s="15">
        <f>IFERROR(__xludf.DUMMYFUNCTION("SUM(QUERY(Entregas_BD!D:W,""select U where D='""&amp;D346&amp;""'"",1))"),0.0)</f>
        <v>0</v>
      </c>
      <c r="AH346" s="15">
        <f>IFERROR(__xludf.DUMMYFUNCTION("SUM(QUERY(Entregas_BD!D:W,""select S where D='""&amp;D346&amp;""'"",1))"),0.0)</f>
        <v>0</v>
      </c>
      <c r="AI346" s="15">
        <f>IFERROR(__xludf.DUMMYFUNCTION("SUM(QUERY(Entregas_BD!D:W,""select T where D='""&amp;D346&amp;""'"",1))"),0.0)</f>
        <v>0</v>
      </c>
    </row>
    <row r="347" ht="19.5" customHeight="1">
      <c r="A347" s="54"/>
      <c r="B347" s="29"/>
      <c r="C347" s="19">
        <v>346.0</v>
      </c>
      <c r="D347" s="20" t="s">
        <v>819</v>
      </c>
      <c r="E347" s="20" t="s">
        <v>197</v>
      </c>
      <c r="F347" s="20" t="s">
        <v>494</v>
      </c>
      <c r="G347" s="20" t="s">
        <v>820</v>
      </c>
      <c r="H347" s="22" t="s">
        <v>617</v>
      </c>
      <c r="I347" s="21" t="s">
        <v>41</v>
      </c>
      <c r="J347" s="22"/>
      <c r="K347" s="22"/>
      <c r="L347" s="23"/>
      <c r="M347" s="22"/>
      <c r="N347" s="19">
        <f>IFERROR(__xludf.DUMMYFUNCTION("SUM(QUERY(Entregas_BD!D:L,""select G where D='""&amp;D347&amp;""'"",1))"),0.0)</f>
        <v>0</v>
      </c>
      <c r="O347" s="19">
        <f>IFERROR(__xludf.DUMMYFUNCTION("SUM(QUERY(Entregas_BD!D:L,""select H where D='""&amp;D347&amp;""'"",1))"),0.0)</f>
        <v>0</v>
      </c>
      <c r="P347" s="19">
        <f>IFERROR(__xludf.DUMMYFUNCTION("SUM(QUERY(Entregas_BD!D:L,""select I where D='""&amp;D347&amp;""'"",1))"),0.0)</f>
        <v>0</v>
      </c>
      <c r="Q347" s="19">
        <f>IFERROR(__xludf.DUMMYFUNCTION("SUM(QUERY(Entregas_BD!D:L,""select J where D='""&amp;D347&amp;""'"",1))"),0.0)</f>
        <v>0</v>
      </c>
      <c r="R347" s="24">
        <f>IFERROR(__xludf.DUMMYFUNCTION("SUM(QUERY(Entregas_BD!D:L,""select K where D='""&amp;D347&amp;""'"",1))"),0.0)</f>
        <v>0</v>
      </c>
      <c r="S347" s="24">
        <f>IFERROR(__xludf.DUMMYFUNCTION("SUM(QUERY(Entregas_BD!D:L,""select L where D='""&amp;D347&amp;""'"",1))"),0.0)</f>
        <v>0</v>
      </c>
      <c r="T347" s="19">
        <f>IFERROR(__xludf.DUMMYFUNCTION("SUM(QUERY(Entregas_BD!D:AL,""select AG where D='""&amp;D347&amp;""'"",1))"),400.0)</f>
        <v>400</v>
      </c>
      <c r="U347" s="19">
        <f>IFERROR(__xludf.DUMMYFUNCTION("SUM(QUERY(Entregas_BD!D:AL,""select AH where D='""&amp;D347&amp;""'"",1))"),0.0)</f>
        <v>0</v>
      </c>
      <c r="V347" s="19">
        <f>IFERROR(__xludf.DUMMYFUNCTION("SUM(QUERY(Entregas_BD!D:AL,""select AI where D='""&amp;D347&amp;""'"",1))"),0.0)</f>
        <v>0</v>
      </c>
      <c r="W347" s="19">
        <f>IFERROR(__xludf.DUMMYFUNCTION("SUM(QUERY(Entregas_BD!D:AL,""select AJ where D='""&amp;D347&amp;""'"",1))"),100.0)</f>
        <v>100</v>
      </c>
      <c r="X347" s="19">
        <f>IFERROR(__xludf.DUMMYFUNCTION("SUM(QUERY(Entregas_BD!D:AL,""select AL where D='""&amp;D347&amp;""'"",1))"),0.0)</f>
        <v>0</v>
      </c>
      <c r="Y347" s="19">
        <f>IFERROR(__xludf.DUMMYFUNCTION("SUM(QUERY(Entregas_BD!D:AL,""select AK where D='""&amp;D347&amp;""'"",1))"),0.0)</f>
        <v>0</v>
      </c>
      <c r="Z347" s="19">
        <v>-400.0</v>
      </c>
      <c r="AA347" s="19">
        <v>0.0</v>
      </c>
      <c r="AB347" s="19">
        <v>0.0</v>
      </c>
      <c r="AC347" s="19">
        <v>-100.0</v>
      </c>
      <c r="AD347" s="19">
        <v>0.0</v>
      </c>
      <c r="AE347" s="19">
        <v>0.0</v>
      </c>
      <c r="AF347" s="22"/>
      <c r="AG347" s="24">
        <f>IFERROR(__xludf.DUMMYFUNCTION("SUM(QUERY(Entregas_BD!D:W,""select U where D='""&amp;D347&amp;""'"",1))"),0.0)</f>
        <v>0</v>
      </c>
      <c r="AH347" s="24">
        <f>IFERROR(__xludf.DUMMYFUNCTION("SUM(QUERY(Entregas_BD!D:W,""select S where D='""&amp;D347&amp;""'"",1))"),0.0)</f>
        <v>0</v>
      </c>
      <c r="AI347" s="24">
        <f>IFERROR(__xludf.DUMMYFUNCTION("SUM(QUERY(Entregas_BD!D:W,""select T where D='""&amp;D347&amp;""'"",1))"),0.0)</f>
        <v>0</v>
      </c>
    </row>
    <row r="348" ht="19.5" customHeight="1">
      <c r="A348" s="53"/>
      <c r="B348" s="8"/>
      <c r="C348" s="9">
        <v>347.0</v>
      </c>
      <c r="D348" s="10" t="s">
        <v>761</v>
      </c>
      <c r="E348" s="10" t="s">
        <v>479</v>
      </c>
      <c r="F348" s="10" t="s">
        <v>45</v>
      </c>
      <c r="G348" s="10" t="s">
        <v>616</v>
      </c>
      <c r="H348" s="12" t="s">
        <v>617</v>
      </c>
      <c r="I348" s="11" t="s">
        <v>41</v>
      </c>
      <c r="J348" s="12"/>
      <c r="K348" s="12"/>
      <c r="L348" s="13"/>
      <c r="M348" s="12"/>
      <c r="N348" s="9">
        <f>IFERROR(__xludf.DUMMYFUNCTION("SUM(QUERY(Entregas_BD!D:L,""select G where D='""&amp;D348&amp;""'"",1))"),0.0)</f>
        <v>0</v>
      </c>
      <c r="O348" s="9">
        <f>IFERROR(__xludf.DUMMYFUNCTION("SUM(QUERY(Entregas_BD!D:L,""select H where D='""&amp;D348&amp;""'"",1))"),0.0)</f>
        <v>0</v>
      </c>
      <c r="P348" s="9">
        <f>IFERROR(__xludf.DUMMYFUNCTION("SUM(QUERY(Entregas_BD!D:L,""select I where D='""&amp;D348&amp;""'"",1))"),0.0)</f>
        <v>0</v>
      </c>
      <c r="Q348" s="9">
        <f>IFERROR(__xludf.DUMMYFUNCTION("SUM(QUERY(Entregas_BD!D:L,""select J where D='""&amp;D348&amp;""'"",1))"),0.0)</f>
        <v>0</v>
      </c>
      <c r="R348" s="15">
        <f>IFERROR(__xludf.DUMMYFUNCTION("SUM(QUERY(Entregas_BD!D:L,""select K where D='""&amp;D348&amp;""'"",1))"),0.0)</f>
        <v>0</v>
      </c>
      <c r="S348" s="15">
        <f>IFERROR(__xludf.DUMMYFUNCTION("SUM(QUERY(Entregas_BD!D:L,""select L where D='""&amp;D348&amp;""'"",1))"),0.0)</f>
        <v>0</v>
      </c>
      <c r="T348" s="9">
        <f>IFERROR(__xludf.DUMMYFUNCTION("SUM(QUERY(Entregas_BD!D:AL,""select AG where D='""&amp;D348&amp;""'"",1))"),0.0)</f>
        <v>0</v>
      </c>
      <c r="U348" s="9">
        <f>IFERROR(__xludf.DUMMYFUNCTION("SUM(QUERY(Entregas_BD!D:AL,""select AH where D='""&amp;D348&amp;""'"",1))"),0.0)</f>
        <v>0</v>
      </c>
      <c r="V348" s="9">
        <f>IFERROR(__xludf.DUMMYFUNCTION("SUM(QUERY(Entregas_BD!D:AL,""select AI where D='""&amp;D348&amp;""'"",1))"),0.0)</f>
        <v>0</v>
      </c>
      <c r="W348" s="9">
        <f>IFERROR(__xludf.DUMMYFUNCTION("SUM(QUERY(Entregas_BD!D:AL,""select AJ where D='""&amp;D348&amp;""'"",1))"),0.0)</f>
        <v>0</v>
      </c>
      <c r="X348" s="9">
        <f>IFERROR(__xludf.DUMMYFUNCTION("SUM(QUERY(Entregas_BD!D:AL,""select AL where D='""&amp;D348&amp;""'"",1))"),0.0)</f>
        <v>0</v>
      </c>
      <c r="Y348" s="9">
        <f>IFERROR(__xludf.DUMMYFUNCTION("SUM(QUERY(Entregas_BD!D:AL,""select AK where D='""&amp;D348&amp;""'"",1))"),0.0)</f>
        <v>0</v>
      </c>
      <c r="Z348" s="9">
        <v>0.0</v>
      </c>
      <c r="AA348" s="9">
        <v>0.0</v>
      </c>
      <c r="AB348" s="9">
        <v>0.0</v>
      </c>
      <c r="AC348" s="9">
        <v>0.0</v>
      </c>
      <c r="AD348" s="9">
        <v>0.0</v>
      </c>
      <c r="AE348" s="9">
        <v>0.0</v>
      </c>
      <c r="AF348" s="12"/>
      <c r="AG348" s="15">
        <f>IFERROR(__xludf.DUMMYFUNCTION("SUM(QUERY(Entregas_BD!D:W,""select U where D='""&amp;D348&amp;""'"",1))"),0.0)</f>
        <v>0</v>
      </c>
      <c r="AH348" s="15">
        <f>IFERROR(__xludf.DUMMYFUNCTION("SUM(QUERY(Entregas_BD!D:W,""select S where D='""&amp;D348&amp;""'"",1))"),0.0)</f>
        <v>0</v>
      </c>
      <c r="AI348" s="15">
        <f>IFERROR(__xludf.DUMMYFUNCTION("SUM(QUERY(Entregas_BD!D:W,""select T where D='""&amp;D348&amp;""'"",1))"),0.0)</f>
        <v>0</v>
      </c>
    </row>
    <row r="349" ht="19.5" customHeight="1">
      <c r="A349" s="54"/>
      <c r="B349" s="29"/>
      <c r="C349" s="19">
        <v>348.0</v>
      </c>
      <c r="D349" s="20" t="s">
        <v>821</v>
      </c>
      <c r="E349" s="20" t="s">
        <v>72</v>
      </c>
      <c r="F349" s="20" t="s">
        <v>45</v>
      </c>
      <c r="G349" s="20" t="s">
        <v>149</v>
      </c>
      <c r="H349" s="22" t="s">
        <v>632</v>
      </c>
      <c r="I349" s="21" t="s">
        <v>41</v>
      </c>
      <c r="J349" s="22"/>
      <c r="K349" s="22"/>
      <c r="L349" s="23"/>
      <c r="M349" s="22"/>
      <c r="N349" s="19">
        <f>IFERROR(__xludf.DUMMYFUNCTION("SUM(QUERY(Entregas_BD!D:L,""select G where D='""&amp;D349&amp;""'"",1))"),0.0)</f>
        <v>0</v>
      </c>
      <c r="O349" s="19">
        <f>IFERROR(__xludf.DUMMYFUNCTION("SUM(QUERY(Entregas_BD!D:L,""select H where D='""&amp;D349&amp;""'"",1))"),0.0)</f>
        <v>0</v>
      </c>
      <c r="P349" s="19">
        <f>IFERROR(__xludf.DUMMYFUNCTION("SUM(QUERY(Entregas_BD!D:L,""select I where D='""&amp;D349&amp;""'"",1))"),0.0)</f>
        <v>0</v>
      </c>
      <c r="Q349" s="19">
        <f>IFERROR(__xludf.DUMMYFUNCTION("SUM(QUERY(Entregas_BD!D:L,""select J where D='""&amp;D349&amp;""'"",1))"),0.0)</f>
        <v>0</v>
      </c>
      <c r="R349" s="24">
        <f>IFERROR(__xludf.DUMMYFUNCTION("SUM(QUERY(Entregas_BD!D:L,""select K where D='""&amp;D349&amp;""'"",1))"),0.0)</f>
        <v>0</v>
      </c>
      <c r="S349" s="24">
        <f>IFERROR(__xludf.DUMMYFUNCTION("SUM(QUERY(Entregas_BD!D:L,""select L where D='""&amp;D349&amp;""'"",1))"),0.0)</f>
        <v>0</v>
      </c>
      <c r="T349" s="19">
        <f>IFERROR(__xludf.DUMMYFUNCTION("SUM(QUERY(Entregas_BD!D:AL,""select AG where D='""&amp;D349&amp;""'"",1))"),50.0)</f>
        <v>50</v>
      </c>
      <c r="U349" s="19">
        <f>IFERROR(__xludf.DUMMYFUNCTION("SUM(QUERY(Entregas_BD!D:AL,""select AH where D='""&amp;D349&amp;""'"",1))"),0.0)</f>
        <v>0</v>
      </c>
      <c r="V349" s="19">
        <f>IFERROR(__xludf.DUMMYFUNCTION("SUM(QUERY(Entregas_BD!D:AL,""select AI where D='""&amp;D349&amp;""'"",1))"),0.0)</f>
        <v>0</v>
      </c>
      <c r="W349" s="19">
        <f>IFERROR(__xludf.DUMMYFUNCTION("SUM(QUERY(Entregas_BD!D:AL,""select AJ where D='""&amp;D349&amp;""'"",1))"),0.0)</f>
        <v>0</v>
      </c>
      <c r="X349" s="19">
        <f>IFERROR(__xludf.DUMMYFUNCTION("SUM(QUERY(Entregas_BD!D:AL,""select AL where D='""&amp;D349&amp;""'"",1))"),0.0)</f>
        <v>0</v>
      </c>
      <c r="Y349" s="19">
        <f>IFERROR(__xludf.DUMMYFUNCTION("SUM(QUERY(Entregas_BD!D:AL,""select AK where D='""&amp;D349&amp;""'"",1))"),0.0)</f>
        <v>0</v>
      </c>
      <c r="Z349" s="19">
        <v>-50.0</v>
      </c>
      <c r="AA349" s="19">
        <v>0.0</v>
      </c>
      <c r="AB349" s="19">
        <v>0.0</v>
      </c>
      <c r="AC349" s="19">
        <v>0.0</v>
      </c>
      <c r="AD349" s="19">
        <v>0.0</v>
      </c>
      <c r="AE349" s="19">
        <v>0.0</v>
      </c>
      <c r="AF349" s="22"/>
      <c r="AG349" s="24">
        <f>IFERROR(__xludf.DUMMYFUNCTION("SUM(QUERY(Entregas_BD!D:W,""select U where D='""&amp;D349&amp;""'"",1))"),0.0)</f>
        <v>0</v>
      </c>
      <c r="AH349" s="24">
        <f>IFERROR(__xludf.DUMMYFUNCTION("SUM(QUERY(Entregas_BD!D:W,""select S where D='""&amp;D349&amp;""'"",1))"),0.0)</f>
        <v>0</v>
      </c>
      <c r="AI349" s="24">
        <f>IFERROR(__xludf.DUMMYFUNCTION("SUM(QUERY(Entregas_BD!D:W,""select T where D='""&amp;D349&amp;""'"",1))"),0.0)</f>
        <v>0</v>
      </c>
    </row>
    <row r="350" ht="19.5" customHeight="1">
      <c r="A350" s="53"/>
      <c r="B350" s="8"/>
      <c r="C350" s="9">
        <v>349.0</v>
      </c>
      <c r="D350" s="10" t="s">
        <v>822</v>
      </c>
      <c r="E350" s="10" t="s">
        <v>58</v>
      </c>
      <c r="F350" s="10" t="s">
        <v>45</v>
      </c>
      <c r="G350" s="10" t="s">
        <v>823</v>
      </c>
      <c r="H350" s="12" t="s">
        <v>824</v>
      </c>
      <c r="I350" s="11" t="s">
        <v>41</v>
      </c>
      <c r="J350" s="12"/>
      <c r="K350" s="12"/>
      <c r="L350" s="13"/>
      <c r="M350" s="12"/>
      <c r="N350" s="9">
        <f>IFERROR(__xludf.DUMMYFUNCTION("SUM(QUERY(Entregas_BD!D:L,""select G where D='""&amp;D350&amp;""'"",1))"),0.0)</f>
        <v>0</v>
      </c>
      <c r="O350" s="9">
        <f>IFERROR(__xludf.DUMMYFUNCTION("SUM(QUERY(Entregas_BD!D:L,""select H where D='""&amp;D350&amp;""'"",1))"),0.0)</f>
        <v>0</v>
      </c>
      <c r="P350" s="9">
        <f>IFERROR(__xludf.DUMMYFUNCTION("SUM(QUERY(Entregas_BD!D:L,""select I where D='""&amp;D350&amp;""'"",1))"),0.0)</f>
        <v>0</v>
      </c>
      <c r="Q350" s="9">
        <f>IFERROR(__xludf.DUMMYFUNCTION("SUM(QUERY(Entregas_BD!D:L,""select J where D='""&amp;D350&amp;""'"",1))"),0.0)</f>
        <v>0</v>
      </c>
      <c r="R350" s="15">
        <f>IFERROR(__xludf.DUMMYFUNCTION("SUM(QUERY(Entregas_BD!D:L,""select K where D='""&amp;D350&amp;""'"",1))"),0.0)</f>
        <v>0</v>
      </c>
      <c r="S350" s="15">
        <f>IFERROR(__xludf.DUMMYFUNCTION("SUM(QUERY(Entregas_BD!D:L,""select L where D='""&amp;D350&amp;""'"",1))"),0.0)</f>
        <v>0</v>
      </c>
      <c r="T350" s="9">
        <f>IFERROR(__xludf.DUMMYFUNCTION("SUM(QUERY(Entregas_BD!D:AL,""select AG where D='""&amp;D350&amp;""'"",1))"),0.0)</f>
        <v>0</v>
      </c>
      <c r="U350" s="9">
        <f>IFERROR(__xludf.DUMMYFUNCTION("SUM(QUERY(Entregas_BD!D:AL,""select AH where D='""&amp;D350&amp;""'"",1))"),0.0)</f>
        <v>0</v>
      </c>
      <c r="V350" s="9">
        <f>IFERROR(__xludf.DUMMYFUNCTION("SUM(QUERY(Entregas_BD!D:AL,""select AI where D='""&amp;D350&amp;""'"",1))"),0.0)</f>
        <v>0</v>
      </c>
      <c r="W350" s="9">
        <f>IFERROR(__xludf.DUMMYFUNCTION("SUM(QUERY(Entregas_BD!D:AL,""select AJ where D='""&amp;D350&amp;""'"",1))"),0.0)</f>
        <v>0</v>
      </c>
      <c r="X350" s="9">
        <f>IFERROR(__xludf.DUMMYFUNCTION("SUM(QUERY(Entregas_BD!D:AL,""select AL where D='""&amp;D350&amp;""'"",1))"),0.0)</f>
        <v>0</v>
      </c>
      <c r="Y350" s="9">
        <f>IFERROR(__xludf.DUMMYFUNCTION("SUM(QUERY(Entregas_BD!D:AL,""select AK where D='""&amp;D350&amp;""'"",1))"),0.0)</f>
        <v>0</v>
      </c>
      <c r="Z350" s="9">
        <v>0.0</v>
      </c>
      <c r="AA350" s="9">
        <v>0.0</v>
      </c>
      <c r="AB350" s="9">
        <v>0.0</v>
      </c>
      <c r="AC350" s="9">
        <v>0.0</v>
      </c>
      <c r="AD350" s="9">
        <v>0.0</v>
      </c>
      <c r="AE350" s="9">
        <v>0.0</v>
      </c>
      <c r="AF350" s="12"/>
      <c r="AG350" s="15">
        <f>IFERROR(__xludf.DUMMYFUNCTION("SUM(QUERY(Entregas_BD!D:W,""select U where D='""&amp;D350&amp;""'"",1))"),0.0)</f>
        <v>0</v>
      </c>
      <c r="AH350" s="15">
        <f>IFERROR(__xludf.DUMMYFUNCTION("SUM(QUERY(Entregas_BD!D:W,""select S where D='""&amp;D350&amp;""'"",1))"),0.0)</f>
        <v>0</v>
      </c>
      <c r="AI350" s="15">
        <f>IFERROR(__xludf.DUMMYFUNCTION("SUM(QUERY(Entregas_BD!D:W,""select T where D='""&amp;D350&amp;""'"",1))"),0.0)</f>
        <v>0</v>
      </c>
    </row>
    <row r="351" ht="19.5" customHeight="1">
      <c r="A351" s="54"/>
      <c r="B351" s="29"/>
      <c r="C351" s="19">
        <v>350.0</v>
      </c>
      <c r="D351" s="25" t="s">
        <v>825</v>
      </c>
      <c r="E351" s="20" t="s">
        <v>58</v>
      </c>
      <c r="F351" s="20" t="s">
        <v>45</v>
      </c>
      <c r="G351" s="20" t="s">
        <v>548</v>
      </c>
      <c r="H351" s="22" t="s">
        <v>826</v>
      </c>
      <c r="I351" s="21" t="s">
        <v>47</v>
      </c>
      <c r="J351" s="22"/>
      <c r="K351" s="22"/>
      <c r="L351" s="23"/>
      <c r="M351" s="22"/>
      <c r="N351" s="19">
        <f>IFERROR(__xludf.DUMMYFUNCTION("SUM(QUERY(Entregas_BD!D:L,""select G where D='""&amp;D351&amp;""'"",1))"),0.0)</f>
        <v>0</v>
      </c>
      <c r="O351" s="19">
        <f>IFERROR(__xludf.DUMMYFUNCTION("SUM(QUERY(Entregas_BD!D:L,""select H where D='""&amp;D351&amp;""'"",1))"),0.0)</f>
        <v>0</v>
      </c>
      <c r="P351" s="19">
        <f>IFERROR(__xludf.DUMMYFUNCTION("SUM(QUERY(Entregas_BD!D:L,""select I where D='""&amp;D351&amp;""'"",1))"),0.0)</f>
        <v>0</v>
      </c>
      <c r="Q351" s="19">
        <f>IFERROR(__xludf.DUMMYFUNCTION("SUM(QUERY(Entregas_BD!D:L,""select J where D='""&amp;D351&amp;""'"",1))"),0.0)</f>
        <v>0</v>
      </c>
      <c r="R351" s="24">
        <f>IFERROR(__xludf.DUMMYFUNCTION("SUM(QUERY(Entregas_BD!D:L,""select K where D='""&amp;D351&amp;""'"",1))"),0.0)</f>
        <v>0</v>
      </c>
      <c r="S351" s="24">
        <f>IFERROR(__xludf.DUMMYFUNCTION("SUM(QUERY(Entregas_BD!D:L,""select L where D='""&amp;D351&amp;""'"",1))"),0.0)</f>
        <v>0</v>
      </c>
      <c r="T351" s="19">
        <f>IFERROR(__xludf.DUMMYFUNCTION("SUM(QUERY(Entregas_BD!D:AL,""select AG where D='""&amp;D351&amp;""'"",1))"),0.0)</f>
        <v>0</v>
      </c>
      <c r="U351" s="19">
        <f>IFERROR(__xludf.DUMMYFUNCTION("SUM(QUERY(Entregas_BD!D:AL,""select AH where D='""&amp;D351&amp;""'"",1))"),0.0)</f>
        <v>0</v>
      </c>
      <c r="V351" s="19">
        <f>IFERROR(__xludf.DUMMYFUNCTION("SUM(QUERY(Entregas_BD!D:AL,""select AI where D='""&amp;D351&amp;""'"",1))"),0.0)</f>
        <v>0</v>
      </c>
      <c r="W351" s="19">
        <f>IFERROR(__xludf.DUMMYFUNCTION("SUM(QUERY(Entregas_BD!D:AL,""select AJ where D='""&amp;D351&amp;""'"",1))"),0.0)</f>
        <v>0</v>
      </c>
      <c r="X351" s="19">
        <f>IFERROR(__xludf.DUMMYFUNCTION("SUM(QUERY(Entregas_BD!D:AL,""select AL where D='""&amp;D351&amp;""'"",1))"),0.0)</f>
        <v>0</v>
      </c>
      <c r="Y351" s="19">
        <f>IFERROR(__xludf.DUMMYFUNCTION("SUM(QUERY(Entregas_BD!D:AL,""select AK where D='""&amp;D351&amp;""'"",1))"),0.0)</f>
        <v>0</v>
      </c>
      <c r="Z351" s="19">
        <v>0.0</v>
      </c>
      <c r="AA351" s="19">
        <v>0.0</v>
      </c>
      <c r="AB351" s="19">
        <v>0.0</v>
      </c>
      <c r="AC351" s="19">
        <v>0.0</v>
      </c>
      <c r="AD351" s="19">
        <v>0.0</v>
      </c>
      <c r="AE351" s="19">
        <v>0.0</v>
      </c>
      <c r="AF351" s="22"/>
      <c r="AG351" s="24">
        <f>IFERROR(__xludf.DUMMYFUNCTION("SUM(QUERY(Entregas_BD!D:W,""select U where D='""&amp;D351&amp;""'"",1))"),0.0)</f>
        <v>0</v>
      </c>
      <c r="AH351" s="24">
        <f>IFERROR(__xludf.DUMMYFUNCTION("SUM(QUERY(Entregas_BD!D:W,""select S where D='""&amp;D351&amp;""'"",1))"),0.0)</f>
        <v>0</v>
      </c>
      <c r="AI351" s="24">
        <f>IFERROR(__xludf.DUMMYFUNCTION("SUM(QUERY(Entregas_BD!D:W,""select T where D='""&amp;D351&amp;""'"",1))"),0.0)</f>
        <v>0</v>
      </c>
    </row>
    <row r="352" ht="19.5" customHeight="1">
      <c r="A352" s="53"/>
      <c r="B352" s="8"/>
      <c r="C352" s="9">
        <v>351.0</v>
      </c>
      <c r="D352" s="10" t="s">
        <v>827</v>
      </c>
      <c r="E352" s="10" t="s">
        <v>153</v>
      </c>
      <c r="F352" s="10" t="s">
        <v>828</v>
      </c>
      <c r="G352" s="10" t="s">
        <v>829</v>
      </c>
      <c r="H352" s="12" t="s">
        <v>830</v>
      </c>
      <c r="I352" s="11" t="s">
        <v>47</v>
      </c>
      <c r="J352" s="50"/>
      <c r="K352" s="12"/>
      <c r="L352" s="13"/>
      <c r="M352" s="12"/>
      <c r="N352" s="9">
        <f>IFERROR(__xludf.DUMMYFUNCTION("SUM(QUERY(Entregas_BD!D:L,""select G where D='""&amp;D352&amp;""'"",1))"),0.0)</f>
        <v>0</v>
      </c>
      <c r="O352" s="9">
        <f>IFERROR(__xludf.DUMMYFUNCTION("SUM(QUERY(Entregas_BD!D:L,""select H where D='""&amp;D352&amp;""'"",1))"),0.0)</f>
        <v>0</v>
      </c>
      <c r="P352" s="9">
        <f>IFERROR(__xludf.DUMMYFUNCTION("SUM(QUERY(Entregas_BD!D:L,""select I where D='""&amp;D352&amp;""'"",1))"),0.0)</f>
        <v>0</v>
      </c>
      <c r="Q352" s="9">
        <f>IFERROR(__xludf.DUMMYFUNCTION("SUM(QUERY(Entregas_BD!D:L,""select J where D='""&amp;D352&amp;""'"",1))"),0.0)</f>
        <v>0</v>
      </c>
      <c r="R352" s="15">
        <f>IFERROR(__xludf.DUMMYFUNCTION("SUM(QUERY(Entregas_BD!D:L,""select K where D='""&amp;D352&amp;""'"",1))"),0.0)</f>
        <v>0</v>
      </c>
      <c r="S352" s="15">
        <f>IFERROR(__xludf.DUMMYFUNCTION("SUM(QUERY(Entregas_BD!D:L,""select L where D='""&amp;D352&amp;""'"",1))"),0.0)</f>
        <v>0</v>
      </c>
      <c r="T352" s="9">
        <f>IFERROR(__xludf.DUMMYFUNCTION("SUM(QUERY(Entregas_BD!D:AL,""select AG where D='""&amp;D352&amp;""'"",1))"),0.0)</f>
        <v>0</v>
      </c>
      <c r="U352" s="9">
        <f>IFERROR(__xludf.DUMMYFUNCTION("SUM(QUERY(Entregas_BD!D:AL,""select AH where D='""&amp;D352&amp;""'"",1))"),0.0)</f>
        <v>0</v>
      </c>
      <c r="V352" s="9">
        <f>IFERROR(__xludf.DUMMYFUNCTION("SUM(QUERY(Entregas_BD!D:AL,""select AI where D='""&amp;D352&amp;""'"",1))"),0.0)</f>
        <v>0</v>
      </c>
      <c r="W352" s="9">
        <f>IFERROR(__xludf.DUMMYFUNCTION("SUM(QUERY(Entregas_BD!D:AL,""select AJ where D='""&amp;D352&amp;""'"",1))"),0.0)</f>
        <v>0</v>
      </c>
      <c r="X352" s="9">
        <f>IFERROR(__xludf.DUMMYFUNCTION("SUM(QUERY(Entregas_BD!D:AL,""select AL where D='""&amp;D352&amp;""'"",1))"),0.0)</f>
        <v>0</v>
      </c>
      <c r="Y352" s="9">
        <f>IFERROR(__xludf.DUMMYFUNCTION("SUM(QUERY(Entregas_BD!D:AL,""select AK where D='""&amp;D352&amp;""'"",1))"),0.0)</f>
        <v>0</v>
      </c>
      <c r="Z352" s="9">
        <v>0.0</v>
      </c>
      <c r="AA352" s="9">
        <v>0.0</v>
      </c>
      <c r="AB352" s="9">
        <v>0.0</v>
      </c>
      <c r="AC352" s="9">
        <v>0.0</v>
      </c>
      <c r="AD352" s="9">
        <v>0.0</v>
      </c>
      <c r="AE352" s="9">
        <v>0.0</v>
      </c>
      <c r="AF352" s="12"/>
      <c r="AG352" s="15">
        <f>IFERROR(__xludf.DUMMYFUNCTION("SUM(QUERY(Entregas_BD!D:W,""select U where D='""&amp;D352&amp;""'"",1))"),0.0)</f>
        <v>0</v>
      </c>
      <c r="AH352" s="15">
        <f>IFERROR(__xludf.DUMMYFUNCTION("SUM(QUERY(Entregas_BD!D:W,""select S where D='""&amp;D352&amp;""'"",1))"),0.0)</f>
        <v>0</v>
      </c>
      <c r="AI352" s="15">
        <f>IFERROR(__xludf.DUMMYFUNCTION("SUM(QUERY(Entregas_BD!D:W,""select T where D='""&amp;D352&amp;""'"",1))"),0.0)</f>
        <v>0</v>
      </c>
    </row>
    <row r="353" ht="19.5" customHeight="1">
      <c r="A353" s="54"/>
      <c r="B353" s="29"/>
      <c r="C353" s="19">
        <v>352.0</v>
      </c>
      <c r="D353" s="20" t="s">
        <v>831</v>
      </c>
      <c r="E353" s="20" t="s">
        <v>197</v>
      </c>
      <c r="F353" s="20" t="s">
        <v>494</v>
      </c>
      <c r="G353" s="20" t="s">
        <v>832</v>
      </c>
      <c r="H353" s="22" t="s">
        <v>622</v>
      </c>
      <c r="I353" s="21" t="s">
        <v>41</v>
      </c>
      <c r="J353" s="51"/>
      <c r="K353" s="22"/>
      <c r="L353" s="23"/>
      <c r="M353" s="22"/>
      <c r="N353" s="19">
        <f>IFERROR(__xludf.DUMMYFUNCTION("SUM(QUERY(Entregas_BD!D:L,""select G where D='""&amp;D353&amp;""'"",1))"),0.0)</f>
        <v>0</v>
      </c>
      <c r="O353" s="19">
        <f>IFERROR(__xludf.DUMMYFUNCTION("SUM(QUERY(Entregas_BD!D:L,""select H where D='""&amp;D353&amp;""'"",1))"),0.0)</f>
        <v>0</v>
      </c>
      <c r="P353" s="19">
        <f>IFERROR(__xludf.DUMMYFUNCTION("SUM(QUERY(Entregas_BD!D:L,""select I where D='""&amp;D353&amp;""'"",1))"),0.0)</f>
        <v>0</v>
      </c>
      <c r="Q353" s="19">
        <f>IFERROR(__xludf.DUMMYFUNCTION("SUM(QUERY(Entregas_BD!D:L,""select J where D='""&amp;D353&amp;""'"",1))"),0.0)</f>
        <v>0</v>
      </c>
      <c r="R353" s="24">
        <f>IFERROR(__xludf.DUMMYFUNCTION("SUM(QUERY(Entregas_BD!D:L,""select K where D='""&amp;D353&amp;""'"",1))"),0.0)</f>
        <v>0</v>
      </c>
      <c r="S353" s="24">
        <f>IFERROR(__xludf.DUMMYFUNCTION("SUM(QUERY(Entregas_BD!D:L,""select L where D='""&amp;D353&amp;""'"",1))"),0.0)</f>
        <v>0</v>
      </c>
      <c r="T353" s="19">
        <f>IFERROR(__xludf.DUMMYFUNCTION("SUM(QUERY(Entregas_BD!D:AL,""select AG where D='""&amp;D353&amp;""'"",1))"),50.0)</f>
        <v>50</v>
      </c>
      <c r="U353" s="19">
        <f>IFERROR(__xludf.DUMMYFUNCTION("SUM(QUERY(Entregas_BD!D:AL,""select AH where D='""&amp;D353&amp;""'"",1))"),0.0)</f>
        <v>0</v>
      </c>
      <c r="V353" s="19">
        <f>IFERROR(__xludf.DUMMYFUNCTION("SUM(QUERY(Entregas_BD!D:AL,""select AI where D='""&amp;D353&amp;""'"",1))"),0.0)</f>
        <v>0</v>
      </c>
      <c r="W353" s="19">
        <f>IFERROR(__xludf.DUMMYFUNCTION("SUM(QUERY(Entregas_BD!D:AL,""select AJ where D='""&amp;D353&amp;""'"",1))"),0.0)</f>
        <v>0</v>
      </c>
      <c r="X353" s="19">
        <f>IFERROR(__xludf.DUMMYFUNCTION("SUM(QUERY(Entregas_BD!D:AL,""select AL where D='""&amp;D353&amp;""'"",1))"),0.0)</f>
        <v>0</v>
      </c>
      <c r="Y353" s="19">
        <f>IFERROR(__xludf.DUMMYFUNCTION("SUM(QUERY(Entregas_BD!D:AL,""select AK where D='""&amp;D353&amp;""'"",1))"),0.0)</f>
        <v>0</v>
      </c>
      <c r="Z353" s="19">
        <v>-50.0</v>
      </c>
      <c r="AA353" s="19">
        <v>0.0</v>
      </c>
      <c r="AB353" s="19">
        <v>0.0</v>
      </c>
      <c r="AC353" s="19">
        <v>0.0</v>
      </c>
      <c r="AD353" s="19">
        <v>0.0</v>
      </c>
      <c r="AE353" s="19">
        <v>0.0</v>
      </c>
      <c r="AF353" s="22"/>
      <c r="AG353" s="24">
        <f>IFERROR(__xludf.DUMMYFUNCTION("SUM(QUERY(Entregas_BD!D:W,""select U where D='""&amp;D353&amp;""'"",1))"),0.0)</f>
        <v>0</v>
      </c>
      <c r="AH353" s="24">
        <f>IFERROR(__xludf.DUMMYFUNCTION("SUM(QUERY(Entregas_BD!D:W,""select S where D='""&amp;D353&amp;""'"",1))"),0.0)</f>
        <v>0</v>
      </c>
      <c r="AI353" s="24">
        <f>IFERROR(__xludf.DUMMYFUNCTION("SUM(QUERY(Entregas_BD!D:W,""select T where D='""&amp;D353&amp;""'"",1))"),0.0)</f>
        <v>0</v>
      </c>
    </row>
    <row r="354" ht="19.5" customHeight="1">
      <c r="A354" s="53"/>
      <c r="B354" s="8"/>
      <c r="C354" s="9">
        <v>353.0</v>
      </c>
      <c r="D354" s="10" t="s">
        <v>833</v>
      </c>
      <c r="E354" s="10" t="s">
        <v>197</v>
      </c>
      <c r="F354" s="10" t="s">
        <v>243</v>
      </c>
      <c r="G354" s="10" t="s">
        <v>244</v>
      </c>
      <c r="H354" s="12" t="s">
        <v>632</v>
      </c>
      <c r="I354" s="11" t="s">
        <v>41</v>
      </c>
      <c r="J354" s="12"/>
      <c r="K354" s="12"/>
      <c r="L354" s="13"/>
      <c r="M354" s="12"/>
      <c r="N354" s="9">
        <f>IFERROR(__xludf.DUMMYFUNCTION("SUM(QUERY(Entregas_BD!D:L,""select G where D='""&amp;D354&amp;""'"",1))"),0.0)</f>
        <v>0</v>
      </c>
      <c r="O354" s="9">
        <f>IFERROR(__xludf.DUMMYFUNCTION("SUM(QUERY(Entregas_BD!D:L,""select H where D='""&amp;D354&amp;""'"",1))"),0.0)</f>
        <v>0</v>
      </c>
      <c r="P354" s="9">
        <f>IFERROR(__xludf.DUMMYFUNCTION("SUM(QUERY(Entregas_BD!D:L,""select I where D='""&amp;D354&amp;""'"",1))"),0.0)</f>
        <v>0</v>
      </c>
      <c r="Q354" s="9">
        <f>IFERROR(__xludf.DUMMYFUNCTION("SUM(QUERY(Entregas_BD!D:L,""select J where D='""&amp;D354&amp;""'"",1))"),0.0)</f>
        <v>0</v>
      </c>
      <c r="R354" s="15">
        <f>IFERROR(__xludf.DUMMYFUNCTION("SUM(QUERY(Entregas_BD!D:L,""select K where D='""&amp;D354&amp;""'"",1))"),0.0)</f>
        <v>0</v>
      </c>
      <c r="S354" s="15">
        <f>IFERROR(__xludf.DUMMYFUNCTION("SUM(QUERY(Entregas_BD!D:L,""select L where D='""&amp;D354&amp;""'"",1))"),0.0)</f>
        <v>0</v>
      </c>
      <c r="T354" s="9">
        <f>IFERROR(__xludf.DUMMYFUNCTION("SUM(QUERY(Entregas_BD!D:AL,""select AG where D='""&amp;D354&amp;""'"",1))"),0.0)</f>
        <v>0</v>
      </c>
      <c r="U354" s="9">
        <f>IFERROR(__xludf.DUMMYFUNCTION("SUM(QUERY(Entregas_BD!D:AL,""select AH where D='""&amp;D354&amp;""'"",1))"),0.0)</f>
        <v>0</v>
      </c>
      <c r="V354" s="9">
        <f>IFERROR(__xludf.DUMMYFUNCTION("SUM(QUERY(Entregas_BD!D:AL,""select AI where D='""&amp;D354&amp;""'"",1))"),0.0)</f>
        <v>0</v>
      </c>
      <c r="W354" s="9">
        <f>IFERROR(__xludf.DUMMYFUNCTION("SUM(QUERY(Entregas_BD!D:AL,""select AJ where D='""&amp;D354&amp;""'"",1))"),0.0)</f>
        <v>0</v>
      </c>
      <c r="X354" s="9">
        <f>IFERROR(__xludf.DUMMYFUNCTION("SUM(QUERY(Entregas_BD!D:AL,""select AL where D='""&amp;D354&amp;""'"",1))"),0.0)</f>
        <v>0</v>
      </c>
      <c r="Y354" s="9">
        <f>IFERROR(__xludf.DUMMYFUNCTION("SUM(QUERY(Entregas_BD!D:AL,""select AK where D='""&amp;D354&amp;""'"",1))"),0.0)</f>
        <v>0</v>
      </c>
      <c r="Z354" s="9">
        <v>0.0</v>
      </c>
      <c r="AA354" s="9">
        <v>0.0</v>
      </c>
      <c r="AB354" s="9">
        <v>0.0</v>
      </c>
      <c r="AC354" s="9">
        <v>0.0</v>
      </c>
      <c r="AD354" s="9">
        <v>0.0</v>
      </c>
      <c r="AE354" s="9">
        <v>0.0</v>
      </c>
      <c r="AF354" s="12"/>
      <c r="AG354" s="15">
        <f>IFERROR(__xludf.DUMMYFUNCTION("SUM(QUERY(Entregas_BD!D:W,""select U where D='""&amp;D354&amp;""'"",1))"),0.0)</f>
        <v>0</v>
      </c>
      <c r="AH354" s="15">
        <f>IFERROR(__xludf.DUMMYFUNCTION("SUM(QUERY(Entregas_BD!D:W,""select S where D='""&amp;D354&amp;""'"",1))"),0.0)</f>
        <v>0</v>
      </c>
      <c r="AI354" s="15">
        <f>IFERROR(__xludf.DUMMYFUNCTION("SUM(QUERY(Entregas_BD!D:W,""select T where D='""&amp;D354&amp;""'"",1))"),0.0)</f>
        <v>0</v>
      </c>
    </row>
    <row r="355" ht="19.5" customHeight="1">
      <c r="A355" s="54"/>
      <c r="B355" s="29"/>
      <c r="C355" s="19">
        <v>354.0</v>
      </c>
      <c r="D355" s="20" t="s">
        <v>834</v>
      </c>
      <c r="E355" s="20" t="s">
        <v>58</v>
      </c>
      <c r="F355" s="20" t="s">
        <v>45</v>
      </c>
      <c r="G355" s="20" t="s">
        <v>835</v>
      </c>
      <c r="H355" s="22" t="s">
        <v>617</v>
      </c>
      <c r="I355" s="21" t="s">
        <v>41</v>
      </c>
      <c r="J355" s="22"/>
      <c r="K355" s="22"/>
      <c r="L355" s="23"/>
      <c r="M355" s="22"/>
      <c r="N355" s="19">
        <f>IFERROR(__xludf.DUMMYFUNCTION("SUM(QUERY(Entregas_BD!D:L,""select G where D='""&amp;D355&amp;""'"",1))"),0.0)</f>
        <v>0</v>
      </c>
      <c r="O355" s="19">
        <f>IFERROR(__xludf.DUMMYFUNCTION("SUM(QUERY(Entregas_BD!D:L,""select H where D='""&amp;D355&amp;""'"",1))"),0.0)</f>
        <v>0</v>
      </c>
      <c r="P355" s="19">
        <f>IFERROR(__xludf.DUMMYFUNCTION("SUM(QUERY(Entregas_BD!D:L,""select I where D='""&amp;D355&amp;""'"",1))"),0.0)</f>
        <v>0</v>
      </c>
      <c r="Q355" s="19">
        <f>IFERROR(__xludf.DUMMYFUNCTION("SUM(QUERY(Entregas_BD!D:L,""select J where D='""&amp;D355&amp;""'"",1))"),0.0)</f>
        <v>0</v>
      </c>
      <c r="R355" s="24">
        <f>IFERROR(__xludf.DUMMYFUNCTION("SUM(QUERY(Entregas_BD!D:L,""select K where D='""&amp;D355&amp;""'"",1))"),0.0)</f>
        <v>0</v>
      </c>
      <c r="S355" s="24">
        <f>IFERROR(__xludf.DUMMYFUNCTION("SUM(QUERY(Entregas_BD!D:L,""select L where D='""&amp;D355&amp;""'"",1))"),0.0)</f>
        <v>0</v>
      </c>
      <c r="T355" s="19">
        <f>IFERROR(__xludf.DUMMYFUNCTION("SUM(QUERY(Entregas_BD!D:AL,""select AG where D='""&amp;D355&amp;""'"",1))"),305.0)</f>
        <v>305</v>
      </c>
      <c r="U355" s="19">
        <f>IFERROR(__xludf.DUMMYFUNCTION("SUM(QUERY(Entregas_BD!D:AL,""select AH where D='""&amp;D355&amp;""'"",1))"),0.0)</f>
        <v>0</v>
      </c>
      <c r="V355" s="19">
        <f>IFERROR(__xludf.DUMMYFUNCTION("SUM(QUERY(Entregas_BD!D:AL,""select AI where D='""&amp;D355&amp;""'"",1))"),0.0)</f>
        <v>0</v>
      </c>
      <c r="W355" s="19">
        <f>IFERROR(__xludf.DUMMYFUNCTION("SUM(QUERY(Entregas_BD!D:AL,""select AJ where D='""&amp;D355&amp;""'"",1))"),0.0)</f>
        <v>0</v>
      </c>
      <c r="X355" s="19">
        <f>IFERROR(__xludf.DUMMYFUNCTION("SUM(QUERY(Entregas_BD!D:AL,""select AL where D='""&amp;D355&amp;""'"",1))"),0.0)</f>
        <v>0</v>
      </c>
      <c r="Y355" s="19">
        <f>IFERROR(__xludf.DUMMYFUNCTION("SUM(QUERY(Entregas_BD!D:AL,""select AK where D='""&amp;D355&amp;""'"",1))"),0.0)</f>
        <v>0</v>
      </c>
      <c r="Z355" s="19">
        <v>-305.0</v>
      </c>
      <c r="AA355" s="19">
        <v>0.0</v>
      </c>
      <c r="AB355" s="19">
        <v>0.0</v>
      </c>
      <c r="AC355" s="19">
        <v>0.0</v>
      </c>
      <c r="AD355" s="19">
        <v>0.0</v>
      </c>
      <c r="AE355" s="19">
        <v>0.0</v>
      </c>
      <c r="AF355" s="22"/>
      <c r="AG355" s="24">
        <f>IFERROR(__xludf.DUMMYFUNCTION("SUM(QUERY(Entregas_BD!D:W,""select U where D='""&amp;D355&amp;""'"",1))"),0.0)</f>
        <v>0</v>
      </c>
      <c r="AH355" s="24">
        <f>IFERROR(__xludf.DUMMYFUNCTION("SUM(QUERY(Entregas_BD!D:W,""select S where D='""&amp;D355&amp;""'"",1))"),0.0)</f>
        <v>0</v>
      </c>
      <c r="AI355" s="24">
        <f>IFERROR(__xludf.DUMMYFUNCTION("SUM(QUERY(Entregas_BD!D:W,""select T where D='""&amp;D355&amp;""'"",1))"),0.0)</f>
        <v>0</v>
      </c>
    </row>
    <row r="356" ht="19.5" customHeight="1">
      <c r="A356" s="63"/>
      <c r="B356" s="27"/>
      <c r="C356" s="9">
        <v>355.0</v>
      </c>
      <c r="D356" s="10" t="s">
        <v>836</v>
      </c>
      <c r="E356" s="10" t="s">
        <v>54</v>
      </c>
      <c r="F356" s="10" t="s">
        <v>45</v>
      </c>
      <c r="G356" s="10" t="s">
        <v>440</v>
      </c>
      <c r="H356" s="12" t="s">
        <v>69</v>
      </c>
      <c r="I356" s="11" t="s">
        <v>41</v>
      </c>
      <c r="J356" s="50"/>
      <c r="K356" s="12"/>
      <c r="L356" s="13"/>
      <c r="M356" s="12"/>
      <c r="N356" s="9">
        <f>IFERROR(__xludf.DUMMYFUNCTION("SUM(QUERY(Entregas_BD!D:L,""select G where D='""&amp;D356&amp;""'"",1))"),0.0)</f>
        <v>0</v>
      </c>
      <c r="O356" s="9">
        <f>IFERROR(__xludf.DUMMYFUNCTION("SUM(QUERY(Entregas_BD!D:L,""select H where D='""&amp;D356&amp;""'"",1))"),0.0)</f>
        <v>0</v>
      </c>
      <c r="P356" s="9">
        <f>IFERROR(__xludf.DUMMYFUNCTION("SUM(QUERY(Entregas_BD!D:L,""select I where D='""&amp;D356&amp;""'"",1))"),0.0)</f>
        <v>0</v>
      </c>
      <c r="Q356" s="9">
        <f>IFERROR(__xludf.DUMMYFUNCTION("SUM(QUERY(Entregas_BD!D:L,""select J where D='""&amp;D356&amp;""'"",1))"),0.0)</f>
        <v>0</v>
      </c>
      <c r="R356" s="15">
        <f>IFERROR(__xludf.DUMMYFUNCTION("SUM(QUERY(Entregas_BD!D:L,""select K where D='""&amp;D356&amp;""'"",1))"),0.0)</f>
        <v>0</v>
      </c>
      <c r="S356" s="15">
        <f>IFERROR(__xludf.DUMMYFUNCTION("SUM(QUERY(Entregas_BD!D:L,""select L where D='""&amp;D356&amp;""'"",1))"),0.0)</f>
        <v>0</v>
      </c>
      <c r="T356" s="9">
        <f>IFERROR(__xludf.DUMMYFUNCTION("SUM(QUERY(Entregas_BD!D:AL,""select AG where D='""&amp;D356&amp;""'"",1))"),50.0)</f>
        <v>50</v>
      </c>
      <c r="U356" s="9">
        <f>IFERROR(__xludf.DUMMYFUNCTION("SUM(QUERY(Entregas_BD!D:AL,""select AH where D='""&amp;D356&amp;""'"",1))"),0.0)</f>
        <v>0</v>
      </c>
      <c r="V356" s="9">
        <f>IFERROR(__xludf.DUMMYFUNCTION("SUM(QUERY(Entregas_BD!D:AL,""select AI where D='""&amp;D356&amp;""'"",1))"),0.0)</f>
        <v>0</v>
      </c>
      <c r="W356" s="9">
        <f>IFERROR(__xludf.DUMMYFUNCTION("SUM(QUERY(Entregas_BD!D:AL,""select AJ where D='""&amp;D356&amp;""'"",1))"),0.0)</f>
        <v>0</v>
      </c>
      <c r="X356" s="9">
        <f>IFERROR(__xludf.DUMMYFUNCTION("SUM(QUERY(Entregas_BD!D:AL,""select AL where D='""&amp;D356&amp;""'"",1))"),0.0)</f>
        <v>0</v>
      </c>
      <c r="Y356" s="9">
        <f>IFERROR(__xludf.DUMMYFUNCTION("SUM(QUERY(Entregas_BD!D:AL,""select AK where D='""&amp;D356&amp;""'"",1))"),0.0)</f>
        <v>0</v>
      </c>
      <c r="Z356" s="9">
        <v>-50.0</v>
      </c>
      <c r="AA356" s="9">
        <v>0.0</v>
      </c>
      <c r="AB356" s="9">
        <v>0.0</v>
      </c>
      <c r="AC356" s="9">
        <v>0.0</v>
      </c>
      <c r="AD356" s="9">
        <v>0.0</v>
      </c>
      <c r="AE356" s="9">
        <v>0.0</v>
      </c>
      <c r="AF356" s="12"/>
      <c r="AG356" s="15">
        <f>IFERROR(__xludf.DUMMYFUNCTION("SUM(QUERY(Entregas_BD!D:W,""select U where D='""&amp;D356&amp;""'"",1))"),0.0)</f>
        <v>0</v>
      </c>
      <c r="AH356" s="15">
        <f>IFERROR(__xludf.DUMMYFUNCTION("SUM(QUERY(Entregas_BD!D:W,""select S where D='""&amp;D356&amp;""'"",1))"),0.0)</f>
        <v>0</v>
      </c>
      <c r="AI356" s="15">
        <f>IFERROR(__xludf.DUMMYFUNCTION("SUM(QUERY(Entregas_BD!D:W,""select T where D='""&amp;D356&amp;""'"",1))"),0.0)</f>
        <v>0</v>
      </c>
    </row>
    <row r="357" ht="19.5" customHeight="1">
      <c r="A357" s="64"/>
      <c r="B357" s="18"/>
      <c r="C357" s="19">
        <v>356.0</v>
      </c>
      <c r="D357" s="20" t="s">
        <v>837</v>
      </c>
      <c r="E357" s="20" t="s">
        <v>838</v>
      </c>
      <c r="F357" s="20" t="s">
        <v>839</v>
      </c>
      <c r="G357" s="20" t="s">
        <v>840</v>
      </c>
      <c r="H357" s="22" t="s">
        <v>841</v>
      </c>
      <c r="I357" s="21" t="s">
        <v>41</v>
      </c>
      <c r="J357" s="22"/>
      <c r="K357" s="22"/>
      <c r="L357" s="23"/>
      <c r="M357" s="22"/>
      <c r="N357" s="19">
        <f>IFERROR(__xludf.DUMMYFUNCTION("SUM(QUERY(Entregas_BD!D:L,""select G where D='""&amp;D357&amp;""'"",1))"),0.0)</f>
        <v>0</v>
      </c>
      <c r="O357" s="19">
        <f>IFERROR(__xludf.DUMMYFUNCTION("SUM(QUERY(Entregas_BD!D:L,""select H where D='""&amp;D357&amp;""'"",1))"),0.0)</f>
        <v>0</v>
      </c>
      <c r="P357" s="19">
        <f>IFERROR(__xludf.DUMMYFUNCTION("SUM(QUERY(Entregas_BD!D:L,""select I where D='""&amp;D357&amp;""'"",1))"),0.0)</f>
        <v>0</v>
      </c>
      <c r="Q357" s="19">
        <f>IFERROR(__xludf.DUMMYFUNCTION("SUM(QUERY(Entregas_BD!D:L,""select J where D='""&amp;D357&amp;""'"",1))"),0.0)</f>
        <v>0</v>
      </c>
      <c r="R357" s="24">
        <f>IFERROR(__xludf.DUMMYFUNCTION("SUM(QUERY(Entregas_BD!D:L,""select K where D='""&amp;D357&amp;""'"",1))"),0.0)</f>
        <v>0</v>
      </c>
      <c r="S357" s="24">
        <f>IFERROR(__xludf.DUMMYFUNCTION("SUM(QUERY(Entregas_BD!D:L,""select L where D='""&amp;D357&amp;""'"",1))"),0.0)</f>
        <v>0</v>
      </c>
      <c r="T357" s="19">
        <f>IFERROR(__xludf.DUMMYFUNCTION("SUM(QUERY(Entregas_BD!D:AL,""select AG where D='""&amp;D357&amp;""'"",1))"),50.0)</f>
        <v>50</v>
      </c>
      <c r="U357" s="19">
        <f>IFERROR(__xludf.DUMMYFUNCTION("SUM(QUERY(Entregas_BD!D:AL,""select AH where D='""&amp;D357&amp;""'"",1))"),0.0)</f>
        <v>0</v>
      </c>
      <c r="V357" s="19">
        <f>IFERROR(__xludf.DUMMYFUNCTION("SUM(QUERY(Entregas_BD!D:AL,""select AI where D='""&amp;D357&amp;""'"",1))"),0.0)</f>
        <v>0</v>
      </c>
      <c r="W357" s="19">
        <f>IFERROR(__xludf.DUMMYFUNCTION("SUM(QUERY(Entregas_BD!D:AL,""select AJ where D='""&amp;D357&amp;""'"",1))"),0.0)</f>
        <v>0</v>
      </c>
      <c r="X357" s="19">
        <f>IFERROR(__xludf.DUMMYFUNCTION("SUM(QUERY(Entregas_BD!D:AL,""select AL where D='""&amp;D357&amp;""'"",1))"),0.0)</f>
        <v>0</v>
      </c>
      <c r="Y357" s="19">
        <f>IFERROR(__xludf.DUMMYFUNCTION("SUM(QUERY(Entregas_BD!D:AL,""select AK where D='""&amp;D357&amp;""'"",1))"),0.0)</f>
        <v>0</v>
      </c>
      <c r="Z357" s="19">
        <v>-50.0</v>
      </c>
      <c r="AA357" s="19">
        <v>0.0</v>
      </c>
      <c r="AB357" s="19">
        <v>0.0</v>
      </c>
      <c r="AC357" s="19">
        <v>0.0</v>
      </c>
      <c r="AD357" s="19">
        <v>0.0</v>
      </c>
      <c r="AE357" s="19">
        <v>0.0</v>
      </c>
      <c r="AF357" s="22"/>
      <c r="AG357" s="24">
        <f>IFERROR(__xludf.DUMMYFUNCTION("SUM(QUERY(Entregas_BD!D:W,""select U where D='""&amp;D357&amp;""'"",1))"),0.0)</f>
        <v>0</v>
      </c>
      <c r="AH357" s="24">
        <f>IFERROR(__xludf.DUMMYFUNCTION("SUM(QUERY(Entregas_BD!D:W,""select S where D='""&amp;D357&amp;""'"",1))"),0.0)</f>
        <v>0</v>
      </c>
      <c r="AI357" s="24">
        <f>IFERROR(__xludf.DUMMYFUNCTION("SUM(QUERY(Entregas_BD!D:W,""select T where D='""&amp;D357&amp;""'"",1))"),0.0)</f>
        <v>0</v>
      </c>
    </row>
    <row r="358" ht="19.5" customHeight="1">
      <c r="A358" s="63"/>
      <c r="B358" s="27"/>
      <c r="C358" s="9">
        <v>357.0</v>
      </c>
      <c r="D358" s="10" t="s">
        <v>842</v>
      </c>
      <c r="E358" s="10" t="s">
        <v>58</v>
      </c>
      <c r="F358" s="10" t="s">
        <v>583</v>
      </c>
      <c r="G358" s="10" t="s">
        <v>843</v>
      </c>
      <c r="H358" s="12" t="s">
        <v>622</v>
      </c>
      <c r="I358" s="11" t="s">
        <v>41</v>
      </c>
      <c r="J358" s="12"/>
      <c r="K358" s="12"/>
      <c r="L358" s="13"/>
      <c r="M358" s="12"/>
      <c r="N358" s="9">
        <f>IFERROR(__xludf.DUMMYFUNCTION("SUM(QUERY(Entregas_BD!D:L,""select G where D='""&amp;D358&amp;""'"",1))"),0.0)</f>
        <v>0</v>
      </c>
      <c r="O358" s="9">
        <f>IFERROR(__xludf.DUMMYFUNCTION("SUM(QUERY(Entregas_BD!D:L,""select H where D='""&amp;D358&amp;""'"",1))"),0.0)</f>
        <v>0</v>
      </c>
      <c r="P358" s="9">
        <f>IFERROR(__xludf.DUMMYFUNCTION("SUM(QUERY(Entregas_BD!D:L,""select I where D='""&amp;D358&amp;""'"",1))"),0.0)</f>
        <v>0</v>
      </c>
      <c r="Q358" s="9">
        <f>IFERROR(__xludf.DUMMYFUNCTION("SUM(QUERY(Entregas_BD!D:L,""select J where D='""&amp;D358&amp;""'"",1))"),0.0)</f>
        <v>0</v>
      </c>
      <c r="R358" s="15">
        <f>IFERROR(__xludf.DUMMYFUNCTION("SUM(QUERY(Entregas_BD!D:L,""select K where D='""&amp;D358&amp;""'"",1))"),0.0)</f>
        <v>0</v>
      </c>
      <c r="S358" s="15">
        <f>IFERROR(__xludf.DUMMYFUNCTION("SUM(QUERY(Entregas_BD!D:L,""select L where D='""&amp;D358&amp;""'"",1))"),0.0)</f>
        <v>0</v>
      </c>
      <c r="T358" s="9">
        <f>IFERROR(__xludf.DUMMYFUNCTION("SUM(QUERY(Entregas_BD!D:AL,""select AG where D='""&amp;D358&amp;""'"",1))"),50.0)</f>
        <v>50</v>
      </c>
      <c r="U358" s="9">
        <f>IFERROR(__xludf.DUMMYFUNCTION("SUM(QUERY(Entregas_BD!D:AL,""select AH where D='""&amp;D358&amp;""'"",1))"),0.0)</f>
        <v>0</v>
      </c>
      <c r="V358" s="9">
        <f>IFERROR(__xludf.DUMMYFUNCTION("SUM(QUERY(Entregas_BD!D:AL,""select AI where D='""&amp;D358&amp;""'"",1))"),0.0)</f>
        <v>0</v>
      </c>
      <c r="W358" s="9">
        <f>IFERROR(__xludf.DUMMYFUNCTION("SUM(QUERY(Entregas_BD!D:AL,""select AJ where D='""&amp;D358&amp;""'"",1))"),0.0)</f>
        <v>0</v>
      </c>
      <c r="X358" s="9">
        <f>IFERROR(__xludf.DUMMYFUNCTION("SUM(QUERY(Entregas_BD!D:AL,""select AL where D='""&amp;D358&amp;""'"",1))"),0.0)</f>
        <v>0</v>
      </c>
      <c r="Y358" s="9">
        <f>IFERROR(__xludf.DUMMYFUNCTION("SUM(QUERY(Entregas_BD!D:AL,""select AK where D='""&amp;D358&amp;""'"",1))"),0.0)</f>
        <v>0</v>
      </c>
      <c r="Z358" s="9">
        <v>-50.0</v>
      </c>
      <c r="AA358" s="9">
        <v>0.0</v>
      </c>
      <c r="AB358" s="9">
        <v>0.0</v>
      </c>
      <c r="AC358" s="9">
        <v>0.0</v>
      </c>
      <c r="AD358" s="9">
        <v>0.0</v>
      </c>
      <c r="AE358" s="9">
        <v>0.0</v>
      </c>
      <c r="AF358" s="12"/>
      <c r="AG358" s="15">
        <f>IFERROR(__xludf.DUMMYFUNCTION("SUM(QUERY(Entregas_BD!D:W,""select U where D='""&amp;D358&amp;""'"",1))"),0.0)</f>
        <v>0</v>
      </c>
      <c r="AH358" s="15">
        <f>IFERROR(__xludf.DUMMYFUNCTION("SUM(QUERY(Entregas_BD!D:W,""select S where D='""&amp;D358&amp;""'"",1))"),0.0)</f>
        <v>0</v>
      </c>
      <c r="AI358" s="15">
        <f>IFERROR(__xludf.DUMMYFUNCTION("SUM(QUERY(Entregas_BD!D:W,""select T where D='""&amp;D358&amp;""'"",1))"),0.0)</f>
        <v>0</v>
      </c>
    </row>
    <row r="359" ht="19.5" customHeight="1">
      <c r="A359" s="64"/>
      <c r="B359" s="18"/>
      <c r="C359" s="19">
        <v>358.0</v>
      </c>
      <c r="D359" s="20" t="s">
        <v>844</v>
      </c>
      <c r="E359" s="20" t="s">
        <v>58</v>
      </c>
      <c r="F359" s="20" t="s">
        <v>45</v>
      </c>
      <c r="G359" s="20" t="s">
        <v>292</v>
      </c>
      <c r="H359" s="22" t="s">
        <v>845</v>
      </c>
      <c r="I359" s="21" t="s">
        <v>41</v>
      </c>
      <c r="J359" s="22"/>
      <c r="K359" s="22"/>
      <c r="L359" s="23"/>
      <c r="M359" s="22"/>
      <c r="N359" s="19">
        <f>IFERROR(__xludf.DUMMYFUNCTION("SUM(QUERY(Entregas_BD!D:L,""select G where D='""&amp;D359&amp;""'"",1))"),0.0)</f>
        <v>0</v>
      </c>
      <c r="O359" s="19">
        <f>IFERROR(__xludf.DUMMYFUNCTION("SUM(QUERY(Entregas_BD!D:L,""select H where D='""&amp;D359&amp;""'"",1))"),0.0)</f>
        <v>0</v>
      </c>
      <c r="P359" s="19">
        <f>IFERROR(__xludf.DUMMYFUNCTION("SUM(QUERY(Entregas_BD!D:L,""select I where D='""&amp;D359&amp;""'"",1))"),0.0)</f>
        <v>0</v>
      </c>
      <c r="Q359" s="19">
        <f>IFERROR(__xludf.DUMMYFUNCTION("SUM(QUERY(Entregas_BD!D:L,""select J where D='""&amp;D359&amp;""'"",1))"),0.0)</f>
        <v>0</v>
      </c>
      <c r="R359" s="24">
        <f>IFERROR(__xludf.DUMMYFUNCTION("SUM(QUERY(Entregas_BD!D:L,""select K where D='""&amp;D359&amp;""'"",1))"),0.0)</f>
        <v>0</v>
      </c>
      <c r="S359" s="24">
        <f>IFERROR(__xludf.DUMMYFUNCTION("SUM(QUERY(Entregas_BD!D:L,""select L where D='""&amp;D359&amp;""'"",1))"),0.0)</f>
        <v>0</v>
      </c>
      <c r="T359" s="19">
        <f>IFERROR(__xludf.DUMMYFUNCTION("SUM(QUERY(Entregas_BD!D:AL,""select AG where D='""&amp;D359&amp;""'"",1))"),0.0)</f>
        <v>0</v>
      </c>
      <c r="U359" s="19">
        <f>IFERROR(__xludf.DUMMYFUNCTION("SUM(QUERY(Entregas_BD!D:AL,""select AH where D='""&amp;D359&amp;""'"",1))"),0.0)</f>
        <v>0</v>
      </c>
      <c r="V359" s="19">
        <f>IFERROR(__xludf.DUMMYFUNCTION("SUM(QUERY(Entregas_BD!D:AL,""select AI where D='""&amp;D359&amp;""'"",1))"),0.0)</f>
        <v>0</v>
      </c>
      <c r="W359" s="19">
        <f>IFERROR(__xludf.DUMMYFUNCTION("SUM(QUERY(Entregas_BD!D:AL,""select AJ where D='""&amp;D359&amp;""'"",1))"),0.0)</f>
        <v>0</v>
      </c>
      <c r="X359" s="19">
        <f>IFERROR(__xludf.DUMMYFUNCTION("SUM(QUERY(Entregas_BD!D:AL,""select AL where D='""&amp;D359&amp;""'"",1))"),0.0)</f>
        <v>0</v>
      </c>
      <c r="Y359" s="19">
        <f>IFERROR(__xludf.DUMMYFUNCTION("SUM(QUERY(Entregas_BD!D:AL,""select AK where D='""&amp;D359&amp;""'"",1))"),0.0)</f>
        <v>0</v>
      </c>
      <c r="Z359" s="19">
        <v>0.0</v>
      </c>
      <c r="AA359" s="19">
        <v>0.0</v>
      </c>
      <c r="AB359" s="19">
        <v>0.0</v>
      </c>
      <c r="AC359" s="19">
        <v>0.0</v>
      </c>
      <c r="AD359" s="19">
        <v>0.0</v>
      </c>
      <c r="AE359" s="19">
        <v>0.0</v>
      </c>
      <c r="AF359" s="22"/>
      <c r="AG359" s="24">
        <f>IFERROR(__xludf.DUMMYFUNCTION("SUM(QUERY(Entregas_BD!D:W,""select U where D='""&amp;D359&amp;""'"",1))"),0.0)</f>
        <v>0</v>
      </c>
      <c r="AH359" s="24">
        <f>IFERROR(__xludf.DUMMYFUNCTION("SUM(QUERY(Entregas_BD!D:W,""select S where D='""&amp;D359&amp;""'"",1))"),0.0)</f>
        <v>0</v>
      </c>
      <c r="AI359" s="24">
        <f>IFERROR(__xludf.DUMMYFUNCTION("SUM(QUERY(Entregas_BD!D:W,""select T where D='""&amp;D359&amp;""'"",1))"),0.0)</f>
        <v>0</v>
      </c>
    </row>
    <row r="360" ht="19.5" customHeight="1">
      <c r="A360" s="63"/>
      <c r="B360" s="27"/>
      <c r="C360" s="9">
        <v>359.0</v>
      </c>
      <c r="D360" s="10" t="s">
        <v>846</v>
      </c>
      <c r="E360" s="10" t="s">
        <v>153</v>
      </c>
      <c r="F360" s="10" t="s">
        <v>847</v>
      </c>
      <c r="G360" s="10" t="s">
        <v>848</v>
      </c>
      <c r="H360" s="12" t="s">
        <v>849</v>
      </c>
      <c r="I360" s="11" t="s">
        <v>41</v>
      </c>
      <c r="J360" s="50"/>
      <c r="K360" s="12"/>
      <c r="L360" s="13"/>
      <c r="M360" s="12"/>
      <c r="N360" s="9">
        <f>IFERROR(__xludf.DUMMYFUNCTION("SUM(QUERY(Entregas_BD!D:L,""select G where D='""&amp;D360&amp;""'"",1))"),0.0)</f>
        <v>0</v>
      </c>
      <c r="O360" s="9">
        <f>IFERROR(__xludf.DUMMYFUNCTION("SUM(QUERY(Entregas_BD!D:L,""select H where D='""&amp;D360&amp;""'"",1))"),0.0)</f>
        <v>0</v>
      </c>
      <c r="P360" s="9">
        <f>IFERROR(__xludf.DUMMYFUNCTION("SUM(QUERY(Entregas_BD!D:L,""select I where D='""&amp;D360&amp;""'"",1))"),0.0)</f>
        <v>0</v>
      </c>
      <c r="Q360" s="9">
        <f>IFERROR(__xludf.DUMMYFUNCTION("SUM(QUERY(Entregas_BD!D:L,""select J where D='""&amp;D360&amp;""'"",1))"),0.0)</f>
        <v>0</v>
      </c>
      <c r="R360" s="15">
        <f>IFERROR(__xludf.DUMMYFUNCTION("SUM(QUERY(Entregas_BD!D:L,""select K where D='""&amp;D360&amp;""'"",1))"),0.0)</f>
        <v>0</v>
      </c>
      <c r="S360" s="15">
        <f>IFERROR(__xludf.DUMMYFUNCTION("SUM(QUERY(Entregas_BD!D:L,""select L where D='""&amp;D360&amp;""'"",1))"),0.0)</f>
        <v>0</v>
      </c>
      <c r="T360" s="9">
        <f>IFERROR(__xludf.DUMMYFUNCTION("SUM(QUERY(Entregas_BD!D:AL,""select AG where D='""&amp;D360&amp;""'"",1))"),0.0)</f>
        <v>0</v>
      </c>
      <c r="U360" s="9">
        <f>IFERROR(__xludf.DUMMYFUNCTION("SUM(QUERY(Entregas_BD!D:AL,""select AH where D='""&amp;D360&amp;""'"",1))"),0.0)</f>
        <v>0</v>
      </c>
      <c r="V360" s="9">
        <f>IFERROR(__xludf.DUMMYFUNCTION("SUM(QUERY(Entregas_BD!D:AL,""select AI where D='""&amp;D360&amp;""'"",1))"),0.0)</f>
        <v>0</v>
      </c>
      <c r="W360" s="9">
        <f>IFERROR(__xludf.DUMMYFUNCTION("SUM(QUERY(Entregas_BD!D:AL,""select AJ where D='""&amp;D360&amp;""'"",1))"),0.0)</f>
        <v>0</v>
      </c>
      <c r="X360" s="9">
        <f>IFERROR(__xludf.DUMMYFUNCTION("SUM(QUERY(Entregas_BD!D:AL,""select AL where D='""&amp;D360&amp;""'"",1))"),0.0)</f>
        <v>0</v>
      </c>
      <c r="Y360" s="9">
        <f>IFERROR(__xludf.DUMMYFUNCTION("SUM(QUERY(Entregas_BD!D:AL,""select AK where D='""&amp;D360&amp;""'"",1))"),0.0)</f>
        <v>0</v>
      </c>
      <c r="Z360" s="9">
        <v>0.0</v>
      </c>
      <c r="AA360" s="9">
        <v>0.0</v>
      </c>
      <c r="AB360" s="9">
        <v>0.0</v>
      </c>
      <c r="AC360" s="9">
        <v>0.0</v>
      </c>
      <c r="AD360" s="9">
        <v>0.0</v>
      </c>
      <c r="AE360" s="9">
        <v>0.0</v>
      </c>
      <c r="AF360" s="12"/>
      <c r="AG360" s="15">
        <f>IFERROR(__xludf.DUMMYFUNCTION("SUM(QUERY(Entregas_BD!D:W,""select U where D='""&amp;D360&amp;""'"",1))"),0.0)</f>
        <v>0</v>
      </c>
      <c r="AH360" s="15">
        <f>IFERROR(__xludf.DUMMYFUNCTION("SUM(QUERY(Entregas_BD!D:W,""select S where D='""&amp;D360&amp;""'"",1))"),0.0)</f>
        <v>0</v>
      </c>
      <c r="AI360" s="15">
        <f>IFERROR(__xludf.DUMMYFUNCTION("SUM(QUERY(Entregas_BD!D:W,""select T where D='""&amp;D360&amp;""'"",1))"),0.0)</f>
        <v>0</v>
      </c>
    </row>
    <row r="361" ht="19.5" customHeight="1">
      <c r="A361" s="64"/>
      <c r="B361" s="18"/>
      <c r="C361" s="19">
        <v>360.0</v>
      </c>
      <c r="D361" s="20" t="s">
        <v>335</v>
      </c>
      <c r="E361" s="20" t="s">
        <v>58</v>
      </c>
      <c r="F361" s="20" t="s">
        <v>850</v>
      </c>
      <c r="G361" s="20" t="s">
        <v>112</v>
      </c>
      <c r="H361" s="22" t="s">
        <v>845</v>
      </c>
      <c r="I361" s="21" t="s">
        <v>41</v>
      </c>
      <c r="J361" s="51"/>
      <c r="K361" s="22"/>
      <c r="L361" s="23"/>
      <c r="M361" s="22"/>
      <c r="N361" s="19">
        <f>IFERROR(__xludf.DUMMYFUNCTION("SUM(QUERY(Entregas_BD!D:L,""select G where D='""&amp;D361&amp;""'"",1))"),0.0)</f>
        <v>0</v>
      </c>
      <c r="O361" s="19">
        <f>IFERROR(__xludf.DUMMYFUNCTION("SUM(QUERY(Entregas_BD!D:L,""select H where D='""&amp;D361&amp;""'"",1))"),0.0)</f>
        <v>0</v>
      </c>
      <c r="P361" s="19">
        <f>IFERROR(__xludf.DUMMYFUNCTION("SUM(QUERY(Entregas_BD!D:L,""select I where D='""&amp;D361&amp;""'"",1))"),0.0)</f>
        <v>0</v>
      </c>
      <c r="Q361" s="19">
        <f>IFERROR(__xludf.DUMMYFUNCTION("SUM(QUERY(Entregas_BD!D:L,""select J where D='""&amp;D361&amp;""'"",1))"),0.0)</f>
        <v>0</v>
      </c>
      <c r="R361" s="24">
        <f>IFERROR(__xludf.DUMMYFUNCTION("SUM(QUERY(Entregas_BD!D:L,""select K where D='""&amp;D361&amp;""'"",1))"),0.0)</f>
        <v>0</v>
      </c>
      <c r="S361" s="24">
        <f>IFERROR(__xludf.DUMMYFUNCTION("SUM(QUERY(Entregas_BD!D:L,""select L where D='""&amp;D361&amp;""'"",1))"),0.0)</f>
        <v>0</v>
      </c>
      <c r="T361" s="19">
        <f>IFERROR(__xludf.DUMMYFUNCTION("SUM(QUERY(Entregas_BD!D:AL,""select AG where D='""&amp;D361&amp;""'"",1))"),50.0)</f>
        <v>50</v>
      </c>
      <c r="U361" s="19">
        <f>IFERROR(__xludf.DUMMYFUNCTION("SUM(QUERY(Entregas_BD!D:AL,""select AH where D='""&amp;D361&amp;""'"",1))"),0.0)</f>
        <v>0</v>
      </c>
      <c r="V361" s="19">
        <f>IFERROR(__xludf.DUMMYFUNCTION("SUM(QUERY(Entregas_BD!D:AL,""select AI where D='""&amp;D361&amp;""'"",1))"),0.0)</f>
        <v>0</v>
      </c>
      <c r="W361" s="19">
        <f>IFERROR(__xludf.DUMMYFUNCTION("SUM(QUERY(Entregas_BD!D:AL,""select AJ where D='""&amp;D361&amp;""'"",1))"),0.0)</f>
        <v>0</v>
      </c>
      <c r="X361" s="19">
        <f>IFERROR(__xludf.DUMMYFUNCTION("SUM(QUERY(Entregas_BD!D:AL,""select AL where D='""&amp;D361&amp;""'"",1))"),0.0)</f>
        <v>0</v>
      </c>
      <c r="Y361" s="19">
        <f>IFERROR(__xludf.DUMMYFUNCTION("SUM(QUERY(Entregas_BD!D:AL,""select AK where D='""&amp;D361&amp;""'"",1))"),0.0)</f>
        <v>0</v>
      </c>
      <c r="Z361" s="19">
        <v>-50.0</v>
      </c>
      <c r="AA361" s="19">
        <v>0.0</v>
      </c>
      <c r="AB361" s="19">
        <v>0.0</v>
      </c>
      <c r="AC361" s="19">
        <v>0.0</v>
      </c>
      <c r="AD361" s="19">
        <v>0.0</v>
      </c>
      <c r="AE361" s="19">
        <v>0.0</v>
      </c>
      <c r="AF361" s="22"/>
      <c r="AG361" s="24">
        <f>IFERROR(__xludf.DUMMYFUNCTION("SUM(QUERY(Entregas_BD!D:W,""select U where D='""&amp;D361&amp;""'"",1))"),0.0)</f>
        <v>0</v>
      </c>
      <c r="AH361" s="24">
        <f>IFERROR(__xludf.DUMMYFUNCTION("SUM(QUERY(Entregas_BD!D:W,""select S where D='""&amp;D361&amp;""'"",1))"),0.0)</f>
        <v>0</v>
      </c>
      <c r="AI361" s="24">
        <f>IFERROR(__xludf.DUMMYFUNCTION("SUM(QUERY(Entregas_BD!D:W,""select T where D='""&amp;D361&amp;""'"",1))"),0.0)</f>
        <v>0</v>
      </c>
    </row>
    <row r="362" ht="19.5" customHeight="1">
      <c r="A362" s="65"/>
      <c r="B362" s="66"/>
      <c r="C362" s="9">
        <v>361.0</v>
      </c>
      <c r="D362" s="10" t="s">
        <v>273</v>
      </c>
      <c r="E362" s="10" t="s">
        <v>72</v>
      </c>
      <c r="F362" s="10" t="s">
        <v>45</v>
      </c>
      <c r="G362" s="10" t="s">
        <v>650</v>
      </c>
      <c r="H362" s="12" t="s">
        <v>622</v>
      </c>
      <c r="I362" s="11" t="s">
        <v>41</v>
      </c>
      <c r="J362" s="50"/>
      <c r="K362" s="12"/>
      <c r="L362" s="13"/>
      <c r="M362" s="32"/>
      <c r="N362" s="9">
        <f>IFERROR(__xludf.DUMMYFUNCTION("SUM(QUERY(Entregas_BD!D:L,""select G where D='""&amp;D362&amp;""'"",1))"),0.0)</f>
        <v>0</v>
      </c>
      <c r="O362" s="9">
        <f>IFERROR(__xludf.DUMMYFUNCTION("SUM(QUERY(Entregas_BD!D:L,""select H where D='""&amp;D362&amp;""'"",1))"),0.0)</f>
        <v>0</v>
      </c>
      <c r="P362" s="9">
        <f>IFERROR(__xludf.DUMMYFUNCTION("SUM(QUERY(Entregas_BD!D:L,""select I where D='""&amp;D362&amp;""'"",1))"),0.0)</f>
        <v>0</v>
      </c>
      <c r="Q362" s="9">
        <f>IFERROR(__xludf.DUMMYFUNCTION("SUM(QUERY(Entregas_BD!D:L,""select J where D='""&amp;D362&amp;""'"",1))"),0.0)</f>
        <v>0</v>
      </c>
      <c r="R362" s="15">
        <f>IFERROR(__xludf.DUMMYFUNCTION("SUM(QUERY(Entregas_BD!D:L,""select K where D='""&amp;D362&amp;""'"",1))"),0.0)</f>
        <v>0</v>
      </c>
      <c r="S362" s="15">
        <f>IFERROR(__xludf.DUMMYFUNCTION("SUM(QUERY(Entregas_BD!D:L,""select L where D='""&amp;D362&amp;""'"",1))"),0.0)</f>
        <v>0</v>
      </c>
      <c r="T362" s="9">
        <f>IFERROR(__xludf.DUMMYFUNCTION("SUM(QUERY(Entregas_BD!D:AL,""select AG where D='""&amp;D362&amp;""'"",1))"),200.0)</f>
        <v>200</v>
      </c>
      <c r="U362" s="9">
        <f>IFERROR(__xludf.DUMMYFUNCTION("SUM(QUERY(Entregas_BD!D:AL,""select AH where D='""&amp;D362&amp;""'"",1))"),0.0)</f>
        <v>0</v>
      </c>
      <c r="V362" s="9">
        <f>IFERROR(__xludf.DUMMYFUNCTION("SUM(QUERY(Entregas_BD!D:AL,""select AI where D='""&amp;D362&amp;""'"",1))"),0.0)</f>
        <v>0</v>
      </c>
      <c r="W362" s="9">
        <f>IFERROR(__xludf.DUMMYFUNCTION("SUM(QUERY(Entregas_BD!D:AL,""select AJ where D='""&amp;D362&amp;""'"",1))"),0.0)</f>
        <v>0</v>
      </c>
      <c r="X362" s="9">
        <f>IFERROR(__xludf.DUMMYFUNCTION("SUM(QUERY(Entregas_BD!D:AL,""select AL where D='""&amp;D362&amp;""'"",1))"),0.0)</f>
        <v>0</v>
      </c>
      <c r="Y362" s="9">
        <f>IFERROR(__xludf.DUMMYFUNCTION("SUM(QUERY(Entregas_BD!D:AL,""select AK where D='""&amp;D362&amp;""'"",1))"),0.0)</f>
        <v>0</v>
      </c>
      <c r="Z362" s="9">
        <v>-200.0</v>
      </c>
      <c r="AA362" s="9">
        <v>0.0</v>
      </c>
      <c r="AB362" s="9">
        <v>0.0</v>
      </c>
      <c r="AC362" s="9">
        <v>0.0</v>
      </c>
      <c r="AD362" s="9">
        <v>0.0</v>
      </c>
      <c r="AE362" s="9">
        <v>0.0</v>
      </c>
      <c r="AF362" s="32"/>
      <c r="AG362" s="15">
        <f>IFERROR(__xludf.DUMMYFUNCTION("SUM(QUERY(Entregas_BD!D:W,""select U where D='""&amp;D362&amp;""'"",1))"),0.0)</f>
        <v>0</v>
      </c>
      <c r="AH362" s="15">
        <f>IFERROR(__xludf.DUMMYFUNCTION("SUM(QUERY(Entregas_BD!D:W,""select S where D='""&amp;D362&amp;""'"",1))"),0.0)</f>
        <v>0</v>
      </c>
      <c r="AI362" s="15">
        <f>IFERROR(__xludf.DUMMYFUNCTION("SUM(QUERY(Entregas_BD!D:W,""select T where D='""&amp;D362&amp;""'"",1))"),0.0)</f>
        <v>0</v>
      </c>
    </row>
    <row r="363" ht="19.5" customHeight="1">
      <c r="A363" s="64"/>
      <c r="B363" s="18"/>
      <c r="C363" s="19">
        <v>362.0</v>
      </c>
      <c r="D363" s="20" t="s">
        <v>851</v>
      </c>
      <c r="E363" s="20" t="s">
        <v>58</v>
      </c>
      <c r="F363" s="20" t="s">
        <v>45</v>
      </c>
      <c r="G363" s="20" t="s">
        <v>852</v>
      </c>
      <c r="H363" s="22" t="s">
        <v>849</v>
      </c>
      <c r="I363" s="21" t="s">
        <v>41</v>
      </c>
      <c r="J363" s="67"/>
      <c r="K363" s="22"/>
      <c r="L363" s="23"/>
      <c r="M363" s="22"/>
      <c r="N363" s="19">
        <f>IFERROR(__xludf.DUMMYFUNCTION("SUM(QUERY(Entregas_BD!D:L,""select G where D='""&amp;D363&amp;""'"",1))"),0.0)</f>
        <v>0</v>
      </c>
      <c r="O363" s="19">
        <f>IFERROR(__xludf.DUMMYFUNCTION("SUM(QUERY(Entregas_BD!D:L,""select H where D='""&amp;D363&amp;""'"",1))"),0.0)</f>
        <v>0</v>
      </c>
      <c r="P363" s="19">
        <f>IFERROR(__xludf.DUMMYFUNCTION("SUM(QUERY(Entregas_BD!D:L,""select I where D='""&amp;D363&amp;""'"",1))"),0.0)</f>
        <v>0</v>
      </c>
      <c r="Q363" s="19">
        <f>IFERROR(__xludf.DUMMYFUNCTION("SUM(QUERY(Entregas_BD!D:L,""select J where D='""&amp;D363&amp;""'"",1))"),0.0)</f>
        <v>0</v>
      </c>
      <c r="R363" s="24">
        <f>IFERROR(__xludf.DUMMYFUNCTION("SUM(QUERY(Entregas_BD!D:L,""select K where D='""&amp;D363&amp;""'"",1))"),0.0)</f>
        <v>0</v>
      </c>
      <c r="S363" s="24">
        <f>IFERROR(__xludf.DUMMYFUNCTION("SUM(QUERY(Entregas_BD!D:L,""select L where D='""&amp;D363&amp;""'"",1))"),0.0)</f>
        <v>0</v>
      </c>
      <c r="T363" s="19">
        <f>IFERROR(__xludf.DUMMYFUNCTION("SUM(QUERY(Entregas_BD!D:AL,""select AG where D='""&amp;D363&amp;""'"",1))"),0.0)</f>
        <v>0</v>
      </c>
      <c r="U363" s="19">
        <f>IFERROR(__xludf.DUMMYFUNCTION("SUM(QUERY(Entregas_BD!D:AL,""select AH where D='""&amp;D363&amp;""'"",1))"),0.0)</f>
        <v>0</v>
      </c>
      <c r="V363" s="19">
        <f>IFERROR(__xludf.DUMMYFUNCTION("SUM(QUERY(Entregas_BD!D:AL,""select AI where D='""&amp;D363&amp;""'"",1))"),0.0)</f>
        <v>0</v>
      </c>
      <c r="W363" s="19">
        <f>IFERROR(__xludf.DUMMYFUNCTION("SUM(QUERY(Entregas_BD!D:AL,""select AJ where D='""&amp;D363&amp;""'"",1))"),0.0)</f>
        <v>0</v>
      </c>
      <c r="X363" s="19">
        <f>IFERROR(__xludf.DUMMYFUNCTION("SUM(QUERY(Entregas_BD!D:AL,""select AL where D='""&amp;D363&amp;""'"",1))"),0.0)</f>
        <v>0</v>
      </c>
      <c r="Y363" s="19">
        <f>IFERROR(__xludf.DUMMYFUNCTION("SUM(QUERY(Entregas_BD!D:AL,""select AK where D='""&amp;D363&amp;""'"",1))"),0.0)</f>
        <v>0</v>
      </c>
      <c r="Z363" s="19">
        <v>0.0</v>
      </c>
      <c r="AA363" s="19">
        <v>0.0</v>
      </c>
      <c r="AB363" s="19">
        <v>0.0</v>
      </c>
      <c r="AC363" s="19">
        <v>0.0</v>
      </c>
      <c r="AD363" s="19">
        <v>0.0</v>
      </c>
      <c r="AE363" s="19">
        <v>0.0</v>
      </c>
      <c r="AF363" s="22"/>
      <c r="AG363" s="24">
        <f>IFERROR(__xludf.DUMMYFUNCTION("SUM(QUERY(Entregas_BD!D:W,""select U where D='""&amp;D363&amp;""'"",1))"),0.0)</f>
        <v>0</v>
      </c>
      <c r="AH363" s="24">
        <f>IFERROR(__xludf.DUMMYFUNCTION("SUM(QUERY(Entregas_BD!D:W,""select S where D='""&amp;D363&amp;""'"",1))"),0.0)</f>
        <v>0</v>
      </c>
      <c r="AI363" s="24">
        <f>IFERROR(__xludf.DUMMYFUNCTION("SUM(QUERY(Entregas_BD!D:W,""select T where D='""&amp;D363&amp;""'"",1))"),0.0)</f>
        <v>0</v>
      </c>
    </row>
    <row r="364" ht="19.5" customHeight="1">
      <c r="A364" s="63"/>
      <c r="B364" s="27"/>
      <c r="C364" s="9">
        <v>363.0</v>
      </c>
      <c r="D364" s="10" t="s">
        <v>853</v>
      </c>
      <c r="E364" s="10" t="s">
        <v>44</v>
      </c>
      <c r="F364" s="10" t="s">
        <v>45</v>
      </c>
      <c r="G364" s="10" t="s">
        <v>854</v>
      </c>
      <c r="H364" s="12" t="s">
        <v>849</v>
      </c>
      <c r="I364" s="11" t="s">
        <v>41</v>
      </c>
      <c r="J364" s="12"/>
      <c r="K364" s="12"/>
      <c r="L364" s="13"/>
      <c r="M364" s="12"/>
      <c r="N364" s="9">
        <f>IFERROR(__xludf.DUMMYFUNCTION("SUM(QUERY(Entregas_BD!D:L,""select G where D='""&amp;D364&amp;""'"",1))"),0.0)</f>
        <v>0</v>
      </c>
      <c r="O364" s="9">
        <f>IFERROR(__xludf.DUMMYFUNCTION("SUM(QUERY(Entregas_BD!D:L,""select H where D='""&amp;D364&amp;""'"",1))"),0.0)</f>
        <v>0</v>
      </c>
      <c r="P364" s="9">
        <f>IFERROR(__xludf.DUMMYFUNCTION("SUM(QUERY(Entregas_BD!D:L,""select I where D='""&amp;D364&amp;""'"",1))"),0.0)</f>
        <v>0</v>
      </c>
      <c r="Q364" s="9">
        <f>IFERROR(__xludf.DUMMYFUNCTION("SUM(QUERY(Entregas_BD!D:L,""select J where D='""&amp;D364&amp;""'"",1))"),0.0)</f>
        <v>0</v>
      </c>
      <c r="R364" s="15">
        <f>IFERROR(__xludf.DUMMYFUNCTION("SUM(QUERY(Entregas_BD!D:L,""select K where D='""&amp;D364&amp;""'"",1))"),0.0)</f>
        <v>0</v>
      </c>
      <c r="S364" s="15">
        <f>IFERROR(__xludf.DUMMYFUNCTION("SUM(QUERY(Entregas_BD!D:L,""select L where D='""&amp;D364&amp;""'"",1))"),0.0)</f>
        <v>0</v>
      </c>
      <c r="T364" s="9">
        <f>IFERROR(__xludf.DUMMYFUNCTION("SUM(QUERY(Entregas_BD!D:AL,""select AG where D='""&amp;D364&amp;""'"",1))"),0.0)</f>
        <v>0</v>
      </c>
      <c r="U364" s="9">
        <f>IFERROR(__xludf.DUMMYFUNCTION("SUM(QUERY(Entregas_BD!D:AL,""select AH where D='""&amp;D364&amp;""'"",1))"),0.0)</f>
        <v>0</v>
      </c>
      <c r="V364" s="9">
        <f>IFERROR(__xludf.DUMMYFUNCTION("SUM(QUERY(Entregas_BD!D:AL,""select AI where D='""&amp;D364&amp;""'"",1))"),0.0)</f>
        <v>0</v>
      </c>
      <c r="W364" s="9">
        <f>IFERROR(__xludf.DUMMYFUNCTION("SUM(QUERY(Entregas_BD!D:AL,""select AJ where D='""&amp;D364&amp;""'"",1))"),0.0)</f>
        <v>0</v>
      </c>
      <c r="X364" s="9">
        <f>IFERROR(__xludf.DUMMYFUNCTION("SUM(QUERY(Entregas_BD!D:AL,""select AL where D='""&amp;D364&amp;""'"",1))"),0.0)</f>
        <v>0</v>
      </c>
      <c r="Y364" s="9">
        <f>IFERROR(__xludf.DUMMYFUNCTION("SUM(QUERY(Entregas_BD!D:AL,""select AK where D='""&amp;D364&amp;""'"",1))"),0.0)</f>
        <v>0</v>
      </c>
      <c r="Z364" s="9">
        <v>0.0</v>
      </c>
      <c r="AA364" s="9">
        <v>0.0</v>
      </c>
      <c r="AB364" s="9">
        <v>0.0</v>
      </c>
      <c r="AC364" s="9">
        <v>0.0</v>
      </c>
      <c r="AD364" s="9">
        <v>0.0</v>
      </c>
      <c r="AE364" s="9">
        <v>0.0</v>
      </c>
      <c r="AF364" s="12"/>
      <c r="AG364" s="15">
        <f>IFERROR(__xludf.DUMMYFUNCTION("SUM(QUERY(Entregas_BD!D:W,""select U where D='""&amp;D364&amp;""'"",1))"),0.0)</f>
        <v>0</v>
      </c>
      <c r="AH364" s="15">
        <f>IFERROR(__xludf.DUMMYFUNCTION("SUM(QUERY(Entregas_BD!D:W,""select S where D='""&amp;D364&amp;""'"",1))"),0.0)</f>
        <v>0</v>
      </c>
      <c r="AI364" s="15">
        <f>IFERROR(__xludf.DUMMYFUNCTION("SUM(QUERY(Entregas_BD!D:W,""select T where D='""&amp;D364&amp;""'"",1))"),0.0)</f>
        <v>0</v>
      </c>
    </row>
    <row r="365" ht="19.5" customHeight="1">
      <c r="A365" s="64"/>
      <c r="B365" s="18"/>
      <c r="C365" s="19">
        <v>364.0</v>
      </c>
      <c r="D365" s="20" t="s">
        <v>855</v>
      </c>
      <c r="E365" s="20" t="s">
        <v>153</v>
      </c>
      <c r="F365" s="20" t="s">
        <v>856</v>
      </c>
      <c r="G365" s="20" t="s">
        <v>857</v>
      </c>
      <c r="H365" s="22" t="s">
        <v>849</v>
      </c>
      <c r="I365" s="21" t="s">
        <v>47</v>
      </c>
      <c r="J365" s="22"/>
      <c r="K365" s="22"/>
      <c r="L365" s="23"/>
      <c r="M365" s="22"/>
      <c r="N365" s="19">
        <f>IFERROR(__xludf.DUMMYFUNCTION("SUM(QUERY(Entregas_BD!D:L,""select G where D='""&amp;D365&amp;""'"",1))"),0.0)</f>
        <v>0</v>
      </c>
      <c r="O365" s="19">
        <f>IFERROR(__xludf.DUMMYFUNCTION("SUM(QUERY(Entregas_BD!D:L,""select H where D='""&amp;D365&amp;""'"",1))"),0.0)</f>
        <v>0</v>
      </c>
      <c r="P365" s="19">
        <f>IFERROR(__xludf.DUMMYFUNCTION("SUM(QUERY(Entregas_BD!D:L,""select I where D='""&amp;D365&amp;""'"",1))"),0.0)</f>
        <v>0</v>
      </c>
      <c r="Q365" s="19">
        <f>IFERROR(__xludf.DUMMYFUNCTION("SUM(QUERY(Entregas_BD!D:L,""select J where D='""&amp;D365&amp;""'"",1))"),0.0)</f>
        <v>0</v>
      </c>
      <c r="R365" s="24">
        <f>IFERROR(__xludf.DUMMYFUNCTION("SUM(QUERY(Entregas_BD!D:L,""select K where D='""&amp;D365&amp;""'"",1))"),0.0)</f>
        <v>0</v>
      </c>
      <c r="S365" s="24">
        <f>IFERROR(__xludf.DUMMYFUNCTION("SUM(QUERY(Entregas_BD!D:L,""select L where D='""&amp;D365&amp;""'"",1))"),0.0)</f>
        <v>0</v>
      </c>
      <c r="T365" s="19">
        <f>IFERROR(__xludf.DUMMYFUNCTION("SUM(QUERY(Entregas_BD!D:AL,""select AG where D='""&amp;D365&amp;""'"",1))"),0.0)</f>
        <v>0</v>
      </c>
      <c r="U365" s="19">
        <f>IFERROR(__xludf.DUMMYFUNCTION("SUM(QUERY(Entregas_BD!D:AL,""select AH where D='""&amp;D365&amp;""'"",1))"),0.0)</f>
        <v>0</v>
      </c>
      <c r="V365" s="19">
        <f>IFERROR(__xludf.DUMMYFUNCTION("SUM(QUERY(Entregas_BD!D:AL,""select AI where D='""&amp;D365&amp;""'"",1))"),0.0)</f>
        <v>0</v>
      </c>
      <c r="W365" s="19">
        <f>IFERROR(__xludf.DUMMYFUNCTION("SUM(QUERY(Entregas_BD!D:AL,""select AJ where D='""&amp;D365&amp;""'"",1))"),0.0)</f>
        <v>0</v>
      </c>
      <c r="X365" s="19">
        <f>IFERROR(__xludf.DUMMYFUNCTION("SUM(QUERY(Entregas_BD!D:AL,""select AL where D='""&amp;D365&amp;""'"",1))"),0.0)</f>
        <v>0</v>
      </c>
      <c r="Y365" s="19">
        <f>IFERROR(__xludf.DUMMYFUNCTION("SUM(QUERY(Entregas_BD!D:AL,""select AK where D='""&amp;D365&amp;""'"",1))"),0.0)</f>
        <v>0</v>
      </c>
      <c r="Z365" s="19">
        <v>0.0</v>
      </c>
      <c r="AA365" s="19">
        <v>0.0</v>
      </c>
      <c r="AB365" s="19">
        <v>0.0</v>
      </c>
      <c r="AC365" s="19">
        <v>0.0</v>
      </c>
      <c r="AD365" s="19">
        <v>0.0</v>
      </c>
      <c r="AE365" s="19">
        <v>0.0</v>
      </c>
      <c r="AF365" s="22"/>
      <c r="AG365" s="24">
        <f>IFERROR(__xludf.DUMMYFUNCTION("SUM(QUERY(Entregas_BD!D:W,""select U where D='""&amp;D365&amp;""'"",1))"),0.0)</f>
        <v>0</v>
      </c>
      <c r="AH365" s="24">
        <f>IFERROR(__xludf.DUMMYFUNCTION("SUM(QUERY(Entregas_BD!D:W,""select S where D='""&amp;D365&amp;""'"",1))"),0.0)</f>
        <v>0</v>
      </c>
      <c r="AI365" s="24">
        <f>IFERROR(__xludf.DUMMYFUNCTION("SUM(QUERY(Entregas_BD!D:W,""select T where D='""&amp;D365&amp;""'"",1))"),0.0)</f>
        <v>0</v>
      </c>
    </row>
    <row r="366" ht="19.5" customHeight="1">
      <c r="A366" s="63"/>
      <c r="B366" s="27"/>
      <c r="C366" s="9">
        <v>365.0</v>
      </c>
      <c r="D366" s="10" t="s">
        <v>858</v>
      </c>
      <c r="E366" s="10" t="s">
        <v>324</v>
      </c>
      <c r="F366" s="10" t="s">
        <v>859</v>
      </c>
      <c r="G366" s="10" t="s">
        <v>860</v>
      </c>
      <c r="H366" s="12" t="s">
        <v>849</v>
      </c>
      <c r="I366" s="11" t="s">
        <v>41</v>
      </c>
      <c r="J366" s="12"/>
      <c r="K366" s="12"/>
      <c r="L366" s="13"/>
      <c r="M366" s="12"/>
      <c r="N366" s="9">
        <f>IFERROR(__xludf.DUMMYFUNCTION("SUM(QUERY(Entregas_BD!D:L,""select G where D='""&amp;D366&amp;""'"",1))"),0.0)</f>
        <v>0</v>
      </c>
      <c r="O366" s="9">
        <f>IFERROR(__xludf.DUMMYFUNCTION("SUM(QUERY(Entregas_BD!D:L,""select H where D='""&amp;D366&amp;""'"",1))"),0.0)</f>
        <v>0</v>
      </c>
      <c r="P366" s="9">
        <f>IFERROR(__xludf.DUMMYFUNCTION("SUM(QUERY(Entregas_BD!D:L,""select I where D='""&amp;D366&amp;""'"",1))"),0.0)</f>
        <v>0</v>
      </c>
      <c r="Q366" s="9">
        <f>IFERROR(__xludf.DUMMYFUNCTION("SUM(QUERY(Entregas_BD!D:L,""select J where D='""&amp;D366&amp;""'"",1))"),0.0)</f>
        <v>0</v>
      </c>
      <c r="R366" s="15">
        <f>IFERROR(__xludf.DUMMYFUNCTION("SUM(QUERY(Entregas_BD!D:L,""select K where D='""&amp;D366&amp;""'"",1))"),2400.0)</f>
        <v>2400</v>
      </c>
      <c r="S366" s="15">
        <f>IFERROR(__xludf.DUMMYFUNCTION("SUM(QUERY(Entregas_BD!D:L,""select L where D='""&amp;D366&amp;""'"",1))"),2400.0)</f>
        <v>2400</v>
      </c>
      <c r="T366" s="9">
        <f>IFERROR(__xludf.DUMMYFUNCTION("SUM(QUERY(Entregas_BD!D:AL,""select AG where D='""&amp;D366&amp;""'"",1))"),20.0)</f>
        <v>20</v>
      </c>
      <c r="U366" s="9">
        <f>IFERROR(__xludf.DUMMYFUNCTION("SUM(QUERY(Entregas_BD!D:AL,""select AH where D='""&amp;D366&amp;""'"",1))"),0.0)</f>
        <v>0</v>
      </c>
      <c r="V366" s="9">
        <f>IFERROR(__xludf.DUMMYFUNCTION("SUM(QUERY(Entregas_BD!D:AL,""select AI where D='""&amp;D366&amp;""'"",1))"),0.0)</f>
        <v>0</v>
      </c>
      <c r="W366" s="9">
        <f>IFERROR(__xludf.DUMMYFUNCTION("SUM(QUERY(Entregas_BD!D:AL,""select AJ where D='""&amp;D366&amp;""'"",1))"),0.0)</f>
        <v>0</v>
      </c>
      <c r="X366" s="9">
        <f>IFERROR(__xludf.DUMMYFUNCTION("SUM(QUERY(Entregas_BD!D:AL,""select AL where D='""&amp;D366&amp;""'"",1))"),0.0)</f>
        <v>0</v>
      </c>
      <c r="Y366" s="9">
        <f>IFERROR(__xludf.DUMMYFUNCTION("SUM(QUERY(Entregas_BD!D:AL,""select AK where D='""&amp;D366&amp;""'"",1))"),0.0)</f>
        <v>0</v>
      </c>
      <c r="Z366" s="9">
        <v>-20.0</v>
      </c>
      <c r="AA366" s="9">
        <v>0.0</v>
      </c>
      <c r="AB366" s="9">
        <v>0.0</v>
      </c>
      <c r="AC366" s="9">
        <v>0.0</v>
      </c>
      <c r="AD366" s="9">
        <v>2400.0</v>
      </c>
      <c r="AE366" s="9">
        <v>2400.0</v>
      </c>
      <c r="AF366" s="12"/>
      <c r="AG366" s="15">
        <f>IFERROR(__xludf.DUMMYFUNCTION("SUM(QUERY(Entregas_BD!D:W,""select U where D='""&amp;D366&amp;""'"",1))"),0.0)</f>
        <v>0</v>
      </c>
      <c r="AH366" s="15">
        <f>IFERROR(__xludf.DUMMYFUNCTION("SUM(QUERY(Entregas_BD!D:W,""select S where D='""&amp;D366&amp;""'"",1))"),0.0)</f>
        <v>0</v>
      </c>
      <c r="AI366" s="15">
        <f>IFERROR(__xludf.DUMMYFUNCTION("SUM(QUERY(Entregas_BD!D:W,""select T where D='""&amp;D366&amp;""'"",1))"),0.0)</f>
        <v>0</v>
      </c>
    </row>
    <row r="367" ht="19.5" customHeight="1">
      <c r="A367" s="68"/>
      <c r="B367" s="69"/>
      <c r="C367" s="19">
        <v>366.0</v>
      </c>
      <c r="D367" s="20" t="s">
        <v>861</v>
      </c>
      <c r="E367" s="20" t="s">
        <v>197</v>
      </c>
      <c r="F367" s="20" t="s">
        <v>862</v>
      </c>
      <c r="G367" s="20" t="s">
        <v>863</v>
      </c>
      <c r="H367" s="25" t="s">
        <v>849</v>
      </c>
      <c r="I367" s="21" t="s">
        <v>41</v>
      </c>
      <c r="J367" s="22"/>
      <c r="K367" s="22"/>
      <c r="L367" s="23"/>
      <c r="M367" s="25"/>
      <c r="N367" s="19">
        <f>IFERROR(__xludf.DUMMYFUNCTION("SUM(QUERY(Entregas_BD!D:L,""select G where D='""&amp;D367&amp;""'"",1))"),0.0)</f>
        <v>0</v>
      </c>
      <c r="O367" s="19">
        <f>IFERROR(__xludf.DUMMYFUNCTION("SUM(QUERY(Entregas_BD!D:L,""select H where D='""&amp;D367&amp;""'"",1))"),0.0)</f>
        <v>0</v>
      </c>
      <c r="P367" s="19">
        <f>IFERROR(__xludf.DUMMYFUNCTION("SUM(QUERY(Entregas_BD!D:L,""select I where D='""&amp;D367&amp;""'"",1))"),0.0)</f>
        <v>0</v>
      </c>
      <c r="Q367" s="19">
        <f>IFERROR(__xludf.DUMMYFUNCTION("SUM(QUERY(Entregas_BD!D:L,""select J where D='""&amp;D367&amp;""'"",1))"),0.0)</f>
        <v>0</v>
      </c>
      <c r="R367" s="24">
        <f>IFERROR(__xludf.DUMMYFUNCTION("SUM(QUERY(Entregas_BD!D:L,""select K where D='""&amp;D367&amp;""'"",1))"),0.0)</f>
        <v>0</v>
      </c>
      <c r="S367" s="24">
        <f>IFERROR(__xludf.DUMMYFUNCTION("SUM(QUERY(Entregas_BD!D:L,""select L where D='""&amp;D367&amp;""'"",1))"),0.0)</f>
        <v>0</v>
      </c>
      <c r="T367" s="19">
        <f>IFERROR(__xludf.DUMMYFUNCTION("SUM(QUERY(Entregas_BD!D:AL,""select AG where D='""&amp;D367&amp;""'"",1))"),0.0)</f>
        <v>0</v>
      </c>
      <c r="U367" s="19">
        <f>IFERROR(__xludf.DUMMYFUNCTION("SUM(QUERY(Entregas_BD!D:AL,""select AH where D='""&amp;D367&amp;""'"",1))"),0.0)</f>
        <v>0</v>
      </c>
      <c r="V367" s="19">
        <f>IFERROR(__xludf.DUMMYFUNCTION("SUM(QUERY(Entregas_BD!D:AL,""select AI where D='""&amp;D367&amp;""'"",1))"),0.0)</f>
        <v>0</v>
      </c>
      <c r="W367" s="19">
        <f>IFERROR(__xludf.DUMMYFUNCTION("SUM(QUERY(Entregas_BD!D:AL,""select AJ where D='""&amp;D367&amp;""'"",1))"),0.0)</f>
        <v>0</v>
      </c>
      <c r="X367" s="19">
        <f>IFERROR(__xludf.DUMMYFUNCTION("SUM(QUERY(Entregas_BD!D:AL,""select AL where D='""&amp;D367&amp;""'"",1))"),0.0)</f>
        <v>0</v>
      </c>
      <c r="Y367" s="19">
        <f>IFERROR(__xludf.DUMMYFUNCTION("SUM(QUERY(Entregas_BD!D:AL,""select AK where D='""&amp;D367&amp;""'"",1))"),0.0)</f>
        <v>0</v>
      </c>
      <c r="Z367" s="19">
        <v>0.0</v>
      </c>
      <c r="AA367" s="19">
        <v>0.0</v>
      </c>
      <c r="AB367" s="19">
        <v>0.0</v>
      </c>
      <c r="AC367" s="19">
        <v>0.0</v>
      </c>
      <c r="AD367" s="19">
        <v>0.0</v>
      </c>
      <c r="AE367" s="19">
        <v>0.0</v>
      </c>
      <c r="AF367" s="25"/>
      <c r="AG367" s="24">
        <f>IFERROR(__xludf.DUMMYFUNCTION("SUM(QUERY(Entregas_BD!D:W,""select U where D='""&amp;D367&amp;""'"",1))"),0.0)</f>
        <v>0</v>
      </c>
      <c r="AH367" s="24">
        <f>IFERROR(__xludf.DUMMYFUNCTION("SUM(QUERY(Entregas_BD!D:W,""select S where D='""&amp;D367&amp;""'"",1))"),0.0)</f>
        <v>0</v>
      </c>
      <c r="AI367" s="24">
        <f>IFERROR(__xludf.DUMMYFUNCTION("SUM(QUERY(Entregas_BD!D:W,""select T where D='""&amp;D367&amp;""'"",1))"),0.0)</f>
        <v>0</v>
      </c>
    </row>
    <row r="368" ht="19.5" customHeight="1">
      <c r="A368" s="65"/>
      <c r="B368" s="70"/>
      <c r="C368" s="9">
        <v>367.0</v>
      </c>
      <c r="D368" s="10" t="s">
        <v>864</v>
      </c>
      <c r="E368" s="10" t="s">
        <v>54</v>
      </c>
      <c r="F368" s="10" t="s">
        <v>571</v>
      </c>
      <c r="G368" s="10" t="s">
        <v>865</v>
      </c>
      <c r="H368" s="32" t="s">
        <v>849</v>
      </c>
      <c r="I368" s="11" t="s">
        <v>47</v>
      </c>
      <c r="J368" s="12"/>
      <c r="K368" s="12"/>
      <c r="L368" s="13"/>
      <c r="M368" s="32"/>
      <c r="N368" s="9">
        <f>IFERROR(__xludf.DUMMYFUNCTION("SUM(QUERY(Entregas_BD!D:L,""select G where D='""&amp;D368&amp;""'"",1))"),0.0)</f>
        <v>0</v>
      </c>
      <c r="O368" s="9">
        <f>IFERROR(__xludf.DUMMYFUNCTION("SUM(QUERY(Entregas_BD!D:L,""select H where D='""&amp;D368&amp;""'"",1))"),0.0)</f>
        <v>0</v>
      </c>
      <c r="P368" s="9">
        <f>IFERROR(__xludf.DUMMYFUNCTION("SUM(QUERY(Entregas_BD!D:L,""select I where D='""&amp;D368&amp;""'"",1))"),0.0)</f>
        <v>0</v>
      </c>
      <c r="Q368" s="9">
        <f>IFERROR(__xludf.DUMMYFUNCTION("SUM(QUERY(Entregas_BD!D:L,""select J where D='""&amp;D368&amp;""'"",1))"),0.0)</f>
        <v>0</v>
      </c>
      <c r="R368" s="15">
        <f>IFERROR(__xludf.DUMMYFUNCTION("SUM(QUERY(Entregas_BD!D:L,""select K where D='""&amp;D368&amp;""'"",1))"),0.0)</f>
        <v>0</v>
      </c>
      <c r="S368" s="15">
        <f>IFERROR(__xludf.DUMMYFUNCTION("SUM(QUERY(Entregas_BD!D:L,""select L where D='""&amp;D368&amp;""'"",1))"),0.0)</f>
        <v>0</v>
      </c>
      <c r="T368" s="9">
        <f>IFERROR(__xludf.DUMMYFUNCTION("SUM(QUERY(Entregas_BD!D:AL,""select AG where D='""&amp;D368&amp;""'"",1))"),0.0)</f>
        <v>0</v>
      </c>
      <c r="U368" s="9">
        <f>IFERROR(__xludf.DUMMYFUNCTION("SUM(QUERY(Entregas_BD!D:AL,""select AH where D='""&amp;D368&amp;""'"",1))"),0.0)</f>
        <v>0</v>
      </c>
      <c r="V368" s="9">
        <f>IFERROR(__xludf.DUMMYFUNCTION("SUM(QUERY(Entregas_BD!D:AL,""select AI where D='""&amp;D368&amp;""'"",1))"),0.0)</f>
        <v>0</v>
      </c>
      <c r="W368" s="9">
        <f>IFERROR(__xludf.DUMMYFUNCTION("SUM(QUERY(Entregas_BD!D:AL,""select AJ where D='""&amp;D368&amp;""'"",1))"),0.0)</f>
        <v>0</v>
      </c>
      <c r="X368" s="9">
        <f>IFERROR(__xludf.DUMMYFUNCTION("SUM(QUERY(Entregas_BD!D:AL,""select AL where D='""&amp;D368&amp;""'"",1))"),0.0)</f>
        <v>0</v>
      </c>
      <c r="Y368" s="9">
        <f>IFERROR(__xludf.DUMMYFUNCTION("SUM(QUERY(Entregas_BD!D:AL,""select AK where D='""&amp;D368&amp;""'"",1))"),0.0)</f>
        <v>0</v>
      </c>
      <c r="Z368" s="9">
        <v>0.0</v>
      </c>
      <c r="AA368" s="9">
        <v>0.0</v>
      </c>
      <c r="AB368" s="9">
        <v>0.0</v>
      </c>
      <c r="AC368" s="9">
        <v>0.0</v>
      </c>
      <c r="AD368" s="9">
        <v>0.0</v>
      </c>
      <c r="AE368" s="9">
        <v>0.0</v>
      </c>
      <c r="AF368" s="32"/>
      <c r="AG368" s="15">
        <f>IFERROR(__xludf.DUMMYFUNCTION("SUM(QUERY(Entregas_BD!D:W,""select U where D='""&amp;D368&amp;""'"",1))"),0.0)</f>
        <v>0</v>
      </c>
      <c r="AH368" s="15">
        <f>IFERROR(__xludf.DUMMYFUNCTION("SUM(QUERY(Entregas_BD!D:W,""select S where D='""&amp;D368&amp;""'"",1))"),0.0)</f>
        <v>0</v>
      </c>
      <c r="AI368" s="15">
        <f>IFERROR(__xludf.DUMMYFUNCTION("SUM(QUERY(Entregas_BD!D:W,""select T where D='""&amp;D368&amp;""'"",1))"),0.0)</f>
        <v>0</v>
      </c>
    </row>
    <row r="369" ht="19.5" customHeight="1">
      <c r="A369" s="68"/>
      <c r="B369" s="69"/>
      <c r="C369" s="19">
        <v>368.0</v>
      </c>
      <c r="D369" s="20" t="s">
        <v>866</v>
      </c>
      <c r="E369" s="20" t="s">
        <v>479</v>
      </c>
      <c r="F369" s="20" t="s">
        <v>867</v>
      </c>
      <c r="G369" s="20" t="s">
        <v>492</v>
      </c>
      <c r="H369" s="25" t="s">
        <v>868</v>
      </c>
      <c r="I369" s="21" t="s">
        <v>41</v>
      </c>
      <c r="J369" s="22"/>
      <c r="K369" s="22"/>
      <c r="L369" s="23"/>
      <c r="M369" s="25"/>
      <c r="N369" s="19">
        <f>IFERROR(__xludf.DUMMYFUNCTION("SUM(QUERY(Entregas_BD!D:L,""select G where D='""&amp;D369&amp;""'"",1))"),0.0)</f>
        <v>0</v>
      </c>
      <c r="O369" s="19">
        <f>IFERROR(__xludf.DUMMYFUNCTION("SUM(QUERY(Entregas_BD!D:L,""select H where D='""&amp;D369&amp;""'"",1))"),0.0)</f>
        <v>0</v>
      </c>
      <c r="P369" s="19">
        <f>IFERROR(__xludf.DUMMYFUNCTION("SUM(QUERY(Entregas_BD!D:L,""select I where D='""&amp;D369&amp;""'"",1))"),0.0)</f>
        <v>0</v>
      </c>
      <c r="Q369" s="19">
        <f>IFERROR(__xludf.DUMMYFUNCTION("SUM(QUERY(Entregas_BD!D:L,""select J where D='""&amp;D369&amp;""'"",1))"),0.0)</f>
        <v>0</v>
      </c>
      <c r="R369" s="24">
        <f>IFERROR(__xludf.DUMMYFUNCTION("SUM(QUERY(Entregas_BD!D:L,""select K where D='""&amp;D369&amp;""'"",1))"),0.0)</f>
        <v>0</v>
      </c>
      <c r="S369" s="24">
        <f>IFERROR(__xludf.DUMMYFUNCTION("SUM(QUERY(Entregas_BD!D:L,""select L where D='""&amp;D369&amp;""'"",1))"),0.0)</f>
        <v>0</v>
      </c>
      <c r="T369" s="19">
        <f>IFERROR(__xludf.DUMMYFUNCTION("SUM(QUERY(Entregas_BD!D:AL,""select AG where D='""&amp;D369&amp;""'"",1))"),0.0)</f>
        <v>0</v>
      </c>
      <c r="U369" s="19">
        <f>IFERROR(__xludf.DUMMYFUNCTION("SUM(QUERY(Entregas_BD!D:AL,""select AH where D='""&amp;D369&amp;""'"",1))"),0.0)</f>
        <v>0</v>
      </c>
      <c r="V369" s="19">
        <f>IFERROR(__xludf.DUMMYFUNCTION("SUM(QUERY(Entregas_BD!D:AL,""select AI where D='""&amp;D369&amp;""'"",1))"),0.0)</f>
        <v>0</v>
      </c>
      <c r="W369" s="19">
        <f>IFERROR(__xludf.DUMMYFUNCTION("SUM(QUERY(Entregas_BD!D:AL,""select AJ where D='""&amp;D369&amp;""'"",1))"),0.0)</f>
        <v>0</v>
      </c>
      <c r="X369" s="19">
        <f>IFERROR(__xludf.DUMMYFUNCTION("SUM(QUERY(Entregas_BD!D:AL,""select AL where D='""&amp;D369&amp;""'"",1))"),0.0)</f>
        <v>0</v>
      </c>
      <c r="Y369" s="19">
        <f>IFERROR(__xludf.DUMMYFUNCTION("SUM(QUERY(Entregas_BD!D:AL,""select AK where D='""&amp;D369&amp;""'"",1))"),0.0)</f>
        <v>0</v>
      </c>
      <c r="Z369" s="19">
        <v>0.0</v>
      </c>
      <c r="AA369" s="19">
        <v>0.0</v>
      </c>
      <c r="AB369" s="19">
        <v>0.0</v>
      </c>
      <c r="AC369" s="19">
        <v>0.0</v>
      </c>
      <c r="AD369" s="19">
        <v>0.0</v>
      </c>
      <c r="AE369" s="19">
        <v>0.0</v>
      </c>
      <c r="AF369" s="25"/>
      <c r="AG369" s="24">
        <f>IFERROR(__xludf.DUMMYFUNCTION("SUM(QUERY(Entregas_BD!D:W,""select U where D='""&amp;D369&amp;""'"",1))"),0.0)</f>
        <v>0</v>
      </c>
      <c r="AH369" s="24">
        <f>IFERROR(__xludf.DUMMYFUNCTION("SUM(QUERY(Entregas_BD!D:W,""select S where D='""&amp;D369&amp;""'"",1))"),0.0)</f>
        <v>0</v>
      </c>
      <c r="AI369" s="24">
        <f>IFERROR(__xludf.DUMMYFUNCTION("SUM(QUERY(Entregas_BD!D:W,""select T where D='""&amp;D369&amp;""'"",1))"),0.0)</f>
        <v>0</v>
      </c>
    </row>
    <row r="370" ht="19.5" customHeight="1">
      <c r="A370" s="65"/>
      <c r="B370" s="70"/>
      <c r="C370" s="9">
        <v>369.0</v>
      </c>
      <c r="D370" s="10" t="s">
        <v>869</v>
      </c>
      <c r="E370" s="10" t="s">
        <v>197</v>
      </c>
      <c r="F370" s="10" t="s">
        <v>243</v>
      </c>
      <c r="G370" s="10" t="s">
        <v>870</v>
      </c>
      <c r="H370" s="32" t="s">
        <v>849</v>
      </c>
      <c r="I370" s="11" t="s">
        <v>41</v>
      </c>
      <c r="J370" s="12"/>
      <c r="K370" s="12"/>
      <c r="L370" s="13"/>
      <c r="M370" s="32"/>
      <c r="N370" s="9">
        <f>IFERROR(__xludf.DUMMYFUNCTION("SUM(QUERY(Entregas_BD!D:L,""select G where D='""&amp;D370&amp;""'"",1))"),0.0)</f>
        <v>0</v>
      </c>
      <c r="O370" s="9">
        <f>IFERROR(__xludf.DUMMYFUNCTION("SUM(QUERY(Entregas_BD!D:L,""select H where D='""&amp;D370&amp;""'"",1))"),0.0)</f>
        <v>0</v>
      </c>
      <c r="P370" s="9">
        <f>IFERROR(__xludf.DUMMYFUNCTION("SUM(QUERY(Entregas_BD!D:L,""select I where D='""&amp;D370&amp;""'"",1))"),0.0)</f>
        <v>0</v>
      </c>
      <c r="Q370" s="9">
        <f>IFERROR(__xludf.DUMMYFUNCTION("SUM(QUERY(Entregas_BD!D:L,""select J where D='""&amp;D370&amp;""'"",1))"),0.0)</f>
        <v>0</v>
      </c>
      <c r="R370" s="15">
        <f>IFERROR(__xludf.DUMMYFUNCTION("SUM(QUERY(Entregas_BD!D:L,""select K where D='""&amp;D370&amp;""'"",1))"),0.0)</f>
        <v>0</v>
      </c>
      <c r="S370" s="15">
        <f>IFERROR(__xludf.DUMMYFUNCTION("SUM(QUERY(Entregas_BD!D:L,""select L where D='""&amp;D370&amp;""'"",1))"),0.0)</f>
        <v>0</v>
      </c>
      <c r="T370" s="9">
        <f>IFERROR(__xludf.DUMMYFUNCTION("SUM(QUERY(Entregas_BD!D:AL,""select AG where D='""&amp;D370&amp;""'"",1))"),0.0)</f>
        <v>0</v>
      </c>
      <c r="U370" s="9">
        <f>IFERROR(__xludf.DUMMYFUNCTION("SUM(QUERY(Entregas_BD!D:AL,""select AH where D='""&amp;D370&amp;""'"",1))"),0.0)</f>
        <v>0</v>
      </c>
      <c r="V370" s="9">
        <f>IFERROR(__xludf.DUMMYFUNCTION("SUM(QUERY(Entregas_BD!D:AL,""select AI where D='""&amp;D370&amp;""'"",1))"),0.0)</f>
        <v>0</v>
      </c>
      <c r="W370" s="9">
        <f>IFERROR(__xludf.DUMMYFUNCTION("SUM(QUERY(Entregas_BD!D:AL,""select AJ where D='""&amp;D370&amp;""'"",1))"),0.0)</f>
        <v>0</v>
      </c>
      <c r="X370" s="9">
        <f>IFERROR(__xludf.DUMMYFUNCTION("SUM(QUERY(Entregas_BD!D:AL,""select AL where D='""&amp;D370&amp;""'"",1))"),0.0)</f>
        <v>0</v>
      </c>
      <c r="Y370" s="9">
        <f>IFERROR(__xludf.DUMMYFUNCTION("SUM(QUERY(Entregas_BD!D:AL,""select AK where D='""&amp;D370&amp;""'"",1))"),0.0)</f>
        <v>0</v>
      </c>
      <c r="Z370" s="9">
        <v>0.0</v>
      </c>
      <c r="AA370" s="9">
        <v>0.0</v>
      </c>
      <c r="AB370" s="9">
        <v>0.0</v>
      </c>
      <c r="AC370" s="9">
        <v>0.0</v>
      </c>
      <c r="AD370" s="9">
        <v>0.0</v>
      </c>
      <c r="AE370" s="9">
        <v>0.0</v>
      </c>
      <c r="AF370" s="32"/>
      <c r="AG370" s="15">
        <f>IFERROR(__xludf.DUMMYFUNCTION("SUM(QUERY(Entregas_BD!D:W,""select U where D='""&amp;D370&amp;""'"",1))"),0.0)</f>
        <v>0</v>
      </c>
      <c r="AH370" s="15">
        <f>IFERROR(__xludf.DUMMYFUNCTION("SUM(QUERY(Entregas_BD!D:W,""select S where D='""&amp;D370&amp;""'"",1))"),0.0)</f>
        <v>0</v>
      </c>
      <c r="AI370" s="15">
        <f>IFERROR(__xludf.DUMMYFUNCTION("SUM(QUERY(Entregas_BD!D:W,""select T where D='""&amp;D370&amp;""'"",1))"),0.0)</f>
        <v>0</v>
      </c>
    </row>
    <row r="371" ht="19.5" customHeight="1">
      <c r="A371" s="68"/>
      <c r="B371" s="69"/>
      <c r="C371" s="19">
        <v>370.0</v>
      </c>
      <c r="D371" s="20" t="s">
        <v>871</v>
      </c>
      <c r="E371" s="20" t="s">
        <v>63</v>
      </c>
      <c r="F371" s="20" t="s">
        <v>872</v>
      </c>
      <c r="G371" s="20" t="s">
        <v>873</v>
      </c>
      <c r="H371" s="25" t="s">
        <v>868</v>
      </c>
      <c r="I371" s="21" t="s">
        <v>41</v>
      </c>
      <c r="J371" s="22"/>
      <c r="K371" s="22"/>
      <c r="L371" s="23"/>
      <c r="M371" s="25"/>
      <c r="N371" s="19">
        <f>IFERROR(__xludf.DUMMYFUNCTION("SUM(QUERY(Entregas_BD!D:L,""select G where D='""&amp;D371&amp;""'"",1))"),0.0)</f>
        <v>0</v>
      </c>
      <c r="O371" s="19">
        <f>IFERROR(__xludf.DUMMYFUNCTION("SUM(QUERY(Entregas_BD!D:L,""select H where D='""&amp;D371&amp;""'"",1))"),0.0)</f>
        <v>0</v>
      </c>
      <c r="P371" s="19">
        <f>IFERROR(__xludf.DUMMYFUNCTION("SUM(QUERY(Entregas_BD!D:L,""select I where D='""&amp;D371&amp;""'"",1))"),0.0)</f>
        <v>0</v>
      </c>
      <c r="Q371" s="19">
        <f>IFERROR(__xludf.DUMMYFUNCTION("SUM(QUERY(Entregas_BD!D:L,""select J where D='""&amp;D371&amp;""'"",1))"),0.0)</f>
        <v>0</v>
      </c>
      <c r="R371" s="24">
        <f>IFERROR(__xludf.DUMMYFUNCTION("SUM(QUERY(Entregas_BD!D:L,""select K where D='""&amp;D371&amp;""'"",1))"),0.0)</f>
        <v>0</v>
      </c>
      <c r="S371" s="24">
        <f>IFERROR(__xludf.DUMMYFUNCTION("SUM(QUERY(Entregas_BD!D:L,""select L where D='""&amp;D371&amp;""'"",1))"),0.0)</f>
        <v>0</v>
      </c>
      <c r="T371" s="19">
        <f>IFERROR(__xludf.DUMMYFUNCTION("SUM(QUERY(Entregas_BD!D:AL,""select AG where D='""&amp;D371&amp;""'"",1))"),0.0)</f>
        <v>0</v>
      </c>
      <c r="U371" s="19">
        <f>IFERROR(__xludf.DUMMYFUNCTION("SUM(QUERY(Entregas_BD!D:AL,""select AH where D='""&amp;D371&amp;""'"",1))"),0.0)</f>
        <v>0</v>
      </c>
      <c r="V371" s="19">
        <f>IFERROR(__xludf.DUMMYFUNCTION("SUM(QUERY(Entregas_BD!D:AL,""select AI where D='""&amp;D371&amp;""'"",1))"),0.0)</f>
        <v>0</v>
      </c>
      <c r="W371" s="19">
        <f>IFERROR(__xludf.DUMMYFUNCTION("SUM(QUERY(Entregas_BD!D:AL,""select AJ where D='""&amp;D371&amp;""'"",1))"),0.0)</f>
        <v>0</v>
      </c>
      <c r="X371" s="19">
        <f>IFERROR(__xludf.DUMMYFUNCTION("SUM(QUERY(Entregas_BD!D:AL,""select AL where D='""&amp;D371&amp;""'"",1))"),0.0)</f>
        <v>0</v>
      </c>
      <c r="Y371" s="19">
        <f>IFERROR(__xludf.DUMMYFUNCTION("SUM(QUERY(Entregas_BD!D:AL,""select AK where D='""&amp;D371&amp;""'"",1))"),0.0)</f>
        <v>0</v>
      </c>
      <c r="Z371" s="19">
        <v>0.0</v>
      </c>
      <c r="AA371" s="19">
        <v>0.0</v>
      </c>
      <c r="AB371" s="19">
        <v>0.0</v>
      </c>
      <c r="AC371" s="19">
        <v>0.0</v>
      </c>
      <c r="AD371" s="19">
        <v>0.0</v>
      </c>
      <c r="AE371" s="19">
        <v>0.0</v>
      </c>
      <c r="AF371" s="25"/>
      <c r="AG371" s="24">
        <f>IFERROR(__xludf.DUMMYFUNCTION("SUM(QUERY(Entregas_BD!D:W,""select U where D='""&amp;D371&amp;""'"",1))"),0.0)</f>
        <v>0</v>
      </c>
      <c r="AH371" s="24">
        <f>IFERROR(__xludf.DUMMYFUNCTION("SUM(QUERY(Entregas_BD!D:W,""select S where D='""&amp;D371&amp;""'"",1))"),0.0)</f>
        <v>0</v>
      </c>
      <c r="AI371" s="24">
        <f>IFERROR(__xludf.DUMMYFUNCTION("SUM(QUERY(Entregas_BD!D:W,""select T where D='""&amp;D371&amp;""'"",1))"),0.0)</f>
        <v>0</v>
      </c>
    </row>
    <row r="372" ht="19.5" customHeight="1">
      <c r="A372" s="65"/>
      <c r="B372" s="70"/>
      <c r="C372" s="9">
        <v>371.0</v>
      </c>
      <c r="D372" s="10" t="s">
        <v>874</v>
      </c>
      <c r="E372" s="10" t="s">
        <v>44</v>
      </c>
      <c r="F372" s="10" t="s">
        <v>571</v>
      </c>
      <c r="G372" s="10" t="s">
        <v>875</v>
      </c>
      <c r="H372" s="12" t="s">
        <v>849</v>
      </c>
      <c r="I372" s="11" t="s">
        <v>41</v>
      </c>
      <c r="J372" s="32"/>
      <c r="K372" s="12"/>
      <c r="L372" s="13"/>
      <c r="M372" s="32"/>
      <c r="N372" s="9">
        <f>IFERROR(__xludf.DUMMYFUNCTION("SUM(QUERY(Entregas_BD!D:L,""select G where D='""&amp;D372&amp;""'"",1))"),0.0)</f>
        <v>0</v>
      </c>
      <c r="O372" s="9">
        <f>IFERROR(__xludf.DUMMYFUNCTION("SUM(QUERY(Entregas_BD!D:L,""select H where D='""&amp;D372&amp;""'"",1))"),0.0)</f>
        <v>0</v>
      </c>
      <c r="P372" s="9">
        <f>IFERROR(__xludf.DUMMYFUNCTION("SUM(QUERY(Entregas_BD!D:L,""select I where D='""&amp;D372&amp;""'"",1))"),0.0)</f>
        <v>0</v>
      </c>
      <c r="Q372" s="9">
        <f>IFERROR(__xludf.DUMMYFUNCTION("SUM(QUERY(Entregas_BD!D:L,""select J where D='""&amp;D372&amp;""'"",1))"),0.0)</f>
        <v>0</v>
      </c>
      <c r="R372" s="15">
        <f>IFERROR(__xludf.DUMMYFUNCTION("SUM(QUERY(Entregas_BD!D:L,""select K where D='""&amp;D372&amp;""'"",1))"),0.0)</f>
        <v>0</v>
      </c>
      <c r="S372" s="15">
        <f>IFERROR(__xludf.DUMMYFUNCTION("SUM(QUERY(Entregas_BD!D:L,""select L where D='""&amp;D372&amp;""'"",1))"),0.0)</f>
        <v>0</v>
      </c>
      <c r="T372" s="9">
        <f>IFERROR(__xludf.DUMMYFUNCTION("SUM(QUERY(Entregas_BD!D:AL,""select AG where D='""&amp;D372&amp;""'"",1))"),0.0)</f>
        <v>0</v>
      </c>
      <c r="U372" s="9">
        <f>IFERROR(__xludf.DUMMYFUNCTION("SUM(QUERY(Entregas_BD!D:AL,""select AH where D='""&amp;D372&amp;""'"",1))"),0.0)</f>
        <v>0</v>
      </c>
      <c r="V372" s="9">
        <f>IFERROR(__xludf.DUMMYFUNCTION("SUM(QUERY(Entregas_BD!D:AL,""select AI where D='""&amp;D372&amp;""'"",1))"),0.0)</f>
        <v>0</v>
      </c>
      <c r="W372" s="9">
        <f>IFERROR(__xludf.DUMMYFUNCTION("SUM(QUERY(Entregas_BD!D:AL,""select AJ where D='""&amp;D372&amp;""'"",1))"),0.0)</f>
        <v>0</v>
      </c>
      <c r="X372" s="9">
        <f>IFERROR(__xludf.DUMMYFUNCTION("SUM(QUERY(Entregas_BD!D:AL,""select AL where D='""&amp;D372&amp;""'"",1))"),0.0)</f>
        <v>0</v>
      </c>
      <c r="Y372" s="9">
        <f>IFERROR(__xludf.DUMMYFUNCTION("SUM(QUERY(Entregas_BD!D:AL,""select AK where D='""&amp;D372&amp;""'"",1))"),0.0)</f>
        <v>0</v>
      </c>
      <c r="Z372" s="9">
        <v>0.0</v>
      </c>
      <c r="AA372" s="9">
        <v>0.0</v>
      </c>
      <c r="AB372" s="9">
        <v>0.0</v>
      </c>
      <c r="AC372" s="9">
        <v>0.0</v>
      </c>
      <c r="AD372" s="9">
        <v>0.0</v>
      </c>
      <c r="AE372" s="9">
        <v>0.0</v>
      </c>
      <c r="AF372" s="32"/>
      <c r="AG372" s="15">
        <f>IFERROR(__xludf.DUMMYFUNCTION("SUM(QUERY(Entregas_BD!D:W,""select U where D='""&amp;D372&amp;""'"",1))"),0.0)</f>
        <v>0</v>
      </c>
      <c r="AH372" s="15">
        <f>IFERROR(__xludf.DUMMYFUNCTION("SUM(QUERY(Entregas_BD!D:W,""select S where D='""&amp;D372&amp;""'"",1))"),0.0)</f>
        <v>0</v>
      </c>
      <c r="AI372" s="15">
        <f>IFERROR(__xludf.DUMMYFUNCTION("SUM(QUERY(Entregas_BD!D:W,""select T where D='""&amp;D372&amp;""'"",1))"),0.0)</f>
        <v>0</v>
      </c>
    </row>
    <row r="373" ht="19.5" customHeight="1">
      <c r="A373" s="68"/>
      <c r="B373" s="69"/>
      <c r="C373" s="19">
        <v>372.0</v>
      </c>
      <c r="D373" s="20" t="s">
        <v>876</v>
      </c>
      <c r="E373" s="20" t="s">
        <v>72</v>
      </c>
      <c r="F373" s="20" t="s">
        <v>571</v>
      </c>
      <c r="G373" s="20" t="s">
        <v>72</v>
      </c>
      <c r="H373" s="22" t="s">
        <v>622</v>
      </c>
      <c r="I373" s="21" t="s">
        <v>41</v>
      </c>
      <c r="J373" s="25"/>
      <c r="K373" s="22"/>
      <c r="L373" s="23"/>
      <c r="M373" s="25"/>
      <c r="N373" s="19">
        <f>IFERROR(__xludf.DUMMYFUNCTION("SUM(QUERY(Entregas_BD!D:L,""select G where D='""&amp;D373&amp;""'"",1))"),0.0)</f>
        <v>0</v>
      </c>
      <c r="O373" s="19">
        <f>IFERROR(__xludf.DUMMYFUNCTION("SUM(QUERY(Entregas_BD!D:L,""select H where D='""&amp;D373&amp;""'"",1))"),0.0)</f>
        <v>0</v>
      </c>
      <c r="P373" s="19">
        <f>IFERROR(__xludf.DUMMYFUNCTION("SUM(QUERY(Entregas_BD!D:L,""select I where D='""&amp;D373&amp;""'"",1))"),0.0)</f>
        <v>0</v>
      </c>
      <c r="Q373" s="19">
        <f>IFERROR(__xludf.DUMMYFUNCTION("SUM(QUERY(Entregas_BD!D:L,""select J where D='""&amp;D373&amp;""'"",1))"),0.0)</f>
        <v>0</v>
      </c>
      <c r="R373" s="24">
        <f>IFERROR(__xludf.DUMMYFUNCTION("SUM(QUERY(Entregas_BD!D:L,""select K where D='""&amp;D373&amp;""'"",1))"),0.0)</f>
        <v>0</v>
      </c>
      <c r="S373" s="24">
        <f>IFERROR(__xludf.DUMMYFUNCTION("SUM(QUERY(Entregas_BD!D:L,""select L where D='""&amp;D373&amp;""'"",1))"),0.0)</f>
        <v>0</v>
      </c>
      <c r="T373" s="19">
        <f>IFERROR(__xludf.DUMMYFUNCTION("SUM(QUERY(Entregas_BD!D:AL,""select AG where D='""&amp;D373&amp;""'"",1))"),0.0)</f>
        <v>0</v>
      </c>
      <c r="U373" s="19">
        <f>IFERROR(__xludf.DUMMYFUNCTION("SUM(QUERY(Entregas_BD!D:AL,""select AH where D='""&amp;D373&amp;""'"",1))"),0.0)</f>
        <v>0</v>
      </c>
      <c r="V373" s="19">
        <f>IFERROR(__xludf.DUMMYFUNCTION("SUM(QUERY(Entregas_BD!D:AL,""select AI where D='""&amp;D373&amp;""'"",1))"),0.0)</f>
        <v>0</v>
      </c>
      <c r="W373" s="19">
        <f>IFERROR(__xludf.DUMMYFUNCTION("SUM(QUERY(Entregas_BD!D:AL,""select AJ where D='""&amp;D373&amp;""'"",1))"),0.0)</f>
        <v>0</v>
      </c>
      <c r="X373" s="19">
        <f>IFERROR(__xludf.DUMMYFUNCTION("SUM(QUERY(Entregas_BD!D:AL,""select AL where D='""&amp;D373&amp;""'"",1))"),0.0)</f>
        <v>0</v>
      </c>
      <c r="Y373" s="19">
        <f>IFERROR(__xludf.DUMMYFUNCTION("SUM(QUERY(Entregas_BD!D:AL,""select AK where D='""&amp;D373&amp;""'"",1))"),0.0)</f>
        <v>0</v>
      </c>
      <c r="Z373" s="19">
        <v>0.0</v>
      </c>
      <c r="AA373" s="19">
        <v>0.0</v>
      </c>
      <c r="AB373" s="19">
        <v>0.0</v>
      </c>
      <c r="AC373" s="19">
        <v>0.0</v>
      </c>
      <c r="AD373" s="19">
        <v>0.0</v>
      </c>
      <c r="AE373" s="19">
        <v>0.0</v>
      </c>
      <c r="AF373" s="25"/>
      <c r="AG373" s="24">
        <f>IFERROR(__xludf.DUMMYFUNCTION("SUM(QUERY(Entregas_BD!D:W,""select U where D='""&amp;D373&amp;""'"",1))"),0.0)</f>
        <v>0</v>
      </c>
      <c r="AH373" s="24">
        <f>IFERROR(__xludf.DUMMYFUNCTION("SUM(QUERY(Entregas_BD!D:W,""select S where D='""&amp;D373&amp;""'"",1))"),0.0)</f>
        <v>0</v>
      </c>
      <c r="AI373" s="24">
        <f>IFERROR(__xludf.DUMMYFUNCTION("SUM(QUERY(Entregas_BD!D:W,""select T where D='""&amp;D373&amp;""'"",1))"),0.0)</f>
        <v>0</v>
      </c>
    </row>
    <row r="374" ht="19.5" customHeight="1">
      <c r="A374" s="65"/>
      <c r="B374" s="70"/>
      <c r="C374" s="9">
        <v>373.0</v>
      </c>
      <c r="D374" s="10" t="s">
        <v>877</v>
      </c>
      <c r="E374" s="10" t="s">
        <v>197</v>
      </c>
      <c r="F374" s="10" t="s">
        <v>243</v>
      </c>
      <c r="G374" s="10" t="s">
        <v>878</v>
      </c>
      <c r="H374" s="12" t="s">
        <v>622</v>
      </c>
      <c r="I374" s="11" t="s">
        <v>41</v>
      </c>
      <c r="J374" s="32"/>
      <c r="K374" s="12"/>
      <c r="L374" s="13"/>
      <c r="M374" s="32"/>
      <c r="N374" s="9">
        <f>IFERROR(__xludf.DUMMYFUNCTION("SUM(QUERY(Entregas_BD!D:L,""select G where D='""&amp;D374&amp;""'"",1))"),0.0)</f>
        <v>0</v>
      </c>
      <c r="O374" s="9">
        <f>IFERROR(__xludf.DUMMYFUNCTION("SUM(QUERY(Entregas_BD!D:L,""select H where D='""&amp;D374&amp;""'"",1))"),0.0)</f>
        <v>0</v>
      </c>
      <c r="P374" s="9">
        <f>IFERROR(__xludf.DUMMYFUNCTION("SUM(QUERY(Entregas_BD!D:L,""select I where D='""&amp;D374&amp;""'"",1))"),0.0)</f>
        <v>0</v>
      </c>
      <c r="Q374" s="9">
        <f>IFERROR(__xludf.DUMMYFUNCTION("SUM(QUERY(Entregas_BD!D:L,""select J where D='""&amp;D374&amp;""'"",1))"),0.0)</f>
        <v>0</v>
      </c>
      <c r="R374" s="15">
        <f>IFERROR(__xludf.DUMMYFUNCTION("SUM(QUERY(Entregas_BD!D:L,""select K where D='""&amp;D374&amp;""'"",1))"),0.0)</f>
        <v>0</v>
      </c>
      <c r="S374" s="15">
        <f>IFERROR(__xludf.DUMMYFUNCTION("SUM(QUERY(Entregas_BD!D:L,""select L where D='""&amp;D374&amp;""'"",1))"),0.0)</f>
        <v>0</v>
      </c>
      <c r="T374" s="9">
        <f>IFERROR(__xludf.DUMMYFUNCTION("SUM(QUERY(Entregas_BD!D:AL,""select AG where D='""&amp;D374&amp;""'"",1))"),0.0)</f>
        <v>0</v>
      </c>
      <c r="U374" s="9">
        <f>IFERROR(__xludf.DUMMYFUNCTION("SUM(QUERY(Entregas_BD!D:AL,""select AH where D='""&amp;D374&amp;""'"",1))"),0.0)</f>
        <v>0</v>
      </c>
      <c r="V374" s="9">
        <f>IFERROR(__xludf.DUMMYFUNCTION("SUM(QUERY(Entregas_BD!D:AL,""select AI where D='""&amp;D374&amp;""'"",1))"),0.0)</f>
        <v>0</v>
      </c>
      <c r="W374" s="9">
        <f>IFERROR(__xludf.DUMMYFUNCTION("SUM(QUERY(Entregas_BD!D:AL,""select AJ where D='""&amp;D374&amp;""'"",1))"),0.0)</f>
        <v>0</v>
      </c>
      <c r="X374" s="9">
        <f>IFERROR(__xludf.DUMMYFUNCTION("SUM(QUERY(Entregas_BD!D:AL,""select AL where D='""&amp;D374&amp;""'"",1))"),0.0)</f>
        <v>0</v>
      </c>
      <c r="Y374" s="9">
        <f>IFERROR(__xludf.DUMMYFUNCTION("SUM(QUERY(Entregas_BD!D:AL,""select AK where D='""&amp;D374&amp;""'"",1))"),0.0)</f>
        <v>0</v>
      </c>
      <c r="Z374" s="9">
        <v>0.0</v>
      </c>
      <c r="AA374" s="9">
        <v>0.0</v>
      </c>
      <c r="AB374" s="9">
        <v>0.0</v>
      </c>
      <c r="AC374" s="9">
        <v>0.0</v>
      </c>
      <c r="AD374" s="9">
        <v>0.0</v>
      </c>
      <c r="AE374" s="9">
        <v>0.0</v>
      </c>
      <c r="AF374" s="32"/>
      <c r="AG374" s="15">
        <f>IFERROR(__xludf.DUMMYFUNCTION("SUM(QUERY(Entregas_BD!D:W,""select U where D='""&amp;D374&amp;""'"",1))"),0.0)</f>
        <v>0</v>
      </c>
      <c r="AH374" s="15">
        <f>IFERROR(__xludf.DUMMYFUNCTION("SUM(QUERY(Entregas_BD!D:W,""select S where D='""&amp;D374&amp;""'"",1))"),0.0)</f>
        <v>0</v>
      </c>
      <c r="AI374" s="15">
        <f>IFERROR(__xludf.DUMMYFUNCTION("SUM(QUERY(Entregas_BD!D:W,""select T where D='""&amp;D374&amp;""'"",1))"),0.0)</f>
        <v>0</v>
      </c>
    </row>
    <row r="375" ht="19.5" customHeight="1">
      <c r="A375" s="68"/>
      <c r="B375" s="69"/>
      <c r="C375" s="19">
        <v>374.0</v>
      </c>
      <c r="D375" s="20" t="s">
        <v>879</v>
      </c>
      <c r="E375" s="20" t="s">
        <v>44</v>
      </c>
      <c r="F375" s="20" t="s">
        <v>45</v>
      </c>
      <c r="G375" s="20" t="s">
        <v>356</v>
      </c>
      <c r="H375" s="25" t="s">
        <v>770</v>
      </c>
      <c r="I375" s="21" t="s">
        <v>41</v>
      </c>
      <c r="J375" s="25"/>
      <c r="K375" s="22"/>
      <c r="L375" s="23"/>
      <c r="M375" s="25"/>
      <c r="N375" s="19">
        <f>IFERROR(__xludf.DUMMYFUNCTION("SUM(QUERY(Entregas_BD!D:L,""select G where D='""&amp;D375&amp;""'"",1))"),0.0)</f>
        <v>0</v>
      </c>
      <c r="O375" s="19">
        <f>IFERROR(__xludf.DUMMYFUNCTION("SUM(QUERY(Entregas_BD!D:L,""select H where D='""&amp;D375&amp;""'"",1))"),0.0)</f>
        <v>0</v>
      </c>
      <c r="P375" s="19">
        <f>IFERROR(__xludf.DUMMYFUNCTION("SUM(QUERY(Entregas_BD!D:L,""select I where D='""&amp;D375&amp;""'"",1))"),0.0)</f>
        <v>0</v>
      </c>
      <c r="Q375" s="19">
        <f>IFERROR(__xludf.DUMMYFUNCTION("SUM(QUERY(Entregas_BD!D:L,""select J where D='""&amp;D375&amp;""'"",1))"),0.0)</f>
        <v>0</v>
      </c>
      <c r="R375" s="24">
        <f>IFERROR(__xludf.DUMMYFUNCTION("SUM(QUERY(Entregas_BD!D:L,""select K where D='""&amp;D375&amp;""'"",1))"),0.0)</f>
        <v>0</v>
      </c>
      <c r="S375" s="24">
        <f>IFERROR(__xludf.DUMMYFUNCTION("SUM(QUERY(Entregas_BD!D:L,""select L where D='""&amp;D375&amp;""'"",1))"),0.0)</f>
        <v>0</v>
      </c>
      <c r="T375" s="19">
        <f>IFERROR(__xludf.DUMMYFUNCTION("SUM(QUERY(Entregas_BD!D:AL,""select AG where D='""&amp;D375&amp;""'"",1))"),15.0)</f>
        <v>15</v>
      </c>
      <c r="U375" s="19">
        <f>IFERROR(__xludf.DUMMYFUNCTION("SUM(QUERY(Entregas_BD!D:AL,""select AH where D='""&amp;D375&amp;""'"",1))"),0.0)</f>
        <v>0</v>
      </c>
      <c r="V375" s="19">
        <f>IFERROR(__xludf.DUMMYFUNCTION("SUM(QUERY(Entregas_BD!D:AL,""select AI where D='""&amp;D375&amp;""'"",1))"),0.0)</f>
        <v>0</v>
      </c>
      <c r="W375" s="19">
        <f>IFERROR(__xludf.DUMMYFUNCTION("SUM(QUERY(Entregas_BD!D:AL,""select AJ where D='""&amp;D375&amp;""'"",1))"),0.0)</f>
        <v>0</v>
      </c>
      <c r="X375" s="19">
        <f>IFERROR(__xludf.DUMMYFUNCTION("SUM(QUERY(Entregas_BD!D:AL,""select AL where D='""&amp;D375&amp;""'"",1))"),0.0)</f>
        <v>0</v>
      </c>
      <c r="Y375" s="19">
        <f>IFERROR(__xludf.DUMMYFUNCTION("SUM(QUERY(Entregas_BD!D:AL,""select AK where D='""&amp;D375&amp;""'"",1))"),0.0)</f>
        <v>0</v>
      </c>
      <c r="Z375" s="19">
        <v>-15.0</v>
      </c>
      <c r="AA375" s="19">
        <v>0.0</v>
      </c>
      <c r="AB375" s="19">
        <v>0.0</v>
      </c>
      <c r="AC375" s="19">
        <v>0.0</v>
      </c>
      <c r="AD375" s="19">
        <v>0.0</v>
      </c>
      <c r="AE375" s="19">
        <v>0.0</v>
      </c>
      <c r="AF375" s="25"/>
      <c r="AG375" s="24">
        <f>IFERROR(__xludf.DUMMYFUNCTION("SUM(QUERY(Entregas_BD!D:W,""select U where D='""&amp;D375&amp;""'"",1))"),0.0)</f>
        <v>0</v>
      </c>
      <c r="AH375" s="24">
        <f>IFERROR(__xludf.DUMMYFUNCTION("SUM(QUERY(Entregas_BD!D:W,""select S where D='""&amp;D375&amp;""'"",1))"),0.0)</f>
        <v>0</v>
      </c>
      <c r="AI375" s="24">
        <f>IFERROR(__xludf.DUMMYFUNCTION("SUM(QUERY(Entregas_BD!D:W,""select T where D='""&amp;D375&amp;""'"",1))"),0.0)</f>
        <v>0</v>
      </c>
    </row>
    <row r="376" ht="19.5" customHeight="1">
      <c r="A376" s="71"/>
      <c r="B376" s="70"/>
      <c r="C376" s="9">
        <v>375.0</v>
      </c>
      <c r="D376" s="10" t="s">
        <v>880</v>
      </c>
      <c r="E376" s="10" t="s">
        <v>58</v>
      </c>
      <c r="F376" s="10" t="s">
        <v>45</v>
      </c>
      <c r="G376" s="10" t="s">
        <v>218</v>
      </c>
      <c r="H376" s="32" t="s">
        <v>868</v>
      </c>
      <c r="I376" s="11" t="s">
        <v>41</v>
      </c>
      <c r="J376" s="32"/>
      <c r="K376" s="12"/>
      <c r="L376" s="13"/>
      <c r="M376" s="32"/>
      <c r="N376" s="9">
        <f>IFERROR(__xludf.DUMMYFUNCTION("SUM(QUERY(Entregas_BD!D:L,""select G where D='""&amp;D376&amp;""'"",1))"),0.0)</f>
        <v>0</v>
      </c>
      <c r="O376" s="9">
        <f>IFERROR(__xludf.DUMMYFUNCTION("SUM(QUERY(Entregas_BD!D:L,""select H where D='""&amp;D376&amp;""'"",1))"),0.0)</f>
        <v>0</v>
      </c>
      <c r="P376" s="9">
        <f>IFERROR(__xludf.DUMMYFUNCTION("SUM(QUERY(Entregas_BD!D:L,""select I where D='""&amp;D376&amp;""'"",1))"),0.0)</f>
        <v>0</v>
      </c>
      <c r="Q376" s="9">
        <f>IFERROR(__xludf.DUMMYFUNCTION("SUM(QUERY(Entregas_BD!D:L,""select J where D='""&amp;D376&amp;""'"",1))"),0.0)</f>
        <v>0</v>
      </c>
      <c r="R376" s="15">
        <f>IFERROR(__xludf.DUMMYFUNCTION("SUM(QUERY(Entregas_BD!D:L,""select K where D='""&amp;D376&amp;""'"",1))"),0.0)</f>
        <v>0</v>
      </c>
      <c r="S376" s="15">
        <f>IFERROR(__xludf.DUMMYFUNCTION("SUM(QUERY(Entregas_BD!D:L,""select L where D='""&amp;D376&amp;""'"",1))"),0.0)</f>
        <v>0</v>
      </c>
      <c r="T376" s="9">
        <f>IFERROR(__xludf.DUMMYFUNCTION("SUM(QUERY(Entregas_BD!D:AL,""select AG where D='""&amp;D376&amp;""'"",1))"),0.0)</f>
        <v>0</v>
      </c>
      <c r="U376" s="9">
        <f>IFERROR(__xludf.DUMMYFUNCTION("SUM(QUERY(Entregas_BD!D:AL,""select AH where D='""&amp;D376&amp;""'"",1))"),0.0)</f>
        <v>0</v>
      </c>
      <c r="V376" s="9">
        <f>IFERROR(__xludf.DUMMYFUNCTION("SUM(QUERY(Entregas_BD!D:AL,""select AI where D='""&amp;D376&amp;""'"",1))"),0.0)</f>
        <v>0</v>
      </c>
      <c r="W376" s="9">
        <f>IFERROR(__xludf.DUMMYFUNCTION("SUM(QUERY(Entregas_BD!D:AL,""select AJ where D='""&amp;D376&amp;""'"",1))"),0.0)</f>
        <v>0</v>
      </c>
      <c r="X376" s="9">
        <f>IFERROR(__xludf.DUMMYFUNCTION("SUM(QUERY(Entregas_BD!D:AL,""select AL where D='""&amp;D376&amp;""'"",1))"),0.0)</f>
        <v>0</v>
      </c>
      <c r="Y376" s="9">
        <f>IFERROR(__xludf.DUMMYFUNCTION("SUM(QUERY(Entregas_BD!D:AL,""select AK where D='""&amp;D376&amp;""'"",1))"),0.0)</f>
        <v>0</v>
      </c>
      <c r="Z376" s="9">
        <v>0.0</v>
      </c>
      <c r="AA376" s="9">
        <v>0.0</v>
      </c>
      <c r="AB376" s="9">
        <v>0.0</v>
      </c>
      <c r="AC376" s="9">
        <v>0.0</v>
      </c>
      <c r="AD376" s="9">
        <v>0.0</v>
      </c>
      <c r="AE376" s="9">
        <v>0.0</v>
      </c>
      <c r="AF376" s="32"/>
      <c r="AG376" s="15">
        <f>IFERROR(__xludf.DUMMYFUNCTION("SUM(QUERY(Entregas_BD!D:W,""select U where D='""&amp;D376&amp;""'"",1))"),0.0)</f>
        <v>0</v>
      </c>
      <c r="AH376" s="15">
        <f>IFERROR(__xludf.DUMMYFUNCTION("SUM(QUERY(Entregas_BD!D:W,""select S where D='""&amp;D376&amp;""'"",1))"),0.0)</f>
        <v>0</v>
      </c>
      <c r="AI376" s="15">
        <f>IFERROR(__xludf.DUMMYFUNCTION("SUM(QUERY(Entregas_BD!D:W,""select T where D='""&amp;D376&amp;""'"",1))"),0.0)</f>
        <v>0</v>
      </c>
    </row>
    <row r="377" ht="19.5" customHeight="1">
      <c r="A377" s="72"/>
      <c r="B377" s="69"/>
      <c r="C377" s="19">
        <v>376.0</v>
      </c>
      <c r="D377" s="20" t="s">
        <v>881</v>
      </c>
      <c r="E377" s="20" t="s">
        <v>44</v>
      </c>
      <c r="F377" s="20" t="s">
        <v>45</v>
      </c>
      <c r="G377" s="20" t="s">
        <v>882</v>
      </c>
      <c r="H377" s="25" t="s">
        <v>883</v>
      </c>
      <c r="I377" s="21" t="s">
        <v>47</v>
      </c>
      <c r="J377" s="25"/>
      <c r="K377" s="22"/>
      <c r="L377" s="23"/>
      <c r="M377" s="25"/>
      <c r="N377" s="19">
        <f>IFERROR(__xludf.DUMMYFUNCTION("SUM(QUERY(Entregas_BD!D:L,""select G where D='""&amp;D377&amp;""'"",1))"),0.0)</f>
        <v>0</v>
      </c>
      <c r="O377" s="19">
        <f>IFERROR(__xludf.DUMMYFUNCTION("SUM(QUERY(Entregas_BD!D:L,""select H where D='""&amp;D377&amp;""'"",1))"),0.0)</f>
        <v>0</v>
      </c>
      <c r="P377" s="19">
        <f>IFERROR(__xludf.DUMMYFUNCTION("SUM(QUERY(Entregas_BD!D:L,""select I where D='""&amp;D377&amp;""'"",1))"),0.0)</f>
        <v>0</v>
      </c>
      <c r="Q377" s="19">
        <f>IFERROR(__xludf.DUMMYFUNCTION("SUM(QUERY(Entregas_BD!D:L,""select J where D='""&amp;D377&amp;""'"",1))"),0.0)</f>
        <v>0</v>
      </c>
      <c r="R377" s="24">
        <f>IFERROR(__xludf.DUMMYFUNCTION("SUM(QUERY(Entregas_BD!D:L,""select K where D='""&amp;D377&amp;""'"",1))"),0.0)</f>
        <v>0</v>
      </c>
      <c r="S377" s="24">
        <f>IFERROR(__xludf.DUMMYFUNCTION("SUM(QUERY(Entregas_BD!D:L,""select L where D='""&amp;D377&amp;""'"",1))"),0.0)</f>
        <v>0</v>
      </c>
      <c r="T377" s="19">
        <f>IFERROR(__xludf.DUMMYFUNCTION("SUM(QUERY(Entregas_BD!D:AL,""select AG where D='""&amp;D377&amp;""'"",1))"),0.0)</f>
        <v>0</v>
      </c>
      <c r="U377" s="19">
        <f>IFERROR(__xludf.DUMMYFUNCTION("SUM(QUERY(Entregas_BD!D:AL,""select AH where D='""&amp;D377&amp;""'"",1))"),0.0)</f>
        <v>0</v>
      </c>
      <c r="V377" s="19">
        <f>IFERROR(__xludf.DUMMYFUNCTION("SUM(QUERY(Entregas_BD!D:AL,""select AI where D='""&amp;D377&amp;""'"",1))"),0.0)</f>
        <v>0</v>
      </c>
      <c r="W377" s="19">
        <f>IFERROR(__xludf.DUMMYFUNCTION("SUM(QUERY(Entregas_BD!D:AL,""select AJ where D='""&amp;D377&amp;""'"",1))"),0.0)</f>
        <v>0</v>
      </c>
      <c r="X377" s="19">
        <f>IFERROR(__xludf.DUMMYFUNCTION("SUM(QUERY(Entregas_BD!D:AL,""select AL where D='""&amp;D377&amp;""'"",1))"),0.0)</f>
        <v>0</v>
      </c>
      <c r="Y377" s="19">
        <f>IFERROR(__xludf.DUMMYFUNCTION("SUM(QUERY(Entregas_BD!D:AL,""select AK where D='""&amp;D377&amp;""'"",1))"),0.0)</f>
        <v>0</v>
      </c>
      <c r="Z377" s="19">
        <v>0.0</v>
      </c>
      <c r="AA377" s="19">
        <v>0.0</v>
      </c>
      <c r="AB377" s="19">
        <v>0.0</v>
      </c>
      <c r="AC377" s="19">
        <v>0.0</v>
      </c>
      <c r="AD377" s="19">
        <v>0.0</v>
      </c>
      <c r="AE377" s="19">
        <v>0.0</v>
      </c>
      <c r="AF377" s="25"/>
      <c r="AG377" s="24">
        <f>IFERROR(__xludf.DUMMYFUNCTION("SUM(QUERY(Entregas_BD!D:W,""select U where D='""&amp;D377&amp;""'"",1))"),0.0)</f>
        <v>0</v>
      </c>
      <c r="AH377" s="24">
        <f>IFERROR(__xludf.DUMMYFUNCTION("SUM(QUERY(Entregas_BD!D:W,""select S where D='""&amp;D377&amp;""'"",1))"),0.0)</f>
        <v>0</v>
      </c>
      <c r="AI377" s="24">
        <f>IFERROR(__xludf.DUMMYFUNCTION("SUM(QUERY(Entregas_BD!D:W,""select T where D='""&amp;D377&amp;""'"",1))"),0.0)</f>
        <v>0</v>
      </c>
    </row>
    <row r="378" ht="19.5" customHeight="1">
      <c r="A378" s="71"/>
      <c r="B378" s="70"/>
      <c r="C378" s="9">
        <v>377.0</v>
      </c>
      <c r="D378" s="37" t="s">
        <v>884</v>
      </c>
      <c r="E378" s="10" t="s">
        <v>72</v>
      </c>
      <c r="F378" s="10" t="s">
        <v>45</v>
      </c>
      <c r="G378" s="10" t="s">
        <v>149</v>
      </c>
      <c r="H378" s="12" t="s">
        <v>849</v>
      </c>
      <c r="I378" s="11" t="s">
        <v>41</v>
      </c>
      <c r="J378" s="32"/>
      <c r="K378" s="12"/>
      <c r="L378" s="13"/>
      <c r="M378" s="32"/>
      <c r="N378" s="9">
        <f>IFERROR(__xludf.DUMMYFUNCTION("SUM(QUERY(Entregas_BD!D:L,""select G where D='""&amp;D378&amp;""'"",1))"),0.0)</f>
        <v>0</v>
      </c>
      <c r="O378" s="9">
        <f>IFERROR(__xludf.DUMMYFUNCTION("SUM(QUERY(Entregas_BD!D:L,""select H where D='""&amp;D378&amp;""'"",1))"),0.0)</f>
        <v>0</v>
      </c>
      <c r="P378" s="9">
        <f>IFERROR(__xludf.DUMMYFUNCTION("SUM(QUERY(Entregas_BD!D:L,""select I where D='""&amp;D378&amp;""'"",1))"),0.0)</f>
        <v>0</v>
      </c>
      <c r="Q378" s="9">
        <f>IFERROR(__xludf.DUMMYFUNCTION("SUM(QUERY(Entregas_BD!D:L,""select J where D='""&amp;D378&amp;""'"",1))"),0.0)</f>
        <v>0</v>
      </c>
      <c r="R378" s="15">
        <f>IFERROR(__xludf.DUMMYFUNCTION("SUM(QUERY(Entregas_BD!D:L,""select K where D='""&amp;D378&amp;""'"",1))"),0.0)</f>
        <v>0</v>
      </c>
      <c r="S378" s="15">
        <f>IFERROR(__xludf.DUMMYFUNCTION("SUM(QUERY(Entregas_BD!D:L,""select L where D='""&amp;D378&amp;""'"",1))"),0.0)</f>
        <v>0</v>
      </c>
      <c r="T378" s="9">
        <f>IFERROR(__xludf.DUMMYFUNCTION("SUM(QUERY(Entregas_BD!D:AL,""select AG where D='""&amp;D378&amp;""'"",1))"),100.0)</f>
        <v>100</v>
      </c>
      <c r="U378" s="9">
        <f>IFERROR(__xludf.DUMMYFUNCTION("SUM(QUERY(Entregas_BD!D:AL,""select AH where D='""&amp;D378&amp;""'"",1))"),0.0)</f>
        <v>0</v>
      </c>
      <c r="V378" s="9">
        <f>IFERROR(__xludf.DUMMYFUNCTION("SUM(QUERY(Entregas_BD!D:AL,""select AI where D='""&amp;D378&amp;""'"",1))"),0.0)</f>
        <v>0</v>
      </c>
      <c r="W378" s="9">
        <f>IFERROR(__xludf.DUMMYFUNCTION("SUM(QUERY(Entregas_BD!D:AL,""select AJ where D='""&amp;D378&amp;""'"",1))"),0.0)</f>
        <v>0</v>
      </c>
      <c r="X378" s="9">
        <f>IFERROR(__xludf.DUMMYFUNCTION("SUM(QUERY(Entregas_BD!D:AL,""select AL where D='""&amp;D378&amp;""'"",1))"),0.0)</f>
        <v>0</v>
      </c>
      <c r="Y378" s="9">
        <f>IFERROR(__xludf.DUMMYFUNCTION("SUM(QUERY(Entregas_BD!D:AL,""select AK where D='""&amp;D378&amp;""'"",1))"),0.0)</f>
        <v>0</v>
      </c>
      <c r="Z378" s="9">
        <v>-100.0</v>
      </c>
      <c r="AA378" s="9">
        <v>0.0</v>
      </c>
      <c r="AB378" s="9">
        <v>0.0</v>
      </c>
      <c r="AC378" s="9">
        <v>0.0</v>
      </c>
      <c r="AD378" s="9">
        <v>0.0</v>
      </c>
      <c r="AE378" s="9">
        <v>0.0</v>
      </c>
      <c r="AF378" s="32"/>
      <c r="AG378" s="15">
        <f>IFERROR(__xludf.DUMMYFUNCTION("SUM(QUERY(Entregas_BD!D:W,""select U where D='""&amp;D378&amp;""'"",1))"),0.0)</f>
        <v>0</v>
      </c>
      <c r="AH378" s="15">
        <f>IFERROR(__xludf.DUMMYFUNCTION("SUM(QUERY(Entregas_BD!D:W,""select S where D='""&amp;D378&amp;""'"",1))"),0.0)</f>
        <v>0</v>
      </c>
      <c r="AI378" s="15">
        <f>IFERROR(__xludf.DUMMYFUNCTION("SUM(QUERY(Entregas_BD!D:W,""select T where D='""&amp;D378&amp;""'"",1))"),0.0)</f>
        <v>0</v>
      </c>
    </row>
    <row r="379" ht="19.5" customHeight="1">
      <c r="A379" s="72"/>
      <c r="B379" s="69"/>
      <c r="C379" s="19">
        <v>378.0</v>
      </c>
      <c r="D379" s="73" t="s">
        <v>885</v>
      </c>
      <c r="E379" s="20" t="s">
        <v>58</v>
      </c>
      <c r="F379" s="20" t="s">
        <v>45</v>
      </c>
      <c r="G379" s="20" t="s">
        <v>600</v>
      </c>
      <c r="H379" s="25" t="s">
        <v>886</v>
      </c>
      <c r="I379" s="21" t="s">
        <v>41</v>
      </c>
      <c r="J379" s="25"/>
      <c r="K379" s="22"/>
      <c r="L379" s="23"/>
      <c r="M379" s="25"/>
      <c r="N379" s="19">
        <f>IFERROR(__xludf.DUMMYFUNCTION("SUM(QUERY(Entregas_BD!D:L,""select G where D='""&amp;D379&amp;""'"",1))"),0.0)</f>
        <v>0</v>
      </c>
      <c r="O379" s="19">
        <f>IFERROR(__xludf.DUMMYFUNCTION("SUM(QUERY(Entregas_BD!D:L,""select H where D='""&amp;D379&amp;""'"",1))"),0.0)</f>
        <v>0</v>
      </c>
      <c r="P379" s="19">
        <f>IFERROR(__xludf.DUMMYFUNCTION("SUM(QUERY(Entregas_BD!D:L,""select I where D='""&amp;D379&amp;""'"",1))"),0.0)</f>
        <v>0</v>
      </c>
      <c r="Q379" s="19">
        <f>IFERROR(__xludf.DUMMYFUNCTION("SUM(QUERY(Entregas_BD!D:L,""select J where D='""&amp;D379&amp;""'"",1))"),0.0)</f>
        <v>0</v>
      </c>
      <c r="R379" s="24">
        <f>IFERROR(__xludf.DUMMYFUNCTION("SUM(QUERY(Entregas_BD!D:L,""select K where D='""&amp;D379&amp;""'"",1))"),0.0)</f>
        <v>0</v>
      </c>
      <c r="S379" s="24">
        <f>IFERROR(__xludf.DUMMYFUNCTION("SUM(QUERY(Entregas_BD!D:L,""select L where D='""&amp;D379&amp;""'"",1))"),0.0)</f>
        <v>0</v>
      </c>
      <c r="T379" s="19">
        <f>IFERROR(__xludf.DUMMYFUNCTION("SUM(QUERY(Entregas_BD!D:AL,""select AG where D='""&amp;D379&amp;""'"",1))"),40.0)</f>
        <v>40</v>
      </c>
      <c r="U379" s="19">
        <f>IFERROR(__xludf.DUMMYFUNCTION("SUM(QUERY(Entregas_BD!D:AL,""select AH where D='""&amp;D379&amp;""'"",1))"),0.0)</f>
        <v>0</v>
      </c>
      <c r="V379" s="19">
        <f>IFERROR(__xludf.DUMMYFUNCTION("SUM(QUERY(Entregas_BD!D:AL,""select AI where D='""&amp;D379&amp;""'"",1))"),0.0)</f>
        <v>0</v>
      </c>
      <c r="W379" s="19">
        <f>IFERROR(__xludf.DUMMYFUNCTION("SUM(QUERY(Entregas_BD!D:AL,""select AJ where D='""&amp;D379&amp;""'"",1))"),0.0)</f>
        <v>0</v>
      </c>
      <c r="X379" s="19">
        <f>IFERROR(__xludf.DUMMYFUNCTION("SUM(QUERY(Entregas_BD!D:AL,""select AL where D='""&amp;D379&amp;""'"",1))"),0.0)</f>
        <v>0</v>
      </c>
      <c r="Y379" s="19">
        <f>IFERROR(__xludf.DUMMYFUNCTION("SUM(QUERY(Entregas_BD!D:AL,""select AK where D='""&amp;D379&amp;""'"",1))"),0.0)</f>
        <v>0</v>
      </c>
      <c r="Z379" s="19">
        <v>-40.0</v>
      </c>
      <c r="AA379" s="19">
        <v>0.0</v>
      </c>
      <c r="AB379" s="19">
        <v>0.0</v>
      </c>
      <c r="AC379" s="19">
        <v>0.0</v>
      </c>
      <c r="AD379" s="19">
        <v>0.0</v>
      </c>
      <c r="AE379" s="19">
        <v>0.0</v>
      </c>
      <c r="AF379" s="25"/>
      <c r="AG379" s="24">
        <f>IFERROR(__xludf.DUMMYFUNCTION("SUM(QUERY(Entregas_BD!D:W,""select U where D='""&amp;D379&amp;""'"",1))"),0.0)</f>
        <v>0</v>
      </c>
      <c r="AH379" s="24">
        <f>IFERROR(__xludf.DUMMYFUNCTION("SUM(QUERY(Entregas_BD!D:W,""select S where D='""&amp;D379&amp;""'"",1))"),0.0)</f>
        <v>0</v>
      </c>
      <c r="AI379" s="24">
        <f>IFERROR(__xludf.DUMMYFUNCTION("SUM(QUERY(Entregas_BD!D:W,""select T where D='""&amp;D379&amp;""'"",1))"),0.0)</f>
        <v>0</v>
      </c>
    </row>
    <row r="380" ht="19.5" customHeight="1">
      <c r="A380" s="71"/>
      <c r="B380" s="70"/>
      <c r="C380" s="9">
        <v>379.0</v>
      </c>
      <c r="D380" s="37" t="s">
        <v>887</v>
      </c>
      <c r="E380" s="10" t="s">
        <v>63</v>
      </c>
      <c r="F380" s="10" t="s">
        <v>888</v>
      </c>
      <c r="G380" s="10" t="s">
        <v>889</v>
      </c>
      <c r="H380" s="32" t="s">
        <v>845</v>
      </c>
      <c r="I380" s="11" t="s">
        <v>41</v>
      </c>
      <c r="J380" s="32"/>
      <c r="K380" s="12"/>
      <c r="L380" s="13"/>
      <c r="M380" s="32"/>
      <c r="N380" s="9">
        <f>IFERROR(__xludf.DUMMYFUNCTION("SUM(QUERY(Entregas_BD!D:L,""select G where D='""&amp;D380&amp;""'"",1))"),0.0)</f>
        <v>0</v>
      </c>
      <c r="O380" s="9">
        <f>IFERROR(__xludf.DUMMYFUNCTION("SUM(QUERY(Entregas_BD!D:L,""select H where D='""&amp;D380&amp;""'"",1))"),0.0)</f>
        <v>0</v>
      </c>
      <c r="P380" s="9">
        <f>IFERROR(__xludf.DUMMYFUNCTION("SUM(QUERY(Entregas_BD!D:L,""select I where D='""&amp;D380&amp;""'"",1))"),0.0)</f>
        <v>0</v>
      </c>
      <c r="Q380" s="9">
        <f>IFERROR(__xludf.DUMMYFUNCTION("SUM(QUERY(Entregas_BD!D:L,""select J where D='""&amp;D380&amp;""'"",1))"),0.0)</f>
        <v>0</v>
      </c>
      <c r="R380" s="15">
        <f>IFERROR(__xludf.DUMMYFUNCTION("SUM(QUERY(Entregas_BD!D:L,""select K where D='""&amp;D380&amp;""'"",1))"),0.0)</f>
        <v>0</v>
      </c>
      <c r="S380" s="15">
        <f>IFERROR(__xludf.DUMMYFUNCTION("SUM(QUERY(Entregas_BD!D:L,""select L where D='""&amp;D380&amp;""'"",1))"),0.0)</f>
        <v>0</v>
      </c>
      <c r="T380" s="9">
        <f>IFERROR(__xludf.DUMMYFUNCTION("SUM(QUERY(Entregas_BD!D:AL,""select AG where D='""&amp;D380&amp;""'"",1))"),100.0)</f>
        <v>100</v>
      </c>
      <c r="U380" s="9">
        <f>IFERROR(__xludf.DUMMYFUNCTION("SUM(QUERY(Entregas_BD!D:AL,""select AH where D='""&amp;D380&amp;""'"",1))"),0.0)</f>
        <v>0</v>
      </c>
      <c r="V380" s="9">
        <f>IFERROR(__xludf.DUMMYFUNCTION("SUM(QUERY(Entregas_BD!D:AL,""select AI where D='""&amp;D380&amp;""'"",1))"),0.0)</f>
        <v>0</v>
      </c>
      <c r="W380" s="9">
        <f>IFERROR(__xludf.DUMMYFUNCTION("SUM(QUERY(Entregas_BD!D:AL,""select AJ where D='""&amp;D380&amp;""'"",1))"),0.0)</f>
        <v>0</v>
      </c>
      <c r="X380" s="9">
        <f>IFERROR(__xludf.DUMMYFUNCTION("SUM(QUERY(Entregas_BD!D:AL,""select AL where D='""&amp;D380&amp;""'"",1))"),0.0)</f>
        <v>0</v>
      </c>
      <c r="Y380" s="9">
        <f>IFERROR(__xludf.DUMMYFUNCTION("SUM(QUERY(Entregas_BD!D:AL,""select AK where D='""&amp;D380&amp;""'"",1))"),0.0)</f>
        <v>0</v>
      </c>
      <c r="Z380" s="9">
        <v>-100.0</v>
      </c>
      <c r="AA380" s="9">
        <v>0.0</v>
      </c>
      <c r="AB380" s="9">
        <v>0.0</v>
      </c>
      <c r="AC380" s="9">
        <v>0.0</v>
      </c>
      <c r="AD380" s="9">
        <v>0.0</v>
      </c>
      <c r="AE380" s="9">
        <v>0.0</v>
      </c>
      <c r="AF380" s="32"/>
      <c r="AG380" s="15">
        <f>IFERROR(__xludf.DUMMYFUNCTION("SUM(QUERY(Entregas_BD!D:W,""select U where D='""&amp;D380&amp;""'"",1))"),0.0)</f>
        <v>0</v>
      </c>
      <c r="AH380" s="15">
        <f>IFERROR(__xludf.DUMMYFUNCTION("SUM(QUERY(Entregas_BD!D:W,""select S where D='""&amp;D380&amp;""'"",1))"),0.0)</f>
        <v>0</v>
      </c>
      <c r="AI380" s="15">
        <f>IFERROR(__xludf.DUMMYFUNCTION("SUM(QUERY(Entregas_BD!D:W,""select T where D='""&amp;D380&amp;""'"",1))"),0.0)</f>
        <v>0</v>
      </c>
    </row>
    <row r="381" ht="19.5" customHeight="1">
      <c r="A381" s="72"/>
      <c r="B381" s="69"/>
      <c r="C381" s="19">
        <v>380.0</v>
      </c>
      <c r="D381" s="74" t="s">
        <v>890</v>
      </c>
      <c r="E381" s="20" t="s">
        <v>44</v>
      </c>
      <c r="F381" s="20" t="s">
        <v>45</v>
      </c>
      <c r="G381" s="20" t="s">
        <v>634</v>
      </c>
      <c r="H381" s="22" t="s">
        <v>622</v>
      </c>
      <c r="I381" s="21" t="s">
        <v>41</v>
      </c>
      <c r="J381" s="25"/>
      <c r="K381" s="22"/>
      <c r="L381" s="23"/>
      <c r="M381" s="25"/>
      <c r="N381" s="19">
        <f>IFERROR(__xludf.DUMMYFUNCTION("SUM(QUERY(Entregas_BD!D:L,""select G where D='""&amp;D381&amp;""'"",1))"),0.0)</f>
        <v>0</v>
      </c>
      <c r="O381" s="19">
        <f>IFERROR(__xludf.DUMMYFUNCTION("SUM(QUERY(Entregas_BD!D:L,""select H where D='""&amp;D381&amp;""'"",1))"),0.0)</f>
        <v>0</v>
      </c>
      <c r="P381" s="19">
        <f>IFERROR(__xludf.DUMMYFUNCTION("SUM(QUERY(Entregas_BD!D:L,""select I where D='""&amp;D381&amp;""'"",1))"),0.0)</f>
        <v>0</v>
      </c>
      <c r="Q381" s="19">
        <f>IFERROR(__xludf.DUMMYFUNCTION("SUM(QUERY(Entregas_BD!D:L,""select J where D='""&amp;D381&amp;""'"",1))"),0.0)</f>
        <v>0</v>
      </c>
      <c r="R381" s="24">
        <f>IFERROR(__xludf.DUMMYFUNCTION("SUM(QUERY(Entregas_BD!D:L,""select K where D='""&amp;D381&amp;""'"",1))"),0.0)</f>
        <v>0</v>
      </c>
      <c r="S381" s="24">
        <f>IFERROR(__xludf.DUMMYFUNCTION("SUM(QUERY(Entregas_BD!D:L,""select L where D='""&amp;D381&amp;""'"",1))"),0.0)</f>
        <v>0</v>
      </c>
      <c r="T381" s="19">
        <f>IFERROR(__xludf.DUMMYFUNCTION("SUM(QUERY(Entregas_BD!D:AL,""select AG where D='""&amp;D381&amp;""'"",1))"),90.0)</f>
        <v>90</v>
      </c>
      <c r="U381" s="19">
        <f>IFERROR(__xludf.DUMMYFUNCTION("SUM(QUERY(Entregas_BD!D:AL,""select AH where D='""&amp;D381&amp;""'"",1))"),0.0)</f>
        <v>0</v>
      </c>
      <c r="V381" s="19">
        <f>IFERROR(__xludf.DUMMYFUNCTION("SUM(QUERY(Entregas_BD!D:AL,""select AI where D='""&amp;D381&amp;""'"",1))"),0.0)</f>
        <v>0</v>
      </c>
      <c r="W381" s="19">
        <f>IFERROR(__xludf.DUMMYFUNCTION("SUM(QUERY(Entregas_BD!D:AL,""select AJ where D='""&amp;D381&amp;""'"",1))"),0.0)</f>
        <v>0</v>
      </c>
      <c r="X381" s="19">
        <f>IFERROR(__xludf.DUMMYFUNCTION("SUM(QUERY(Entregas_BD!D:AL,""select AL where D='""&amp;D381&amp;""'"",1))"),0.0)</f>
        <v>0</v>
      </c>
      <c r="Y381" s="19">
        <f>IFERROR(__xludf.DUMMYFUNCTION("SUM(QUERY(Entregas_BD!D:AL,""select AK where D='""&amp;D381&amp;""'"",1))"),0.0)</f>
        <v>0</v>
      </c>
      <c r="Z381" s="19">
        <v>-90.0</v>
      </c>
      <c r="AA381" s="19">
        <v>0.0</v>
      </c>
      <c r="AB381" s="19">
        <v>0.0</v>
      </c>
      <c r="AC381" s="19">
        <v>0.0</v>
      </c>
      <c r="AD381" s="19">
        <v>0.0</v>
      </c>
      <c r="AE381" s="19">
        <v>0.0</v>
      </c>
      <c r="AF381" s="25"/>
      <c r="AG381" s="24">
        <f>IFERROR(__xludf.DUMMYFUNCTION("SUM(QUERY(Entregas_BD!D:W,""select U where D='""&amp;D381&amp;""'"",1))"),0.0)</f>
        <v>0</v>
      </c>
      <c r="AH381" s="24">
        <f>IFERROR(__xludf.DUMMYFUNCTION("SUM(QUERY(Entregas_BD!D:W,""select S where D='""&amp;D381&amp;""'"",1))"),0.0)</f>
        <v>0</v>
      </c>
      <c r="AI381" s="24">
        <f>IFERROR(__xludf.DUMMYFUNCTION("SUM(QUERY(Entregas_BD!D:W,""select T where D='""&amp;D381&amp;""'"",1))"),0.0)</f>
        <v>0</v>
      </c>
    </row>
    <row r="382" ht="19.5" customHeight="1">
      <c r="A382" s="71"/>
      <c r="B382" s="70"/>
      <c r="C382" s="9">
        <v>381.0</v>
      </c>
      <c r="D382" s="35" t="s">
        <v>891</v>
      </c>
      <c r="E382" s="10" t="s">
        <v>72</v>
      </c>
      <c r="F382" s="10" t="s">
        <v>45</v>
      </c>
      <c r="G382" s="10" t="s">
        <v>307</v>
      </c>
      <c r="H382" s="12" t="s">
        <v>622</v>
      </c>
      <c r="I382" s="11" t="s">
        <v>41</v>
      </c>
      <c r="J382" s="32"/>
      <c r="K382" s="12"/>
      <c r="L382" s="13"/>
      <c r="M382" s="32"/>
      <c r="N382" s="9">
        <f>IFERROR(__xludf.DUMMYFUNCTION("SUM(QUERY(Entregas_BD!D:L,""select G where D='""&amp;D382&amp;""'"",1))"),0.0)</f>
        <v>0</v>
      </c>
      <c r="O382" s="9">
        <f>IFERROR(__xludf.DUMMYFUNCTION("SUM(QUERY(Entregas_BD!D:L,""select H where D='""&amp;D382&amp;""'"",1))"),0.0)</f>
        <v>0</v>
      </c>
      <c r="P382" s="9">
        <f>IFERROR(__xludf.DUMMYFUNCTION("SUM(QUERY(Entregas_BD!D:L,""select I where D='""&amp;D382&amp;""'"",1))"),0.0)</f>
        <v>0</v>
      </c>
      <c r="Q382" s="9">
        <f>IFERROR(__xludf.DUMMYFUNCTION("SUM(QUERY(Entregas_BD!D:L,""select J where D='""&amp;D382&amp;""'"",1))"),0.0)</f>
        <v>0</v>
      </c>
      <c r="R382" s="15">
        <f>IFERROR(__xludf.DUMMYFUNCTION("SUM(QUERY(Entregas_BD!D:L,""select K where D='""&amp;D382&amp;""'"",1))"),0.0)</f>
        <v>0</v>
      </c>
      <c r="S382" s="15">
        <f>IFERROR(__xludf.DUMMYFUNCTION("SUM(QUERY(Entregas_BD!D:L,""select L where D='""&amp;D382&amp;""'"",1))"),0.0)</f>
        <v>0</v>
      </c>
      <c r="T382" s="9">
        <f>IFERROR(__xludf.DUMMYFUNCTION("SUM(QUERY(Entregas_BD!D:AL,""select AG where D='""&amp;D382&amp;""'"",1))"),100.0)</f>
        <v>100</v>
      </c>
      <c r="U382" s="9">
        <f>IFERROR(__xludf.DUMMYFUNCTION("SUM(QUERY(Entregas_BD!D:AL,""select AH where D='""&amp;D382&amp;""'"",1))"),0.0)</f>
        <v>0</v>
      </c>
      <c r="V382" s="9">
        <f>IFERROR(__xludf.DUMMYFUNCTION("SUM(QUERY(Entregas_BD!D:AL,""select AI where D='""&amp;D382&amp;""'"",1))"),0.0)</f>
        <v>0</v>
      </c>
      <c r="W382" s="9">
        <f>IFERROR(__xludf.DUMMYFUNCTION("SUM(QUERY(Entregas_BD!D:AL,""select AJ where D='""&amp;D382&amp;""'"",1))"),0.0)</f>
        <v>0</v>
      </c>
      <c r="X382" s="9">
        <f>IFERROR(__xludf.DUMMYFUNCTION("SUM(QUERY(Entregas_BD!D:AL,""select AL where D='""&amp;D382&amp;""'"",1))"),0.0)</f>
        <v>0</v>
      </c>
      <c r="Y382" s="9">
        <f>IFERROR(__xludf.DUMMYFUNCTION("SUM(QUERY(Entregas_BD!D:AL,""select AK where D='""&amp;D382&amp;""'"",1))"),0.0)</f>
        <v>0</v>
      </c>
      <c r="Z382" s="9">
        <v>-100.0</v>
      </c>
      <c r="AA382" s="9">
        <v>0.0</v>
      </c>
      <c r="AB382" s="9">
        <v>0.0</v>
      </c>
      <c r="AC382" s="9">
        <v>0.0</v>
      </c>
      <c r="AD382" s="9">
        <v>0.0</v>
      </c>
      <c r="AE382" s="9">
        <v>0.0</v>
      </c>
      <c r="AF382" s="32"/>
      <c r="AG382" s="15">
        <f>IFERROR(__xludf.DUMMYFUNCTION("SUM(QUERY(Entregas_BD!D:W,""select U where D='""&amp;D382&amp;""'"",1))"),0.0)</f>
        <v>0</v>
      </c>
      <c r="AH382" s="15">
        <f>IFERROR(__xludf.DUMMYFUNCTION("SUM(QUERY(Entregas_BD!D:W,""select S where D='""&amp;D382&amp;""'"",1))"),0.0)</f>
        <v>0</v>
      </c>
      <c r="AI382" s="15">
        <f>IFERROR(__xludf.DUMMYFUNCTION("SUM(QUERY(Entregas_BD!D:W,""select T where D='""&amp;D382&amp;""'"",1))"),0.0)</f>
        <v>0</v>
      </c>
    </row>
    <row r="383" ht="19.5" customHeight="1">
      <c r="A383" s="72"/>
      <c r="B383" s="69"/>
      <c r="C383" s="19">
        <v>382.0</v>
      </c>
      <c r="D383" s="75" t="s">
        <v>892</v>
      </c>
      <c r="E383" s="20" t="s">
        <v>63</v>
      </c>
      <c r="F383" s="20" t="s">
        <v>888</v>
      </c>
      <c r="G383" s="20" t="s">
        <v>893</v>
      </c>
      <c r="H383" s="22" t="s">
        <v>622</v>
      </c>
      <c r="I383" s="21" t="s">
        <v>41</v>
      </c>
      <c r="J383" s="25"/>
      <c r="K383" s="22"/>
      <c r="L383" s="23"/>
      <c r="M383" s="25"/>
      <c r="N383" s="19">
        <f>IFERROR(__xludf.DUMMYFUNCTION("SUM(QUERY(Entregas_BD!D:L,""select G where D='""&amp;D383&amp;""'"",1))"),0.0)</f>
        <v>0</v>
      </c>
      <c r="O383" s="19">
        <f>IFERROR(__xludf.DUMMYFUNCTION("SUM(QUERY(Entregas_BD!D:L,""select H where D='""&amp;D383&amp;""'"",1))"),0.0)</f>
        <v>0</v>
      </c>
      <c r="P383" s="19">
        <f>IFERROR(__xludf.DUMMYFUNCTION("SUM(QUERY(Entregas_BD!D:L,""select I where D='""&amp;D383&amp;""'"",1))"),0.0)</f>
        <v>0</v>
      </c>
      <c r="Q383" s="19">
        <f>IFERROR(__xludf.DUMMYFUNCTION("SUM(QUERY(Entregas_BD!D:L,""select J where D='""&amp;D383&amp;""'"",1))"),0.0)</f>
        <v>0</v>
      </c>
      <c r="R383" s="24">
        <f>IFERROR(__xludf.DUMMYFUNCTION("SUM(QUERY(Entregas_BD!D:L,""select K where D='""&amp;D383&amp;""'"",1))"),0.0)</f>
        <v>0</v>
      </c>
      <c r="S383" s="24">
        <f>IFERROR(__xludf.DUMMYFUNCTION("SUM(QUERY(Entregas_BD!D:L,""select L where D='""&amp;D383&amp;""'"",1))"),0.0)</f>
        <v>0</v>
      </c>
      <c r="T383" s="19">
        <f>IFERROR(__xludf.DUMMYFUNCTION("SUM(QUERY(Entregas_BD!D:AL,""select AG where D='""&amp;D383&amp;""'"",1))"),100.0)</f>
        <v>100</v>
      </c>
      <c r="U383" s="19">
        <f>IFERROR(__xludf.DUMMYFUNCTION("SUM(QUERY(Entregas_BD!D:AL,""select AH where D='""&amp;D383&amp;""'"",1))"),0.0)</f>
        <v>0</v>
      </c>
      <c r="V383" s="19">
        <f>IFERROR(__xludf.DUMMYFUNCTION("SUM(QUERY(Entregas_BD!D:AL,""select AI where D='""&amp;D383&amp;""'"",1))"),0.0)</f>
        <v>0</v>
      </c>
      <c r="W383" s="19">
        <f>IFERROR(__xludf.DUMMYFUNCTION("SUM(QUERY(Entregas_BD!D:AL,""select AJ where D='""&amp;D383&amp;""'"",1))"),0.0)</f>
        <v>0</v>
      </c>
      <c r="X383" s="19">
        <f>IFERROR(__xludf.DUMMYFUNCTION("SUM(QUERY(Entregas_BD!D:AL,""select AL where D='""&amp;D383&amp;""'"",1))"),0.0)</f>
        <v>0</v>
      </c>
      <c r="Y383" s="19">
        <f>IFERROR(__xludf.DUMMYFUNCTION("SUM(QUERY(Entregas_BD!D:AL,""select AK where D='""&amp;D383&amp;""'"",1))"),0.0)</f>
        <v>0</v>
      </c>
      <c r="Z383" s="19">
        <v>-100.0</v>
      </c>
      <c r="AA383" s="19">
        <v>0.0</v>
      </c>
      <c r="AB383" s="19">
        <v>0.0</v>
      </c>
      <c r="AC383" s="19">
        <v>0.0</v>
      </c>
      <c r="AD383" s="19">
        <v>0.0</v>
      </c>
      <c r="AE383" s="19">
        <v>0.0</v>
      </c>
      <c r="AF383" s="25"/>
      <c r="AG383" s="24">
        <f>IFERROR(__xludf.DUMMYFUNCTION("SUM(QUERY(Entregas_BD!D:W,""select U where D='""&amp;D383&amp;""'"",1))"),0.0)</f>
        <v>0</v>
      </c>
      <c r="AH383" s="24">
        <f>IFERROR(__xludf.DUMMYFUNCTION("SUM(QUERY(Entregas_BD!D:W,""select S where D='""&amp;D383&amp;""'"",1))"),0.0)</f>
        <v>0</v>
      </c>
      <c r="AI383" s="24">
        <f>IFERROR(__xludf.DUMMYFUNCTION("SUM(QUERY(Entregas_BD!D:W,""select T where D='""&amp;D383&amp;""'"",1))"),0.0)</f>
        <v>0</v>
      </c>
    </row>
    <row r="384" ht="19.5" customHeight="1">
      <c r="A384" s="71"/>
      <c r="B384" s="70"/>
      <c r="C384" s="9">
        <v>383.0</v>
      </c>
      <c r="D384" s="37" t="s">
        <v>894</v>
      </c>
      <c r="E384" s="10" t="s">
        <v>72</v>
      </c>
      <c r="F384" s="10" t="s">
        <v>45</v>
      </c>
      <c r="G384" s="10" t="s">
        <v>72</v>
      </c>
      <c r="H384" s="32" t="s">
        <v>886</v>
      </c>
      <c r="I384" s="11" t="s">
        <v>41</v>
      </c>
      <c r="J384" s="32"/>
      <c r="K384" s="12"/>
      <c r="L384" s="13"/>
      <c r="M384" s="32"/>
      <c r="N384" s="9">
        <f>IFERROR(__xludf.DUMMYFUNCTION("SUM(QUERY(Entregas_BD!D:L,""select G where D='""&amp;D384&amp;""'"",1))"),0.0)</f>
        <v>0</v>
      </c>
      <c r="O384" s="9">
        <f>IFERROR(__xludf.DUMMYFUNCTION("SUM(QUERY(Entregas_BD!D:L,""select H where D='""&amp;D384&amp;""'"",1))"),0.0)</f>
        <v>0</v>
      </c>
      <c r="P384" s="9">
        <f>IFERROR(__xludf.DUMMYFUNCTION("SUM(QUERY(Entregas_BD!D:L,""select I where D='""&amp;D384&amp;""'"",1))"),0.0)</f>
        <v>0</v>
      </c>
      <c r="Q384" s="9">
        <f>IFERROR(__xludf.DUMMYFUNCTION("SUM(QUERY(Entregas_BD!D:L,""select J where D='""&amp;D384&amp;""'"",1))"),0.0)</f>
        <v>0</v>
      </c>
      <c r="R384" s="15">
        <f>IFERROR(__xludf.DUMMYFUNCTION("SUM(QUERY(Entregas_BD!D:L,""select K where D='""&amp;D384&amp;""'"",1))"),0.0)</f>
        <v>0</v>
      </c>
      <c r="S384" s="15">
        <f>IFERROR(__xludf.DUMMYFUNCTION("SUM(QUERY(Entregas_BD!D:L,""select L where D='""&amp;D384&amp;""'"",1))"),0.0)</f>
        <v>0</v>
      </c>
      <c r="T384" s="9">
        <f>IFERROR(__xludf.DUMMYFUNCTION("SUM(QUERY(Entregas_BD!D:AL,""select AG where D='""&amp;D384&amp;""'"",1))"),25.0)</f>
        <v>25</v>
      </c>
      <c r="U384" s="9">
        <f>IFERROR(__xludf.DUMMYFUNCTION("SUM(QUERY(Entregas_BD!D:AL,""select AH where D='""&amp;D384&amp;""'"",1))"),0.0)</f>
        <v>0</v>
      </c>
      <c r="V384" s="9">
        <f>IFERROR(__xludf.DUMMYFUNCTION("SUM(QUERY(Entregas_BD!D:AL,""select AI where D='""&amp;D384&amp;""'"",1))"),0.0)</f>
        <v>0</v>
      </c>
      <c r="W384" s="9">
        <f>IFERROR(__xludf.DUMMYFUNCTION("SUM(QUERY(Entregas_BD!D:AL,""select AJ where D='""&amp;D384&amp;""'"",1))"),0.0)</f>
        <v>0</v>
      </c>
      <c r="X384" s="9">
        <f>IFERROR(__xludf.DUMMYFUNCTION("SUM(QUERY(Entregas_BD!D:AL,""select AL where D='""&amp;D384&amp;""'"",1))"),0.0)</f>
        <v>0</v>
      </c>
      <c r="Y384" s="9">
        <f>IFERROR(__xludf.DUMMYFUNCTION("SUM(QUERY(Entregas_BD!D:AL,""select AK where D='""&amp;D384&amp;""'"",1))"),0.0)</f>
        <v>0</v>
      </c>
      <c r="Z384" s="9">
        <v>-25.0</v>
      </c>
      <c r="AA384" s="9">
        <v>0.0</v>
      </c>
      <c r="AB384" s="9">
        <v>0.0</v>
      </c>
      <c r="AC384" s="9">
        <v>0.0</v>
      </c>
      <c r="AD384" s="9">
        <v>0.0</v>
      </c>
      <c r="AE384" s="9">
        <v>0.0</v>
      </c>
      <c r="AF384" s="32"/>
      <c r="AG384" s="15">
        <f>IFERROR(__xludf.DUMMYFUNCTION("SUM(QUERY(Entregas_BD!D:W,""select U where D='""&amp;D384&amp;""'"",1))"),0.0)</f>
        <v>0</v>
      </c>
      <c r="AH384" s="15">
        <f>IFERROR(__xludf.DUMMYFUNCTION("SUM(QUERY(Entregas_BD!D:W,""select S where D='""&amp;D384&amp;""'"",1))"),0.0)</f>
        <v>0</v>
      </c>
      <c r="AI384" s="15">
        <f>IFERROR(__xludf.DUMMYFUNCTION("SUM(QUERY(Entregas_BD!D:W,""select T where D='""&amp;D384&amp;""'"",1))"),0.0)</f>
        <v>0</v>
      </c>
    </row>
    <row r="385" ht="19.5" customHeight="1">
      <c r="A385" s="72"/>
      <c r="B385" s="69"/>
      <c r="C385" s="19">
        <v>384.0</v>
      </c>
      <c r="D385" s="19" t="s">
        <v>895</v>
      </c>
      <c r="E385" s="20" t="s">
        <v>58</v>
      </c>
      <c r="F385" s="20" t="s">
        <v>45</v>
      </c>
      <c r="G385" s="20" t="s">
        <v>542</v>
      </c>
      <c r="H385" s="22" t="s">
        <v>849</v>
      </c>
      <c r="I385" s="21" t="s">
        <v>41</v>
      </c>
      <c r="J385" s="25"/>
      <c r="K385" s="22"/>
      <c r="L385" s="23"/>
      <c r="M385" s="25"/>
      <c r="N385" s="19">
        <f>IFERROR(__xludf.DUMMYFUNCTION("SUM(QUERY(Entregas_BD!D:L,""select G where D='""&amp;D385&amp;""'"",1))"),0.0)</f>
        <v>0</v>
      </c>
      <c r="O385" s="19">
        <f>IFERROR(__xludf.DUMMYFUNCTION("SUM(QUERY(Entregas_BD!D:L,""select H where D='""&amp;D385&amp;""'"",1))"),0.0)</f>
        <v>0</v>
      </c>
      <c r="P385" s="19">
        <f>IFERROR(__xludf.DUMMYFUNCTION("SUM(QUERY(Entregas_BD!D:L,""select I where D='""&amp;D385&amp;""'"",1))"),0.0)</f>
        <v>0</v>
      </c>
      <c r="Q385" s="19">
        <f>IFERROR(__xludf.DUMMYFUNCTION("SUM(QUERY(Entregas_BD!D:L,""select J where D='""&amp;D385&amp;""'"",1))"),0.0)</f>
        <v>0</v>
      </c>
      <c r="R385" s="24">
        <f>IFERROR(__xludf.DUMMYFUNCTION("SUM(QUERY(Entregas_BD!D:L,""select K where D='""&amp;D385&amp;""'"",1))"),0.0)</f>
        <v>0</v>
      </c>
      <c r="S385" s="24">
        <f>IFERROR(__xludf.DUMMYFUNCTION("SUM(QUERY(Entregas_BD!D:L,""select L where D='""&amp;D385&amp;""'"",1))"),0.0)</f>
        <v>0</v>
      </c>
      <c r="T385" s="19">
        <f>IFERROR(__xludf.DUMMYFUNCTION("SUM(QUERY(Entregas_BD!D:AL,""select AG where D='""&amp;D385&amp;""'"",1))"),0.0)</f>
        <v>0</v>
      </c>
      <c r="U385" s="19">
        <f>IFERROR(__xludf.DUMMYFUNCTION("SUM(QUERY(Entregas_BD!D:AL,""select AH where D='""&amp;D385&amp;""'"",1))"),0.0)</f>
        <v>0</v>
      </c>
      <c r="V385" s="19">
        <f>IFERROR(__xludf.DUMMYFUNCTION("SUM(QUERY(Entregas_BD!D:AL,""select AI where D='""&amp;D385&amp;""'"",1))"),0.0)</f>
        <v>0</v>
      </c>
      <c r="W385" s="19">
        <f>IFERROR(__xludf.DUMMYFUNCTION("SUM(QUERY(Entregas_BD!D:AL,""select AJ where D='""&amp;D385&amp;""'"",1))"),0.0)</f>
        <v>0</v>
      </c>
      <c r="X385" s="19">
        <f>IFERROR(__xludf.DUMMYFUNCTION("SUM(QUERY(Entregas_BD!D:AL,""select AL where D='""&amp;D385&amp;""'"",1))"),0.0)</f>
        <v>0</v>
      </c>
      <c r="Y385" s="19">
        <f>IFERROR(__xludf.DUMMYFUNCTION("SUM(QUERY(Entregas_BD!D:AL,""select AK where D='""&amp;D385&amp;""'"",1))"),0.0)</f>
        <v>0</v>
      </c>
      <c r="Z385" s="19">
        <v>0.0</v>
      </c>
      <c r="AA385" s="19">
        <v>0.0</v>
      </c>
      <c r="AB385" s="19">
        <v>0.0</v>
      </c>
      <c r="AC385" s="19">
        <v>0.0</v>
      </c>
      <c r="AD385" s="19">
        <v>0.0</v>
      </c>
      <c r="AE385" s="19">
        <v>0.0</v>
      </c>
      <c r="AF385" s="25"/>
      <c r="AG385" s="24">
        <f>IFERROR(__xludf.DUMMYFUNCTION("SUM(QUERY(Entregas_BD!D:W,""select U where D='""&amp;D385&amp;""'"",1))"),0.0)</f>
        <v>0</v>
      </c>
      <c r="AH385" s="24">
        <f>IFERROR(__xludf.DUMMYFUNCTION("SUM(QUERY(Entregas_BD!D:W,""select S where D='""&amp;D385&amp;""'"",1))"),0.0)</f>
        <v>0</v>
      </c>
      <c r="AI385" s="24">
        <f>IFERROR(__xludf.DUMMYFUNCTION("SUM(QUERY(Entregas_BD!D:W,""select T where D='""&amp;D385&amp;""'"",1))"),0.0)</f>
        <v>0</v>
      </c>
    </row>
    <row r="386" ht="19.5" customHeight="1">
      <c r="A386" s="71"/>
      <c r="B386" s="70"/>
      <c r="C386" s="9">
        <v>385.0</v>
      </c>
      <c r="D386" s="32" t="s">
        <v>896</v>
      </c>
      <c r="E386" s="10" t="s">
        <v>197</v>
      </c>
      <c r="F386" s="10" t="s">
        <v>583</v>
      </c>
      <c r="G386" s="10" t="s">
        <v>897</v>
      </c>
      <c r="H386" s="12" t="s">
        <v>849</v>
      </c>
      <c r="I386" s="11" t="s">
        <v>41</v>
      </c>
      <c r="J386" s="32"/>
      <c r="K386" s="12"/>
      <c r="L386" s="13"/>
      <c r="M386" s="32"/>
      <c r="N386" s="9">
        <f>IFERROR(__xludf.DUMMYFUNCTION("SUM(QUERY(Entregas_BD!D:L,""select G where D='""&amp;D386&amp;""'"",1))"),0.0)</f>
        <v>0</v>
      </c>
      <c r="O386" s="9">
        <f>IFERROR(__xludf.DUMMYFUNCTION("SUM(QUERY(Entregas_BD!D:L,""select H where D='""&amp;D386&amp;""'"",1))"),0.0)</f>
        <v>0</v>
      </c>
      <c r="P386" s="9">
        <f>IFERROR(__xludf.DUMMYFUNCTION("SUM(QUERY(Entregas_BD!D:L,""select I where D='""&amp;D386&amp;""'"",1))"),0.0)</f>
        <v>0</v>
      </c>
      <c r="Q386" s="9">
        <f>IFERROR(__xludf.DUMMYFUNCTION("SUM(QUERY(Entregas_BD!D:L,""select J where D='""&amp;D386&amp;""'"",1))"),0.0)</f>
        <v>0</v>
      </c>
      <c r="R386" s="15">
        <f>IFERROR(__xludf.DUMMYFUNCTION("SUM(QUERY(Entregas_BD!D:L,""select K where D='""&amp;D386&amp;""'"",1))"),0.0)</f>
        <v>0</v>
      </c>
      <c r="S386" s="15">
        <f>IFERROR(__xludf.DUMMYFUNCTION("SUM(QUERY(Entregas_BD!D:L,""select L where D='""&amp;D386&amp;""'"",1))"),0.0)</f>
        <v>0</v>
      </c>
      <c r="T386" s="9">
        <f>IFERROR(__xludf.DUMMYFUNCTION("SUM(QUERY(Entregas_BD!D:AL,""select AG where D='""&amp;D386&amp;""'"",1))"),50.0)</f>
        <v>50</v>
      </c>
      <c r="U386" s="9">
        <f>IFERROR(__xludf.DUMMYFUNCTION("SUM(QUERY(Entregas_BD!D:AL,""select AH where D='""&amp;D386&amp;""'"",1))"),0.0)</f>
        <v>0</v>
      </c>
      <c r="V386" s="9">
        <f>IFERROR(__xludf.DUMMYFUNCTION("SUM(QUERY(Entregas_BD!D:AL,""select AI where D='""&amp;D386&amp;""'"",1))"),0.0)</f>
        <v>0</v>
      </c>
      <c r="W386" s="9">
        <f>IFERROR(__xludf.DUMMYFUNCTION("SUM(QUERY(Entregas_BD!D:AL,""select AJ where D='""&amp;D386&amp;""'"",1))"),0.0)</f>
        <v>0</v>
      </c>
      <c r="X386" s="9">
        <f>IFERROR(__xludf.DUMMYFUNCTION("SUM(QUERY(Entregas_BD!D:AL,""select AL where D='""&amp;D386&amp;""'"",1))"),0.0)</f>
        <v>0</v>
      </c>
      <c r="Y386" s="9">
        <f>IFERROR(__xludf.DUMMYFUNCTION("SUM(QUERY(Entregas_BD!D:AL,""select AK where D='""&amp;D386&amp;""'"",1))"),0.0)</f>
        <v>0</v>
      </c>
      <c r="Z386" s="9">
        <v>-50.0</v>
      </c>
      <c r="AA386" s="9">
        <v>0.0</v>
      </c>
      <c r="AB386" s="9">
        <v>0.0</v>
      </c>
      <c r="AC386" s="9">
        <v>0.0</v>
      </c>
      <c r="AD386" s="9">
        <v>0.0</v>
      </c>
      <c r="AE386" s="9">
        <v>0.0</v>
      </c>
      <c r="AF386" s="32"/>
      <c r="AG386" s="15">
        <f>IFERROR(__xludf.DUMMYFUNCTION("SUM(QUERY(Entregas_BD!D:W,""select U where D='""&amp;D386&amp;""'"",1))"),0.0)</f>
        <v>0</v>
      </c>
      <c r="AH386" s="15">
        <f>IFERROR(__xludf.DUMMYFUNCTION("SUM(QUERY(Entregas_BD!D:W,""select S where D='""&amp;D386&amp;""'"",1))"),0.0)</f>
        <v>0</v>
      </c>
      <c r="AI386" s="15">
        <f>IFERROR(__xludf.DUMMYFUNCTION("SUM(QUERY(Entregas_BD!D:W,""select T where D='""&amp;D386&amp;""'"",1))"),0.0)</f>
        <v>0</v>
      </c>
    </row>
    <row r="387" ht="19.5" customHeight="1">
      <c r="A387" s="72"/>
      <c r="B387" s="69"/>
      <c r="C387" s="19">
        <v>386.0</v>
      </c>
      <c r="D387" s="76" t="s">
        <v>898</v>
      </c>
      <c r="E387" s="20" t="s">
        <v>153</v>
      </c>
      <c r="F387" s="20"/>
      <c r="G387" s="20"/>
      <c r="H387" s="25" t="s">
        <v>770</v>
      </c>
      <c r="I387" s="21" t="s">
        <v>41</v>
      </c>
      <c r="J387" s="25"/>
      <c r="K387" s="22"/>
      <c r="L387" s="23"/>
      <c r="M387" s="25"/>
      <c r="N387" s="19">
        <f>IFERROR(__xludf.DUMMYFUNCTION("SUM(QUERY(Entregas_BD!D:L,""select G where D='""&amp;D387&amp;""'"",1))"),0.0)</f>
        <v>0</v>
      </c>
      <c r="O387" s="19">
        <f>IFERROR(__xludf.DUMMYFUNCTION("SUM(QUERY(Entregas_BD!D:L,""select H where D='""&amp;D387&amp;""'"",1))"),0.0)</f>
        <v>0</v>
      </c>
      <c r="P387" s="19">
        <f>IFERROR(__xludf.DUMMYFUNCTION("SUM(QUERY(Entregas_BD!D:L,""select I where D='""&amp;D387&amp;""'"",1))"),0.0)</f>
        <v>0</v>
      </c>
      <c r="Q387" s="19">
        <f>IFERROR(__xludf.DUMMYFUNCTION("SUM(QUERY(Entregas_BD!D:L,""select J where D='""&amp;D387&amp;""'"",1))"),0.0)</f>
        <v>0</v>
      </c>
      <c r="R387" s="24">
        <f>IFERROR(__xludf.DUMMYFUNCTION("SUM(QUERY(Entregas_BD!D:L,""select K where D='""&amp;D387&amp;""'"",1))"),0.0)</f>
        <v>0</v>
      </c>
      <c r="S387" s="24">
        <f>IFERROR(__xludf.DUMMYFUNCTION("SUM(QUERY(Entregas_BD!D:L,""select L where D='""&amp;D387&amp;""'"",1))"),0.0)</f>
        <v>0</v>
      </c>
      <c r="T387" s="19">
        <f>IFERROR(__xludf.DUMMYFUNCTION("SUM(QUERY(Entregas_BD!D:AL,""select AG where D='""&amp;D387&amp;""'"",1))"),30.0)</f>
        <v>30</v>
      </c>
      <c r="U387" s="19">
        <f>IFERROR(__xludf.DUMMYFUNCTION("SUM(QUERY(Entregas_BD!D:AL,""select AH where D='""&amp;D387&amp;""'"",1))"),0.0)</f>
        <v>0</v>
      </c>
      <c r="V387" s="19">
        <f>IFERROR(__xludf.DUMMYFUNCTION("SUM(QUERY(Entregas_BD!D:AL,""select AI where D='""&amp;D387&amp;""'"",1))"),0.0)</f>
        <v>0</v>
      </c>
      <c r="W387" s="19">
        <f>IFERROR(__xludf.DUMMYFUNCTION("SUM(QUERY(Entregas_BD!D:AL,""select AJ where D='""&amp;D387&amp;""'"",1))"),0.0)</f>
        <v>0</v>
      </c>
      <c r="X387" s="19">
        <f>IFERROR(__xludf.DUMMYFUNCTION("SUM(QUERY(Entregas_BD!D:AL,""select AL where D='""&amp;D387&amp;""'"",1))"),0.0)</f>
        <v>0</v>
      </c>
      <c r="Y387" s="19">
        <f>IFERROR(__xludf.DUMMYFUNCTION("SUM(QUERY(Entregas_BD!D:AL,""select AK where D='""&amp;D387&amp;""'"",1))"),0.0)</f>
        <v>0</v>
      </c>
      <c r="Z387" s="19">
        <v>-30.0</v>
      </c>
      <c r="AA387" s="19">
        <v>0.0</v>
      </c>
      <c r="AB387" s="19">
        <v>0.0</v>
      </c>
      <c r="AC387" s="19">
        <v>0.0</v>
      </c>
      <c r="AD387" s="19">
        <v>0.0</v>
      </c>
      <c r="AE387" s="19">
        <v>0.0</v>
      </c>
      <c r="AF387" s="25"/>
      <c r="AG387" s="24">
        <f>IFERROR(__xludf.DUMMYFUNCTION("SUM(QUERY(Entregas_BD!D:W,""select U where D='""&amp;D387&amp;""'"",1))"),0.0)</f>
        <v>0</v>
      </c>
      <c r="AH387" s="24">
        <f>IFERROR(__xludf.DUMMYFUNCTION("SUM(QUERY(Entregas_BD!D:W,""select S where D='""&amp;D387&amp;""'"",1))"),0.0)</f>
        <v>0</v>
      </c>
      <c r="AI387" s="24">
        <f>IFERROR(__xludf.DUMMYFUNCTION("SUM(QUERY(Entregas_BD!D:W,""select T where D='""&amp;D387&amp;""'"",1))"),0.0)</f>
        <v>0</v>
      </c>
    </row>
    <row r="388" ht="19.5" customHeight="1">
      <c r="A388" s="71"/>
      <c r="B388" s="70"/>
      <c r="C388" s="9">
        <v>387.0</v>
      </c>
      <c r="D388" s="77" t="s">
        <v>899</v>
      </c>
      <c r="E388" s="10" t="s">
        <v>72</v>
      </c>
      <c r="F388" s="10" t="s">
        <v>45</v>
      </c>
      <c r="G388" s="10" t="s">
        <v>240</v>
      </c>
      <c r="H388" s="32" t="s">
        <v>770</v>
      </c>
      <c r="I388" s="11" t="s">
        <v>41</v>
      </c>
      <c r="J388" s="32"/>
      <c r="K388" s="12"/>
      <c r="L388" s="13"/>
      <c r="M388" s="32"/>
      <c r="N388" s="9">
        <f>IFERROR(__xludf.DUMMYFUNCTION("SUM(QUERY(Entregas_BD!D:L,""select G where D='""&amp;D388&amp;""'"",1))"),0.0)</f>
        <v>0</v>
      </c>
      <c r="O388" s="9">
        <f>IFERROR(__xludf.DUMMYFUNCTION("SUM(QUERY(Entregas_BD!D:L,""select H where D='""&amp;D388&amp;""'"",1))"),0.0)</f>
        <v>0</v>
      </c>
      <c r="P388" s="9">
        <f>IFERROR(__xludf.DUMMYFUNCTION("SUM(QUERY(Entregas_BD!D:L,""select I where D='""&amp;D388&amp;""'"",1))"),0.0)</f>
        <v>0</v>
      </c>
      <c r="Q388" s="9">
        <f>IFERROR(__xludf.DUMMYFUNCTION("SUM(QUERY(Entregas_BD!D:L,""select J where D='""&amp;D388&amp;""'"",1))"),0.0)</f>
        <v>0</v>
      </c>
      <c r="R388" s="15">
        <f>IFERROR(__xludf.DUMMYFUNCTION("SUM(QUERY(Entregas_BD!D:L,""select K where D='""&amp;D388&amp;""'"",1))"),0.0)</f>
        <v>0</v>
      </c>
      <c r="S388" s="15">
        <f>IFERROR(__xludf.DUMMYFUNCTION("SUM(QUERY(Entregas_BD!D:L,""select L where D='""&amp;D388&amp;""'"",1))"),0.0)</f>
        <v>0</v>
      </c>
      <c r="T388" s="9">
        <f>IFERROR(__xludf.DUMMYFUNCTION("SUM(QUERY(Entregas_BD!D:AL,""select AG where D='""&amp;D388&amp;""'"",1))"),200.0)</f>
        <v>200</v>
      </c>
      <c r="U388" s="9">
        <f>IFERROR(__xludf.DUMMYFUNCTION("SUM(QUERY(Entregas_BD!D:AL,""select AH where D='""&amp;D388&amp;""'"",1))"),0.0)</f>
        <v>0</v>
      </c>
      <c r="V388" s="9">
        <f>IFERROR(__xludf.DUMMYFUNCTION("SUM(QUERY(Entregas_BD!D:AL,""select AI where D='""&amp;D388&amp;""'"",1))"),0.0)</f>
        <v>0</v>
      </c>
      <c r="W388" s="9">
        <f>IFERROR(__xludf.DUMMYFUNCTION("SUM(QUERY(Entregas_BD!D:AL,""select AJ where D='""&amp;D388&amp;""'"",1))"),0.0)</f>
        <v>0</v>
      </c>
      <c r="X388" s="9">
        <f>IFERROR(__xludf.DUMMYFUNCTION("SUM(QUERY(Entregas_BD!D:AL,""select AL where D='""&amp;D388&amp;""'"",1))"),0.0)</f>
        <v>0</v>
      </c>
      <c r="Y388" s="9">
        <f>IFERROR(__xludf.DUMMYFUNCTION("SUM(QUERY(Entregas_BD!D:AL,""select AK where D='""&amp;D388&amp;""'"",1))"),0.0)</f>
        <v>0</v>
      </c>
      <c r="Z388" s="9">
        <v>-200.0</v>
      </c>
      <c r="AA388" s="9">
        <v>0.0</v>
      </c>
      <c r="AB388" s="9">
        <v>0.0</v>
      </c>
      <c r="AC388" s="9">
        <v>0.0</v>
      </c>
      <c r="AD388" s="9">
        <v>0.0</v>
      </c>
      <c r="AE388" s="9">
        <v>0.0</v>
      </c>
      <c r="AF388" s="32"/>
      <c r="AG388" s="15">
        <f>IFERROR(__xludf.DUMMYFUNCTION("SUM(QUERY(Entregas_BD!D:W,""select U where D='""&amp;D388&amp;""'"",1))"),0.0)</f>
        <v>0</v>
      </c>
      <c r="AH388" s="15">
        <f>IFERROR(__xludf.DUMMYFUNCTION("SUM(QUERY(Entregas_BD!D:W,""select S where D='""&amp;D388&amp;""'"",1))"),0.0)</f>
        <v>0</v>
      </c>
      <c r="AI388" s="15">
        <f>IFERROR(__xludf.DUMMYFUNCTION("SUM(QUERY(Entregas_BD!D:W,""select T where D='""&amp;D388&amp;""'"",1))"),0.0)</f>
        <v>0</v>
      </c>
    </row>
    <row r="389" ht="19.5" customHeight="1">
      <c r="A389" s="72"/>
      <c r="B389" s="69"/>
      <c r="C389" s="19">
        <v>388.0</v>
      </c>
      <c r="D389" s="58" t="s">
        <v>900</v>
      </c>
      <c r="E389" s="20" t="s">
        <v>54</v>
      </c>
      <c r="F389" s="20" t="s">
        <v>45</v>
      </c>
      <c r="G389" s="20" t="s">
        <v>901</v>
      </c>
      <c r="H389" s="25" t="s">
        <v>770</v>
      </c>
      <c r="I389" s="21" t="s">
        <v>47</v>
      </c>
      <c r="J389" s="25"/>
      <c r="K389" s="22"/>
      <c r="L389" s="23"/>
      <c r="M389" s="25"/>
      <c r="N389" s="19">
        <f>IFERROR(__xludf.DUMMYFUNCTION("SUM(QUERY(Entregas_BD!D:L,""select G where D='""&amp;D389&amp;""'"",1))"),0.0)</f>
        <v>0</v>
      </c>
      <c r="O389" s="19">
        <f>IFERROR(__xludf.DUMMYFUNCTION("SUM(QUERY(Entregas_BD!D:L,""select H where D='""&amp;D389&amp;""'"",1))"),0.0)</f>
        <v>0</v>
      </c>
      <c r="P389" s="19">
        <f>IFERROR(__xludf.DUMMYFUNCTION("SUM(QUERY(Entregas_BD!D:L,""select I where D='""&amp;D389&amp;""'"",1))"),0.0)</f>
        <v>0</v>
      </c>
      <c r="Q389" s="19">
        <f>IFERROR(__xludf.DUMMYFUNCTION("SUM(QUERY(Entregas_BD!D:L,""select J where D='""&amp;D389&amp;""'"",1))"),0.0)</f>
        <v>0</v>
      </c>
      <c r="R389" s="24">
        <f>IFERROR(__xludf.DUMMYFUNCTION("SUM(QUERY(Entregas_BD!D:L,""select K where D='""&amp;D389&amp;""'"",1))"),0.0)</f>
        <v>0</v>
      </c>
      <c r="S389" s="24">
        <f>IFERROR(__xludf.DUMMYFUNCTION("SUM(QUERY(Entregas_BD!D:L,""select L where D='""&amp;D389&amp;""'"",1))"),0.0)</f>
        <v>0</v>
      </c>
      <c r="T389" s="19">
        <f>IFERROR(__xludf.DUMMYFUNCTION("SUM(QUERY(Entregas_BD!D:AL,""select AG where D='""&amp;D389&amp;""'"",1))"),50.0)</f>
        <v>50</v>
      </c>
      <c r="U389" s="19">
        <f>IFERROR(__xludf.DUMMYFUNCTION("SUM(QUERY(Entregas_BD!D:AL,""select AH where D='""&amp;D389&amp;""'"",1))"),0.0)</f>
        <v>0</v>
      </c>
      <c r="V389" s="19">
        <f>IFERROR(__xludf.DUMMYFUNCTION("SUM(QUERY(Entregas_BD!D:AL,""select AI where D='""&amp;D389&amp;""'"",1))"),0.0)</f>
        <v>0</v>
      </c>
      <c r="W389" s="19">
        <f>IFERROR(__xludf.DUMMYFUNCTION("SUM(QUERY(Entregas_BD!D:AL,""select AJ where D='""&amp;D389&amp;""'"",1))"),0.0)</f>
        <v>0</v>
      </c>
      <c r="X389" s="19">
        <f>IFERROR(__xludf.DUMMYFUNCTION("SUM(QUERY(Entregas_BD!D:AL,""select AL where D='""&amp;D389&amp;""'"",1))"),0.0)</f>
        <v>0</v>
      </c>
      <c r="Y389" s="19">
        <f>IFERROR(__xludf.DUMMYFUNCTION("SUM(QUERY(Entregas_BD!D:AL,""select AK where D='""&amp;D389&amp;""'"",1))"),0.0)</f>
        <v>0</v>
      </c>
      <c r="Z389" s="19">
        <v>-50.0</v>
      </c>
      <c r="AA389" s="19">
        <v>0.0</v>
      </c>
      <c r="AB389" s="19">
        <v>0.0</v>
      </c>
      <c r="AC389" s="19">
        <v>0.0</v>
      </c>
      <c r="AD389" s="19">
        <v>0.0</v>
      </c>
      <c r="AE389" s="19">
        <v>0.0</v>
      </c>
      <c r="AF389" s="25"/>
      <c r="AG389" s="24">
        <f>IFERROR(__xludf.DUMMYFUNCTION("SUM(QUERY(Entregas_BD!D:W,""select U where D='""&amp;D389&amp;""'"",1))"),0.0)</f>
        <v>0</v>
      </c>
      <c r="AH389" s="24">
        <f>IFERROR(__xludf.DUMMYFUNCTION("SUM(QUERY(Entregas_BD!D:W,""select S where D='""&amp;D389&amp;""'"",1))"),0.0)</f>
        <v>0</v>
      </c>
      <c r="AI389" s="24">
        <f>IFERROR(__xludf.DUMMYFUNCTION("SUM(QUERY(Entregas_BD!D:W,""select T where D='""&amp;D389&amp;""'"",1))"),0.0)</f>
        <v>0</v>
      </c>
    </row>
    <row r="390" ht="19.5" customHeight="1">
      <c r="A390" s="71"/>
      <c r="B390" s="70"/>
      <c r="C390" s="9">
        <v>389.0</v>
      </c>
      <c r="D390" s="78" t="s">
        <v>902</v>
      </c>
      <c r="E390" s="10" t="s">
        <v>44</v>
      </c>
      <c r="F390" s="10" t="s">
        <v>45</v>
      </c>
      <c r="G390" s="10" t="s">
        <v>903</v>
      </c>
      <c r="H390" s="32" t="s">
        <v>770</v>
      </c>
      <c r="I390" s="11" t="s">
        <v>41</v>
      </c>
      <c r="J390" s="32"/>
      <c r="K390" s="12"/>
      <c r="L390" s="13"/>
      <c r="M390" s="32"/>
      <c r="N390" s="9">
        <f>IFERROR(__xludf.DUMMYFUNCTION("SUM(QUERY(Entregas_BD!D:L,""select G where D='""&amp;D390&amp;""'"",1))"),0.0)</f>
        <v>0</v>
      </c>
      <c r="O390" s="9">
        <f>IFERROR(__xludf.DUMMYFUNCTION("SUM(QUERY(Entregas_BD!D:L,""select H where D='""&amp;D390&amp;""'"",1))"),0.0)</f>
        <v>0</v>
      </c>
      <c r="P390" s="9">
        <f>IFERROR(__xludf.DUMMYFUNCTION("SUM(QUERY(Entregas_BD!D:L,""select I where D='""&amp;D390&amp;""'"",1))"),0.0)</f>
        <v>0</v>
      </c>
      <c r="Q390" s="9">
        <f>IFERROR(__xludf.DUMMYFUNCTION("SUM(QUERY(Entregas_BD!D:L,""select J where D='""&amp;D390&amp;""'"",1))"),0.0)</f>
        <v>0</v>
      </c>
      <c r="R390" s="15">
        <f>IFERROR(__xludf.DUMMYFUNCTION("SUM(QUERY(Entregas_BD!D:L,""select K where D='""&amp;D390&amp;""'"",1))"),0.0)</f>
        <v>0</v>
      </c>
      <c r="S390" s="15">
        <f>IFERROR(__xludf.DUMMYFUNCTION("SUM(QUERY(Entregas_BD!D:L,""select L where D='""&amp;D390&amp;""'"",1))"),0.0)</f>
        <v>0</v>
      </c>
      <c r="T390" s="9">
        <f>IFERROR(__xludf.DUMMYFUNCTION("SUM(QUERY(Entregas_BD!D:AL,""select AG where D='""&amp;D390&amp;""'"",1))"),30.0)</f>
        <v>30</v>
      </c>
      <c r="U390" s="9">
        <f>IFERROR(__xludf.DUMMYFUNCTION("SUM(QUERY(Entregas_BD!D:AL,""select AH where D='""&amp;D390&amp;""'"",1))"),0.0)</f>
        <v>0</v>
      </c>
      <c r="V390" s="9">
        <f>IFERROR(__xludf.DUMMYFUNCTION("SUM(QUERY(Entregas_BD!D:AL,""select AI where D='""&amp;D390&amp;""'"",1))"),0.0)</f>
        <v>0</v>
      </c>
      <c r="W390" s="9">
        <f>IFERROR(__xludf.DUMMYFUNCTION("SUM(QUERY(Entregas_BD!D:AL,""select AJ where D='""&amp;D390&amp;""'"",1))"),0.0)</f>
        <v>0</v>
      </c>
      <c r="X390" s="9">
        <f>IFERROR(__xludf.DUMMYFUNCTION("SUM(QUERY(Entregas_BD!D:AL,""select AL where D='""&amp;D390&amp;""'"",1))"),0.0)</f>
        <v>0</v>
      </c>
      <c r="Y390" s="9">
        <f>IFERROR(__xludf.DUMMYFUNCTION("SUM(QUERY(Entregas_BD!D:AL,""select AK where D='""&amp;D390&amp;""'"",1))"),0.0)</f>
        <v>0</v>
      </c>
      <c r="Z390" s="9">
        <v>-30.0</v>
      </c>
      <c r="AA390" s="9">
        <v>0.0</v>
      </c>
      <c r="AB390" s="9">
        <v>0.0</v>
      </c>
      <c r="AC390" s="9">
        <v>0.0</v>
      </c>
      <c r="AD390" s="9">
        <v>0.0</v>
      </c>
      <c r="AE390" s="9">
        <v>0.0</v>
      </c>
      <c r="AF390" s="32"/>
      <c r="AG390" s="15">
        <f>IFERROR(__xludf.DUMMYFUNCTION("SUM(QUERY(Entregas_BD!D:W,""select U where D='""&amp;D390&amp;""'"",1))"),0.0)</f>
        <v>0</v>
      </c>
      <c r="AH390" s="15">
        <f>IFERROR(__xludf.DUMMYFUNCTION("SUM(QUERY(Entregas_BD!D:W,""select S where D='""&amp;D390&amp;""'"",1))"),0.0)</f>
        <v>0</v>
      </c>
      <c r="AI390" s="15">
        <f>IFERROR(__xludf.DUMMYFUNCTION("SUM(QUERY(Entregas_BD!D:W,""select T where D='""&amp;D390&amp;""'"",1))"),0.0)</f>
        <v>0</v>
      </c>
    </row>
    <row r="391" ht="19.5" customHeight="1">
      <c r="A391" s="72"/>
      <c r="B391" s="69"/>
      <c r="C391" s="19">
        <v>390.0</v>
      </c>
      <c r="D391" s="79" t="s">
        <v>904</v>
      </c>
      <c r="E391" s="20" t="s">
        <v>58</v>
      </c>
      <c r="F391" s="20" t="s">
        <v>45</v>
      </c>
      <c r="G391" s="20" t="s">
        <v>852</v>
      </c>
      <c r="H391" s="22" t="s">
        <v>849</v>
      </c>
      <c r="I391" s="21" t="s">
        <v>41</v>
      </c>
      <c r="J391" s="25"/>
      <c r="K391" s="22"/>
      <c r="L391" s="23"/>
      <c r="M391" s="25"/>
      <c r="N391" s="19">
        <f>IFERROR(__xludf.DUMMYFUNCTION("SUM(QUERY(Entregas_BD!D:L,""select G where D='""&amp;D391&amp;""'"",1))"),0.0)</f>
        <v>0</v>
      </c>
      <c r="O391" s="19">
        <f>IFERROR(__xludf.DUMMYFUNCTION("SUM(QUERY(Entregas_BD!D:L,""select H where D='""&amp;D391&amp;""'"",1))"),0.0)</f>
        <v>0</v>
      </c>
      <c r="P391" s="19">
        <f>IFERROR(__xludf.DUMMYFUNCTION("SUM(QUERY(Entregas_BD!D:L,""select I where D='""&amp;D391&amp;""'"",1))"),0.0)</f>
        <v>0</v>
      </c>
      <c r="Q391" s="19">
        <f>IFERROR(__xludf.DUMMYFUNCTION("SUM(QUERY(Entregas_BD!D:L,""select J where D='""&amp;D391&amp;""'"",1))"),0.0)</f>
        <v>0</v>
      </c>
      <c r="R391" s="24">
        <f>IFERROR(__xludf.DUMMYFUNCTION("SUM(QUERY(Entregas_BD!D:L,""select K where D='""&amp;D391&amp;""'"",1))"),0.0)</f>
        <v>0</v>
      </c>
      <c r="S391" s="24">
        <f>IFERROR(__xludf.DUMMYFUNCTION("SUM(QUERY(Entregas_BD!D:L,""select L where D='""&amp;D391&amp;""'"",1))"),0.0)</f>
        <v>0</v>
      </c>
      <c r="T391" s="19">
        <f>IFERROR(__xludf.DUMMYFUNCTION("SUM(QUERY(Entregas_BD!D:AL,""select AG where D='""&amp;D391&amp;""'"",1))"),30.0)</f>
        <v>30</v>
      </c>
      <c r="U391" s="19">
        <f>IFERROR(__xludf.DUMMYFUNCTION("SUM(QUERY(Entregas_BD!D:AL,""select AH where D='""&amp;D391&amp;""'"",1))"),0.0)</f>
        <v>0</v>
      </c>
      <c r="V391" s="19">
        <f>IFERROR(__xludf.DUMMYFUNCTION("SUM(QUERY(Entregas_BD!D:AL,""select AI where D='""&amp;D391&amp;""'"",1))"),0.0)</f>
        <v>0</v>
      </c>
      <c r="W391" s="19">
        <f>IFERROR(__xludf.DUMMYFUNCTION("SUM(QUERY(Entregas_BD!D:AL,""select AJ where D='""&amp;D391&amp;""'"",1))"),0.0)</f>
        <v>0</v>
      </c>
      <c r="X391" s="19">
        <f>IFERROR(__xludf.DUMMYFUNCTION("SUM(QUERY(Entregas_BD!D:AL,""select AL where D='""&amp;D391&amp;""'"",1))"),0.0)</f>
        <v>0</v>
      </c>
      <c r="Y391" s="19">
        <f>IFERROR(__xludf.DUMMYFUNCTION("SUM(QUERY(Entregas_BD!D:AL,""select AK where D='""&amp;D391&amp;""'"",1))"),0.0)</f>
        <v>0</v>
      </c>
      <c r="Z391" s="19">
        <v>-30.0</v>
      </c>
      <c r="AA391" s="19">
        <v>0.0</v>
      </c>
      <c r="AB391" s="19">
        <v>0.0</v>
      </c>
      <c r="AC391" s="19">
        <v>0.0</v>
      </c>
      <c r="AD391" s="19">
        <v>0.0</v>
      </c>
      <c r="AE391" s="19">
        <v>0.0</v>
      </c>
      <c r="AF391" s="25"/>
      <c r="AG391" s="24">
        <f>IFERROR(__xludf.DUMMYFUNCTION("SUM(QUERY(Entregas_BD!D:W,""select U where D='""&amp;D391&amp;""'"",1))"),0.0)</f>
        <v>0</v>
      </c>
      <c r="AH391" s="24">
        <f>IFERROR(__xludf.DUMMYFUNCTION("SUM(QUERY(Entregas_BD!D:W,""select S where D='""&amp;D391&amp;""'"",1))"),0.0)</f>
        <v>0</v>
      </c>
      <c r="AI391" s="24">
        <f>IFERROR(__xludf.DUMMYFUNCTION("SUM(QUERY(Entregas_BD!D:W,""select T where D='""&amp;D391&amp;""'"",1))"),0.0)</f>
        <v>0</v>
      </c>
    </row>
    <row r="392" ht="19.5" customHeight="1">
      <c r="A392" s="71"/>
      <c r="B392" s="70"/>
      <c r="C392" s="9">
        <v>391.0</v>
      </c>
      <c r="D392" s="32" t="s">
        <v>905</v>
      </c>
      <c r="E392" s="10" t="s">
        <v>44</v>
      </c>
      <c r="F392" s="10" t="s">
        <v>45</v>
      </c>
      <c r="G392" s="10" t="s">
        <v>356</v>
      </c>
      <c r="H392" s="12" t="s">
        <v>622</v>
      </c>
      <c r="I392" s="11" t="s">
        <v>41</v>
      </c>
      <c r="J392" s="32"/>
      <c r="K392" s="12"/>
      <c r="L392" s="13"/>
      <c r="M392" s="32"/>
      <c r="N392" s="9">
        <f>IFERROR(__xludf.DUMMYFUNCTION("SUM(QUERY(Entregas_BD!D:L,""select G where D='""&amp;D392&amp;""'"",1))"),0.0)</f>
        <v>0</v>
      </c>
      <c r="O392" s="9">
        <f>IFERROR(__xludf.DUMMYFUNCTION("SUM(QUERY(Entregas_BD!D:L,""select H where D='""&amp;D392&amp;""'"",1))"),0.0)</f>
        <v>0</v>
      </c>
      <c r="P392" s="9">
        <f>IFERROR(__xludf.DUMMYFUNCTION("SUM(QUERY(Entregas_BD!D:L,""select I where D='""&amp;D392&amp;""'"",1))"),0.0)</f>
        <v>0</v>
      </c>
      <c r="Q392" s="9">
        <f>IFERROR(__xludf.DUMMYFUNCTION("SUM(QUERY(Entregas_BD!D:L,""select J where D='""&amp;D392&amp;""'"",1))"),0.0)</f>
        <v>0</v>
      </c>
      <c r="R392" s="15">
        <f>IFERROR(__xludf.DUMMYFUNCTION("SUM(QUERY(Entregas_BD!D:L,""select K where D='""&amp;D392&amp;""'"",1))"),0.0)</f>
        <v>0</v>
      </c>
      <c r="S392" s="15">
        <f>IFERROR(__xludf.DUMMYFUNCTION("SUM(QUERY(Entregas_BD!D:L,""select L where D='""&amp;D392&amp;""'"",1))"),0.0)</f>
        <v>0</v>
      </c>
      <c r="T392" s="9">
        <f>IFERROR(__xludf.DUMMYFUNCTION("SUM(QUERY(Entregas_BD!D:AL,""select AG where D='""&amp;D392&amp;""'"",1))"),90.0)</f>
        <v>90</v>
      </c>
      <c r="U392" s="9">
        <f>IFERROR(__xludf.DUMMYFUNCTION("SUM(QUERY(Entregas_BD!D:AL,""select AH where D='""&amp;D392&amp;""'"",1))"),0.0)</f>
        <v>0</v>
      </c>
      <c r="V392" s="9">
        <f>IFERROR(__xludf.DUMMYFUNCTION("SUM(QUERY(Entregas_BD!D:AL,""select AI where D='""&amp;D392&amp;""'"",1))"),0.0)</f>
        <v>0</v>
      </c>
      <c r="W392" s="9">
        <f>IFERROR(__xludf.DUMMYFUNCTION("SUM(QUERY(Entregas_BD!D:AL,""select AJ where D='""&amp;D392&amp;""'"",1))"),0.0)</f>
        <v>0</v>
      </c>
      <c r="X392" s="9">
        <f>IFERROR(__xludf.DUMMYFUNCTION("SUM(QUERY(Entregas_BD!D:AL,""select AL where D='""&amp;D392&amp;""'"",1))"),0.0)</f>
        <v>0</v>
      </c>
      <c r="Y392" s="9">
        <f>IFERROR(__xludf.DUMMYFUNCTION("SUM(QUERY(Entregas_BD!D:AL,""select AK where D='""&amp;D392&amp;""'"",1))"),0.0)</f>
        <v>0</v>
      </c>
      <c r="Z392" s="9">
        <v>-90.0</v>
      </c>
      <c r="AA392" s="9">
        <v>0.0</v>
      </c>
      <c r="AB392" s="9">
        <v>0.0</v>
      </c>
      <c r="AC392" s="9">
        <v>0.0</v>
      </c>
      <c r="AD392" s="9">
        <v>0.0</v>
      </c>
      <c r="AE392" s="9">
        <v>0.0</v>
      </c>
      <c r="AF392" s="32"/>
      <c r="AG392" s="15">
        <f>IFERROR(__xludf.DUMMYFUNCTION("SUM(QUERY(Entregas_BD!D:W,""select U where D='""&amp;D392&amp;""'"",1))"),0.0)</f>
        <v>0</v>
      </c>
      <c r="AH392" s="15">
        <f>IFERROR(__xludf.DUMMYFUNCTION("SUM(QUERY(Entregas_BD!D:W,""select S where D='""&amp;D392&amp;""'"",1))"),0.0)</f>
        <v>0</v>
      </c>
      <c r="AI392" s="15">
        <f>IFERROR(__xludf.DUMMYFUNCTION("SUM(QUERY(Entregas_BD!D:W,""select T where D='""&amp;D392&amp;""'"",1))"),0.0)</f>
        <v>0</v>
      </c>
    </row>
    <row r="393" ht="19.5" customHeight="1">
      <c r="A393" s="72"/>
      <c r="B393" s="69"/>
      <c r="C393" s="19">
        <v>392.0</v>
      </c>
      <c r="D393" s="76" t="s">
        <v>906</v>
      </c>
      <c r="E393" s="20" t="s">
        <v>58</v>
      </c>
      <c r="F393" s="20" t="s">
        <v>45</v>
      </c>
      <c r="G393" s="20" t="s">
        <v>353</v>
      </c>
      <c r="H393" s="22" t="s">
        <v>593</v>
      </c>
      <c r="I393" s="21" t="s">
        <v>41</v>
      </c>
      <c r="J393" s="25"/>
      <c r="K393" s="22"/>
      <c r="L393" s="23"/>
      <c r="M393" s="25"/>
      <c r="N393" s="19">
        <f>IFERROR(__xludf.DUMMYFUNCTION("SUM(QUERY(Entregas_BD!D:L,""select G where D='""&amp;D393&amp;""'"",1))"),0.0)</f>
        <v>0</v>
      </c>
      <c r="O393" s="19">
        <f>IFERROR(__xludf.DUMMYFUNCTION("SUM(QUERY(Entregas_BD!D:L,""select H where D='""&amp;D393&amp;""'"",1))"),0.0)</f>
        <v>0</v>
      </c>
      <c r="P393" s="19">
        <f>IFERROR(__xludf.DUMMYFUNCTION("SUM(QUERY(Entregas_BD!D:L,""select I where D='""&amp;D393&amp;""'"",1))"),0.0)</f>
        <v>0</v>
      </c>
      <c r="Q393" s="19">
        <f>IFERROR(__xludf.DUMMYFUNCTION("SUM(QUERY(Entregas_BD!D:L,""select J where D='""&amp;D393&amp;""'"",1))"),0.0)</f>
        <v>0</v>
      </c>
      <c r="R393" s="24">
        <f>IFERROR(__xludf.DUMMYFUNCTION("SUM(QUERY(Entregas_BD!D:L,""select K where D='""&amp;D393&amp;""'"",1))"),0.0)</f>
        <v>0</v>
      </c>
      <c r="S393" s="24">
        <f>IFERROR(__xludf.DUMMYFUNCTION("SUM(QUERY(Entregas_BD!D:L,""select L where D='""&amp;D393&amp;""'"",1))"),0.0)</f>
        <v>0</v>
      </c>
      <c r="T393" s="19">
        <f>IFERROR(__xludf.DUMMYFUNCTION("SUM(QUERY(Entregas_BD!D:AL,""select AG where D='""&amp;D393&amp;""'"",1))"),100.0)</f>
        <v>100</v>
      </c>
      <c r="U393" s="19">
        <f>IFERROR(__xludf.DUMMYFUNCTION("SUM(QUERY(Entregas_BD!D:AL,""select AH where D='""&amp;D393&amp;""'"",1))"),0.0)</f>
        <v>0</v>
      </c>
      <c r="V393" s="19">
        <f>IFERROR(__xludf.DUMMYFUNCTION("SUM(QUERY(Entregas_BD!D:AL,""select AI where D='""&amp;D393&amp;""'"",1))"),0.0)</f>
        <v>0</v>
      </c>
      <c r="W393" s="19">
        <f>IFERROR(__xludf.DUMMYFUNCTION("SUM(QUERY(Entregas_BD!D:AL,""select AJ where D='""&amp;D393&amp;""'"",1))"),0.0)</f>
        <v>0</v>
      </c>
      <c r="X393" s="19">
        <f>IFERROR(__xludf.DUMMYFUNCTION("SUM(QUERY(Entregas_BD!D:AL,""select AL where D='""&amp;D393&amp;""'"",1))"),0.0)</f>
        <v>0</v>
      </c>
      <c r="Y393" s="19">
        <f>IFERROR(__xludf.DUMMYFUNCTION("SUM(QUERY(Entregas_BD!D:AL,""select AK where D='""&amp;D393&amp;""'"",1))"),0.0)</f>
        <v>0</v>
      </c>
      <c r="Z393" s="19">
        <v>-100.0</v>
      </c>
      <c r="AA393" s="19">
        <v>0.0</v>
      </c>
      <c r="AB393" s="19">
        <v>0.0</v>
      </c>
      <c r="AC393" s="19">
        <v>0.0</v>
      </c>
      <c r="AD393" s="19">
        <v>0.0</v>
      </c>
      <c r="AE393" s="19">
        <v>0.0</v>
      </c>
      <c r="AF393" s="25"/>
      <c r="AG393" s="24">
        <f>IFERROR(__xludf.DUMMYFUNCTION("SUM(QUERY(Entregas_BD!D:W,""select U where D='""&amp;D393&amp;""'"",1))"),0.0)</f>
        <v>0</v>
      </c>
      <c r="AH393" s="24">
        <f>IFERROR(__xludf.DUMMYFUNCTION("SUM(QUERY(Entregas_BD!D:W,""select S where D='""&amp;D393&amp;""'"",1))"),0.0)</f>
        <v>0</v>
      </c>
      <c r="AI393" s="24">
        <f>IFERROR(__xludf.DUMMYFUNCTION("SUM(QUERY(Entregas_BD!D:W,""select T where D='""&amp;D393&amp;""'"",1))"),0.0)</f>
        <v>0</v>
      </c>
    </row>
    <row r="394" ht="19.5" customHeight="1">
      <c r="A394" s="71"/>
      <c r="B394" s="70"/>
      <c r="C394" s="9">
        <v>393.0</v>
      </c>
      <c r="D394" s="62" t="s">
        <v>907</v>
      </c>
      <c r="E394" s="10"/>
      <c r="F394" s="10" t="s">
        <v>45</v>
      </c>
      <c r="G394" s="10" t="s">
        <v>45</v>
      </c>
      <c r="H394" s="32" t="s">
        <v>770</v>
      </c>
      <c r="I394" s="11" t="s">
        <v>41</v>
      </c>
      <c r="J394" s="32"/>
      <c r="K394" s="12"/>
      <c r="L394" s="13"/>
      <c r="M394" s="32"/>
      <c r="N394" s="9">
        <f>IFERROR(__xludf.DUMMYFUNCTION("SUM(QUERY(Entregas_BD!D:L,""select G where D='""&amp;D394&amp;""'"",1))"),0.0)</f>
        <v>0</v>
      </c>
      <c r="O394" s="9">
        <f>IFERROR(__xludf.DUMMYFUNCTION("SUM(QUERY(Entregas_BD!D:L,""select H where D='""&amp;D394&amp;""'"",1))"),0.0)</f>
        <v>0</v>
      </c>
      <c r="P394" s="9">
        <f>IFERROR(__xludf.DUMMYFUNCTION("SUM(QUERY(Entregas_BD!D:L,""select I where D='""&amp;D394&amp;""'"",1))"),0.0)</f>
        <v>0</v>
      </c>
      <c r="Q394" s="9">
        <f>IFERROR(__xludf.DUMMYFUNCTION("SUM(QUERY(Entregas_BD!D:L,""select J where D='""&amp;D394&amp;""'"",1))"),0.0)</f>
        <v>0</v>
      </c>
      <c r="R394" s="15">
        <f>IFERROR(__xludf.DUMMYFUNCTION("SUM(QUERY(Entregas_BD!D:L,""select K where D='""&amp;D394&amp;""'"",1))"),0.0)</f>
        <v>0</v>
      </c>
      <c r="S394" s="15">
        <f>IFERROR(__xludf.DUMMYFUNCTION("SUM(QUERY(Entregas_BD!D:L,""select L where D='""&amp;D394&amp;""'"",1))"),0.0)</f>
        <v>0</v>
      </c>
      <c r="T394" s="9">
        <f>IFERROR(__xludf.DUMMYFUNCTION("SUM(QUERY(Entregas_BD!D:AL,""select AG where D='""&amp;D394&amp;""'"",1))"),50.0)</f>
        <v>50</v>
      </c>
      <c r="U394" s="9">
        <f>IFERROR(__xludf.DUMMYFUNCTION("SUM(QUERY(Entregas_BD!D:AL,""select AH where D='""&amp;D394&amp;""'"",1))"),0.0)</f>
        <v>0</v>
      </c>
      <c r="V394" s="9">
        <f>IFERROR(__xludf.DUMMYFUNCTION("SUM(QUERY(Entregas_BD!D:AL,""select AI where D='""&amp;D394&amp;""'"",1))"),0.0)</f>
        <v>0</v>
      </c>
      <c r="W394" s="9">
        <f>IFERROR(__xludf.DUMMYFUNCTION("SUM(QUERY(Entregas_BD!D:AL,""select AJ where D='""&amp;D394&amp;""'"",1))"),0.0)</f>
        <v>0</v>
      </c>
      <c r="X394" s="9">
        <f>IFERROR(__xludf.DUMMYFUNCTION("SUM(QUERY(Entregas_BD!D:AL,""select AL where D='""&amp;D394&amp;""'"",1))"),0.0)</f>
        <v>0</v>
      </c>
      <c r="Y394" s="9">
        <f>IFERROR(__xludf.DUMMYFUNCTION("SUM(QUERY(Entregas_BD!D:AL,""select AK where D='""&amp;D394&amp;""'"",1))"),0.0)</f>
        <v>0</v>
      </c>
      <c r="Z394" s="9">
        <v>-50.0</v>
      </c>
      <c r="AA394" s="9">
        <v>0.0</v>
      </c>
      <c r="AB394" s="9">
        <v>0.0</v>
      </c>
      <c r="AC394" s="9">
        <v>0.0</v>
      </c>
      <c r="AD394" s="9">
        <v>0.0</v>
      </c>
      <c r="AE394" s="9">
        <v>0.0</v>
      </c>
      <c r="AF394" s="32"/>
      <c r="AG394" s="15">
        <f>IFERROR(__xludf.DUMMYFUNCTION("SUM(QUERY(Entregas_BD!D:W,""select U where D='""&amp;D394&amp;""'"",1))"),0.0)</f>
        <v>0</v>
      </c>
      <c r="AH394" s="15">
        <f>IFERROR(__xludf.DUMMYFUNCTION("SUM(QUERY(Entregas_BD!D:W,""select S where D='""&amp;D394&amp;""'"",1))"),0.0)</f>
        <v>0</v>
      </c>
      <c r="AI394" s="15">
        <f>IFERROR(__xludf.DUMMYFUNCTION("SUM(QUERY(Entregas_BD!D:W,""select T where D='""&amp;D394&amp;""'"",1))"),0.0)</f>
        <v>0</v>
      </c>
    </row>
    <row r="395" ht="19.5" customHeight="1">
      <c r="A395" s="72"/>
      <c r="B395" s="69"/>
      <c r="C395" s="19">
        <v>394.0</v>
      </c>
      <c r="D395" s="80" t="s">
        <v>908</v>
      </c>
      <c r="E395" s="20" t="s">
        <v>58</v>
      </c>
      <c r="F395" s="20" t="s">
        <v>45</v>
      </c>
      <c r="G395" s="20" t="s">
        <v>909</v>
      </c>
      <c r="H395" s="25" t="s">
        <v>770</v>
      </c>
      <c r="I395" s="21" t="s">
        <v>41</v>
      </c>
      <c r="J395" s="25"/>
      <c r="K395" s="22"/>
      <c r="L395" s="23"/>
      <c r="M395" s="25"/>
      <c r="N395" s="19">
        <f>IFERROR(__xludf.DUMMYFUNCTION("SUM(QUERY(Entregas_BD!D:L,""select G where D='""&amp;D395&amp;""'"",1))"),0.0)</f>
        <v>0</v>
      </c>
      <c r="O395" s="19">
        <f>IFERROR(__xludf.DUMMYFUNCTION("SUM(QUERY(Entregas_BD!D:L,""select H where D='""&amp;D395&amp;""'"",1))"),0.0)</f>
        <v>0</v>
      </c>
      <c r="P395" s="19">
        <f>IFERROR(__xludf.DUMMYFUNCTION("SUM(QUERY(Entregas_BD!D:L,""select I where D='""&amp;D395&amp;""'"",1))"),0.0)</f>
        <v>0</v>
      </c>
      <c r="Q395" s="19">
        <f>IFERROR(__xludf.DUMMYFUNCTION("SUM(QUERY(Entregas_BD!D:L,""select J where D='""&amp;D395&amp;""'"",1))"),0.0)</f>
        <v>0</v>
      </c>
      <c r="R395" s="24">
        <f>IFERROR(__xludf.DUMMYFUNCTION("SUM(QUERY(Entregas_BD!D:L,""select K where D='""&amp;D395&amp;""'"",1))"),0.0)</f>
        <v>0</v>
      </c>
      <c r="S395" s="24">
        <f>IFERROR(__xludf.DUMMYFUNCTION("SUM(QUERY(Entregas_BD!D:L,""select L where D='""&amp;D395&amp;""'"",1))"),0.0)</f>
        <v>0</v>
      </c>
      <c r="T395" s="19">
        <f>IFERROR(__xludf.DUMMYFUNCTION("SUM(QUERY(Entregas_BD!D:AL,""select AG where D='""&amp;D395&amp;""'"",1))"),0.0)</f>
        <v>0</v>
      </c>
      <c r="U395" s="19">
        <f>IFERROR(__xludf.DUMMYFUNCTION("SUM(QUERY(Entregas_BD!D:AL,""select AH where D='""&amp;D395&amp;""'"",1))"),0.0)</f>
        <v>0</v>
      </c>
      <c r="V395" s="19">
        <f>IFERROR(__xludf.DUMMYFUNCTION("SUM(QUERY(Entregas_BD!D:AL,""select AI where D='""&amp;D395&amp;""'"",1))"),0.0)</f>
        <v>0</v>
      </c>
      <c r="W395" s="19">
        <f>IFERROR(__xludf.DUMMYFUNCTION("SUM(QUERY(Entregas_BD!D:AL,""select AJ where D='""&amp;D395&amp;""'"",1))"),400.0)</f>
        <v>400</v>
      </c>
      <c r="X395" s="19">
        <f>IFERROR(__xludf.DUMMYFUNCTION("SUM(QUERY(Entregas_BD!D:AL,""select AL where D='""&amp;D395&amp;""'"",1))"),0.0)</f>
        <v>0</v>
      </c>
      <c r="Y395" s="19">
        <f>IFERROR(__xludf.DUMMYFUNCTION("SUM(QUERY(Entregas_BD!D:AL,""select AK where D='""&amp;D395&amp;""'"",1))"),48.0)</f>
        <v>48</v>
      </c>
      <c r="Z395" s="19">
        <v>0.0</v>
      </c>
      <c r="AA395" s="19">
        <v>0.0</v>
      </c>
      <c r="AB395" s="19">
        <v>0.0</v>
      </c>
      <c r="AC395" s="19">
        <v>-400.0</v>
      </c>
      <c r="AD395" s="19">
        <v>-48.0</v>
      </c>
      <c r="AE395" s="19">
        <v>0.0</v>
      </c>
      <c r="AF395" s="25"/>
      <c r="AG395" s="24">
        <f>IFERROR(__xludf.DUMMYFUNCTION("SUM(QUERY(Entregas_BD!D:W,""select U where D='""&amp;D395&amp;""'"",1))"),0.0)</f>
        <v>0</v>
      </c>
      <c r="AH395" s="24">
        <f>IFERROR(__xludf.DUMMYFUNCTION("SUM(QUERY(Entregas_BD!D:W,""select S where D='""&amp;D395&amp;""'"",1))"),0.0)</f>
        <v>0</v>
      </c>
      <c r="AI395" s="24">
        <f>IFERROR(__xludf.DUMMYFUNCTION("SUM(QUERY(Entregas_BD!D:W,""select T where D='""&amp;D395&amp;""'"",1))"),0.0)</f>
        <v>0</v>
      </c>
    </row>
    <row r="396" ht="19.5" customHeight="1">
      <c r="A396" s="71"/>
      <c r="B396" s="70"/>
      <c r="C396" s="9">
        <v>395.0</v>
      </c>
      <c r="D396" s="45" t="s">
        <v>910</v>
      </c>
      <c r="E396" s="10" t="s">
        <v>58</v>
      </c>
      <c r="F396" s="10" t="s">
        <v>45</v>
      </c>
      <c r="G396" s="10" t="s">
        <v>420</v>
      </c>
      <c r="H396" s="32" t="s">
        <v>770</v>
      </c>
      <c r="I396" s="11" t="s">
        <v>41</v>
      </c>
      <c r="J396" s="32"/>
      <c r="K396" s="12"/>
      <c r="L396" s="13"/>
      <c r="M396" s="32"/>
      <c r="N396" s="9">
        <f>IFERROR(__xludf.DUMMYFUNCTION("SUM(QUERY(Entregas_BD!D:L,""select G where D='""&amp;D396&amp;""'"",1))"),0.0)</f>
        <v>0</v>
      </c>
      <c r="O396" s="9">
        <f>IFERROR(__xludf.DUMMYFUNCTION("SUM(QUERY(Entregas_BD!D:L,""select H where D='""&amp;D396&amp;""'"",1))"),0.0)</f>
        <v>0</v>
      </c>
      <c r="P396" s="9">
        <f>IFERROR(__xludf.DUMMYFUNCTION("SUM(QUERY(Entregas_BD!D:L,""select I where D='""&amp;D396&amp;""'"",1))"),0.0)</f>
        <v>0</v>
      </c>
      <c r="Q396" s="9">
        <f>IFERROR(__xludf.DUMMYFUNCTION("SUM(QUERY(Entregas_BD!D:L,""select J where D='""&amp;D396&amp;""'"",1))"),0.0)</f>
        <v>0</v>
      </c>
      <c r="R396" s="15">
        <f>IFERROR(__xludf.DUMMYFUNCTION("SUM(QUERY(Entregas_BD!D:L,""select K where D='""&amp;D396&amp;""'"",1))"),0.0)</f>
        <v>0</v>
      </c>
      <c r="S396" s="15">
        <f>IFERROR(__xludf.DUMMYFUNCTION("SUM(QUERY(Entregas_BD!D:L,""select L where D='""&amp;D396&amp;""'"",1))"),0.0)</f>
        <v>0</v>
      </c>
      <c r="T396" s="9">
        <f>IFERROR(__xludf.DUMMYFUNCTION("SUM(QUERY(Entregas_BD!D:AL,""select AG where D='""&amp;D396&amp;""'"",1))"),25.0)</f>
        <v>25</v>
      </c>
      <c r="U396" s="9">
        <f>IFERROR(__xludf.DUMMYFUNCTION("SUM(QUERY(Entregas_BD!D:AL,""select AH where D='""&amp;D396&amp;""'"",1))"),0.0)</f>
        <v>0</v>
      </c>
      <c r="V396" s="9">
        <f>IFERROR(__xludf.DUMMYFUNCTION("SUM(QUERY(Entregas_BD!D:AL,""select AI where D='""&amp;D396&amp;""'"",1))"),0.0)</f>
        <v>0</v>
      </c>
      <c r="W396" s="9">
        <f>IFERROR(__xludf.DUMMYFUNCTION("SUM(QUERY(Entregas_BD!D:AL,""select AJ where D='""&amp;D396&amp;""'"",1))"),0.0)</f>
        <v>0</v>
      </c>
      <c r="X396" s="9">
        <f>IFERROR(__xludf.DUMMYFUNCTION("SUM(QUERY(Entregas_BD!D:AL,""select AL where D='""&amp;D396&amp;""'"",1))"),0.0)</f>
        <v>0</v>
      </c>
      <c r="Y396" s="9">
        <f>IFERROR(__xludf.DUMMYFUNCTION("SUM(QUERY(Entregas_BD!D:AL,""select AK where D='""&amp;D396&amp;""'"",1))"),0.0)</f>
        <v>0</v>
      </c>
      <c r="Z396" s="9">
        <v>-25.0</v>
      </c>
      <c r="AA396" s="9">
        <v>0.0</v>
      </c>
      <c r="AB396" s="9">
        <v>0.0</v>
      </c>
      <c r="AC396" s="9">
        <v>0.0</v>
      </c>
      <c r="AD396" s="9">
        <v>0.0</v>
      </c>
      <c r="AE396" s="9">
        <v>0.0</v>
      </c>
      <c r="AF396" s="32"/>
      <c r="AG396" s="15">
        <f>IFERROR(__xludf.DUMMYFUNCTION("SUM(QUERY(Entregas_BD!D:W,""select U where D='""&amp;D396&amp;""'"",1))"),0.0)</f>
        <v>0</v>
      </c>
      <c r="AH396" s="15">
        <f>IFERROR(__xludf.DUMMYFUNCTION("SUM(QUERY(Entregas_BD!D:W,""select S where D='""&amp;D396&amp;""'"",1))"),0.0)</f>
        <v>0</v>
      </c>
      <c r="AI396" s="15">
        <f>IFERROR(__xludf.DUMMYFUNCTION("SUM(QUERY(Entregas_BD!D:W,""select T where D='""&amp;D396&amp;""'"",1))"),0.0)</f>
        <v>0</v>
      </c>
    </row>
    <row r="397" ht="19.5" customHeight="1">
      <c r="A397" s="72"/>
      <c r="B397" s="69"/>
      <c r="C397" s="19">
        <v>396.0</v>
      </c>
      <c r="D397" s="25" t="s">
        <v>911</v>
      </c>
      <c r="E397" s="20" t="s">
        <v>324</v>
      </c>
      <c r="F397" s="20" t="s">
        <v>414</v>
      </c>
      <c r="G397" s="20" t="s">
        <v>912</v>
      </c>
      <c r="H397" s="22" t="s">
        <v>622</v>
      </c>
      <c r="I397" s="21" t="s">
        <v>41</v>
      </c>
      <c r="J397" s="25"/>
      <c r="K397" s="22"/>
      <c r="L397" s="23"/>
      <c r="M397" s="25"/>
      <c r="N397" s="19">
        <f>IFERROR(__xludf.DUMMYFUNCTION("SUM(QUERY(Entregas_BD!D:L,""select G where D='""&amp;D397&amp;""'"",1))"),0.0)</f>
        <v>0</v>
      </c>
      <c r="O397" s="19">
        <f>IFERROR(__xludf.DUMMYFUNCTION("SUM(QUERY(Entregas_BD!D:L,""select H where D='""&amp;D397&amp;""'"",1))"),0.0)</f>
        <v>0</v>
      </c>
      <c r="P397" s="19">
        <f>IFERROR(__xludf.DUMMYFUNCTION("SUM(QUERY(Entregas_BD!D:L,""select I where D='""&amp;D397&amp;""'"",1))"),0.0)</f>
        <v>0</v>
      </c>
      <c r="Q397" s="19">
        <f>IFERROR(__xludf.DUMMYFUNCTION("SUM(QUERY(Entregas_BD!D:L,""select J where D='""&amp;D397&amp;""'"",1))"),0.0)</f>
        <v>0</v>
      </c>
      <c r="R397" s="24">
        <f>IFERROR(__xludf.DUMMYFUNCTION("SUM(QUERY(Entregas_BD!D:L,""select K where D='""&amp;D397&amp;""'"",1))"),0.0)</f>
        <v>0</v>
      </c>
      <c r="S397" s="24">
        <f>IFERROR(__xludf.DUMMYFUNCTION("SUM(QUERY(Entregas_BD!D:L,""select L where D='""&amp;D397&amp;""'"",1))"),0.0)</f>
        <v>0</v>
      </c>
      <c r="T397" s="19">
        <f>IFERROR(__xludf.DUMMYFUNCTION("SUM(QUERY(Entregas_BD!D:AL,""select AG where D='""&amp;D397&amp;""'"",1))"),40.0)</f>
        <v>40</v>
      </c>
      <c r="U397" s="19">
        <f>IFERROR(__xludf.DUMMYFUNCTION("SUM(QUERY(Entregas_BD!D:AL,""select AH where D='""&amp;D397&amp;""'"",1))"),0.0)</f>
        <v>0</v>
      </c>
      <c r="V397" s="19">
        <f>IFERROR(__xludf.DUMMYFUNCTION("SUM(QUERY(Entregas_BD!D:AL,""select AI where D='""&amp;D397&amp;""'"",1))"),0.0)</f>
        <v>0</v>
      </c>
      <c r="W397" s="19">
        <f>IFERROR(__xludf.DUMMYFUNCTION("SUM(QUERY(Entregas_BD!D:AL,""select AJ where D='""&amp;D397&amp;""'"",1))"),0.0)</f>
        <v>0</v>
      </c>
      <c r="X397" s="19">
        <f>IFERROR(__xludf.DUMMYFUNCTION("SUM(QUERY(Entregas_BD!D:AL,""select AL where D='""&amp;D397&amp;""'"",1))"),0.0)</f>
        <v>0</v>
      </c>
      <c r="Y397" s="19">
        <f>IFERROR(__xludf.DUMMYFUNCTION("SUM(QUERY(Entregas_BD!D:AL,""select AK where D='""&amp;D397&amp;""'"",1))"),0.0)</f>
        <v>0</v>
      </c>
      <c r="Z397" s="19">
        <v>-40.0</v>
      </c>
      <c r="AA397" s="19">
        <v>0.0</v>
      </c>
      <c r="AB397" s="19">
        <v>0.0</v>
      </c>
      <c r="AC397" s="19">
        <v>0.0</v>
      </c>
      <c r="AD397" s="19">
        <v>0.0</v>
      </c>
      <c r="AE397" s="19">
        <v>0.0</v>
      </c>
      <c r="AF397" s="25"/>
      <c r="AG397" s="24">
        <f>IFERROR(__xludf.DUMMYFUNCTION("SUM(QUERY(Entregas_BD!D:W,""select U where D='""&amp;D397&amp;""'"",1))"),0.0)</f>
        <v>0</v>
      </c>
      <c r="AH397" s="24">
        <f>IFERROR(__xludf.DUMMYFUNCTION("SUM(QUERY(Entregas_BD!D:W,""select S where D='""&amp;D397&amp;""'"",1))"),0.0)</f>
        <v>0</v>
      </c>
      <c r="AI397" s="24">
        <f>IFERROR(__xludf.DUMMYFUNCTION("SUM(QUERY(Entregas_BD!D:W,""select T where D='""&amp;D397&amp;""'"",1))"),0.0)</f>
        <v>0</v>
      </c>
    </row>
    <row r="398" ht="19.5" customHeight="1">
      <c r="A398" s="71"/>
      <c r="B398" s="70"/>
      <c r="C398" s="9">
        <v>397.0</v>
      </c>
      <c r="D398" s="62" t="s">
        <v>913</v>
      </c>
      <c r="E398" s="10"/>
      <c r="F398" s="10" t="s">
        <v>45</v>
      </c>
      <c r="G398" s="10" t="s">
        <v>45</v>
      </c>
      <c r="H398" s="32" t="s">
        <v>770</v>
      </c>
      <c r="I398" s="11" t="s">
        <v>47</v>
      </c>
      <c r="J398" s="32"/>
      <c r="K398" s="12"/>
      <c r="L398" s="13"/>
      <c r="M398" s="32"/>
      <c r="N398" s="9">
        <f>IFERROR(__xludf.DUMMYFUNCTION("SUM(QUERY(Entregas_BD!D:L,""select G where D='""&amp;D398&amp;""'"",1))"),0.0)</f>
        <v>0</v>
      </c>
      <c r="O398" s="9">
        <f>IFERROR(__xludf.DUMMYFUNCTION("SUM(QUERY(Entregas_BD!D:L,""select H where D='""&amp;D398&amp;""'"",1))"),0.0)</f>
        <v>0</v>
      </c>
      <c r="P398" s="9">
        <f>IFERROR(__xludf.DUMMYFUNCTION("SUM(QUERY(Entregas_BD!D:L,""select I where D='""&amp;D398&amp;""'"",1))"),0.0)</f>
        <v>0</v>
      </c>
      <c r="Q398" s="9">
        <f>IFERROR(__xludf.DUMMYFUNCTION("SUM(QUERY(Entregas_BD!D:L,""select J where D='""&amp;D398&amp;""'"",1))"),0.0)</f>
        <v>0</v>
      </c>
      <c r="R398" s="15">
        <f>IFERROR(__xludf.DUMMYFUNCTION("SUM(QUERY(Entregas_BD!D:L,""select K where D='""&amp;D398&amp;""'"",1))"),0.0)</f>
        <v>0</v>
      </c>
      <c r="S398" s="15">
        <f>IFERROR(__xludf.DUMMYFUNCTION("SUM(QUERY(Entregas_BD!D:L,""select L where D='""&amp;D398&amp;""'"",1))"),0.0)</f>
        <v>0</v>
      </c>
      <c r="T398" s="9">
        <f>IFERROR(__xludf.DUMMYFUNCTION("SUM(QUERY(Entregas_BD!D:AL,""select AG where D='""&amp;D398&amp;""'"",1))"),100.0)</f>
        <v>100</v>
      </c>
      <c r="U398" s="9">
        <f>IFERROR(__xludf.DUMMYFUNCTION("SUM(QUERY(Entregas_BD!D:AL,""select AH where D='""&amp;D398&amp;""'"",1))"),0.0)</f>
        <v>0</v>
      </c>
      <c r="V398" s="9">
        <f>IFERROR(__xludf.DUMMYFUNCTION("SUM(QUERY(Entregas_BD!D:AL,""select AI where D='""&amp;D398&amp;""'"",1))"),0.0)</f>
        <v>0</v>
      </c>
      <c r="W398" s="9">
        <f>IFERROR(__xludf.DUMMYFUNCTION("SUM(QUERY(Entregas_BD!D:AL,""select AJ where D='""&amp;D398&amp;""'"",1))"),0.0)</f>
        <v>0</v>
      </c>
      <c r="X398" s="9">
        <f>IFERROR(__xludf.DUMMYFUNCTION("SUM(QUERY(Entregas_BD!D:AL,""select AL where D='""&amp;D398&amp;""'"",1))"),0.0)</f>
        <v>0</v>
      </c>
      <c r="Y398" s="9">
        <f>IFERROR(__xludf.DUMMYFUNCTION("SUM(QUERY(Entregas_BD!D:AL,""select AK where D='""&amp;D398&amp;""'"",1))"),0.0)</f>
        <v>0</v>
      </c>
      <c r="Z398" s="9">
        <v>-100.0</v>
      </c>
      <c r="AA398" s="9">
        <v>0.0</v>
      </c>
      <c r="AB398" s="9">
        <v>0.0</v>
      </c>
      <c r="AC398" s="9">
        <v>0.0</v>
      </c>
      <c r="AD398" s="9">
        <v>0.0</v>
      </c>
      <c r="AE398" s="9">
        <v>0.0</v>
      </c>
      <c r="AF398" s="32"/>
      <c r="AG398" s="15">
        <f>IFERROR(__xludf.DUMMYFUNCTION("SUM(QUERY(Entregas_BD!D:W,""select U where D='""&amp;D398&amp;""'"",1))"),0.0)</f>
        <v>0</v>
      </c>
      <c r="AH398" s="15">
        <f>IFERROR(__xludf.DUMMYFUNCTION("SUM(QUERY(Entregas_BD!D:W,""select S where D='""&amp;D398&amp;""'"",1))"),0.0)</f>
        <v>0</v>
      </c>
      <c r="AI398" s="15">
        <f>IFERROR(__xludf.DUMMYFUNCTION("SUM(QUERY(Entregas_BD!D:W,""select T where D='""&amp;D398&amp;""'"",1))"),0.0)</f>
        <v>0</v>
      </c>
    </row>
    <row r="399" ht="19.5" customHeight="1">
      <c r="A399" s="72"/>
      <c r="B399" s="69"/>
      <c r="C399" s="19">
        <v>398.0</v>
      </c>
      <c r="D399" s="74" t="s">
        <v>914</v>
      </c>
      <c r="E399" s="20"/>
      <c r="F399" s="20" t="s">
        <v>45</v>
      </c>
      <c r="G399" s="20" t="s">
        <v>45</v>
      </c>
      <c r="H399" s="25" t="s">
        <v>770</v>
      </c>
      <c r="I399" s="21" t="s">
        <v>41</v>
      </c>
      <c r="J399" s="25"/>
      <c r="K399" s="22"/>
      <c r="L399" s="23"/>
      <c r="M399" s="25"/>
      <c r="N399" s="19">
        <f>IFERROR(__xludf.DUMMYFUNCTION("SUM(QUERY(Entregas_BD!D:L,""select G where D='""&amp;D399&amp;""'"",1))"),0.0)</f>
        <v>0</v>
      </c>
      <c r="O399" s="19">
        <f>IFERROR(__xludf.DUMMYFUNCTION("SUM(QUERY(Entregas_BD!D:L,""select H where D='""&amp;D399&amp;""'"",1))"),0.0)</f>
        <v>0</v>
      </c>
      <c r="P399" s="19">
        <f>IFERROR(__xludf.DUMMYFUNCTION("SUM(QUERY(Entregas_BD!D:L,""select I where D='""&amp;D399&amp;""'"",1))"),0.0)</f>
        <v>0</v>
      </c>
      <c r="Q399" s="19">
        <f>IFERROR(__xludf.DUMMYFUNCTION("SUM(QUERY(Entregas_BD!D:L,""select J where D='""&amp;D399&amp;""'"",1))"),0.0)</f>
        <v>0</v>
      </c>
      <c r="R399" s="24">
        <f>IFERROR(__xludf.DUMMYFUNCTION("SUM(QUERY(Entregas_BD!D:L,""select K where D='""&amp;D399&amp;""'"",1))"),0.0)</f>
        <v>0</v>
      </c>
      <c r="S399" s="24">
        <f>IFERROR(__xludf.DUMMYFUNCTION("SUM(QUERY(Entregas_BD!D:L,""select L where D='""&amp;D399&amp;""'"",1))"),0.0)</f>
        <v>0</v>
      </c>
      <c r="T399" s="19">
        <f>IFERROR(__xludf.DUMMYFUNCTION("SUM(QUERY(Entregas_BD!D:AL,""select AG where D='""&amp;D399&amp;""'"",1))"),350.0)</f>
        <v>350</v>
      </c>
      <c r="U399" s="19">
        <f>IFERROR(__xludf.DUMMYFUNCTION("SUM(QUERY(Entregas_BD!D:AL,""select AH where D='""&amp;D399&amp;""'"",1))"),0.0)</f>
        <v>0</v>
      </c>
      <c r="V399" s="19">
        <f>IFERROR(__xludf.DUMMYFUNCTION("SUM(QUERY(Entregas_BD!D:AL,""select AI where D='""&amp;D399&amp;""'"",1))"),0.0)</f>
        <v>0</v>
      </c>
      <c r="W399" s="19">
        <f>IFERROR(__xludf.DUMMYFUNCTION("SUM(QUERY(Entregas_BD!D:AL,""select AJ where D='""&amp;D399&amp;""'"",1))"),0.0)</f>
        <v>0</v>
      </c>
      <c r="X399" s="19">
        <f>IFERROR(__xludf.DUMMYFUNCTION("SUM(QUERY(Entregas_BD!D:AL,""select AL where D='""&amp;D399&amp;""'"",1))"),0.0)</f>
        <v>0</v>
      </c>
      <c r="Y399" s="19">
        <f>IFERROR(__xludf.DUMMYFUNCTION("SUM(QUERY(Entregas_BD!D:AL,""select AK where D='""&amp;D399&amp;""'"",1))"),0.0)</f>
        <v>0</v>
      </c>
      <c r="Z399" s="19">
        <v>-350.0</v>
      </c>
      <c r="AA399" s="19">
        <v>0.0</v>
      </c>
      <c r="AB399" s="19">
        <v>0.0</v>
      </c>
      <c r="AC399" s="19">
        <v>0.0</v>
      </c>
      <c r="AD399" s="19">
        <v>0.0</v>
      </c>
      <c r="AE399" s="19">
        <v>0.0</v>
      </c>
      <c r="AF399" s="25"/>
      <c r="AG399" s="24">
        <f>IFERROR(__xludf.DUMMYFUNCTION("SUM(QUERY(Entregas_BD!D:W,""select U where D='""&amp;D399&amp;""'"",1))"),0.0)</f>
        <v>0</v>
      </c>
      <c r="AH399" s="24">
        <f>IFERROR(__xludf.DUMMYFUNCTION("SUM(QUERY(Entregas_BD!D:W,""select S where D='""&amp;D399&amp;""'"",1))"),0.0)</f>
        <v>0</v>
      </c>
      <c r="AI399" s="24">
        <f>IFERROR(__xludf.DUMMYFUNCTION("SUM(QUERY(Entregas_BD!D:W,""select T where D='""&amp;D399&amp;""'"",1))"),0.0)</f>
        <v>0</v>
      </c>
    </row>
    <row r="400" ht="19.5" customHeight="1">
      <c r="A400" s="71"/>
      <c r="B400" s="70"/>
      <c r="C400" s="9">
        <v>399.0</v>
      </c>
      <c r="D400" s="81" t="s">
        <v>915</v>
      </c>
      <c r="E400" s="10" t="s">
        <v>44</v>
      </c>
      <c r="F400" s="10" t="s">
        <v>45</v>
      </c>
      <c r="G400" s="10" t="s">
        <v>903</v>
      </c>
      <c r="H400" s="32" t="s">
        <v>770</v>
      </c>
      <c r="I400" s="11" t="s">
        <v>41</v>
      </c>
      <c r="J400" s="32"/>
      <c r="K400" s="12"/>
      <c r="L400" s="13"/>
      <c r="M400" s="32"/>
      <c r="N400" s="9">
        <f>IFERROR(__xludf.DUMMYFUNCTION("SUM(QUERY(Entregas_BD!D:L,""select G where D='""&amp;D400&amp;""'"",1))"),0.0)</f>
        <v>0</v>
      </c>
      <c r="O400" s="9">
        <f>IFERROR(__xludf.DUMMYFUNCTION("SUM(QUERY(Entregas_BD!D:L,""select H where D='""&amp;D400&amp;""'"",1))"),0.0)</f>
        <v>0</v>
      </c>
      <c r="P400" s="9">
        <f>IFERROR(__xludf.DUMMYFUNCTION("SUM(QUERY(Entregas_BD!D:L,""select I where D='""&amp;D400&amp;""'"",1))"),0.0)</f>
        <v>0</v>
      </c>
      <c r="Q400" s="9">
        <f>IFERROR(__xludf.DUMMYFUNCTION("SUM(QUERY(Entregas_BD!D:L,""select J where D='""&amp;D400&amp;""'"",1))"),0.0)</f>
        <v>0</v>
      </c>
      <c r="R400" s="15">
        <f>IFERROR(__xludf.DUMMYFUNCTION("SUM(QUERY(Entregas_BD!D:L,""select K where D='""&amp;D400&amp;""'"",1))"),0.0)</f>
        <v>0</v>
      </c>
      <c r="S400" s="15">
        <f>IFERROR(__xludf.DUMMYFUNCTION("SUM(QUERY(Entregas_BD!D:L,""select L where D='""&amp;D400&amp;""'"",1))"),0.0)</f>
        <v>0</v>
      </c>
      <c r="T400" s="9">
        <f>IFERROR(__xludf.DUMMYFUNCTION("SUM(QUERY(Entregas_BD!D:AL,""select AG where D='""&amp;D400&amp;""'"",1))"),100.0)</f>
        <v>100</v>
      </c>
      <c r="U400" s="9">
        <f>IFERROR(__xludf.DUMMYFUNCTION("SUM(QUERY(Entregas_BD!D:AL,""select AH where D='""&amp;D400&amp;""'"",1))"),0.0)</f>
        <v>0</v>
      </c>
      <c r="V400" s="9">
        <f>IFERROR(__xludf.DUMMYFUNCTION("SUM(QUERY(Entregas_BD!D:AL,""select AI where D='""&amp;D400&amp;""'"",1))"),0.0)</f>
        <v>0</v>
      </c>
      <c r="W400" s="9">
        <f>IFERROR(__xludf.DUMMYFUNCTION("SUM(QUERY(Entregas_BD!D:AL,""select AJ where D='""&amp;D400&amp;""'"",1))"),0.0)</f>
        <v>0</v>
      </c>
      <c r="X400" s="9">
        <f>IFERROR(__xludf.DUMMYFUNCTION("SUM(QUERY(Entregas_BD!D:AL,""select AL where D='""&amp;D400&amp;""'"",1))"),0.0)</f>
        <v>0</v>
      </c>
      <c r="Y400" s="9">
        <f>IFERROR(__xludf.DUMMYFUNCTION("SUM(QUERY(Entregas_BD!D:AL,""select AK where D='""&amp;D400&amp;""'"",1))"),49.0)</f>
        <v>49</v>
      </c>
      <c r="Z400" s="9">
        <v>-100.0</v>
      </c>
      <c r="AA400" s="9">
        <v>0.0</v>
      </c>
      <c r="AB400" s="9">
        <v>0.0</v>
      </c>
      <c r="AC400" s="9">
        <v>0.0</v>
      </c>
      <c r="AD400" s="9">
        <v>-49.0</v>
      </c>
      <c r="AE400" s="9">
        <v>0.0</v>
      </c>
      <c r="AF400" s="32"/>
      <c r="AG400" s="15">
        <f>IFERROR(__xludf.DUMMYFUNCTION("SUM(QUERY(Entregas_BD!D:W,""select U where D='""&amp;D400&amp;""'"",1))"),0.0)</f>
        <v>0</v>
      </c>
      <c r="AH400" s="15">
        <f>IFERROR(__xludf.DUMMYFUNCTION("SUM(QUERY(Entregas_BD!D:W,""select S where D='""&amp;D400&amp;""'"",1))"),0.0)</f>
        <v>0</v>
      </c>
      <c r="AI400" s="15">
        <f>IFERROR(__xludf.DUMMYFUNCTION("SUM(QUERY(Entregas_BD!D:W,""select T where D='""&amp;D400&amp;""'"",1))"),0.0)</f>
        <v>0</v>
      </c>
    </row>
    <row r="401" ht="19.5" customHeight="1">
      <c r="A401" s="72"/>
      <c r="B401" s="69"/>
      <c r="C401" s="19">
        <v>400.0</v>
      </c>
      <c r="D401" s="25" t="s">
        <v>916</v>
      </c>
      <c r="E401" s="20" t="s">
        <v>324</v>
      </c>
      <c r="F401" s="20" t="s">
        <v>917</v>
      </c>
      <c r="G401" s="20" t="s">
        <v>917</v>
      </c>
      <c r="H401" s="25" t="s">
        <v>770</v>
      </c>
      <c r="I401" s="21" t="s">
        <v>41</v>
      </c>
      <c r="J401" s="25"/>
      <c r="K401" s="22"/>
      <c r="L401" s="23"/>
      <c r="M401" s="25"/>
      <c r="N401" s="19">
        <f>IFERROR(__xludf.DUMMYFUNCTION("SUM(QUERY(Entregas_BD!D:L,""select G where D='""&amp;D401&amp;""'"",1))"),0.0)</f>
        <v>0</v>
      </c>
      <c r="O401" s="19">
        <f>IFERROR(__xludf.DUMMYFUNCTION("SUM(QUERY(Entregas_BD!D:L,""select H where D='""&amp;D401&amp;""'"",1))"),0.0)</f>
        <v>0</v>
      </c>
      <c r="P401" s="19">
        <f>IFERROR(__xludf.DUMMYFUNCTION("SUM(QUERY(Entregas_BD!D:L,""select I where D='""&amp;D401&amp;""'"",1))"),0.0)</f>
        <v>0</v>
      </c>
      <c r="Q401" s="19">
        <f>IFERROR(__xludf.DUMMYFUNCTION("SUM(QUERY(Entregas_BD!D:L,""select J where D='""&amp;D401&amp;""'"",1))"),0.0)</f>
        <v>0</v>
      </c>
      <c r="R401" s="24">
        <f>IFERROR(__xludf.DUMMYFUNCTION("SUM(QUERY(Entregas_BD!D:L,""select K where D='""&amp;D401&amp;""'"",1))"),0.0)</f>
        <v>0</v>
      </c>
      <c r="S401" s="24">
        <f>IFERROR(__xludf.DUMMYFUNCTION("SUM(QUERY(Entregas_BD!D:L,""select L where D='""&amp;D401&amp;""'"",1))"),0.0)</f>
        <v>0</v>
      </c>
      <c r="T401" s="19">
        <f>IFERROR(__xludf.DUMMYFUNCTION("SUM(QUERY(Entregas_BD!D:AL,""select AG where D='""&amp;D401&amp;""'"",1))"),130.0)</f>
        <v>130</v>
      </c>
      <c r="U401" s="19">
        <f>IFERROR(__xludf.DUMMYFUNCTION("SUM(QUERY(Entregas_BD!D:AL,""select AH where D='""&amp;D401&amp;""'"",1))"),0.0)</f>
        <v>0</v>
      </c>
      <c r="V401" s="19">
        <f>IFERROR(__xludf.DUMMYFUNCTION("SUM(QUERY(Entregas_BD!D:AL,""select AI where D='""&amp;D401&amp;""'"",1))"),0.0)</f>
        <v>0</v>
      </c>
      <c r="W401" s="19">
        <f>IFERROR(__xludf.DUMMYFUNCTION("SUM(QUERY(Entregas_BD!D:AL,""select AJ where D='""&amp;D401&amp;""'"",1))"),0.0)</f>
        <v>0</v>
      </c>
      <c r="X401" s="19">
        <f>IFERROR(__xludf.DUMMYFUNCTION("SUM(QUERY(Entregas_BD!D:AL,""select AL where D='""&amp;D401&amp;""'"",1))"),0.0)</f>
        <v>0</v>
      </c>
      <c r="Y401" s="19">
        <f>IFERROR(__xludf.DUMMYFUNCTION("SUM(QUERY(Entregas_BD!D:AL,""select AK where D='""&amp;D401&amp;""'"",1))"),50.0)</f>
        <v>50</v>
      </c>
      <c r="Z401" s="19">
        <v>-130.0</v>
      </c>
      <c r="AA401" s="19">
        <v>0.0</v>
      </c>
      <c r="AB401" s="19">
        <v>0.0</v>
      </c>
      <c r="AC401" s="19">
        <v>0.0</v>
      </c>
      <c r="AD401" s="19">
        <v>-50.0</v>
      </c>
      <c r="AE401" s="19">
        <v>0.0</v>
      </c>
      <c r="AF401" s="25"/>
      <c r="AG401" s="24">
        <f>IFERROR(__xludf.DUMMYFUNCTION("SUM(QUERY(Entregas_BD!D:W,""select U where D='""&amp;D401&amp;""'"",1))"),0.0)</f>
        <v>0</v>
      </c>
      <c r="AH401" s="24">
        <f>IFERROR(__xludf.DUMMYFUNCTION("SUM(QUERY(Entregas_BD!D:W,""select S where D='""&amp;D401&amp;""'"",1))"),0.0)</f>
        <v>0</v>
      </c>
      <c r="AI401" s="24">
        <f>IFERROR(__xludf.DUMMYFUNCTION("SUM(QUERY(Entregas_BD!D:W,""select T where D='""&amp;D401&amp;""'"",1))"),0.0)</f>
        <v>0</v>
      </c>
    </row>
    <row r="402" ht="19.5" customHeight="1">
      <c r="A402" s="71"/>
      <c r="B402" s="70"/>
      <c r="C402" s="9">
        <v>401.0</v>
      </c>
      <c r="D402" s="82" t="s">
        <v>918</v>
      </c>
      <c r="E402" s="10" t="s">
        <v>197</v>
      </c>
      <c r="F402" s="10" t="s">
        <v>243</v>
      </c>
      <c r="G402" s="10" t="s">
        <v>919</v>
      </c>
      <c r="H402" s="12" t="s">
        <v>622</v>
      </c>
      <c r="I402" s="11" t="s">
        <v>41</v>
      </c>
      <c r="J402" s="32"/>
      <c r="K402" s="12"/>
      <c r="L402" s="13"/>
      <c r="M402" s="32"/>
      <c r="N402" s="9">
        <f>IFERROR(__xludf.DUMMYFUNCTION("SUM(QUERY(Entregas_BD!D:L,""select G where D='""&amp;D402&amp;""'"",1))"),0.0)</f>
        <v>0</v>
      </c>
      <c r="O402" s="9">
        <f>IFERROR(__xludf.DUMMYFUNCTION("SUM(QUERY(Entregas_BD!D:L,""select H where D='""&amp;D402&amp;""'"",1))"),0.0)</f>
        <v>0</v>
      </c>
      <c r="P402" s="9">
        <f>IFERROR(__xludf.DUMMYFUNCTION("SUM(QUERY(Entregas_BD!D:L,""select I where D='""&amp;D402&amp;""'"",1))"),0.0)</f>
        <v>0</v>
      </c>
      <c r="Q402" s="9">
        <f>IFERROR(__xludf.DUMMYFUNCTION("SUM(QUERY(Entregas_BD!D:L,""select J where D='""&amp;D402&amp;""'"",1))"),0.0)</f>
        <v>0</v>
      </c>
      <c r="R402" s="15">
        <f>IFERROR(__xludf.DUMMYFUNCTION("SUM(QUERY(Entregas_BD!D:L,""select K where D='""&amp;D402&amp;""'"",1))"),0.0)</f>
        <v>0</v>
      </c>
      <c r="S402" s="15">
        <f>IFERROR(__xludf.DUMMYFUNCTION("SUM(QUERY(Entregas_BD!D:L,""select L where D='""&amp;D402&amp;""'"",1))"),0.0)</f>
        <v>0</v>
      </c>
      <c r="T402" s="9">
        <f>IFERROR(__xludf.DUMMYFUNCTION("SUM(QUERY(Entregas_BD!D:AL,""select AG where D='""&amp;D402&amp;""'"",1))"),50.0)</f>
        <v>50</v>
      </c>
      <c r="U402" s="9">
        <f>IFERROR(__xludf.DUMMYFUNCTION("SUM(QUERY(Entregas_BD!D:AL,""select AH where D='""&amp;D402&amp;""'"",1))"),0.0)</f>
        <v>0</v>
      </c>
      <c r="V402" s="9">
        <f>IFERROR(__xludf.DUMMYFUNCTION("SUM(QUERY(Entregas_BD!D:AL,""select AI where D='""&amp;D402&amp;""'"",1))"),0.0)</f>
        <v>0</v>
      </c>
      <c r="W402" s="9">
        <f>IFERROR(__xludf.DUMMYFUNCTION("SUM(QUERY(Entregas_BD!D:AL,""select AJ where D='""&amp;D402&amp;""'"",1))"),0.0)</f>
        <v>0</v>
      </c>
      <c r="X402" s="9">
        <f>IFERROR(__xludf.DUMMYFUNCTION("SUM(QUERY(Entregas_BD!D:AL,""select AL where D='""&amp;D402&amp;""'"",1))"),0.0)</f>
        <v>0</v>
      </c>
      <c r="Y402" s="9">
        <f>IFERROR(__xludf.DUMMYFUNCTION("SUM(QUERY(Entregas_BD!D:AL,""select AK where D='""&amp;D402&amp;""'"",1))"),0.0)</f>
        <v>0</v>
      </c>
      <c r="Z402" s="9">
        <v>-50.0</v>
      </c>
      <c r="AA402" s="9">
        <v>0.0</v>
      </c>
      <c r="AB402" s="9">
        <v>0.0</v>
      </c>
      <c r="AC402" s="9">
        <v>0.0</v>
      </c>
      <c r="AD402" s="9">
        <v>0.0</v>
      </c>
      <c r="AE402" s="9">
        <v>0.0</v>
      </c>
      <c r="AF402" s="32"/>
      <c r="AG402" s="15">
        <f>IFERROR(__xludf.DUMMYFUNCTION("SUM(QUERY(Entregas_BD!D:W,""select U where D='""&amp;D402&amp;""'"",1))"),0.0)</f>
        <v>0</v>
      </c>
      <c r="AH402" s="15">
        <f>IFERROR(__xludf.DUMMYFUNCTION("SUM(QUERY(Entregas_BD!D:W,""select S where D='""&amp;D402&amp;""'"",1))"),0.0)</f>
        <v>0</v>
      </c>
      <c r="AI402" s="15">
        <f>IFERROR(__xludf.DUMMYFUNCTION("SUM(QUERY(Entregas_BD!D:W,""select T where D='""&amp;D402&amp;""'"",1))"),0.0)</f>
        <v>0</v>
      </c>
    </row>
    <row r="403" ht="19.5" customHeight="1">
      <c r="A403" s="72"/>
      <c r="B403" s="69"/>
      <c r="C403" s="19">
        <v>402.0</v>
      </c>
      <c r="D403" s="67" t="s">
        <v>920</v>
      </c>
      <c r="E403" s="20" t="s">
        <v>38</v>
      </c>
      <c r="F403" s="20" t="s">
        <v>276</v>
      </c>
      <c r="G403" s="20" t="s">
        <v>921</v>
      </c>
      <c r="H403" s="22" t="s">
        <v>622</v>
      </c>
      <c r="I403" s="21" t="s">
        <v>41</v>
      </c>
      <c r="J403" s="25"/>
      <c r="K403" s="22"/>
      <c r="L403" s="23"/>
      <c r="M403" s="25"/>
      <c r="N403" s="19">
        <f>IFERROR(__xludf.DUMMYFUNCTION("SUM(QUERY(Entregas_BD!D:L,""select G where D='""&amp;D403&amp;""'"",1))"),0.0)</f>
        <v>0</v>
      </c>
      <c r="O403" s="19">
        <f>IFERROR(__xludf.DUMMYFUNCTION("SUM(QUERY(Entregas_BD!D:L,""select H where D='""&amp;D403&amp;""'"",1))"),0.0)</f>
        <v>0</v>
      </c>
      <c r="P403" s="19">
        <f>IFERROR(__xludf.DUMMYFUNCTION("SUM(QUERY(Entregas_BD!D:L,""select I where D='""&amp;D403&amp;""'"",1))"),0.0)</f>
        <v>0</v>
      </c>
      <c r="Q403" s="19">
        <f>IFERROR(__xludf.DUMMYFUNCTION("SUM(QUERY(Entregas_BD!D:L,""select J where D='""&amp;D403&amp;""'"",1))"),0.0)</f>
        <v>0</v>
      </c>
      <c r="R403" s="24">
        <f>IFERROR(__xludf.DUMMYFUNCTION("SUM(QUERY(Entregas_BD!D:L,""select K where D='""&amp;D403&amp;""'"",1))"),0.0)</f>
        <v>0</v>
      </c>
      <c r="S403" s="24">
        <f>IFERROR(__xludf.DUMMYFUNCTION("SUM(QUERY(Entregas_BD!D:L,""select L where D='""&amp;D403&amp;""'"",1))"),0.0)</f>
        <v>0</v>
      </c>
      <c r="T403" s="19">
        <f>IFERROR(__xludf.DUMMYFUNCTION("SUM(QUERY(Entregas_BD!D:AL,""select AG where D='""&amp;D403&amp;""'"",1))"),100.0)</f>
        <v>100</v>
      </c>
      <c r="U403" s="19">
        <f>IFERROR(__xludf.DUMMYFUNCTION("SUM(QUERY(Entregas_BD!D:AL,""select AH where D='""&amp;D403&amp;""'"",1))"),0.0)</f>
        <v>0</v>
      </c>
      <c r="V403" s="19">
        <f>IFERROR(__xludf.DUMMYFUNCTION("SUM(QUERY(Entregas_BD!D:AL,""select AI where D='""&amp;D403&amp;""'"",1))"),0.0)</f>
        <v>0</v>
      </c>
      <c r="W403" s="19">
        <f>IFERROR(__xludf.DUMMYFUNCTION("SUM(QUERY(Entregas_BD!D:AL,""select AJ where D='""&amp;D403&amp;""'"",1))"),0.0)</f>
        <v>0</v>
      </c>
      <c r="X403" s="19">
        <f>IFERROR(__xludf.DUMMYFUNCTION("SUM(QUERY(Entregas_BD!D:AL,""select AL where D='""&amp;D403&amp;""'"",1))"),0.0)</f>
        <v>0</v>
      </c>
      <c r="Y403" s="19">
        <f>IFERROR(__xludf.DUMMYFUNCTION("SUM(QUERY(Entregas_BD!D:AL,""select AK where D='""&amp;D403&amp;""'"",1))"),0.0)</f>
        <v>0</v>
      </c>
      <c r="Z403" s="19">
        <v>-100.0</v>
      </c>
      <c r="AA403" s="19">
        <v>0.0</v>
      </c>
      <c r="AB403" s="19">
        <v>0.0</v>
      </c>
      <c r="AC403" s="19">
        <v>0.0</v>
      </c>
      <c r="AD403" s="19">
        <v>0.0</v>
      </c>
      <c r="AE403" s="19">
        <v>0.0</v>
      </c>
      <c r="AF403" s="25"/>
      <c r="AG403" s="24">
        <f>IFERROR(__xludf.DUMMYFUNCTION("SUM(QUERY(Entregas_BD!D:W,""select U where D='""&amp;D403&amp;""'"",1))"),0.0)</f>
        <v>0</v>
      </c>
      <c r="AH403" s="24">
        <f>IFERROR(__xludf.DUMMYFUNCTION("SUM(QUERY(Entregas_BD!D:W,""select S where D='""&amp;D403&amp;""'"",1))"),0.0)</f>
        <v>0</v>
      </c>
      <c r="AI403" s="24">
        <f>IFERROR(__xludf.DUMMYFUNCTION("SUM(QUERY(Entregas_BD!D:W,""select T where D='""&amp;D403&amp;""'"",1))"),0.0)</f>
        <v>0</v>
      </c>
    </row>
    <row r="404" ht="19.5" customHeight="1">
      <c r="A404" s="71"/>
      <c r="B404" s="70"/>
      <c r="C404" s="9">
        <v>403.0</v>
      </c>
      <c r="D404" s="82" t="s">
        <v>922</v>
      </c>
      <c r="E404" s="10" t="s">
        <v>44</v>
      </c>
      <c r="F404" s="10" t="s">
        <v>45</v>
      </c>
      <c r="G404" s="10" t="s">
        <v>46</v>
      </c>
      <c r="H404" s="12" t="s">
        <v>849</v>
      </c>
      <c r="I404" s="11" t="s">
        <v>41</v>
      </c>
      <c r="J404" s="32"/>
      <c r="K404" s="12"/>
      <c r="L404" s="13"/>
      <c r="M404" s="32"/>
      <c r="N404" s="9">
        <f>IFERROR(__xludf.DUMMYFUNCTION("SUM(QUERY(Entregas_BD!D:L,""select G where D='""&amp;D404&amp;""'"",1))"),0.0)</f>
        <v>0</v>
      </c>
      <c r="O404" s="9">
        <f>IFERROR(__xludf.DUMMYFUNCTION("SUM(QUERY(Entregas_BD!D:L,""select H where D='""&amp;D404&amp;""'"",1))"),0.0)</f>
        <v>0</v>
      </c>
      <c r="P404" s="9">
        <f>IFERROR(__xludf.DUMMYFUNCTION("SUM(QUERY(Entregas_BD!D:L,""select I where D='""&amp;D404&amp;""'"",1))"),0.0)</f>
        <v>0</v>
      </c>
      <c r="Q404" s="9">
        <f>IFERROR(__xludf.DUMMYFUNCTION("SUM(QUERY(Entregas_BD!D:L,""select J where D='""&amp;D404&amp;""'"",1))"),0.0)</f>
        <v>0</v>
      </c>
      <c r="R404" s="15">
        <f>IFERROR(__xludf.DUMMYFUNCTION("SUM(QUERY(Entregas_BD!D:L,""select K where D='""&amp;D404&amp;""'"",1))"),0.0)</f>
        <v>0</v>
      </c>
      <c r="S404" s="15">
        <f>IFERROR(__xludf.DUMMYFUNCTION("SUM(QUERY(Entregas_BD!D:L,""select L where D='""&amp;D404&amp;""'"",1))"),0.0)</f>
        <v>0</v>
      </c>
      <c r="T404" s="9">
        <f>IFERROR(__xludf.DUMMYFUNCTION("SUM(QUERY(Entregas_BD!D:AL,""select AG where D='""&amp;D404&amp;""'"",1))"),50.0)</f>
        <v>50</v>
      </c>
      <c r="U404" s="9">
        <f>IFERROR(__xludf.DUMMYFUNCTION("SUM(QUERY(Entregas_BD!D:AL,""select AH where D='""&amp;D404&amp;""'"",1))"),0.0)</f>
        <v>0</v>
      </c>
      <c r="V404" s="9">
        <f>IFERROR(__xludf.DUMMYFUNCTION("SUM(QUERY(Entregas_BD!D:AL,""select AI where D='""&amp;D404&amp;""'"",1))"),0.0)</f>
        <v>0</v>
      </c>
      <c r="W404" s="9">
        <f>IFERROR(__xludf.DUMMYFUNCTION("SUM(QUERY(Entregas_BD!D:AL,""select AJ where D='""&amp;D404&amp;""'"",1))"),0.0)</f>
        <v>0</v>
      </c>
      <c r="X404" s="9">
        <f>IFERROR(__xludf.DUMMYFUNCTION("SUM(QUERY(Entregas_BD!D:AL,""select AL where D='""&amp;D404&amp;""'"",1))"),0.0)</f>
        <v>0</v>
      </c>
      <c r="Y404" s="9">
        <f>IFERROR(__xludf.DUMMYFUNCTION("SUM(QUERY(Entregas_BD!D:AL,""select AK where D='""&amp;D404&amp;""'"",1))"),0.0)</f>
        <v>0</v>
      </c>
      <c r="Z404" s="9">
        <v>-50.0</v>
      </c>
      <c r="AA404" s="9">
        <v>0.0</v>
      </c>
      <c r="AB404" s="9">
        <v>0.0</v>
      </c>
      <c r="AC404" s="9">
        <v>0.0</v>
      </c>
      <c r="AD404" s="9">
        <v>0.0</v>
      </c>
      <c r="AE404" s="9">
        <v>0.0</v>
      </c>
      <c r="AF404" s="32"/>
      <c r="AG404" s="15">
        <f>IFERROR(__xludf.DUMMYFUNCTION("SUM(QUERY(Entregas_BD!D:W,""select U where D='""&amp;D404&amp;""'"",1))"),0.0)</f>
        <v>0</v>
      </c>
      <c r="AH404" s="15">
        <f>IFERROR(__xludf.DUMMYFUNCTION("SUM(QUERY(Entregas_BD!D:W,""select S where D='""&amp;D404&amp;""'"",1))"),0.0)</f>
        <v>0</v>
      </c>
      <c r="AI404" s="15">
        <f>IFERROR(__xludf.DUMMYFUNCTION("SUM(QUERY(Entregas_BD!D:W,""select T where D='""&amp;D404&amp;""'"",1))"),0.0)</f>
        <v>0</v>
      </c>
    </row>
    <row r="405" ht="19.5" customHeight="1">
      <c r="A405" s="72"/>
      <c r="B405" s="69"/>
      <c r="C405" s="19">
        <v>404.0</v>
      </c>
      <c r="D405" s="67" t="s">
        <v>923</v>
      </c>
      <c r="E405" s="20" t="s">
        <v>44</v>
      </c>
      <c r="F405" s="20" t="s">
        <v>45</v>
      </c>
      <c r="G405" s="20" t="s">
        <v>46</v>
      </c>
      <c r="H405" s="22" t="s">
        <v>849</v>
      </c>
      <c r="I405" s="21" t="s">
        <v>41</v>
      </c>
      <c r="J405" s="25"/>
      <c r="K405" s="22"/>
      <c r="L405" s="23"/>
      <c r="M405" s="25"/>
      <c r="N405" s="19">
        <f>IFERROR(__xludf.DUMMYFUNCTION("SUM(QUERY(Entregas_BD!D:L,""select G where D='""&amp;D405&amp;""'"",1))"),0.0)</f>
        <v>0</v>
      </c>
      <c r="O405" s="19">
        <f>IFERROR(__xludf.DUMMYFUNCTION("SUM(QUERY(Entregas_BD!D:L,""select H where D='""&amp;D405&amp;""'"",1))"),0.0)</f>
        <v>0</v>
      </c>
      <c r="P405" s="19">
        <f>IFERROR(__xludf.DUMMYFUNCTION("SUM(QUERY(Entregas_BD!D:L,""select I where D='""&amp;D405&amp;""'"",1))"),0.0)</f>
        <v>0</v>
      </c>
      <c r="Q405" s="19">
        <f>IFERROR(__xludf.DUMMYFUNCTION("SUM(QUERY(Entregas_BD!D:L,""select J where D='""&amp;D405&amp;""'"",1))"),0.0)</f>
        <v>0</v>
      </c>
      <c r="R405" s="24">
        <f>IFERROR(__xludf.DUMMYFUNCTION("SUM(QUERY(Entregas_BD!D:L,""select K where D='""&amp;D405&amp;""'"",1))"),0.0)</f>
        <v>0</v>
      </c>
      <c r="S405" s="24">
        <f>IFERROR(__xludf.DUMMYFUNCTION("SUM(QUERY(Entregas_BD!D:L,""select L where D='""&amp;D405&amp;""'"",1))"),0.0)</f>
        <v>0</v>
      </c>
      <c r="T405" s="19">
        <f>IFERROR(__xludf.DUMMYFUNCTION("SUM(QUERY(Entregas_BD!D:AL,""select AG where D='""&amp;D405&amp;""'"",1))"),50.0)</f>
        <v>50</v>
      </c>
      <c r="U405" s="19">
        <f>IFERROR(__xludf.DUMMYFUNCTION("SUM(QUERY(Entregas_BD!D:AL,""select AH where D='""&amp;D405&amp;""'"",1))"),0.0)</f>
        <v>0</v>
      </c>
      <c r="V405" s="19">
        <f>IFERROR(__xludf.DUMMYFUNCTION("SUM(QUERY(Entregas_BD!D:AL,""select AI where D='""&amp;D405&amp;""'"",1))"),0.0)</f>
        <v>0</v>
      </c>
      <c r="W405" s="19">
        <f>IFERROR(__xludf.DUMMYFUNCTION("SUM(QUERY(Entregas_BD!D:AL,""select AJ where D='""&amp;D405&amp;""'"",1))"),0.0)</f>
        <v>0</v>
      </c>
      <c r="X405" s="19">
        <f>IFERROR(__xludf.DUMMYFUNCTION("SUM(QUERY(Entregas_BD!D:AL,""select AL where D='""&amp;D405&amp;""'"",1))"),0.0)</f>
        <v>0</v>
      </c>
      <c r="Y405" s="19">
        <f>IFERROR(__xludf.DUMMYFUNCTION("SUM(QUERY(Entregas_BD!D:AL,""select AK where D='""&amp;D405&amp;""'"",1))"),0.0)</f>
        <v>0</v>
      </c>
      <c r="Z405" s="19">
        <v>-50.0</v>
      </c>
      <c r="AA405" s="19">
        <v>0.0</v>
      </c>
      <c r="AB405" s="19">
        <v>0.0</v>
      </c>
      <c r="AC405" s="19">
        <v>0.0</v>
      </c>
      <c r="AD405" s="19">
        <v>0.0</v>
      </c>
      <c r="AE405" s="19">
        <v>0.0</v>
      </c>
      <c r="AF405" s="25"/>
      <c r="AG405" s="24">
        <f>IFERROR(__xludf.DUMMYFUNCTION("SUM(QUERY(Entregas_BD!D:W,""select U where D='""&amp;D405&amp;""'"",1))"),0.0)</f>
        <v>0</v>
      </c>
      <c r="AH405" s="24">
        <f>IFERROR(__xludf.DUMMYFUNCTION("SUM(QUERY(Entregas_BD!D:W,""select S where D='""&amp;D405&amp;""'"",1))"),0.0)</f>
        <v>0</v>
      </c>
      <c r="AI405" s="24">
        <f>IFERROR(__xludf.DUMMYFUNCTION("SUM(QUERY(Entregas_BD!D:W,""select T where D='""&amp;D405&amp;""'"",1))"),0.0)</f>
        <v>0</v>
      </c>
    </row>
    <row r="406" ht="19.5" customHeight="1">
      <c r="A406" s="71"/>
      <c r="B406" s="70"/>
      <c r="C406" s="9">
        <v>405.0</v>
      </c>
      <c r="D406" s="82" t="s">
        <v>924</v>
      </c>
      <c r="E406" s="10" t="s">
        <v>44</v>
      </c>
      <c r="F406" s="10" t="s">
        <v>45</v>
      </c>
      <c r="G406" s="10" t="s">
        <v>854</v>
      </c>
      <c r="H406" s="12" t="s">
        <v>849</v>
      </c>
      <c r="I406" s="11" t="s">
        <v>41</v>
      </c>
      <c r="J406" s="32"/>
      <c r="K406" s="12"/>
      <c r="L406" s="13"/>
      <c r="M406" s="32"/>
      <c r="N406" s="9">
        <f>IFERROR(__xludf.DUMMYFUNCTION("SUM(QUERY(Entregas_BD!D:L,""select G where D='""&amp;D406&amp;""'"",1))"),0.0)</f>
        <v>0</v>
      </c>
      <c r="O406" s="9">
        <f>IFERROR(__xludf.DUMMYFUNCTION("SUM(QUERY(Entregas_BD!D:L,""select H where D='""&amp;D406&amp;""'"",1))"),0.0)</f>
        <v>0</v>
      </c>
      <c r="P406" s="9">
        <f>IFERROR(__xludf.DUMMYFUNCTION("SUM(QUERY(Entregas_BD!D:L,""select I where D='""&amp;D406&amp;""'"",1))"),0.0)</f>
        <v>0</v>
      </c>
      <c r="Q406" s="9">
        <f>IFERROR(__xludf.DUMMYFUNCTION("SUM(QUERY(Entregas_BD!D:L,""select J where D='""&amp;D406&amp;""'"",1))"),0.0)</f>
        <v>0</v>
      </c>
      <c r="R406" s="15">
        <f>IFERROR(__xludf.DUMMYFUNCTION("SUM(QUERY(Entregas_BD!D:L,""select K where D='""&amp;D406&amp;""'"",1))"),0.0)</f>
        <v>0</v>
      </c>
      <c r="S406" s="15">
        <f>IFERROR(__xludf.DUMMYFUNCTION("SUM(QUERY(Entregas_BD!D:L,""select L where D='""&amp;D406&amp;""'"",1))"),0.0)</f>
        <v>0</v>
      </c>
      <c r="T406" s="9">
        <f>IFERROR(__xludf.DUMMYFUNCTION("SUM(QUERY(Entregas_BD!D:AL,""select AG where D='""&amp;D406&amp;""'"",1))"),50.0)</f>
        <v>50</v>
      </c>
      <c r="U406" s="9">
        <f>IFERROR(__xludf.DUMMYFUNCTION("SUM(QUERY(Entregas_BD!D:AL,""select AH where D='""&amp;D406&amp;""'"",1))"),0.0)</f>
        <v>0</v>
      </c>
      <c r="V406" s="9">
        <f>IFERROR(__xludf.DUMMYFUNCTION("SUM(QUERY(Entregas_BD!D:AL,""select AI where D='""&amp;D406&amp;""'"",1))"),0.0)</f>
        <v>0</v>
      </c>
      <c r="W406" s="9">
        <f>IFERROR(__xludf.DUMMYFUNCTION("SUM(QUERY(Entregas_BD!D:AL,""select AJ where D='""&amp;D406&amp;""'"",1))"),0.0)</f>
        <v>0</v>
      </c>
      <c r="X406" s="9">
        <f>IFERROR(__xludf.DUMMYFUNCTION("SUM(QUERY(Entregas_BD!D:AL,""select AL where D='""&amp;D406&amp;""'"",1))"),0.0)</f>
        <v>0</v>
      </c>
      <c r="Y406" s="9">
        <f>IFERROR(__xludf.DUMMYFUNCTION("SUM(QUERY(Entregas_BD!D:AL,""select AK where D='""&amp;D406&amp;""'"",1))"),0.0)</f>
        <v>0</v>
      </c>
      <c r="Z406" s="9">
        <v>-50.0</v>
      </c>
      <c r="AA406" s="9">
        <v>0.0</v>
      </c>
      <c r="AB406" s="9">
        <v>0.0</v>
      </c>
      <c r="AC406" s="9">
        <v>0.0</v>
      </c>
      <c r="AD406" s="9">
        <v>0.0</v>
      </c>
      <c r="AE406" s="9">
        <v>0.0</v>
      </c>
      <c r="AF406" s="32"/>
      <c r="AG406" s="15">
        <f>IFERROR(__xludf.DUMMYFUNCTION("SUM(QUERY(Entregas_BD!D:W,""select U where D='""&amp;D406&amp;""'"",1))"),0.0)</f>
        <v>0</v>
      </c>
      <c r="AH406" s="15">
        <f>IFERROR(__xludf.DUMMYFUNCTION("SUM(QUERY(Entregas_BD!D:W,""select S where D='""&amp;D406&amp;""'"",1))"),0.0)</f>
        <v>0</v>
      </c>
      <c r="AI406" s="15">
        <f>IFERROR(__xludf.DUMMYFUNCTION("SUM(QUERY(Entregas_BD!D:W,""select T where D='""&amp;D406&amp;""'"",1))"),0.0)</f>
        <v>0</v>
      </c>
    </row>
    <row r="407" ht="19.5" customHeight="1">
      <c r="A407" s="72"/>
      <c r="B407" s="69"/>
      <c r="C407" s="19">
        <v>406.0</v>
      </c>
      <c r="D407" s="25" t="s">
        <v>925</v>
      </c>
      <c r="E407" s="20"/>
      <c r="F407" s="20" t="s">
        <v>45</v>
      </c>
      <c r="G407" s="20" t="s">
        <v>45</v>
      </c>
      <c r="H407" s="25" t="s">
        <v>770</v>
      </c>
      <c r="I407" s="21" t="s">
        <v>41</v>
      </c>
      <c r="J407" s="25"/>
      <c r="K407" s="22"/>
      <c r="L407" s="23"/>
      <c r="M407" s="25"/>
      <c r="N407" s="19">
        <f>IFERROR(__xludf.DUMMYFUNCTION("SUM(QUERY(Entregas_BD!D:L,""select G where D='""&amp;D407&amp;""'"",1))"),0.0)</f>
        <v>0</v>
      </c>
      <c r="O407" s="19">
        <f>IFERROR(__xludf.DUMMYFUNCTION("SUM(QUERY(Entregas_BD!D:L,""select H where D='""&amp;D407&amp;""'"",1))"),0.0)</f>
        <v>0</v>
      </c>
      <c r="P407" s="19">
        <f>IFERROR(__xludf.DUMMYFUNCTION("SUM(QUERY(Entregas_BD!D:L,""select I where D='""&amp;D407&amp;""'"",1))"),0.0)</f>
        <v>0</v>
      </c>
      <c r="Q407" s="19">
        <f>IFERROR(__xludf.DUMMYFUNCTION("SUM(QUERY(Entregas_BD!D:L,""select J where D='""&amp;D407&amp;""'"",1))"),0.0)</f>
        <v>0</v>
      </c>
      <c r="R407" s="24">
        <f>IFERROR(__xludf.DUMMYFUNCTION("SUM(QUERY(Entregas_BD!D:L,""select K where D='""&amp;D407&amp;""'"",1))"),0.0)</f>
        <v>0</v>
      </c>
      <c r="S407" s="24">
        <f>IFERROR(__xludf.DUMMYFUNCTION("SUM(QUERY(Entregas_BD!D:L,""select L where D='""&amp;D407&amp;""'"",1))"),0.0)</f>
        <v>0</v>
      </c>
      <c r="T407" s="19">
        <f>IFERROR(__xludf.DUMMYFUNCTION("SUM(QUERY(Entregas_BD!D:AL,""select AG where D='""&amp;D407&amp;""'"",1))"),50.0)</f>
        <v>50</v>
      </c>
      <c r="U407" s="19">
        <f>IFERROR(__xludf.DUMMYFUNCTION("SUM(QUERY(Entregas_BD!D:AL,""select AH where D='""&amp;D407&amp;""'"",1))"),0.0)</f>
        <v>0</v>
      </c>
      <c r="V407" s="19">
        <f>IFERROR(__xludf.DUMMYFUNCTION("SUM(QUERY(Entregas_BD!D:AL,""select AI where D='""&amp;D407&amp;""'"",1))"),0.0)</f>
        <v>0</v>
      </c>
      <c r="W407" s="19">
        <f>IFERROR(__xludf.DUMMYFUNCTION("SUM(QUERY(Entregas_BD!D:AL,""select AJ where D='""&amp;D407&amp;""'"",1))"),0.0)</f>
        <v>0</v>
      </c>
      <c r="X407" s="19">
        <f>IFERROR(__xludf.DUMMYFUNCTION("SUM(QUERY(Entregas_BD!D:AL,""select AL where D='""&amp;D407&amp;""'"",1))"),0.0)</f>
        <v>0</v>
      </c>
      <c r="Y407" s="19">
        <f>IFERROR(__xludf.DUMMYFUNCTION("SUM(QUERY(Entregas_BD!D:AL,""select AK where D='""&amp;D407&amp;""'"",1))"),0.0)</f>
        <v>0</v>
      </c>
      <c r="Z407" s="19">
        <v>-50.0</v>
      </c>
      <c r="AA407" s="19">
        <v>0.0</v>
      </c>
      <c r="AB407" s="19">
        <v>0.0</v>
      </c>
      <c r="AC407" s="19">
        <v>0.0</v>
      </c>
      <c r="AD407" s="19">
        <v>0.0</v>
      </c>
      <c r="AE407" s="19">
        <v>0.0</v>
      </c>
      <c r="AF407" s="25"/>
      <c r="AG407" s="24">
        <f>IFERROR(__xludf.DUMMYFUNCTION("SUM(QUERY(Entregas_BD!D:W,""select U where D='""&amp;D407&amp;""'"",1))"),0.0)</f>
        <v>0</v>
      </c>
      <c r="AH407" s="24">
        <f>IFERROR(__xludf.DUMMYFUNCTION("SUM(QUERY(Entregas_BD!D:W,""select S where D='""&amp;D407&amp;""'"",1))"),0.0)</f>
        <v>0</v>
      </c>
      <c r="AI407" s="24">
        <f>IFERROR(__xludf.DUMMYFUNCTION("SUM(QUERY(Entregas_BD!D:W,""select T where D='""&amp;D407&amp;""'"",1))"),0.0)</f>
        <v>0</v>
      </c>
    </row>
    <row r="408" ht="19.5" customHeight="1">
      <c r="A408" s="71"/>
      <c r="B408" s="70"/>
      <c r="C408" s="9">
        <v>407.0</v>
      </c>
      <c r="D408" s="83" t="s">
        <v>926</v>
      </c>
      <c r="E408" s="10" t="s">
        <v>58</v>
      </c>
      <c r="F408" s="10" t="s">
        <v>45</v>
      </c>
      <c r="G408" s="10" t="s">
        <v>253</v>
      </c>
      <c r="H408" s="12" t="s">
        <v>849</v>
      </c>
      <c r="I408" s="11" t="s">
        <v>41</v>
      </c>
      <c r="J408" s="32"/>
      <c r="K408" s="12"/>
      <c r="L408" s="13"/>
      <c r="M408" s="32"/>
      <c r="N408" s="9">
        <f>IFERROR(__xludf.DUMMYFUNCTION("SUM(QUERY(Entregas_BD!D:L,""select G where D='""&amp;D408&amp;""'"",1))"),0.0)</f>
        <v>0</v>
      </c>
      <c r="O408" s="9">
        <f>IFERROR(__xludf.DUMMYFUNCTION("SUM(QUERY(Entregas_BD!D:L,""select H where D='""&amp;D408&amp;""'"",1))"),0.0)</f>
        <v>0</v>
      </c>
      <c r="P408" s="9">
        <f>IFERROR(__xludf.DUMMYFUNCTION("SUM(QUERY(Entregas_BD!D:L,""select I where D='""&amp;D408&amp;""'"",1))"),0.0)</f>
        <v>0</v>
      </c>
      <c r="Q408" s="9">
        <f>IFERROR(__xludf.DUMMYFUNCTION("SUM(QUERY(Entregas_BD!D:L,""select J where D='""&amp;D408&amp;""'"",1))"),0.0)</f>
        <v>0</v>
      </c>
      <c r="R408" s="15">
        <f>IFERROR(__xludf.DUMMYFUNCTION("SUM(QUERY(Entregas_BD!D:L,""select K where D='""&amp;D408&amp;""'"",1))"),0.0)</f>
        <v>0</v>
      </c>
      <c r="S408" s="15">
        <f>IFERROR(__xludf.DUMMYFUNCTION("SUM(QUERY(Entregas_BD!D:L,""select L where D='""&amp;D408&amp;""'"",1))"),0.0)</f>
        <v>0</v>
      </c>
      <c r="T408" s="9">
        <f>IFERROR(__xludf.DUMMYFUNCTION("SUM(QUERY(Entregas_BD!D:AL,""select AG where D='""&amp;D408&amp;""'"",1))"),50.0)</f>
        <v>50</v>
      </c>
      <c r="U408" s="9">
        <f>IFERROR(__xludf.DUMMYFUNCTION("SUM(QUERY(Entregas_BD!D:AL,""select AH where D='""&amp;D408&amp;""'"",1))"),0.0)</f>
        <v>0</v>
      </c>
      <c r="V408" s="9">
        <f>IFERROR(__xludf.DUMMYFUNCTION("SUM(QUERY(Entregas_BD!D:AL,""select AI where D='""&amp;D408&amp;""'"",1))"),0.0)</f>
        <v>0</v>
      </c>
      <c r="W408" s="9">
        <f>IFERROR(__xludf.DUMMYFUNCTION("SUM(QUERY(Entregas_BD!D:AL,""select AJ where D='""&amp;D408&amp;""'"",1))"),0.0)</f>
        <v>0</v>
      </c>
      <c r="X408" s="9">
        <f>IFERROR(__xludf.DUMMYFUNCTION("SUM(QUERY(Entregas_BD!D:AL,""select AL where D='""&amp;D408&amp;""'"",1))"),10.0)</f>
        <v>10</v>
      </c>
      <c r="Y408" s="9">
        <f>IFERROR(__xludf.DUMMYFUNCTION("SUM(QUERY(Entregas_BD!D:AL,""select AK where D='""&amp;D408&amp;""'"",1))"),20.0)</f>
        <v>20</v>
      </c>
      <c r="Z408" s="9">
        <v>-50.0</v>
      </c>
      <c r="AA408" s="9">
        <v>0.0</v>
      </c>
      <c r="AB408" s="9">
        <v>0.0</v>
      </c>
      <c r="AC408" s="9">
        <v>0.0</v>
      </c>
      <c r="AD408" s="9">
        <v>-20.0</v>
      </c>
      <c r="AE408" s="9">
        <v>-10.0</v>
      </c>
      <c r="AF408" s="32"/>
      <c r="AG408" s="15">
        <f>IFERROR(__xludf.DUMMYFUNCTION("SUM(QUERY(Entregas_BD!D:W,""select U where D='""&amp;D408&amp;""'"",1))"),0.0)</f>
        <v>0</v>
      </c>
      <c r="AH408" s="15">
        <f>IFERROR(__xludf.DUMMYFUNCTION("SUM(QUERY(Entregas_BD!D:W,""select S where D='""&amp;D408&amp;""'"",1))"),0.0)</f>
        <v>0</v>
      </c>
      <c r="AI408" s="15">
        <f>IFERROR(__xludf.DUMMYFUNCTION("SUM(QUERY(Entregas_BD!D:W,""select T where D='""&amp;D408&amp;""'"",1))"),0.0)</f>
        <v>0</v>
      </c>
    </row>
    <row r="409" ht="19.5" customHeight="1">
      <c r="A409" s="72"/>
      <c r="B409" s="69"/>
      <c r="C409" s="19">
        <v>408.0</v>
      </c>
      <c r="D409" s="84" t="s">
        <v>927</v>
      </c>
      <c r="E409" s="20" t="s">
        <v>44</v>
      </c>
      <c r="F409" s="20" t="s">
        <v>45</v>
      </c>
      <c r="G409" s="20" t="s">
        <v>46</v>
      </c>
      <c r="H409" s="22" t="s">
        <v>849</v>
      </c>
      <c r="I409" s="21" t="s">
        <v>41</v>
      </c>
      <c r="J409" s="25"/>
      <c r="K409" s="22"/>
      <c r="L409" s="23"/>
      <c r="M409" s="25"/>
      <c r="N409" s="19">
        <f>IFERROR(__xludf.DUMMYFUNCTION("SUM(QUERY(Entregas_BD!D:L,""select G where D='""&amp;D409&amp;""'"",1))"),0.0)</f>
        <v>0</v>
      </c>
      <c r="O409" s="19">
        <f>IFERROR(__xludf.DUMMYFUNCTION("SUM(QUERY(Entregas_BD!D:L,""select H where D='""&amp;D409&amp;""'"",1))"),0.0)</f>
        <v>0</v>
      </c>
      <c r="P409" s="19">
        <f>IFERROR(__xludf.DUMMYFUNCTION("SUM(QUERY(Entregas_BD!D:L,""select I where D='""&amp;D409&amp;""'"",1))"),0.0)</f>
        <v>0</v>
      </c>
      <c r="Q409" s="19">
        <f>IFERROR(__xludf.DUMMYFUNCTION("SUM(QUERY(Entregas_BD!D:L,""select J where D='""&amp;D409&amp;""'"",1))"),0.0)</f>
        <v>0</v>
      </c>
      <c r="R409" s="24">
        <f>IFERROR(__xludf.DUMMYFUNCTION("SUM(QUERY(Entregas_BD!D:L,""select K where D='""&amp;D409&amp;""'"",1))"),0.0)</f>
        <v>0</v>
      </c>
      <c r="S409" s="24">
        <f>IFERROR(__xludf.DUMMYFUNCTION("SUM(QUERY(Entregas_BD!D:L,""select L where D='""&amp;D409&amp;""'"",1))"),0.0)</f>
        <v>0</v>
      </c>
      <c r="T409" s="19">
        <f>IFERROR(__xludf.DUMMYFUNCTION("SUM(QUERY(Entregas_BD!D:AL,""select AG where D='""&amp;D409&amp;""'"",1))"),50.0)</f>
        <v>50</v>
      </c>
      <c r="U409" s="19">
        <f>IFERROR(__xludf.DUMMYFUNCTION("SUM(QUERY(Entregas_BD!D:AL,""select AH where D='""&amp;D409&amp;""'"",1))"),0.0)</f>
        <v>0</v>
      </c>
      <c r="V409" s="19">
        <f>IFERROR(__xludf.DUMMYFUNCTION("SUM(QUERY(Entregas_BD!D:AL,""select AI where D='""&amp;D409&amp;""'"",1))"),0.0)</f>
        <v>0</v>
      </c>
      <c r="W409" s="19">
        <f>IFERROR(__xludf.DUMMYFUNCTION("SUM(QUERY(Entregas_BD!D:AL,""select AJ where D='""&amp;D409&amp;""'"",1))"),0.0)</f>
        <v>0</v>
      </c>
      <c r="X409" s="19">
        <f>IFERROR(__xludf.DUMMYFUNCTION("SUM(QUERY(Entregas_BD!D:AL,""select AL where D='""&amp;D409&amp;""'"",1))"),20.0)</f>
        <v>20</v>
      </c>
      <c r="Y409" s="19">
        <f>IFERROR(__xludf.DUMMYFUNCTION("SUM(QUERY(Entregas_BD!D:AL,""select AK where D='""&amp;D409&amp;""'"",1))"),10.0)</f>
        <v>10</v>
      </c>
      <c r="Z409" s="19">
        <v>-50.0</v>
      </c>
      <c r="AA409" s="19">
        <v>0.0</v>
      </c>
      <c r="AB409" s="19">
        <v>0.0</v>
      </c>
      <c r="AC409" s="19">
        <v>0.0</v>
      </c>
      <c r="AD409" s="19">
        <v>-10.0</v>
      </c>
      <c r="AE409" s="19">
        <v>-20.0</v>
      </c>
      <c r="AF409" s="25"/>
      <c r="AG409" s="24">
        <f>IFERROR(__xludf.DUMMYFUNCTION("SUM(QUERY(Entregas_BD!D:W,""select U where D='""&amp;D409&amp;""'"",1))"),0.0)</f>
        <v>0</v>
      </c>
      <c r="AH409" s="24">
        <f>IFERROR(__xludf.DUMMYFUNCTION("SUM(QUERY(Entregas_BD!D:W,""select S where D='""&amp;D409&amp;""'"",1))"),0.0)</f>
        <v>0</v>
      </c>
      <c r="AI409" s="24">
        <f>IFERROR(__xludf.DUMMYFUNCTION("SUM(QUERY(Entregas_BD!D:W,""select T where D='""&amp;D409&amp;""'"",1))"),0.0)</f>
        <v>0</v>
      </c>
    </row>
    <row r="410" ht="19.5" customHeight="1">
      <c r="A410" s="71"/>
      <c r="B410" s="70"/>
      <c r="C410" s="9">
        <v>409.0</v>
      </c>
      <c r="D410" s="83" t="s">
        <v>928</v>
      </c>
      <c r="E410" s="10" t="s">
        <v>44</v>
      </c>
      <c r="F410" s="10" t="s">
        <v>45</v>
      </c>
      <c r="G410" s="10" t="s">
        <v>130</v>
      </c>
      <c r="H410" s="12" t="s">
        <v>849</v>
      </c>
      <c r="I410" s="11" t="s">
        <v>41</v>
      </c>
      <c r="J410" s="32"/>
      <c r="K410" s="12"/>
      <c r="L410" s="13"/>
      <c r="M410" s="32"/>
      <c r="N410" s="9">
        <f>IFERROR(__xludf.DUMMYFUNCTION("SUM(QUERY(Entregas_BD!D:L,""select G where D='""&amp;D410&amp;""'"",1))"),0.0)</f>
        <v>0</v>
      </c>
      <c r="O410" s="9">
        <f>IFERROR(__xludf.DUMMYFUNCTION("SUM(QUERY(Entregas_BD!D:L,""select H where D='""&amp;D410&amp;""'"",1))"),0.0)</f>
        <v>0</v>
      </c>
      <c r="P410" s="9">
        <f>IFERROR(__xludf.DUMMYFUNCTION("SUM(QUERY(Entregas_BD!D:L,""select I where D='""&amp;D410&amp;""'"",1))"),0.0)</f>
        <v>0</v>
      </c>
      <c r="Q410" s="9">
        <f>IFERROR(__xludf.DUMMYFUNCTION("SUM(QUERY(Entregas_BD!D:L,""select J where D='""&amp;D410&amp;""'"",1))"),0.0)</f>
        <v>0</v>
      </c>
      <c r="R410" s="15">
        <f>IFERROR(__xludf.DUMMYFUNCTION("SUM(QUERY(Entregas_BD!D:L,""select K where D='""&amp;D410&amp;""'"",1))"),0.0)</f>
        <v>0</v>
      </c>
      <c r="S410" s="15">
        <f>IFERROR(__xludf.DUMMYFUNCTION("SUM(QUERY(Entregas_BD!D:L,""select L where D='""&amp;D410&amp;""'"",1))"),0.0)</f>
        <v>0</v>
      </c>
      <c r="T410" s="9">
        <f>IFERROR(__xludf.DUMMYFUNCTION("SUM(QUERY(Entregas_BD!D:AL,""select AG where D='""&amp;D410&amp;""'"",1))"),50.0)</f>
        <v>50</v>
      </c>
      <c r="U410" s="9">
        <f>IFERROR(__xludf.DUMMYFUNCTION("SUM(QUERY(Entregas_BD!D:AL,""select AH where D='""&amp;D410&amp;""'"",1))"),0.0)</f>
        <v>0</v>
      </c>
      <c r="V410" s="9">
        <f>IFERROR(__xludf.DUMMYFUNCTION("SUM(QUERY(Entregas_BD!D:AL,""select AI where D='""&amp;D410&amp;""'"",1))"),0.0)</f>
        <v>0</v>
      </c>
      <c r="W410" s="9">
        <f>IFERROR(__xludf.DUMMYFUNCTION("SUM(QUERY(Entregas_BD!D:AL,""select AJ where D='""&amp;D410&amp;""'"",1))"),0.0)</f>
        <v>0</v>
      </c>
      <c r="X410" s="9">
        <f>IFERROR(__xludf.DUMMYFUNCTION("SUM(QUERY(Entregas_BD!D:AL,""select AL where D='""&amp;D410&amp;""'"",1))"),20.0)</f>
        <v>20</v>
      </c>
      <c r="Y410" s="9">
        <f>IFERROR(__xludf.DUMMYFUNCTION("SUM(QUERY(Entregas_BD!D:AL,""select AK where D='""&amp;D410&amp;""'"",1))"),10.0)</f>
        <v>10</v>
      </c>
      <c r="Z410" s="9">
        <v>-50.0</v>
      </c>
      <c r="AA410" s="9">
        <v>0.0</v>
      </c>
      <c r="AB410" s="9">
        <v>0.0</v>
      </c>
      <c r="AC410" s="9">
        <v>0.0</v>
      </c>
      <c r="AD410" s="9">
        <v>-10.0</v>
      </c>
      <c r="AE410" s="9">
        <v>-20.0</v>
      </c>
      <c r="AF410" s="32"/>
      <c r="AG410" s="15">
        <f>IFERROR(__xludf.DUMMYFUNCTION("SUM(QUERY(Entregas_BD!D:W,""select U where D='""&amp;D410&amp;""'"",1))"),0.0)</f>
        <v>0</v>
      </c>
      <c r="AH410" s="15">
        <f>IFERROR(__xludf.DUMMYFUNCTION("SUM(QUERY(Entregas_BD!D:W,""select S where D='""&amp;D410&amp;""'"",1))"),0.0)</f>
        <v>0</v>
      </c>
      <c r="AI410" s="15">
        <f>IFERROR(__xludf.DUMMYFUNCTION("SUM(QUERY(Entregas_BD!D:W,""select T where D='""&amp;D410&amp;""'"",1))"),0.0)</f>
        <v>0</v>
      </c>
    </row>
    <row r="411" ht="19.5" customHeight="1">
      <c r="A411" s="72"/>
      <c r="B411" s="69"/>
      <c r="C411" s="19">
        <v>410.0</v>
      </c>
      <c r="D411" s="84" t="s">
        <v>929</v>
      </c>
      <c r="E411" s="20" t="s">
        <v>44</v>
      </c>
      <c r="F411" s="20" t="s">
        <v>45</v>
      </c>
      <c r="G411" s="20" t="s">
        <v>930</v>
      </c>
      <c r="H411" s="22" t="s">
        <v>849</v>
      </c>
      <c r="I411" s="21" t="s">
        <v>41</v>
      </c>
      <c r="J411" s="25"/>
      <c r="K411" s="22"/>
      <c r="L411" s="23"/>
      <c r="M411" s="25"/>
      <c r="N411" s="19">
        <f>IFERROR(__xludf.DUMMYFUNCTION("SUM(QUERY(Entregas_BD!D:L,""select G where D='""&amp;D411&amp;""'"",1))"),0.0)</f>
        <v>0</v>
      </c>
      <c r="O411" s="19">
        <f>IFERROR(__xludf.DUMMYFUNCTION("SUM(QUERY(Entregas_BD!D:L,""select H where D='""&amp;D411&amp;""'"",1))"),0.0)</f>
        <v>0</v>
      </c>
      <c r="P411" s="19">
        <f>IFERROR(__xludf.DUMMYFUNCTION("SUM(QUERY(Entregas_BD!D:L,""select I where D='""&amp;D411&amp;""'"",1))"),0.0)</f>
        <v>0</v>
      </c>
      <c r="Q411" s="19">
        <f>IFERROR(__xludf.DUMMYFUNCTION("SUM(QUERY(Entregas_BD!D:L,""select J where D='""&amp;D411&amp;""'"",1))"),0.0)</f>
        <v>0</v>
      </c>
      <c r="R411" s="24">
        <f>IFERROR(__xludf.DUMMYFUNCTION("SUM(QUERY(Entregas_BD!D:L,""select K where D='""&amp;D411&amp;""'"",1))"),0.0)</f>
        <v>0</v>
      </c>
      <c r="S411" s="24">
        <f>IFERROR(__xludf.DUMMYFUNCTION("SUM(QUERY(Entregas_BD!D:L,""select L where D='""&amp;D411&amp;""'"",1))"),0.0)</f>
        <v>0</v>
      </c>
      <c r="T411" s="19">
        <f>IFERROR(__xludf.DUMMYFUNCTION("SUM(QUERY(Entregas_BD!D:AL,""select AG where D='""&amp;D411&amp;""'"",1))"),50.0)</f>
        <v>50</v>
      </c>
      <c r="U411" s="19">
        <f>IFERROR(__xludf.DUMMYFUNCTION("SUM(QUERY(Entregas_BD!D:AL,""select AH where D='""&amp;D411&amp;""'"",1))"),0.0)</f>
        <v>0</v>
      </c>
      <c r="V411" s="19">
        <f>IFERROR(__xludf.DUMMYFUNCTION("SUM(QUERY(Entregas_BD!D:AL,""select AI where D='""&amp;D411&amp;""'"",1))"),0.0)</f>
        <v>0</v>
      </c>
      <c r="W411" s="19">
        <f>IFERROR(__xludf.DUMMYFUNCTION("SUM(QUERY(Entregas_BD!D:AL,""select AJ where D='""&amp;D411&amp;""'"",1))"),0.0)</f>
        <v>0</v>
      </c>
      <c r="X411" s="19">
        <f>IFERROR(__xludf.DUMMYFUNCTION("SUM(QUERY(Entregas_BD!D:AL,""select AL where D='""&amp;D411&amp;""'"",1))"),20.0)</f>
        <v>20</v>
      </c>
      <c r="Y411" s="19">
        <f>IFERROR(__xludf.DUMMYFUNCTION("SUM(QUERY(Entregas_BD!D:AL,""select AK where D='""&amp;D411&amp;""'"",1))"),10.0)</f>
        <v>10</v>
      </c>
      <c r="Z411" s="19">
        <v>-50.0</v>
      </c>
      <c r="AA411" s="19">
        <v>0.0</v>
      </c>
      <c r="AB411" s="19">
        <v>0.0</v>
      </c>
      <c r="AC411" s="19">
        <v>0.0</v>
      </c>
      <c r="AD411" s="19">
        <v>-10.0</v>
      </c>
      <c r="AE411" s="19">
        <v>-20.0</v>
      </c>
      <c r="AF411" s="25"/>
      <c r="AG411" s="24">
        <f>IFERROR(__xludf.DUMMYFUNCTION("SUM(QUERY(Entregas_BD!D:W,""select U where D='""&amp;D411&amp;""'"",1))"),0.0)</f>
        <v>0</v>
      </c>
      <c r="AH411" s="24">
        <f>IFERROR(__xludf.DUMMYFUNCTION("SUM(QUERY(Entregas_BD!D:W,""select S where D='""&amp;D411&amp;""'"",1))"),0.0)</f>
        <v>0</v>
      </c>
      <c r="AI411" s="24">
        <f>IFERROR(__xludf.DUMMYFUNCTION("SUM(QUERY(Entregas_BD!D:W,""select T where D='""&amp;D411&amp;""'"",1))"),0.0)</f>
        <v>0</v>
      </c>
    </row>
    <row r="412" ht="19.5" customHeight="1">
      <c r="A412" s="71"/>
      <c r="B412" s="70"/>
      <c r="C412" s="9">
        <v>411.0</v>
      </c>
      <c r="D412" s="83" t="s">
        <v>931</v>
      </c>
      <c r="E412" s="10" t="s">
        <v>44</v>
      </c>
      <c r="F412" s="10" t="s">
        <v>45</v>
      </c>
      <c r="G412" s="10" t="s">
        <v>854</v>
      </c>
      <c r="H412" s="12" t="s">
        <v>849</v>
      </c>
      <c r="I412" s="11" t="s">
        <v>41</v>
      </c>
      <c r="J412" s="32"/>
      <c r="K412" s="12"/>
      <c r="L412" s="13"/>
      <c r="M412" s="32"/>
      <c r="N412" s="9">
        <f>IFERROR(__xludf.DUMMYFUNCTION("SUM(QUERY(Entregas_BD!D:L,""select G where D='""&amp;D412&amp;""'"",1))"),0.0)</f>
        <v>0</v>
      </c>
      <c r="O412" s="9">
        <f>IFERROR(__xludf.DUMMYFUNCTION("SUM(QUERY(Entregas_BD!D:L,""select H where D='""&amp;D412&amp;""'"",1))"),0.0)</f>
        <v>0</v>
      </c>
      <c r="P412" s="9">
        <f>IFERROR(__xludf.DUMMYFUNCTION("SUM(QUERY(Entregas_BD!D:L,""select I where D='""&amp;D412&amp;""'"",1))"),0.0)</f>
        <v>0</v>
      </c>
      <c r="Q412" s="9">
        <f>IFERROR(__xludf.DUMMYFUNCTION("SUM(QUERY(Entregas_BD!D:L,""select J where D='""&amp;D412&amp;""'"",1))"),0.0)</f>
        <v>0</v>
      </c>
      <c r="R412" s="15">
        <f>IFERROR(__xludf.DUMMYFUNCTION("SUM(QUERY(Entregas_BD!D:L,""select K where D='""&amp;D412&amp;""'"",1))"),0.0)</f>
        <v>0</v>
      </c>
      <c r="S412" s="15">
        <f>IFERROR(__xludf.DUMMYFUNCTION("SUM(QUERY(Entregas_BD!D:L,""select L where D='""&amp;D412&amp;""'"",1))"),0.0)</f>
        <v>0</v>
      </c>
      <c r="T412" s="9">
        <f>IFERROR(__xludf.DUMMYFUNCTION("SUM(QUERY(Entregas_BD!D:AL,""select AG where D='""&amp;D412&amp;""'"",1))"),50.0)</f>
        <v>50</v>
      </c>
      <c r="U412" s="9">
        <f>IFERROR(__xludf.DUMMYFUNCTION("SUM(QUERY(Entregas_BD!D:AL,""select AH where D='""&amp;D412&amp;""'"",1))"),0.0)</f>
        <v>0</v>
      </c>
      <c r="V412" s="9">
        <f>IFERROR(__xludf.DUMMYFUNCTION("SUM(QUERY(Entregas_BD!D:AL,""select AI where D='""&amp;D412&amp;""'"",1))"),0.0)</f>
        <v>0</v>
      </c>
      <c r="W412" s="9">
        <f>IFERROR(__xludf.DUMMYFUNCTION("SUM(QUERY(Entregas_BD!D:AL,""select AJ where D='""&amp;D412&amp;""'"",1))"),0.0)</f>
        <v>0</v>
      </c>
      <c r="X412" s="9">
        <f>IFERROR(__xludf.DUMMYFUNCTION("SUM(QUERY(Entregas_BD!D:AL,""select AL where D='""&amp;D412&amp;""'"",1))"),50.0)</f>
        <v>50</v>
      </c>
      <c r="Y412" s="9">
        <f>IFERROR(__xludf.DUMMYFUNCTION("SUM(QUERY(Entregas_BD!D:AL,""select AK where D='""&amp;D412&amp;""'"",1))"),10.0)</f>
        <v>10</v>
      </c>
      <c r="Z412" s="9">
        <v>-50.0</v>
      </c>
      <c r="AA412" s="9">
        <v>0.0</v>
      </c>
      <c r="AB412" s="9">
        <v>0.0</v>
      </c>
      <c r="AC412" s="9">
        <v>0.0</v>
      </c>
      <c r="AD412" s="9">
        <v>-10.0</v>
      </c>
      <c r="AE412" s="9">
        <v>-50.0</v>
      </c>
      <c r="AF412" s="32"/>
      <c r="AG412" s="15">
        <f>IFERROR(__xludf.DUMMYFUNCTION("SUM(QUERY(Entregas_BD!D:W,""select U where D='""&amp;D412&amp;""'"",1))"),0.0)</f>
        <v>0</v>
      </c>
      <c r="AH412" s="15">
        <f>IFERROR(__xludf.DUMMYFUNCTION("SUM(QUERY(Entregas_BD!D:W,""select S where D='""&amp;D412&amp;""'"",1))"),0.0)</f>
        <v>0</v>
      </c>
      <c r="AI412" s="15">
        <f>IFERROR(__xludf.DUMMYFUNCTION("SUM(QUERY(Entregas_BD!D:W,""select T where D='""&amp;D412&amp;""'"",1))"),0.0)</f>
        <v>0</v>
      </c>
    </row>
    <row r="413" ht="19.5" customHeight="1">
      <c r="A413" s="72"/>
      <c r="B413" s="69"/>
      <c r="C413" s="19">
        <v>412.0</v>
      </c>
      <c r="D413" s="85" t="s">
        <v>932</v>
      </c>
      <c r="E413" s="20" t="s">
        <v>58</v>
      </c>
      <c r="F413" s="20" t="s">
        <v>45</v>
      </c>
      <c r="G413" s="20" t="s">
        <v>82</v>
      </c>
      <c r="H413" s="22" t="s">
        <v>849</v>
      </c>
      <c r="I413" s="21" t="s">
        <v>41</v>
      </c>
      <c r="J413" s="25"/>
      <c r="K413" s="22"/>
      <c r="L413" s="23"/>
      <c r="M413" s="25"/>
      <c r="N413" s="19">
        <f>IFERROR(__xludf.DUMMYFUNCTION("SUM(QUERY(Entregas_BD!D:L,""select G where D='""&amp;D413&amp;""'"",1))"),0.0)</f>
        <v>0</v>
      </c>
      <c r="O413" s="19">
        <f>IFERROR(__xludf.DUMMYFUNCTION("SUM(QUERY(Entregas_BD!D:L,""select H where D='""&amp;D413&amp;""'"",1))"),0.0)</f>
        <v>0</v>
      </c>
      <c r="P413" s="19">
        <f>IFERROR(__xludf.DUMMYFUNCTION("SUM(QUERY(Entregas_BD!D:L,""select I where D='""&amp;D413&amp;""'"",1))"),0.0)</f>
        <v>0</v>
      </c>
      <c r="Q413" s="19">
        <f>IFERROR(__xludf.DUMMYFUNCTION("SUM(QUERY(Entregas_BD!D:L,""select J where D='""&amp;D413&amp;""'"",1))"),0.0)</f>
        <v>0</v>
      </c>
      <c r="R413" s="24">
        <f>IFERROR(__xludf.DUMMYFUNCTION("SUM(QUERY(Entregas_BD!D:L,""select K where D='""&amp;D413&amp;""'"",1))"),0.0)</f>
        <v>0</v>
      </c>
      <c r="S413" s="24">
        <f>IFERROR(__xludf.DUMMYFUNCTION("SUM(QUERY(Entregas_BD!D:L,""select L where D='""&amp;D413&amp;""'"",1))"),0.0)</f>
        <v>0</v>
      </c>
      <c r="T413" s="19">
        <f>IFERROR(__xludf.DUMMYFUNCTION("SUM(QUERY(Entregas_BD!D:AL,""select AG where D='""&amp;D413&amp;""'"",1))"),50.0)</f>
        <v>50</v>
      </c>
      <c r="U413" s="19">
        <f>IFERROR(__xludf.DUMMYFUNCTION("SUM(QUERY(Entregas_BD!D:AL,""select AH where D='""&amp;D413&amp;""'"",1))"),0.0)</f>
        <v>0</v>
      </c>
      <c r="V413" s="19">
        <f>IFERROR(__xludf.DUMMYFUNCTION("SUM(QUERY(Entregas_BD!D:AL,""select AI where D='""&amp;D413&amp;""'"",1))"),0.0)</f>
        <v>0</v>
      </c>
      <c r="W413" s="19">
        <f>IFERROR(__xludf.DUMMYFUNCTION("SUM(QUERY(Entregas_BD!D:AL,""select AJ where D='""&amp;D413&amp;""'"",1))"),0.0)</f>
        <v>0</v>
      </c>
      <c r="X413" s="19">
        <f>IFERROR(__xludf.DUMMYFUNCTION("SUM(QUERY(Entregas_BD!D:AL,""select AL where D='""&amp;D413&amp;""'"",1))"),25.0)</f>
        <v>25</v>
      </c>
      <c r="Y413" s="19">
        <f>IFERROR(__xludf.DUMMYFUNCTION("SUM(QUERY(Entregas_BD!D:AL,""select AK where D='""&amp;D413&amp;""'"",1))"),15.0)</f>
        <v>15</v>
      </c>
      <c r="Z413" s="19">
        <v>-50.0</v>
      </c>
      <c r="AA413" s="19">
        <v>0.0</v>
      </c>
      <c r="AB413" s="19">
        <v>0.0</v>
      </c>
      <c r="AC413" s="19">
        <v>0.0</v>
      </c>
      <c r="AD413" s="19">
        <v>-15.0</v>
      </c>
      <c r="AE413" s="19">
        <v>-25.0</v>
      </c>
      <c r="AF413" s="25"/>
      <c r="AG413" s="24">
        <f>IFERROR(__xludf.DUMMYFUNCTION("SUM(QUERY(Entregas_BD!D:W,""select U where D='""&amp;D413&amp;""'"",1))"),0.0)</f>
        <v>0</v>
      </c>
      <c r="AH413" s="24">
        <f>IFERROR(__xludf.DUMMYFUNCTION("SUM(QUERY(Entregas_BD!D:W,""select S where D='""&amp;D413&amp;""'"",1))"),0.0)</f>
        <v>0</v>
      </c>
      <c r="AI413" s="24">
        <f>IFERROR(__xludf.DUMMYFUNCTION("SUM(QUERY(Entregas_BD!D:W,""select T where D='""&amp;D413&amp;""'"",1))"),0.0)</f>
        <v>0</v>
      </c>
    </row>
    <row r="414" ht="19.5" customHeight="1">
      <c r="A414" s="71"/>
      <c r="B414" s="70"/>
      <c r="C414" s="9">
        <v>413.0</v>
      </c>
      <c r="D414" s="86" t="s">
        <v>933</v>
      </c>
      <c r="E414" s="10" t="s">
        <v>44</v>
      </c>
      <c r="F414" s="10" t="s">
        <v>45</v>
      </c>
      <c r="G414" s="10" t="s">
        <v>934</v>
      </c>
      <c r="H414" s="12" t="s">
        <v>593</v>
      </c>
      <c r="I414" s="11" t="s">
        <v>41</v>
      </c>
      <c r="J414" s="32"/>
      <c r="K414" s="12"/>
      <c r="L414" s="13"/>
      <c r="M414" s="32"/>
      <c r="N414" s="9">
        <f>IFERROR(__xludf.DUMMYFUNCTION("SUM(QUERY(Entregas_BD!D:L,""select G where D='""&amp;D414&amp;""'"",1))"),0.0)</f>
        <v>0</v>
      </c>
      <c r="O414" s="9">
        <f>IFERROR(__xludf.DUMMYFUNCTION("SUM(QUERY(Entregas_BD!D:L,""select H where D='""&amp;D414&amp;""'"",1))"),0.0)</f>
        <v>0</v>
      </c>
      <c r="P414" s="9">
        <f>IFERROR(__xludf.DUMMYFUNCTION("SUM(QUERY(Entregas_BD!D:L,""select I where D='""&amp;D414&amp;""'"",1))"),0.0)</f>
        <v>0</v>
      </c>
      <c r="Q414" s="9">
        <f>IFERROR(__xludf.DUMMYFUNCTION("SUM(QUERY(Entregas_BD!D:L,""select J where D='""&amp;D414&amp;""'"",1))"),0.0)</f>
        <v>0</v>
      </c>
      <c r="R414" s="15">
        <f>IFERROR(__xludf.DUMMYFUNCTION("SUM(QUERY(Entregas_BD!D:L,""select K where D='""&amp;D414&amp;""'"",1))"),0.0)</f>
        <v>0</v>
      </c>
      <c r="S414" s="15">
        <f>IFERROR(__xludf.DUMMYFUNCTION("SUM(QUERY(Entregas_BD!D:L,""select L where D='""&amp;D414&amp;""'"",1))"),0.0)</f>
        <v>0</v>
      </c>
      <c r="T414" s="9">
        <f>IFERROR(__xludf.DUMMYFUNCTION("SUM(QUERY(Entregas_BD!D:AL,""select AG where D='""&amp;D414&amp;""'"",1))"),50.0)</f>
        <v>50</v>
      </c>
      <c r="U414" s="9">
        <f>IFERROR(__xludf.DUMMYFUNCTION("SUM(QUERY(Entregas_BD!D:AL,""select AH where D='""&amp;D414&amp;""'"",1))"),0.0)</f>
        <v>0</v>
      </c>
      <c r="V414" s="9">
        <f>IFERROR(__xludf.DUMMYFUNCTION("SUM(QUERY(Entregas_BD!D:AL,""select AI where D='""&amp;D414&amp;""'"",1))"),0.0)</f>
        <v>0</v>
      </c>
      <c r="W414" s="9">
        <f>IFERROR(__xludf.DUMMYFUNCTION("SUM(QUERY(Entregas_BD!D:AL,""select AJ where D='""&amp;D414&amp;""'"",1))"),0.0)</f>
        <v>0</v>
      </c>
      <c r="X414" s="9">
        <f>IFERROR(__xludf.DUMMYFUNCTION("SUM(QUERY(Entregas_BD!D:AL,""select AL where D='""&amp;D414&amp;""'"",1))"),0.0)</f>
        <v>0</v>
      </c>
      <c r="Y414" s="9">
        <f>IFERROR(__xludf.DUMMYFUNCTION("SUM(QUERY(Entregas_BD!D:AL,""select AK where D='""&amp;D414&amp;""'"",1))"),10.0)</f>
        <v>10</v>
      </c>
      <c r="Z414" s="9">
        <v>-50.0</v>
      </c>
      <c r="AA414" s="9">
        <v>0.0</v>
      </c>
      <c r="AB414" s="9">
        <v>0.0</v>
      </c>
      <c r="AC414" s="9">
        <v>0.0</v>
      </c>
      <c r="AD414" s="9">
        <v>-10.0</v>
      </c>
      <c r="AE414" s="9">
        <v>0.0</v>
      </c>
      <c r="AF414" s="32"/>
      <c r="AG414" s="15">
        <f>IFERROR(__xludf.DUMMYFUNCTION("SUM(QUERY(Entregas_BD!D:W,""select U where D='""&amp;D414&amp;""'"",1))"),0.0)</f>
        <v>0</v>
      </c>
      <c r="AH414" s="15">
        <f>IFERROR(__xludf.DUMMYFUNCTION("SUM(QUERY(Entregas_BD!D:W,""select S where D='""&amp;D414&amp;""'"",1))"),0.0)</f>
        <v>0</v>
      </c>
      <c r="AI414" s="15">
        <f>IFERROR(__xludf.DUMMYFUNCTION("SUM(QUERY(Entregas_BD!D:W,""select T where D='""&amp;D414&amp;""'"",1))"),0.0)</f>
        <v>0</v>
      </c>
    </row>
    <row r="415" ht="19.5" customHeight="1">
      <c r="A415" s="72"/>
      <c r="B415" s="69"/>
      <c r="C415" s="19">
        <v>414.0</v>
      </c>
      <c r="D415" s="34" t="s">
        <v>935</v>
      </c>
      <c r="E415" s="20" t="s">
        <v>44</v>
      </c>
      <c r="F415" s="20" t="s">
        <v>45</v>
      </c>
      <c r="G415" s="20" t="s">
        <v>936</v>
      </c>
      <c r="H415" s="25" t="s">
        <v>845</v>
      </c>
      <c r="I415" s="21" t="s">
        <v>41</v>
      </c>
      <c r="J415" s="25"/>
      <c r="K415" s="22"/>
      <c r="L415" s="23"/>
      <c r="M415" s="25"/>
      <c r="N415" s="19">
        <f>IFERROR(__xludf.DUMMYFUNCTION("SUM(QUERY(Entregas_BD!D:L,""select G where D='""&amp;D415&amp;""'"",1))"),0.0)</f>
        <v>0</v>
      </c>
      <c r="O415" s="19">
        <f>IFERROR(__xludf.DUMMYFUNCTION("SUM(QUERY(Entregas_BD!D:L,""select H where D='""&amp;D415&amp;""'"",1))"),0.0)</f>
        <v>0</v>
      </c>
      <c r="P415" s="19">
        <f>IFERROR(__xludf.DUMMYFUNCTION("SUM(QUERY(Entregas_BD!D:L,""select I where D='""&amp;D415&amp;""'"",1))"),0.0)</f>
        <v>0</v>
      </c>
      <c r="Q415" s="19">
        <f>IFERROR(__xludf.DUMMYFUNCTION("SUM(QUERY(Entregas_BD!D:L,""select J where D='""&amp;D415&amp;""'"",1))"),0.0)</f>
        <v>0</v>
      </c>
      <c r="R415" s="24">
        <f>IFERROR(__xludf.DUMMYFUNCTION("SUM(QUERY(Entregas_BD!D:L,""select K where D='""&amp;D415&amp;""'"",1))"),0.0)</f>
        <v>0</v>
      </c>
      <c r="S415" s="24">
        <f>IFERROR(__xludf.DUMMYFUNCTION("SUM(QUERY(Entregas_BD!D:L,""select L where D='""&amp;D415&amp;""'"",1))"),0.0)</f>
        <v>0</v>
      </c>
      <c r="T415" s="19">
        <f>IFERROR(__xludf.DUMMYFUNCTION("SUM(QUERY(Entregas_BD!D:AL,""select AG where D='""&amp;D415&amp;""'"",1))"),2500.0)</f>
        <v>2500</v>
      </c>
      <c r="U415" s="19">
        <f>IFERROR(__xludf.DUMMYFUNCTION("SUM(QUERY(Entregas_BD!D:AL,""select AH where D='""&amp;D415&amp;""'"",1))"),0.0)</f>
        <v>0</v>
      </c>
      <c r="V415" s="19">
        <f>IFERROR(__xludf.DUMMYFUNCTION("SUM(QUERY(Entregas_BD!D:AL,""select AI where D='""&amp;D415&amp;""'"",1))"),0.0)</f>
        <v>0</v>
      </c>
      <c r="W415" s="19">
        <f>IFERROR(__xludf.DUMMYFUNCTION("SUM(QUERY(Entregas_BD!D:AL,""select AJ where D='""&amp;D415&amp;""'"",1))"),0.0)</f>
        <v>0</v>
      </c>
      <c r="X415" s="19">
        <f>IFERROR(__xludf.DUMMYFUNCTION("SUM(QUERY(Entregas_BD!D:AL,""select AL where D='""&amp;D415&amp;""'"",1))"),0.0)</f>
        <v>0</v>
      </c>
      <c r="Y415" s="19">
        <f>IFERROR(__xludf.DUMMYFUNCTION("SUM(QUERY(Entregas_BD!D:AL,""select AK where D='""&amp;D415&amp;""'"",1))"),0.0)</f>
        <v>0</v>
      </c>
      <c r="Z415" s="19">
        <v>-2500.0</v>
      </c>
      <c r="AA415" s="19">
        <v>0.0</v>
      </c>
      <c r="AB415" s="19">
        <v>0.0</v>
      </c>
      <c r="AC415" s="19">
        <v>0.0</v>
      </c>
      <c r="AD415" s="19">
        <v>0.0</v>
      </c>
      <c r="AE415" s="19">
        <v>0.0</v>
      </c>
      <c r="AF415" s="25"/>
      <c r="AG415" s="24">
        <f>IFERROR(__xludf.DUMMYFUNCTION("SUM(QUERY(Entregas_BD!D:W,""select U where D='""&amp;D415&amp;""'"",1))"),0.0)</f>
        <v>0</v>
      </c>
      <c r="AH415" s="24">
        <f>IFERROR(__xludf.DUMMYFUNCTION("SUM(QUERY(Entregas_BD!D:W,""select S where D='""&amp;D415&amp;""'"",1))"),0.0)</f>
        <v>0</v>
      </c>
      <c r="AI415" s="24">
        <f>IFERROR(__xludf.DUMMYFUNCTION("SUM(QUERY(Entregas_BD!D:W,""select T where D='""&amp;D415&amp;""'"",1))"),0.0)</f>
        <v>0</v>
      </c>
    </row>
    <row r="416" ht="19.5" customHeight="1">
      <c r="A416" s="71"/>
      <c r="B416" s="70"/>
      <c r="C416" s="9">
        <v>415.0</v>
      </c>
      <c r="D416" s="32" t="s">
        <v>937</v>
      </c>
      <c r="E416" s="10" t="s">
        <v>58</v>
      </c>
      <c r="F416" s="10" t="s">
        <v>45</v>
      </c>
      <c r="G416" s="10" t="s">
        <v>88</v>
      </c>
      <c r="H416" s="12" t="s">
        <v>622</v>
      </c>
      <c r="I416" s="11" t="s">
        <v>41</v>
      </c>
      <c r="J416" s="32"/>
      <c r="K416" s="12"/>
      <c r="L416" s="13"/>
      <c r="M416" s="32"/>
      <c r="N416" s="9">
        <f>IFERROR(__xludf.DUMMYFUNCTION("SUM(QUERY(Entregas_BD!D:L,""select G where D='""&amp;D416&amp;""'"",1))"),0.0)</f>
        <v>0</v>
      </c>
      <c r="O416" s="9">
        <f>IFERROR(__xludf.DUMMYFUNCTION("SUM(QUERY(Entregas_BD!D:L,""select H where D='""&amp;D416&amp;""'"",1))"),0.0)</f>
        <v>0</v>
      </c>
      <c r="P416" s="9">
        <f>IFERROR(__xludf.DUMMYFUNCTION("SUM(QUERY(Entregas_BD!D:L,""select I where D='""&amp;D416&amp;""'"",1))"),0.0)</f>
        <v>0</v>
      </c>
      <c r="Q416" s="9">
        <f>IFERROR(__xludf.DUMMYFUNCTION("SUM(QUERY(Entregas_BD!D:L,""select J where D='""&amp;D416&amp;""'"",1))"),0.0)</f>
        <v>0</v>
      </c>
      <c r="R416" s="15">
        <f>IFERROR(__xludf.DUMMYFUNCTION("SUM(QUERY(Entregas_BD!D:L,""select K where D='""&amp;D416&amp;""'"",1))"),0.0)</f>
        <v>0</v>
      </c>
      <c r="S416" s="15">
        <f>IFERROR(__xludf.DUMMYFUNCTION("SUM(QUERY(Entregas_BD!D:L,""select L where D='""&amp;D416&amp;""'"",1))"),0.0)</f>
        <v>0</v>
      </c>
      <c r="T416" s="9">
        <f>IFERROR(__xludf.DUMMYFUNCTION("SUM(QUERY(Entregas_BD!D:AL,""select AG where D='""&amp;D416&amp;""'"",1))"),50.0)</f>
        <v>50</v>
      </c>
      <c r="U416" s="9">
        <f>IFERROR(__xludf.DUMMYFUNCTION("SUM(QUERY(Entregas_BD!D:AL,""select AH where D='""&amp;D416&amp;""'"",1))"),0.0)</f>
        <v>0</v>
      </c>
      <c r="V416" s="9">
        <f>IFERROR(__xludf.DUMMYFUNCTION("SUM(QUERY(Entregas_BD!D:AL,""select AI where D='""&amp;D416&amp;""'"",1))"),0.0)</f>
        <v>0</v>
      </c>
      <c r="W416" s="9">
        <f>IFERROR(__xludf.DUMMYFUNCTION("SUM(QUERY(Entregas_BD!D:AL,""select AJ where D='""&amp;D416&amp;""'"",1))"),0.0)</f>
        <v>0</v>
      </c>
      <c r="X416" s="9">
        <f>IFERROR(__xludf.DUMMYFUNCTION("SUM(QUERY(Entregas_BD!D:AL,""select AL where D='""&amp;D416&amp;""'"",1))"),0.0)</f>
        <v>0</v>
      </c>
      <c r="Y416" s="9">
        <f>IFERROR(__xludf.DUMMYFUNCTION("SUM(QUERY(Entregas_BD!D:AL,""select AK where D='""&amp;D416&amp;""'"",1))"),0.0)</f>
        <v>0</v>
      </c>
      <c r="Z416" s="9">
        <v>-50.0</v>
      </c>
      <c r="AA416" s="9">
        <v>0.0</v>
      </c>
      <c r="AB416" s="9">
        <v>0.0</v>
      </c>
      <c r="AC416" s="9">
        <v>0.0</v>
      </c>
      <c r="AD416" s="9">
        <v>0.0</v>
      </c>
      <c r="AE416" s="9">
        <v>0.0</v>
      </c>
      <c r="AF416" s="32"/>
      <c r="AG416" s="15">
        <f>IFERROR(__xludf.DUMMYFUNCTION("SUM(QUERY(Entregas_BD!D:W,""select U where D='""&amp;D416&amp;""'"",1))"),0.0)</f>
        <v>0</v>
      </c>
      <c r="AH416" s="15">
        <f>IFERROR(__xludf.DUMMYFUNCTION("SUM(QUERY(Entregas_BD!D:W,""select S where D='""&amp;D416&amp;""'"",1))"),0.0)</f>
        <v>0</v>
      </c>
      <c r="AI416" s="15">
        <f>IFERROR(__xludf.DUMMYFUNCTION("SUM(QUERY(Entregas_BD!D:W,""select T where D='""&amp;D416&amp;""'"",1))"),0.0)</f>
        <v>0</v>
      </c>
    </row>
    <row r="417" ht="19.5" customHeight="1">
      <c r="A417" s="72"/>
      <c r="B417" s="69"/>
      <c r="C417" s="19">
        <v>416.0</v>
      </c>
      <c r="D417" s="87" t="s">
        <v>938</v>
      </c>
      <c r="E417" s="20" t="s">
        <v>44</v>
      </c>
      <c r="F417" s="20" t="s">
        <v>45</v>
      </c>
      <c r="G417" s="20" t="s">
        <v>362</v>
      </c>
      <c r="H417" s="22" t="s">
        <v>622</v>
      </c>
      <c r="I417" s="21" t="s">
        <v>41</v>
      </c>
      <c r="J417" s="25"/>
      <c r="K417" s="22"/>
      <c r="L417" s="23"/>
      <c r="M417" s="25"/>
      <c r="N417" s="19">
        <f>IFERROR(__xludf.DUMMYFUNCTION("SUM(QUERY(Entregas_BD!D:L,""select G where D='""&amp;D417&amp;""'"",1))"),0.0)</f>
        <v>0</v>
      </c>
      <c r="O417" s="19">
        <f>IFERROR(__xludf.DUMMYFUNCTION("SUM(QUERY(Entregas_BD!D:L,""select H where D='""&amp;D417&amp;""'"",1))"),0.0)</f>
        <v>0</v>
      </c>
      <c r="P417" s="19">
        <f>IFERROR(__xludf.DUMMYFUNCTION("SUM(QUERY(Entregas_BD!D:L,""select I where D='""&amp;D417&amp;""'"",1))"),0.0)</f>
        <v>0</v>
      </c>
      <c r="Q417" s="19">
        <f>IFERROR(__xludf.DUMMYFUNCTION("SUM(QUERY(Entregas_BD!D:L,""select J where D='""&amp;D417&amp;""'"",1))"),0.0)</f>
        <v>0</v>
      </c>
      <c r="R417" s="24">
        <f>IFERROR(__xludf.DUMMYFUNCTION("SUM(QUERY(Entregas_BD!D:L,""select K where D='""&amp;D417&amp;""'"",1))"),0.0)</f>
        <v>0</v>
      </c>
      <c r="S417" s="24">
        <f>IFERROR(__xludf.DUMMYFUNCTION("SUM(QUERY(Entregas_BD!D:L,""select L where D='""&amp;D417&amp;""'"",1))"),0.0)</f>
        <v>0</v>
      </c>
      <c r="T417" s="19">
        <f>IFERROR(__xludf.DUMMYFUNCTION("SUM(QUERY(Entregas_BD!D:AL,""select AG where D='""&amp;D417&amp;""'"",1))"),0.0)</f>
        <v>0</v>
      </c>
      <c r="U417" s="19">
        <f>IFERROR(__xludf.DUMMYFUNCTION("SUM(QUERY(Entregas_BD!D:AL,""select AH where D='""&amp;D417&amp;""'"",1))"),0.0)</f>
        <v>0</v>
      </c>
      <c r="V417" s="19">
        <f>IFERROR(__xludf.DUMMYFUNCTION("SUM(QUERY(Entregas_BD!D:AL,""select AI where D='""&amp;D417&amp;""'"",1))"),0.0)</f>
        <v>0</v>
      </c>
      <c r="W417" s="19">
        <f>IFERROR(__xludf.DUMMYFUNCTION("SUM(QUERY(Entregas_BD!D:AL,""select AJ where D='""&amp;D417&amp;""'"",1))"),0.0)</f>
        <v>0</v>
      </c>
      <c r="X417" s="19">
        <f>IFERROR(__xludf.DUMMYFUNCTION("SUM(QUERY(Entregas_BD!D:AL,""select AL where D='""&amp;D417&amp;""'"",1))"),25.0)</f>
        <v>25</v>
      </c>
      <c r="Y417" s="19">
        <f>IFERROR(__xludf.DUMMYFUNCTION("SUM(QUERY(Entregas_BD!D:AL,""select AK where D='""&amp;D417&amp;""'"",1))"),5.0)</f>
        <v>5</v>
      </c>
      <c r="Z417" s="19">
        <v>0.0</v>
      </c>
      <c r="AA417" s="19">
        <v>0.0</v>
      </c>
      <c r="AB417" s="19">
        <v>0.0</v>
      </c>
      <c r="AC417" s="19">
        <v>0.0</v>
      </c>
      <c r="AD417" s="19">
        <v>-5.0</v>
      </c>
      <c r="AE417" s="19">
        <v>-25.0</v>
      </c>
      <c r="AF417" s="25"/>
      <c r="AG417" s="24">
        <f>IFERROR(__xludf.DUMMYFUNCTION("SUM(QUERY(Entregas_BD!D:W,""select U where D='""&amp;D417&amp;""'"",1))"),0.0)</f>
        <v>0</v>
      </c>
      <c r="AH417" s="24">
        <f>IFERROR(__xludf.DUMMYFUNCTION("SUM(QUERY(Entregas_BD!D:W,""select S where D='""&amp;D417&amp;""'"",1))"),0.0)</f>
        <v>0</v>
      </c>
      <c r="AI417" s="24">
        <f>IFERROR(__xludf.DUMMYFUNCTION("SUM(QUERY(Entregas_BD!D:W,""select T where D='""&amp;D417&amp;""'"",1))"),0.0)</f>
        <v>0</v>
      </c>
    </row>
    <row r="418" ht="19.5" customHeight="1">
      <c r="A418" s="71"/>
      <c r="B418" s="70"/>
      <c r="C418" s="9">
        <v>417.0</v>
      </c>
      <c r="D418" s="86" t="s">
        <v>939</v>
      </c>
      <c r="E418" s="10" t="s">
        <v>63</v>
      </c>
      <c r="F418" s="10" t="s">
        <v>185</v>
      </c>
      <c r="G418" s="10" t="s">
        <v>940</v>
      </c>
      <c r="H418" s="12" t="s">
        <v>622</v>
      </c>
      <c r="I418" s="11" t="s">
        <v>41</v>
      </c>
      <c r="J418" s="32"/>
      <c r="K418" s="12"/>
      <c r="L418" s="13"/>
      <c r="M418" s="32"/>
      <c r="N418" s="9">
        <f>IFERROR(__xludf.DUMMYFUNCTION("SUM(QUERY(Entregas_BD!D:L,""select G where D='""&amp;D418&amp;""'"",1))"),0.0)</f>
        <v>0</v>
      </c>
      <c r="O418" s="9">
        <f>IFERROR(__xludf.DUMMYFUNCTION("SUM(QUERY(Entregas_BD!D:L,""select H where D='""&amp;D418&amp;""'"",1))"),0.0)</f>
        <v>0</v>
      </c>
      <c r="P418" s="9">
        <f>IFERROR(__xludf.DUMMYFUNCTION("SUM(QUERY(Entregas_BD!D:L,""select I where D='""&amp;D418&amp;""'"",1))"),0.0)</f>
        <v>0</v>
      </c>
      <c r="Q418" s="9">
        <f>IFERROR(__xludf.DUMMYFUNCTION("SUM(QUERY(Entregas_BD!D:L,""select J where D='""&amp;D418&amp;""'"",1))"),0.0)</f>
        <v>0</v>
      </c>
      <c r="R418" s="15">
        <f>IFERROR(__xludf.DUMMYFUNCTION("SUM(QUERY(Entregas_BD!D:L,""select K where D='""&amp;D418&amp;""'"",1))"),0.0)</f>
        <v>0</v>
      </c>
      <c r="S418" s="15">
        <f>IFERROR(__xludf.DUMMYFUNCTION("SUM(QUERY(Entregas_BD!D:L,""select L where D='""&amp;D418&amp;""'"",1))"),0.0)</f>
        <v>0</v>
      </c>
      <c r="T418" s="9">
        <f>IFERROR(__xludf.DUMMYFUNCTION("SUM(QUERY(Entregas_BD!D:AL,""select AG where D='""&amp;D418&amp;""'"",1))"),0.0)</f>
        <v>0</v>
      </c>
      <c r="U418" s="9">
        <f>IFERROR(__xludf.DUMMYFUNCTION("SUM(QUERY(Entregas_BD!D:AL,""select AH where D='""&amp;D418&amp;""'"",1))"),0.0)</f>
        <v>0</v>
      </c>
      <c r="V418" s="9">
        <f>IFERROR(__xludf.DUMMYFUNCTION("SUM(QUERY(Entregas_BD!D:AL,""select AI where D='""&amp;D418&amp;""'"",1))"),0.0)</f>
        <v>0</v>
      </c>
      <c r="W418" s="9">
        <f>IFERROR(__xludf.DUMMYFUNCTION("SUM(QUERY(Entregas_BD!D:AL,""select AJ where D='""&amp;D418&amp;""'"",1))"),0.0)</f>
        <v>0</v>
      </c>
      <c r="X418" s="9">
        <f>IFERROR(__xludf.DUMMYFUNCTION("SUM(QUERY(Entregas_BD!D:AL,""select AL where D='""&amp;D418&amp;""'"",1))"),0.0)</f>
        <v>0</v>
      </c>
      <c r="Y418" s="9">
        <f>IFERROR(__xludf.DUMMYFUNCTION("SUM(QUERY(Entregas_BD!D:AL,""select AK where D='""&amp;D418&amp;""'"",1))"),25.0)</f>
        <v>25</v>
      </c>
      <c r="Z418" s="9">
        <v>0.0</v>
      </c>
      <c r="AA418" s="9">
        <v>0.0</v>
      </c>
      <c r="AB418" s="9">
        <v>0.0</v>
      </c>
      <c r="AC418" s="9">
        <v>0.0</v>
      </c>
      <c r="AD418" s="9">
        <v>-25.0</v>
      </c>
      <c r="AE418" s="9">
        <v>0.0</v>
      </c>
      <c r="AF418" s="32"/>
      <c r="AG418" s="15">
        <f>IFERROR(__xludf.DUMMYFUNCTION("SUM(QUERY(Entregas_BD!D:W,""select U where D='""&amp;D418&amp;""'"",1))"),0.0)</f>
        <v>0</v>
      </c>
      <c r="AH418" s="15">
        <f>IFERROR(__xludf.DUMMYFUNCTION("SUM(QUERY(Entregas_BD!D:W,""select S where D='""&amp;D418&amp;""'"",1))"),0.0)</f>
        <v>0</v>
      </c>
      <c r="AI418" s="15">
        <f>IFERROR(__xludf.DUMMYFUNCTION("SUM(QUERY(Entregas_BD!D:W,""select T where D='""&amp;D418&amp;""'"",1))"),0.0)</f>
        <v>0</v>
      </c>
    </row>
    <row r="419" ht="19.5" customHeight="1">
      <c r="A419" s="72"/>
      <c r="B419" s="69"/>
      <c r="C419" s="19">
        <v>418.0</v>
      </c>
      <c r="D419" s="87" t="s">
        <v>941</v>
      </c>
      <c r="E419" s="20" t="s">
        <v>63</v>
      </c>
      <c r="F419" s="20" t="s">
        <v>888</v>
      </c>
      <c r="G419" s="20" t="s">
        <v>889</v>
      </c>
      <c r="H419" s="22" t="s">
        <v>622</v>
      </c>
      <c r="I419" s="21" t="s">
        <v>41</v>
      </c>
      <c r="J419" s="25"/>
      <c r="K419" s="22"/>
      <c r="L419" s="23"/>
      <c r="M419" s="25"/>
      <c r="N419" s="19">
        <f>IFERROR(__xludf.DUMMYFUNCTION("SUM(QUERY(Entregas_BD!D:L,""select G where D='""&amp;D419&amp;""'"",1))"),0.0)</f>
        <v>0</v>
      </c>
      <c r="O419" s="19">
        <f>IFERROR(__xludf.DUMMYFUNCTION("SUM(QUERY(Entregas_BD!D:L,""select H where D='""&amp;D419&amp;""'"",1))"),0.0)</f>
        <v>0</v>
      </c>
      <c r="P419" s="19">
        <f>IFERROR(__xludf.DUMMYFUNCTION("SUM(QUERY(Entregas_BD!D:L,""select I where D='""&amp;D419&amp;""'"",1))"),0.0)</f>
        <v>0</v>
      </c>
      <c r="Q419" s="19">
        <f>IFERROR(__xludf.DUMMYFUNCTION("SUM(QUERY(Entregas_BD!D:L,""select J where D='""&amp;D419&amp;""'"",1))"),0.0)</f>
        <v>0</v>
      </c>
      <c r="R419" s="24">
        <f>IFERROR(__xludf.DUMMYFUNCTION("SUM(QUERY(Entregas_BD!D:L,""select K where D='""&amp;D419&amp;""'"",1))"),0.0)</f>
        <v>0</v>
      </c>
      <c r="S419" s="24">
        <f>IFERROR(__xludf.DUMMYFUNCTION("SUM(QUERY(Entregas_BD!D:L,""select L where D='""&amp;D419&amp;""'"",1))"),0.0)</f>
        <v>0</v>
      </c>
      <c r="T419" s="19">
        <f>IFERROR(__xludf.DUMMYFUNCTION("SUM(QUERY(Entregas_BD!D:AL,""select AG where D='""&amp;D419&amp;""'"",1))"),0.0)</f>
        <v>0</v>
      </c>
      <c r="U419" s="19">
        <f>IFERROR(__xludf.DUMMYFUNCTION("SUM(QUERY(Entregas_BD!D:AL,""select AH where D='""&amp;D419&amp;""'"",1))"),0.0)</f>
        <v>0</v>
      </c>
      <c r="V419" s="19">
        <f>IFERROR(__xludf.DUMMYFUNCTION("SUM(QUERY(Entregas_BD!D:AL,""select AI where D='""&amp;D419&amp;""'"",1))"),0.0)</f>
        <v>0</v>
      </c>
      <c r="W419" s="19">
        <f>IFERROR(__xludf.DUMMYFUNCTION("SUM(QUERY(Entregas_BD!D:AL,""select AJ where D='""&amp;D419&amp;""'"",1))"),0.0)</f>
        <v>0</v>
      </c>
      <c r="X419" s="19">
        <f>IFERROR(__xludf.DUMMYFUNCTION("SUM(QUERY(Entregas_BD!D:AL,""select AL where D='""&amp;D419&amp;""'"",1))"),0.0)</f>
        <v>0</v>
      </c>
      <c r="Y419" s="19">
        <f>IFERROR(__xludf.DUMMYFUNCTION("SUM(QUERY(Entregas_BD!D:AL,""select AK where D='""&amp;D419&amp;""'"",1))"),25.0)</f>
        <v>25</v>
      </c>
      <c r="Z419" s="19">
        <v>0.0</v>
      </c>
      <c r="AA419" s="19">
        <v>0.0</v>
      </c>
      <c r="AB419" s="19">
        <v>0.0</v>
      </c>
      <c r="AC419" s="19">
        <v>0.0</v>
      </c>
      <c r="AD419" s="19">
        <v>-25.0</v>
      </c>
      <c r="AE419" s="19">
        <v>0.0</v>
      </c>
      <c r="AF419" s="25"/>
      <c r="AG419" s="24">
        <f>IFERROR(__xludf.DUMMYFUNCTION("SUM(QUERY(Entregas_BD!D:W,""select U where D='""&amp;D419&amp;""'"",1))"),0.0)</f>
        <v>0</v>
      </c>
      <c r="AH419" s="24">
        <f>IFERROR(__xludf.DUMMYFUNCTION("SUM(QUERY(Entregas_BD!D:W,""select S where D='""&amp;D419&amp;""'"",1))"),0.0)</f>
        <v>0</v>
      </c>
      <c r="AI419" s="24">
        <f>IFERROR(__xludf.DUMMYFUNCTION("SUM(QUERY(Entregas_BD!D:W,""select T where D='""&amp;D419&amp;""'"",1))"),0.0)</f>
        <v>0</v>
      </c>
    </row>
    <row r="420" ht="19.5" customHeight="1">
      <c r="A420" s="71"/>
      <c r="B420" s="70"/>
      <c r="C420" s="9">
        <v>419.0</v>
      </c>
      <c r="D420" s="86" t="s">
        <v>942</v>
      </c>
      <c r="E420" s="10" t="s">
        <v>72</v>
      </c>
      <c r="F420" s="10" t="s">
        <v>45</v>
      </c>
      <c r="G420" s="10" t="s">
        <v>943</v>
      </c>
      <c r="H420" s="12" t="s">
        <v>849</v>
      </c>
      <c r="I420" s="11" t="s">
        <v>41</v>
      </c>
      <c r="J420" s="32"/>
      <c r="K420" s="12"/>
      <c r="L420" s="13"/>
      <c r="M420" s="32"/>
      <c r="N420" s="9">
        <f>IFERROR(__xludf.DUMMYFUNCTION("SUM(QUERY(Entregas_BD!D:L,""select G where D='""&amp;D420&amp;""'"",1))"),0.0)</f>
        <v>0</v>
      </c>
      <c r="O420" s="9">
        <f>IFERROR(__xludf.DUMMYFUNCTION("SUM(QUERY(Entregas_BD!D:L,""select H where D='""&amp;D420&amp;""'"",1))"),0.0)</f>
        <v>0</v>
      </c>
      <c r="P420" s="9">
        <f>IFERROR(__xludf.DUMMYFUNCTION("SUM(QUERY(Entregas_BD!D:L,""select I where D='""&amp;D420&amp;""'"",1))"),0.0)</f>
        <v>0</v>
      </c>
      <c r="Q420" s="9">
        <f>IFERROR(__xludf.DUMMYFUNCTION("SUM(QUERY(Entregas_BD!D:L,""select J where D='""&amp;D420&amp;""'"",1))"),0.0)</f>
        <v>0</v>
      </c>
      <c r="R420" s="15">
        <f>IFERROR(__xludf.DUMMYFUNCTION("SUM(QUERY(Entregas_BD!D:L,""select K where D='""&amp;D420&amp;""'"",1))"),0.0)</f>
        <v>0</v>
      </c>
      <c r="S420" s="15">
        <f>IFERROR(__xludf.DUMMYFUNCTION("SUM(QUERY(Entregas_BD!D:L,""select L where D='""&amp;D420&amp;""'"",1))"),0.0)</f>
        <v>0</v>
      </c>
      <c r="T420" s="9">
        <f>IFERROR(__xludf.DUMMYFUNCTION("SUM(QUERY(Entregas_BD!D:AL,""select AG where D='""&amp;D420&amp;""'"",1))"),0.0)</f>
        <v>0</v>
      </c>
      <c r="U420" s="9">
        <f>IFERROR(__xludf.DUMMYFUNCTION("SUM(QUERY(Entregas_BD!D:AL,""select AH where D='""&amp;D420&amp;""'"",1))"),0.0)</f>
        <v>0</v>
      </c>
      <c r="V420" s="9">
        <f>IFERROR(__xludf.DUMMYFUNCTION("SUM(QUERY(Entregas_BD!D:AL,""select AI where D='""&amp;D420&amp;""'"",1))"),0.0)</f>
        <v>0</v>
      </c>
      <c r="W420" s="9">
        <f>IFERROR(__xludf.DUMMYFUNCTION("SUM(QUERY(Entregas_BD!D:AL,""select AJ where D='""&amp;D420&amp;""'"",1))"),0.0)</f>
        <v>0</v>
      </c>
      <c r="X420" s="9">
        <f>IFERROR(__xludf.DUMMYFUNCTION("SUM(QUERY(Entregas_BD!D:AL,""select AL where D='""&amp;D420&amp;""'"",1))"),10.0)</f>
        <v>10</v>
      </c>
      <c r="Y420" s="9">
        <f>IFERROR(__xludf.DUMMYFUNCTION("SUM(QUERY(Entregas_BD!D:AL,""select AK where D='""&amp;D420&amp;""'"",1))"),20.0)</f>
        <v>20</v>
      </c>
      <c r="Z420" s="9">
        <v>0.0</v>
      </c>
      <c r="AA420" s="9">
        <v>0.0</v>
      </c>
      <c r="AB420" s="9">
        <v>0.0</v>
      </c>
      <c r="AC420" s="9">
        <v>0.0</v>
      </c>
      <c r="AD420" s="9">
        <v>-20.0</v>
      </c>
      <c r="AE420" s="9">
        <v>-10.0</v>
      </c>
      <c r="AF420" s="32"/>
      <c r="AG420" s="15">
        <f>IFERROR(__xludf.DUMMYFUNCTION("SUM(QUERY(Entregas_BD!D:W,""select U where D='""&amp;D420&amp;""'"",1))"),0.0)</f>
        <v>0</v>
      </c>
      <c r="AH420" s="15">
        <f>IFERROR(__xludf.DUMMYFUNCTION("SUM(QUERY(Entregas_BD!D:W,""select S where D='""&amp;D420&amp;""'"",1))"),0.0)</f>
        <v>0</v>
      </c>
      <c r="AI420" s="15">
        <f>IFERROR(__xludf.DUMMYFUNCTION("SUM(QUERY(Entregas_BD!D:W,""select T where D='""&amp;D420&amp;""'"",1))"),0.0)</f>
        <v>0</v>
      </c>
    </row>
    <row r="421" ht="19.5" customHeight="1">
      <c r="A421" s="72"/>
      <c r="B421" s="69"/>
      <c r="C421" s="19">
        <v>420.0</v>
      </c>
      <c r="D421" s="87" t="s">
        <v>944</v>
      </c>
      <c r="E421" s="20" t="s">
        <v>58</v>
      </c>
      <c r="F421" s="20" t="s">
        <v>45</v>
      </c>
      <c r="G421" s="20" t="s">
        <v>945</v>
      </c>
      <c r="H421" s="22" t="s">
        <v>622</v>
      </c>
      <c r="I421" s="21" t="s">
        <v>41</v>
      </c>
      <c r="J421" s="25"/>
      <c r="K421" s="22"/>
      <c r="L421" s="23"/>
      <c r="M421" s="25"/>
      <c r="N421" s="19">
        <f>IFERROR(__xludf.DUMMYFUNCTION("SUM(QUERY(Entregas_BD!D:L,""select G where D='""&amp;D421&amp;""'"",1))"),0.0)</f>
        <v>0</v>
      </c>
      <c r="O421" s="19">
        <f>IFERROR(__xludf.DUMMYFUNCTION("SUM(QUERY(Entregas_BD!D:L,""select H where D='""&amp;D421&amp;""'"",1))"),0.0)</f>
        <v>0</v>
      </c>
      <c r="P421" s="19">
        <f>IFERROR(__xludf.DUMMYFUNCTION("SUM(QUERY(Entregas_BD!D:L,""select I where D='""&amp;D421&amp;""'"",1))"),0.0)</f>
        <v>0</v>
      </c>
      <c r="Q421" s="19">
        <f>IFERROR(__xludf.DUMMYFUNCTION("SUM(QUERY(Entregas_BD!D:L,""select J where D='""&amp;D421&amp;""'"",1))"),0.0)</f>
        <v>0</v>
      </c>
      <c r="R421" s="24">
        <f>IFERROR(__xludf.DUMMYFUNCTION("SUM(QUERY(Entregas_BD!D:L,""select K where D='""&amp;D421&amp;""'"",1))"),0.0)</f>
        <v>0</v>
      </c>
      <c r="S421" s="24">
        <f>IFERROR(__xludf.DUMMYFUNCTION("SUM(QUERY(Entregas_BD!D:L,""select L where D='""&amp;D421&amp;""'"",1))"),0.0)</f>
        <v>0</v>
      </c>
      <c r="T421" s="19">
        <f>IFERROR(__xludf.DUMMYFUNCTION("SUM(QUERY(Entregas_BD!D:AL,""select AG where D='""&amp;D421&amp;""'"",1))"),0.0)</f>
        <v>0</v>
      </c>
      <c r="U421" s="19">
        <f>IFERROR(__xludf.DUMMYFUNCTION("SUM(QUERY(Entregas_BD!D:AL,""select AH where D='""&amp;D421&amp;""'"",1))"),0.0)</f>
        <v>0</v>
      </c>
      <c r="V421" s="19">
        <f>IFERROR(__xludf.DUMMYFUNCTION("SUM(QUERY(Entregas_BD!D:AL,""select AI where D='""&amp;D421&amp;""'"",1))"),0.0)</f>
        <v>0</v>
      </c>
      <c r="W421" s="19">
        <f>IFERROR(__xludf.DUMMYFUNCTION("SUM(QUERY(Entregas_BD!D:AL,""select AJ where D='""&amp;D421&amp;""'"",1))"),0.0)</f>
        <v>0</v>
      </c>
      <c r="X421" s="19">
        <f>IFERROR(__xludf.DUMMYFUNCTION("SUM(QUERY(Entregas_BD!D:AL,""select AL where D='""&amp;D421&amp;""'"",1))"),20.0)</f>
        <v>20</v>
      </c>
      <c r="Y421" s="19">
        <f>IFERROR(__xludf.DUMMYFUNCTION("SUM(QUERY(Entregas_BD!D:AL,""select AK where D='""&amp;D421&amp;""'"",1))"),12.5)</f>
        <v>12.5</v>
      </c>
      <c r="Z421" s="19">
        <v>0.0</v>
      </c>
      <c r="AA421" s="19">
        <v>0.0</v>
      </c>
      <c r="AB421" s="19">
        <v>0.0</v>
      </c>
      <c r="AC421" s="19">
        <v>0.0</v>
      </c>
      <c r="AD421" s="19">
        <v>-12.5</v>
      </c>
      <c r="AE421" s="19">
        <v>-20.0</v>
      </c>
      <c r="AF421" s="25"/>
      <c r="AG421" s="24">
        <f>IFERROR(__xludf.DUMMYFUNCTION("SUM(QUERY(Entregas_BD!D:W,""select U where D='""&amp;D421&amp;""'"",1))"),0.0)</f>
        <v>0</v>
      </c>
      <c r="AH421" s="24">
        <f>IFERROR(__xludf.DUMMYFUNCTION("SUM(QUERY(Entregas_BD!D:W,""select S where D='""&amp;D421&amp;""'"",1))"),0.0)</f>
        <v>0</v>
      </c>
      <c r="AI421" s="24">
        <f>IFERROR(__xludf.DUMMYFUNCTION("SUM(QUERY(Entregas_BD!D:W,""select T where D='""&amp;D421&amp;""'"",1))"),0.0)</f>
        <v>0</v>
      </c>
    </row>
    <row r="422" ht="19.5" customHeight="1">
      <c r="A422" s="71"/>
      <c r="B422" s="70"/>
      <c r="C422" s="9">
        <v>421.0</v>
      </c>
      <c r="D422" s="52" t="s">
        <v>946</v>
      </c>
      <c r="E422" s="88" t="s">
        <v>44</v>
      </c>
      <c r="F422" s="10" t="s">
        <v>45</v>
      </c>
      <c r="G422" s="10" t="s">
        <v>903</v>
      </c>
      <c r="H422" s="32" t="s">
        <v>770</v>
      </c>
      <c r="I422" s="11" t="s">
        <v>41</v>
      </c>
      <c r="J422" s="32"/>
      <c r="K422" s="12"/>
      <c r="L422" s="13"/>
      <c r="M422" s="32"/>
      <c r="N422" s="9">
        <f>IFERROR(__xludf.DUMMYFUNCTION("SUM(QUERY(Entregas_BD!D:L,""select G where D='""&amp;D422&amp;""'"",1))"),0.0)</f>
        <v>0</v>
      </c>
      <c r="O422" s="9">
        <f>IFERROR(__xludf.DUMMYFUNCTION("SUM(QUERY(Entregas_BD!D:L,""select H where D='""&amp;D422&amp;""'"",1))"),0.0)</f>
        <v>0</v>
      </c>
      <c r="P422" s="9">
        <f>IFERROR(__xludf.DUMMYFUNCTION("SUM(QUERY(Entregas_BD!D:L,""select I where D='""&amp;D422&amp;""'"",1))"),0.0)</f>
        <v>0</v>
      </c>
      <c r="Q422" s="9">
        <f>IFERROR(__xludf.DUMMYFUNCTION("SUM(QUERY(Entregas_BD!D:L,""select J where D='""&amp;D422&amp;""'"",1))"),0.0)</f>
        <v>0</v>
      </c>
      <c r="R422" s="15">
        <f>IFERROR(__xludf.DUMMYFUNCTION("SUM(QUERY(Entregas_BD!D:L,""select K where D='""&amp;D422&amp;""'"",1))"),0.0)</f>
        <v>0</v>
      </c>
      <c r="S422" s="15">
        <f>IFERROR(__xludf.DUMMYFUNCTION("SUM(QUERY(Entregas_BD!D:L,""select L where D='""&amp;D422&amp;""'"",1))"),0.0)</f>
        <v>0</v>
      </c>
      <c r="T422" s="9">
        <f>IFERROR(__xludf.DUMMYFUNCTION("SUM(QUERY(Entregas_BD!D:AL,""select AG where D='""&amp;D422&amp;""'"",1))"),13.0)</f>
        <v>13</v>
      </c>
      <c r="U422" s="9">
        <f>IFERROR(__xludf.DUMMYFUNCTION("SUM(QUERY(Entregas_BD!D:AL,""select AH where D='""&amp;D422&amp;""'"",1))"),0.0)</f>
        <v>0</v>
      </c>
      <c r="V422" s="9">
        <f>IFERROR(__xludf.DUMMYFUNCTION("SUM(QUERY(Entregas_BD!D:AL,""select AI where D='""&amp;D422&amp;""'"",1))"),0.0)</f>
        <v>0</v>
      </c>
      <c r="W422" s="9">
        <f>IFERROR(__xludf.DUMMYFUNCTION("SUM(QUERY(Entregas_BD!D:AL,""select AJ where D='""&amp;D422&amp;""'"",1))"),0.0)</f>
        <v>0</v>
      </c>
      <c r="X422" s="9">
        <f>IFERROR(__xludf.DUMMYFUNCTION("SUM(QUERY(Entregas_BD!D:AL,""select AL where D='""&amp;D422&amp;""'"",1))"),0.0)</f>
        <v>0</v>
      </c>
      <c r="Y422" s="9">
        <f>IFERROR(__xludf.DUMMYFUNCTION("SUM(QUERY(Entregas_BD!D:AL,""select AK where D='""&amp;D422&amp;""'"",1))"),0.0)</f>
        <v>0</v>
      </c>
      <c r="Z422" s="9">
        <v>-13.0</v>
      </c>
      <c r="AA422" s="9">
        <v>0.0</v>
      </c>
      <c r="AB422" s="9">
        <v>0.0</v>
      </c>
      <c r="AC422" s="9">
        <v>0.0</v>
      </c>
      <c r="AD422" s="9">
        <v>0.0</v>
      </c>
      <c r="AE422" s="9">
        <v>0.0</v>
      </c>
      <c r="AF422" s="32"/>
      <c r="AG422" s="15">
        <f>IFERROR(__xludf.DUMMYFUNCTION("SUM(QUERY(Entregas_BD!D:W,""select U where D='""&amp;D422&amp;""'"",1))"),0.0)</f>
        <v>0</v>
      </c>
      <c r="AH422" s="15">
        <f>IFERROR(__xludf.DUMMYFUNCTION("SUM(QUERY(Entregas_BD!D:W,""select S where D='""&amp;D422&amp;""'"",1))"),0.0)</f>
        <v>0</v>
      </c>
      <c r="AI422" s="15">
        <f>IFERROR(__xludf.DUMMYFUNCTION("SUM(QUERY(Entregas_BD!D:W,""select T where D='""&amp;D422&amp;""'"",1))"),0.0)</f>
        <v>0</v>
      </c>
    </row>
    <row r="423" ht="19.5" customHeight="1">
      <c r="A423" s="72"/>
      <c r="B423" s="69"/>
      <c r="C423" s="61">
        <v>422.0</v>
      </c>
      <c r="D423" s="89" t="s">
        <v>947</v>
      </c>
      <c r="E423" s="89" t="s">
        <v>324</v>
      </c>
      <c r="F423" s="20" t="s">
        <v>917</v>
      </c>
      <c r="G423" s="20" t="s">
        <v>917</v>
      </c>
      <c r="H423" s="25" t="s">
        <v>770</v>
      </c>
      <c r="I423" s="21" t="s">
        <v>41</v>
      </c>
      <c r="J423" s="25"/>
      <c r="K423" s="22"/>
      <c r="L423" s="23"/>
      <c r="M423" s="25"/>
      <c r="N423" s="19">
        <f>IFERROR(__xludf.DUMMYFUNCTION("SUM(QUERY(Entregas_BD!D:L,""select G where D='""&amp;D423&amp;""'"",1))"),0.0)</f>
        <v>0</v>
      </c>
      <c r="O423" s="19">
        <f>IFERROR(__xludf.DUMMYFUNCTION("SUM(QUERY(Entregas_BD!D:L,""select H where D='""&amp;D423&amp;""'"",1))"),0.0)</f>
        <v>0</v>
      </c>
      <c r="P423" s="19">
        <f>IFERROR(__xludf.DUMMYFUNCTION("SUM(QUERY(Entregas_BD!D:L,""select I where D='""&amp;D423&amp;""'"",1))"),0.0)</f>
        <v>0</v>
      </c>
      <c r="Q423" s="19">
        <f>IFERROR(__xludf.DUMMYFUNCTION("SUM(QUERY(Entregas_BD!D:L,""select J where D='""&amp;D423&amp;""'"",1))"),0.0)</f>
        <v>0</v>
      </c>
      <c r="R423" s="24">
        <f>IFERROR(__xludf.DUMMYFUNCTION("SUM(QUERY(Entregas_BD!D:L,""select K where D='""&amp;D423&amp;""'"",1))"),0.0)</f>
        <v>0</v>
      </c>
      <c r="S423" s="24">
        <f>IFERROR(__xludf.DUMMYFUNCTION("SUM(QUERY(Entregas_BD!D:L,""select L where D='""&amp;D423&amp;""'"",1))"),0.0)</f>
        <v>0</v>
      </c>
      <c r="T423" s="19">
        <f>IFERROR(__xludf.DUMMYFUNCTION("SUM(QUERY(Entregas_BD!D:AL,""select AG where D='""&amp;D423&amp;""'"",1))"),15.0)</f>
        <v>15</v>
      </c>
      <c r="U423" s="19">
        <f>IFERROR(__xludf.DUMMYFUNCTION("SUM(QUERY(Entregas_BD!D:AL,""select AH where D='""&amp;D423&amp;""'"",1))"),0.0)</f>
        <v>0</v>
      </c>
      <c r="V423" s="19">
        <f>IFERROR(__xludf.DUMMYFUNCTION("SUM(QUERY(Entregas_BD!D:AL,""select AI where D='""&amp;D423&amp;""'"",1))"),0.0)</f>
        <v>0</v>
      </c>
      <c r="W423" s="19">
        <f>IFERROR(__xludf.DUMMYFUNCTION("SUM(QUERY(Entregas_BD!D:AL,""select AJ where D='""&amp;D423&amp;""'"",1))"),0.0)</f>
        <v>0</v>
      </c>
      <c r="X423" s="19">
        <f>IFERROR(__xludf.DUMMYFUNCTION("SUM(QUERY(Entregas_BD!D:AL,""select AL where D='""&amp;D423&amp;""'"",1))"),0.0)</f>
        <v>0</v>
      </c>
      <c r="Y423" s="19">
        <f>IFERROR(__xludf.DUMMYFUNCTION("SUM(QUERY(Entregas_BD!D:AL,""select AK where D='""&amp;D423&amp;""'"",1))"),0.0)</f>
        <v>0</v>
      </c>
      <c r="Z423" s="19">
        <v>-15.0</v>
      </c>
      <c r="AA423" s="19">
        <v>0.0</v>
      </c>
      <c r="AB423" s="19">
        <v>0.0</v>
      </c>
      <c r="AC423" s="19">
        <v>0.0</v>
      </c>
      <c r="AD423" s="19">
        <v>0.0</v>
      </c>
      <c r="AE423" s="19">
        <v>0.0</v>
      </c>
      <c r="AF423" s="25"/>
      <c r="AG423" s="24">
        <f>IFERROR(__xludf.DUMMYFUNCTION("SUM(QUERY(Entregas_BD!D:W,""select U where D='""&amp;D423&amp;""'"",1))"),0.0)</f>
        <v>0</v>
      </c>
      <c r="AH423" s="24">
        <f>IFERROR(__xludf.DUMMYFUNCTION("SUM(QUERY(Entregas_BD!D:W,""select S where D='""&amp;D423&amp;""'"",1))"),0.0)</f>
        <v>0</v>
      </c>
      <c r="AI423" s="24">
        <f>IFERROR(__xludf.DUMMYFUNCTION("SUM(QUERY(Entregas_BD!D:W,""select T where D='""&amp;D423&amp;""'"",1))"),0.0)</f>
        <v>0</v>
      </c>
    </row>
    <row r="424" ht="19.5" customHeight="1">
      <c r="A424" s="71"/>
      <c r="B424" s="70"/>
      <c r="C424" s="90">
        <v>423.0</v>
      </c>
      <c r="D424" s="52" t="s">
        <v>948</v>
      </c>
      <c r="E424" s="88" t="s">
        <v>44</v>
      </c>
      <c r="F424" s="10" t="s">
        <v>45</v>
      </c>
      <c r="G424" s="10" t="s">
        <v>949</v>
      </c>
      <c r="H424" s="32" t="s">
        <v>770</v>
      </c>
      <c r="I424" s="11" t="s">
        <v>41</v>
      </c>
      <c r="J424" s="32"/>
      <c r="K424" s="12"/>
      <c r="L424" s="13"/>
      <c r="M424" s="32"/>
      <c r="N424" s="9">
        <f>IFERROR(__xludf.DUMMYFUNCTION("SUM(QUERY(Entregas_BD!D:L,""select G where D='""&amp;D424&amp;""'"",1))"),0.0)</f>
        <v>0</v>
      </c>
      <c r="O424" s="9">
        <f>IFERROR(__xludf.DUMMYFUNCTION("SUM(QUERY(Entregas_BD!D:L,""select H where D='""&amp;D424&amp;""'"",1))"),0.0)</f>
        <v>0</v>
      </c>
      <c r="P424" s="9">
        <f>IFERROR(__xludf.DUMMYFUNCTION("SUM(QUERY(Entregas_BD!D:L,""select I where D='""&amp;D424&amp;""'"",1))"),0.0)</f>
        <v>0</v>
      </c>
      <c r="Q424" s="9">
        <f>IFERROR(__xludf.DUMMYFUNCTION("SUM(QUERY(Entregas_BD!D:L,""select J where D='""&amp;D424&amp;""'"",1))"),0.0)</f>
        <v>0</v>
      </c>
      <c r="R424" s="15">
        <f>IFERROR(__xludf.DUMMYFUNCTION("SUM(QUERY(Entregas_BD!D:L,""select K where D='""&amp;D424&amp;""'"",1))"),0.0)</f>
        <v>0</v>
      </c>
      <c r="S424" s="15">
        <f>IFERROR(__xludf.DUMMYFUNCTION("SUM(QUERY(Entregas_BD!D:L,""select L where D='""&amp;D424&amp;""'"",1))"),0.0)</f>
        <v>0</v>
      </c>
      <c r="T424" s="9">
        <f>IFERROR(__xludf.DUMMYFUNCTION("SUM(QUERY(Entregas_BD!D:AL,""select AG where D='""&amp;D424&amp;""'"",1))"),20.0)</f>
        <v>20</v>
      </c>
      <c r="U424" s="9">
        <f>IFERROR(__xludf.DUMMYFUNCTION("SUM(QUERY(Entregas_BD!D:AL,""select AH where D='""&amp;D424&amp;""'"",1))"),0.0)</f>
        <v>0</v>
      </c>
      <c r="V424" s="9">
        <f>IFERROR(__xludf.DUMMYFUNCTION("SUM(QUERY(Entregas_BD!D:AL,""select AI where D='""&amp;D424&amp;""'"",1))"),0.0)</f>
        <v>0</v>
      </c>
      <c r="W424" s="9">
        <f>IFERROR(__xludf.DUMMYFUNCTION("SUM(QUERY(Entregas_BD!D:AL,""select AJ where D='""&amp;D424&amp;""'"",1))"),0.0)</f>
        <v>0</v>
      </c>
      <c r="X424" s="9">
        <f>IFERROR(__xludf.DUMMYFUNCTION("SUM(QUERY(Entregas_BD!D:AL,""select AL where D='""&amp;D424&amp;""'"",1))"),0.0)</f>
        <v>0</v>
      </c>
      <c r="Y424" s="9">
        <f>IFERROR(__xludf.DUMMYFUNCTION("SUM(QUERY(Entregas_BD!D:AL,""select AK where D='""&amp;D424&amp;""'"",1))"),0.0)</f>
        <v>0</v>
      </c>
      <c r="Z424" s="9">
        <v>-20.0</v>
      </c>
      <c r="AA424" s="9">
        <v>0.0</v>
      </c>
      <c r="AB424" s="9">
        <v>0.0</v>
      </c>
      <c r="AC424" s="9">
        <v>0.0</v>
      </c>
      <c r="AD424" s="9">
        <v>0.0</v>
      </c>
      <c r="AE424" s="9">
        <v>0.0</v>
      </c>
      <c r="AF424" s="32"/>
      <c r="AG424" s="15">
        <f>IFERROR(__xludf.DUMMYFUNCTION("SUM(QUERY(Entregas_BD!D:W,""select U where D='""&amp;D424&amp;""'"",1))"),0.0)</f>
        <v>0</v>
      </c>
      <c r="AH424" s="15">
        <f>IFERROR(__xludf.DUMMYFUNCTION("SUM(QUERY(Entregas_BD!D:W,""select S where D='""&amp;D424&amp;""'"",1))"),0.0)</f>
        <v>0</v>
      </c>
      <c r="AI424" s="15">
        <f>IFERROR(__xludf.DUMMYFUNCTION("SUM(QUERY(Entregas_BD!D:W,""select T where D='""&amp;D424&amp;""'"",1))"),0.0)</f>
        <v>0</v>
      </c>
    </row>
    <row r="425" ht="19.5" customHeight="1">
      <c r="A425" s="72"/>
      <c r="B425" s="69"/>
      <c r="C425" s="61">
        <v>424.0</v>
      </c>
      <c r="D425" s="89" t="s">
        <v>950</v>
      </c>
      <c r="E425" s="89" t="s">
        <v>44</v>
      </c>
      <c r="F425" s="20" t="s">
        <v>45</v>
      </c>
      <c r="G425" s="20" t="s">
        <v>951</v>
      </c>
      <c r="H425" s="25" t="s">
        <v>770</v>
      </c>
      <c r="I425" s="21" t="s">
        <v>41</v>
      </c>
      <c r="J425" s="25"/>
      <c r="K425" s="22"/>
      <c r="L425" s="23"/>
      <c r="M425" s="25"/>
      <c r="N425" s="19">
        <f>IFERROR(__xludf.DUMMYFUNCTION("SUM(QUERY(Entregas_BD!D:L,""select G where D='""&amp;D425&amp;""'"",1))"),0.0)</f>
        <v>0</v>
      </c>
      <c r="O425" s="19">
        <f>IFERROR(__xludf.DUMMYFUNCTION("SUM(QUERY(Entregas_BD!D:L,""select H where D='""&amp;D425&amp;""'"",1))"),0.0)</f>
        <v>0</v>
      </c>
      <c r="P425" s="19">
        <f>IFERROR(__xludf.DUMMYFUNCTION("SUM(QUERY(Entregas_BD!D:L,""select I where D='""&amp;D425&amp;""'"",1))"),0.0)</f>
        <v>0</v>
      </c>
      <c r="Q425" s="19">
        <f>IFERROR(__xludf.DUMMYFUNCTION("SUM(QUERY(Entregas_BD!D:L,""select J where D='""&amp;D425&amp;""'"",1))"),0.0)</f>
        <v>0</v>
      </c>
      <c r="R425" s="24">
        <f>IFERROR(__xludf.DUMMYFUNCTION("SUM(QUERY(Entregas_BD!D:L,""select K where D='""&amp;D425&amp;""'"",1))"),0.0)</f>
        <v>0</v>
      </c>
      <c r="S425" s="24">
        <f>IFERROR(__xludf.DUMMYFUNCTION("SUM(QUERY(Entregas_BD!D:L,""select L where D='""&amp;D425&amp;""'"",1))"),0.0)</f>
        <v>0</v>
      </c>
      <c r="T425" s="19">
        <f>IFERROR(__xludf.DUMMYFUNCTION("SUM(QUERY(Entregas_BD!D:AL,""select AG where D='""&amp;D425&amp;""'"",1))"),12.0)</f>
        <v>12</v>
      </c>
      <c r="U425" s="19">
        <f>IFERROR(__xludf.DUMMYFUNCTION("SUM(QUERY(Entregas_BD!D:AL,""select AH where D='""&amp;D425&amp;""'"",1))"),0.0)</f>
        <v>0</v>
      </c>
      <c r="V425" s="19">
        <f>IFERROR(__xludf.DUMMYFUNCTION("SUM(QUERY(Entregas_BD!D:AL,""select AI where D='""&amp;D425&amp;""'"",1))"),0.0)</f>
        <v>0</v>
      </c>
      <c r="W425" s="19">
        <f>IFERROR(__xludf.DUMMYFUNCTION("SUM(QUERY(Entregas_BD!D:AL,""select AJ where D='""&amp;D425&amp;""'"",1))"),0.0)</f>
        <v>0</v>
      </c>
      <c r="X425" s="19">
        <f>IFERROR(__xludf.DUMMYFUNCTION("SUM(QUERY(Entregas_BD!D:AL,""select AL where D='""&amp;D425&amp;""'"",1))"),0.0)</f>
        <v>0</v>
      </c>
      <c r="Y425" s="19">
        <f>IFERROR(__xludf.DUMMYFUNCTION("SUM(QUERY(Entregas_BD!D:AL,""select AK where D='""&amp;D425&amp;""'"",1))"),0.0)</f>
        <v>0</v>
      </c>
      <c r="Z425" s="19">
        <v>-12.0</v>
      </c>
      <c r="AA425" s="19">
        <v>0.0</v>
      </c>
      <c r="AB425" s="19">
        <v>0.0</v>
      </c>
      <c r="AC425" s="19">
        <v>0.0</v>
      </c>
      <c r="AD425" s="19">
        <v>0.0</v>
      </c>
      <c r="AE425" s="19">
        <v>0.0</v>
      </c>
      <c r="AF425" s="25"/>
      <c r="AG425" s="24">
        <f>IFERROR(__xludf.DUMMYFUNCTION("SUM(QUERY(Entregas_BD!D:W,""select U where D='""&amp;D425&amp;""'"",1))"),0.0)</f>
        <v>0</v>
      </c>
      <c r="AH425" s="24">
        <f>IFERROR(__xludf.DUMMYFUNCTION("SUM(QUERY(Entregas_BD!D:W,""select S where D='""&amp;D425&amp;""'"",1))"),0.0)</f>
        <v>0</v>
      </c>
      <c r="AI425" s="24">
        <f>IFERROR(__xludf.DUMMYFUNCTION("SUM(QUERY(Entregas_BD!D:W,""select T where D='""&amp;D425&amp;""'"",1))"),0.0)</f>
        <v>0</v>
      </c>
    </row>
    <row r="426" ht="19.5" customHeight="1">
      <c r="A426" s="71"/>
      <c r="B426" s="70"/>
      <c r="C426" s="90">
        <v>425.0</v>
      </c>
      <c r="D426" s="52" t="s">
        <v>952</v>
      </c>
      <c r="E426" s="88" t="s">
        <v>953</v>
      </c>
      <c r="F426" s="10" t="s">
        <v>954</v>
      </c>
      <c r="G426" s="10" t="s">
        <v>954</v>
      </c>
      <c r="H426" s="32" t="s">
        <v>770</v>
      </c>
      <c r="I426" s="11" t="s">
        <v>41</v>
      </c>
      <c r="J426" s="32"/>
      <c r="K426" s="12"/>
      <c r="L426" s="13"/>
      <c r="M426" s="32"/>
      <c r="N426" s="9">
        <f>IFERROR(__xludf.DUMMYFUNCTION("SUM(QUERY(Entregas_BD!D:L,""select G where D='""&amp;D426&amp;""'"",1))"),0.0)</f>
        <v>0</v>
      </c>
      <c r="O426" s="9">
        <f>IFERROR(__xludf.DUMMYFUNCTION("SUM(QUERY(Entregas_BD!D:L,""select H where D='""&amp;D426&amp;""'"",1))"),0.0)</f>
        <v>0</v>
      </c>
      <c r="P426" s="9">
        <f>IFERROR(__xludf.DUMMYFUNCTION("SUM(QUERY(Entregas_BD!D:L,""select I where D='""&amp;D426&amp;""'"",1))"),0.0)</f>
        <v>0</v>
      </c>
      <c r="Q426" s="9">
        <f>IFERROR(__xludf.DUMMYFUNCTION("SUM(QUERY(Entregas_BD!D:L,""select J where D='""&amp;D426&amp;""'"",1))"),0.0)</f>
        <v>0</v>
      </c>
      <c r="R426" s="15">
        <f>IFERROR(__xludf.DUMMYFUNCTION("SUM(QUERY(Entregas_BD!D:L,""select K where D='""&amp;D426&amp;""'"",1))"),0.0)</f>
        <v>0</v>
      </c>
      <c r="S426" s="15">
        <f>IFERROR(__xludf.DUMMYFUNCTION("SUM(QUERY(Entregas_BD!D:L,""select L where D='""&amp;D426&amp;""'"",1))"),0.0)</f>
        <v>0</v>
      </c>
      <c r="T426" s="9">
        <f>IFERROR(__xludf.DUMMYFUNCTION("SUM(QUERY(Entregas_BD!D:AL,""select AG where D='""&amp;D426&amp;""'"",1))"),100.0)</f>
        <v>100</v>
      </c>
      <c r="U426" s="9">
        <f>IFERROR(__xludf.DUMMYFUNCTION("SUM(QUERY(Entregas_BD!D:AL,""select AH where D='""&amp;D426&amp;""'"",1))"),0.0)</f>
        <v>0</v>
      </c>
      <c r="V426" s="9">
        <f>IFERROR(__xludf.DUMMYFUNCTION("SUM(QUERY(Entregas_BD!D:AL,""select AI where D='""&amp;D426&amp;""'"",1))"),0.0)</f>
        <v>0</v>
      </c>
      <c r="W426" s="9">
        <f>IFERROR(__xludf.DUMMYFUNCTION("SUM(QUERY(Entregas_BD!D:AL,""select AJ where D='""&amp;D426&amp;""'"",1))"),0.0)</f>
        <v>0</v>
      </c>
      <c r="X426" s="9">
        <f>IFERROR(__xludf.DUMMYFUNCTION("SUM(QUERY(Entregas_BD!D:AL,""select AL where D='""&amp;D426&amp;""'"",1))"),0.0)</f>
        <v>0</v>
      </c>
      <c r="Y426" s="9">
        <f>IFERROR(__xludf.DUMMYFUNCTION("SUM(QUERY(Entregas_BD!D:AL,""select AK where D='""&amp;D426&amp;""'"",1))"),0.0)</f>
        <v>0</v>
      </c>
      <c r="Z426" s="9">
        <v>-100.0</v>
      </c>
      <c r="AA426" s="9">
        <v>0.0</v>
      </c>
      <c r="AB426" s="9">
        <v>0.0</v>
      </c>
      <c r="AC426" s="9">
        <v>0.0</v>
      </c>
      <c r="AD426" s="9">
        <v>0.0</v>
      </c>
      <c r="AE426" s="9">
        <v>0.0</v>
      </c>
      <c r="AF426" s="32"/>
      <c r="AG426" s="15">
        <f>IFERROR(__xludf.DUMMYFUNCTION("SUM(QUERY(Entregas_BD!D:W,""select U where D='""&amp;D426&amp;""'"",1))"),0.0)</f>
        <v>0</v>
      </c>
      <c r="AH426" s="15">
        <f>IFERROR(__xludf.DUMMYFUNCTION("SUM(QUERY(Entregas_BD!D:W,""select S where D='""&amp;D426&amp;""'"",1))"),0.0)</f>
        <v>0</v>
      </c>
      <c r="AI426" s="15">
        <f>IFERROR(__xludf.DUMMYFUNCTION("SUM(QUERY(Entregas_BD!D:W,""select T where D='""&amp;D426&amp;""'"",1))"),0.0)</f>
        <v>0</v>
      </c>
    </row>
    <row r="427" ht="19.5" customHeight="1">
      <c r="A427" s="72"/>
      <c r="B427" s="69"/>
      <c r="C427" s="61">
        <v>426.0</v>
      </c>
      <c r="D427" s="89" t="s">
        <v>955</v>
      </c>
      <c r="E427" s="89" t="s">
        <v>58</v>
      </c>
      <c r="F427" s="20" t="s">
        <v>45</v>
      </c>
      <c r="G427" s="20" t="s">
        <v>420</v>
      </c>
      <c r="H427" s="25" t="s">
        <v>770</v>
      </c>
      <c r="I427" s="21" t="s">
        <v>41</v>
      </c>
      <c r="J427" s="25"/>
      <c r="K427" s="22"/>
      <c r="L427" s="23"/>
      <c r="M427" s="25"/>
      <c r="N427" s="19">
        <f>IFERROR(__xludf.DUMMYFUNCTION("SUM(QUERY(Entregas_BD!D:L,""select G where D='""&amp;D427&amp;""'"",1))"),0.0)</f>
        <v>0</v>
      </c>
      <c r="O427" s="19">
        <f>IFERROR(__xludf.DUMMYFUNCTION("SUM(QUERY(Entregas_BD!D:L,""select H where D='""&amp;D427&amp;""'"",1))"),0.0)</f>
        <v>0</v>
      </c>
      <c r="P427" s="19">
        <f>IFERROR(__xludf.DUMMYFUNCTION("SUM(QUERY(Entregas_BD!D:L,""select I where D='""&amp;D427&amp;""'"",1))"),0.0)</f>
        <v>0</v>
      </c>
      <c r="Q427" s="19">
        <f>IFERROR(__xludf.DUMMYFUNCTION("SUM(QUERY(Entregas_BD!D:L,""select J where D='""&amp;D427&amp;""'"",1))"),0.0)</f>
        <v>0</v>
      </c>
      <c r="R427" s="24">
        <f>IFERROR(__xludf.DUMMYFUNCTION("SUM(QUERY(Entregas_BD!D:L,""select K where D='""&amp;D427&amp;""'"",1))"),0.0)</f>
        <v>0</v>
      </c>
      <c r="S427" s="24">
        <f>IFERROR(__xludf.DUMMYFUNCTION("SUM(QUERY(Entregas_BD!D:L,""select L where D='""&amp;D427&amp;""'"",1))"),0.0)</f>
        <v>0</v>
      </c>
      <c r="T427" s="19">
        <f>IFERROR(__xludf.DUMMYFUNCTION("SUM(QUERY(Entregas_BD!D:AL,""select AG where D='""&amp;D427&amp;""'"",1))"),60.0)</f>
        <v>60</v>
      </c>
      <c r="U427" s="19">
        <f>IFERROR(__xludf.DUMMYFUNCTION("SUM(QUERY(Entregas_BD!D:AL,""select AH where D='""&amp;D427&amp;""'"",1))"),0.0)</f>
        <v>0</v>
      </c>
      <c r="V427" s="19">
        <f>IFERROR(__xludf.DUMMYFUNCTION("SUM(QUERY(Entregas_BD!D:AL,""select AI where D='""&amp;D427&amp;""'"",1))"),0.0)</f>
        <v>0</v>
      </c>
      <c r="W427" s="19">
        <f>IFERROR(__xludf.DUMMYFUNCTION("SUM(QUERY(Entregas_BD!D:AL,""select AJ where D='""&amp;D427&amp;""'"",1))"),0.0)</f>
        <v>0</v>
      </c>
      <c r="X427" s="19">
        <f>IFERROR(__xludf.DUMMYFUNCTION("SUM(QUERY(Entregas_BD!D:AL,""select AL where D='""&amp;D427&amp;""'"",1))"),0.0)</f>
        <v>0</v>
      </c>
      <c r="Y427" s="19">
        <f>IFERROR(__xludf.DUMMYFUNCTION("SUM(QUERY(Entregas_BD!D:AL,""select AK where D='""&amp;D427&amp;""'"",1))"),0.0)</f>
        <v>0</v>
      </c>
      <c r="Z427" s="19">
        <v>-60.0</v>
      </c>
      <c r="AA427" s="19">
        <v>0.0</v>
      </c>
      <c r="AB427" s="19">
        <v>0.0</v>
      </c>
      <c r="AC427" s="19">
        <v>0.0</v>
      </c>
      <c r="AD427" s="19">
        <v>0.0</v>
      </c>
      <c r="AE427" s="19">
        <v>0.0</v>
      </c>
      <c r="AF427" s="25"/>
      <c r="AG427" s="24">
        <f>IFERROR(__xludf.DUMMYFUNCTION("SUM(QUERY(Entregas_BD!D:W,""select U where D='""&amp;D427&amp;""'"",1))"),0.0)</f>
        <v>0</v>
      </c>
      <c r="AH427" s="24">
        <f>IFERROR(__xludf.DUMMYFUNCTION("SUM(QUERY(Entregas_BD!D:W,""select S where D='""&amp;D427&amp;""'"",1))"),0.0)</f>
        <v>0</v>
      </c>
      <c r="AI427" s="24">
        <f>IFERROR(__xludf.DUMMYFUNCTION("SUM(QUERY(Entregas_BD!D:W,""select T where D='""&amp;D427&amp;""'"",1))"),0.0)</f>
        <v>0</v>
      </c>
    </row>
    <row r="428" ht="19.5" customHeight="1">
      <c r="A428" s="71"/>
      <c r="B428" s="70"/>
      <c r="C428" s="90">
        <v>427.0</v>
      </c>
      <c r="D428" s="52" t="s">
        <v>956</v>
      </c>
      <c r="E428" s="88" t="s">
        <v>953</v>
      </c>
      <c r="F428" s="10" t="s">
        <v>957</v>
      </c>
      <c r="G428" s="10" t="s">
        <v>958</v>
      </c>
      <c r="H428" s="12" t="s">
        <v>622</v>
      </c>
      <c r="I428" s="11" t="s">
        <v>41</v>
      </c>
      <c r="J428" s="32"/>
      <c r="K428" s="12"/>
      <c r="L428" s="13"/>
      <c r="M428" s="32"/>
      <c r="N428" s="9">
        <f>IFERROR(__xludf.DUMMYFUNCTION("SUM(QUERY(Entregas_BD!D:L,""select G where D='""&amp;D428&amp;""'"",1))"),0.0)</f>
        <v>0</v>
      </c>
      <c r="O428" s="9">
        <f>IFERROR(__xludf.DUMMYFUNCTION("SUM(QUERY(Entregas_BD!D:L,""select H where D='""&amp;D428&amp;""'"",1))"),0.0)</f>
        <v>0</v>
      </c>
      <c r="P428" s="9">
        <f>IFERROR(__xludf.DUMMYFUNCTION("SUM(QUERY(Entregas_BD!D:L,""select I where D='""&amp;D428&amp;""'"",1))"),0.0)</f>
        <v>0</v>
      </c>
      <c r="Q428" s="9">
        <f>IFERROR(__xludf.DUMMYFUNCTION("SUM(QUERY(Entregas_BD!D:L,""select J where D='""&amp;D428&amp;""'"",1))"),0.0)</f>
        <v>0</v>
      </c>
      <c r="R428" s="15">
        <f>IFERROR(__xludf.DUMMYFUNCTION("SUM(QUERY(Entregas_BD!D:L,""select K where D='""&amp;D428&amp;""'"",1))"),0.0)</f>
        <v>0</v>
      </c>
      <c r="S428" s="15">
        <f>IFERROR(__xludf.DUMMYFUNCTION("SUM(QUERY(Entregas_BD!D:L,""select L where D='""&amp;D428&amp;""'"",1))"),0.0)</f>
        <v>0</v>
      </c>
      <c r="T428" s="9">
        <f>IFERROR(__xludf.DUMMYFUNCTION("SUM(QUERY(Entregas_BD!D:AL,""select AG where D='""&amp;D428&amp;""'"",1))"),250.0)</f>
        <v>250</v>
      </c>
      <c r="U428" s="9">
        <f>IFERROR(__xludf.DUMMYFUNCTION("SUM(QUERY(Entregas_BD!D:AL,""select AH where D='""&amp;D428&amp;""'"",1))"),0.0)</f>
        <v>0</v>
      </c>
      <c r="V428" s="9">
        <f>IFERROR(__xludf.DUMMYFUNCTION("SUM(QUERY(Entregas_BD!D:AL,""select AI where D='""&amp;D428&amp;""'"",1))"),0.0)</f>
        <v>0</v>
      </c>
      <c r="W428" s="9">
        <f>IFERROR(__xludf.DUMMYFUNCTION("SUM(QUERY(Entregas_BD!D:AL,""select AJ where D='""&amp;D428&amp;""'"",1))"),0.0)</f>
        <v>0</v>
      </c>
      <c r="X428" s="9">
        <f>IFERROR(__xludf.DUMMYFUNCTION("SUM(QUERY(Entregas_BD!D:AL,""select AL where D='""&amp;D428&amp;""'"",1))"),0.0)</f>
        <v>0</v>
      </c>
      <c r="Y428" s="9">
        <f>IFERROR(__xludf.DUMMYFUNCTION("SUM(QUERY(Entregas_BD!D:AL,""select AK where D='""&amp;D428&amp;""'"",1))"),0.0)</f>
        <v>0</v>
      </c>
      <c r="Z428" s="9">
        <v>-250.0</v>
      </c>
      <c r="AA428" s="9">
        <v>0.0</v>
      </c>
      <c r="AB428" s="9">
        <v>0.0</v>
      </c>
      <c r="AC428" s="9">
        <v>0.0</v>
      </c>
      <c r="AD428" s="9">
        <v>0.0</v>
      </c>
      <c r="AE428" s="9">
        <v>0.0</v>
      </c>
      <c r="AF428" s="32"/>
      <c r="AG428" s="15">
        <f>IFERROR(__xludf.DUMMYFUNCTION("SUM(QUERY(Entregas_BD!D:W,""select U where D='""&amp;D428&amp;""'"",1))"),0.0)</f>
        <v>0</v>
      </c>
      <c r="AH428" s="15">
        <f>IFERROR(__xludf.DUMMYFUNCTION("SUM(QUERY(Entregas_BD!D:W,""select S where D='""&amp;D428&amp;""'"",1))"),0.0)</f>
        <v>0</v>
      </c>
      <c r="AI428" s="15">
        <f>IFERROR(__xludf.DUMMYFUNCTION("SUM(QUERY(Entregas_BD!D:W,""select T where D='""&amp;D428&amp;""'"",1))"),0.0)</f>
        <v>0</v>
      </c>
    </row>
    <row r="429" ht="19.5" customHeight="1">
      <c r="A429" s="72"/>
      <c r="B429" s="69"/>
      <c r="C429" s="61">
        <v>428.0</v>
      </c>
      <c r="D429" s="89" t="s">
        <v>959</v>
      </c>
      <c r="E429" s="91" t="s">
        <v>953</v>
      </c>
      <c r="F429" s="20" t="s">
        <v>960</v>
      </c>
      <c r="G429" s="20" t="s">
        <v>958</v>
      </c>
      <c r="H429" s="22" t="s">
        <v>622</v>
      </c>
      <c r="I429" s="21" t="s">
        <v>41</v>
      </c>
      <c r="J429" s="25"/>
      <c r="K429" s="22"/>
      <c r="L429" s="23"/>
      <c r="M429" s="25"/>
      <c r="N429" s="19">
        <f>IFERROR(__xludf.DUMMYFUNCTION("SUM(QUERY(Entregas_BD!D:L,""select G where D='""&amp;D429&amp;""'"",1))"),0.0)</f>
        <v>0</v>
      </c>
      <c r="O429" s="19">
        <f>IFERROR(__xludf.DUMMYFUNCTION("SUM(QUERY(Entregas_BD!D:L,""select H where D='""&amp;D429&amp;""'"",1))"),0.0)</f>
        <v>0</v>
      </c>
      <c r="P429" s="19">
        <f>IFERROR(__xludf.DUMMYFUNCTION("SUM(QUERY(Entregas_BD!D:L,""select I where D='""&amp;D429&amp;""'"",1))"),0.0)</f>
        <v>0</v>
      </c>
      <c r="Q429" s="19">
        <f>IFERROR(__xludf.DUMMYFUNCTION("SUM(QUERY(Entregas_BD!D:L,""select J where D='""&amp;D429&amp;""'"",1))"),0.0)</f>
        <v>0</v>
      </c>
      <c r="R429" s="24">
        <f>IFERROR(__xludf.DUMMYFUNCTION("SUM(QUERY(Entregas_BD!D:L,""select K where D='""&amp;D429&amp;""'"",1))"),0.0)</f>
        <v>0</v>
      </c>
      <c r="S429" s="24">
        <f>IFERROR(__xludf.DUMMYFUNCTION("SUM(QUERY(Entregas_BD!D:L,""select L where D='""&amp;D429&amp;""'"",1))"),0.0)</f>
        <v>0</v>
      </c>
      <c r="T429" s="19">
        <f>IFERROR(__xludf.DUMMYFUNCTION("SUM(QUERY(Entregas_BD!D:AL,""select AG where D='""&amp;D429&amp;""'"",1))"),200.0)</f>
        <v>200</v>
      </c>
      <c r="U429" s="19">
        <f>IFERROR(__xludf.DUMMYFUNCTION("SUM(QUERY(Entregas_BD!D:AL,""select AH where D='""&amp;D429&amp;""'"",1))"),0.0)</f>
        <v>0</v>
      </c>
      <c r="V429" s="19">
        <f>IFERROR(__xludf.DUMMYFUNCTION("SUM(QUERY(Entregas_BD!D:AL,""select AI where D='""&amp;D429&amp;""'"",1))"),0.0)</f>
        <v>0</v>
      </c>
      <c r="W429" s="19">
        <f>IFERROR(__xludf.DUMMYFUNCTION("SUM(QUERY(Entregas_BD!D:AL,""select AJ where D='""&amp;D429&amp;""'"",1))"),0.0)</f>
        <v>0</v>
      </c>
      <c r="X429" s="19">
        <f>IFERROR(__xludf.DUMMYFUNCTION("SUM(QUERY(Entregas_BD!D:AL,""select AL where D='""&amp;D429&amp;""'"",1))"),0.0)</f>
        <v>0</v>
      </c>
      <c r="Y429" s="19">
        <f>IFERROR(__xludf.DUMMYFUNCTION("SUM(QUERY(Entregas_BD!D:AL,""select AK where D='""&amp;D429&amp;""'"",1))"),0.0)</f>
        <v>0</v>
      </c>
      <c r="Z429" s="19">
        <v>-200.0</v>
      </c>
      <c r="AA429" s="19">
        <v>0.0</v>
      </c>
      <c r="AB429" s="19">
        <v>0.0</v>
      </c>
      <c r="AC429" s="19">
        <v>0.0</v>
      </c>
      <c r="AD429" s="19">
        <v>0.0</v>
      </c>
      <c r="AE429" s="19">
        <v>0.0</v>
      </c>
      <c r="AF429" s="25"/>
      <c r="AG429" s="24">
        <f>IFERROR(__xludf.DUMMYFUNCTION("SUM(QUERY(Entregas_BD!D:W,""select U where D='""&amp;D429&amp;""'"",1))"),0.0)</f>
        <v>0</v>
      </c>
      <c r="AH429" s="24">
        <f>IFERROR(__xludf.DUMMYFUNCTION("SUM(QUERY(Entregas_BD!D:W,""select S where D='""&amp;D429&amp;""'"",1))"),0.0)</f>
        <v>0</v>
      </c>
      <c r="AI429" s="24">
        <f>IFERROR(__xludf.DUMMYFUNCTION("SUM(QUERY(Entregas_BD!D:W,""select T where D='""&amp;D429&amp;""'"",1))"),0.0)</f>
        <v>0</v>
      </c>
    </row>
    <row r="430" ht="19.5" customHeight="1">
      <c r="A430" s="71"/>
      <c r="B430" s="70"/>
      <c r="C430" s="90">
        <v>429.0</v>
      </c>
      <c r="D430" s="52" t="s">
        <v>961</v>
      </c>
      <c r="E430" s="88" t="s">
        <v>953</v>
      </c>
      <c r="F430" s="10" t="s">
        <v>957</v>
      </c>
      <c r="G430" s="10" t="s">
        <v>958</v>
      </c>
      <c r="H430" s="32" t="s">
        <v>845</v>
      </c>
      <c r="I430" s="11" t="s">
        <v>41</v>
      </c>
      <c r="J430" s="32"/>
      <c r="K430" s="12"/>
      <c r="L430" s="13"/>
      <c r="M430" s="32"/>
      <c r="N430" s="9">
        <f>IFERROR(__xludf.DUMMYFUNCTION("SUM(QUERY(Entregas_BD!D:L,""select G where D='""&amp;D430&amp;""'"",1))"),0.0)</f>
        <v>0</v>
      </c>
      <c r="O430" s="9">
        <f>IFERROR(__xludf.DUMMYFUNCTION("SUM(QUERY(Entregas_BD!D:L,""select H where D='""&amp;D430&amp;""'"",1))"),0.0)</f>
        <v>0</v>
      </c>
      <c r="P430" s="9">
        <f>IFERROR(__xludf.DUMMYFUNCTION("SUM(QUERY(Entregas_BD!D:L,""select I where D='""&amp;D430&amp;""'"",1))"),0.0)</f>
        <v>0</v>
      </c>
      <c r="Q430" s="9">
        <f>IFERROR(__xludf.DUMMYFUNCTION("SUM(QUERY(Entregas_BD!D:L,""select J where D='""&amp;D430&amp;""'"",1))"),0.0)</f>
        <v>0</v>
      </c>
      <c r="R430" s="15">
        <f>IFERROR(__xludf.DUMMYFUNCTION("SUM(QUERY(Entregas_BD!D:L,""select K where D='""&amp;D430&amp;""'"",1))"),0.0)</f>
        <v>0</v>
      </c>
      <c r="S430" s="15">
        <f>IFERROR(__xludf.DUMMYFUNCTION("SUM(QUERY(Entregas_BD!D:L,""select L where D='""&amp;D430&amp;""'"",1))"),0.0)</f>
        <v>0</v>
      </c>
      <c r="T430" s="9">
        <f>IFERROR(__xludf.DUMMYFUNCTION("SUM(QUERY(Entregas_BD!D:AL,""select AG where D='""&amp;D430&amp;""'"",1))"),500.0)</f>
        <v>500</v>
      </c>
      <c r="U430" s="9">
        <f>IFERROR(__xludf.DUMMYFUNCTION("SUM(QUERY(Entregas_BD!D:AL,""select AH where D='""&amp;D430&amp;""'"",1))"),0.0)</f>
        <v>0</v>
      </c>
      <c r="V430" s="9">
        <f>IFERROR(__xludf.DUMMYFUNCTION("SUM(QUERY(Entregas_BD!D:AL,""select AI where D='""&amp;D430&amp;""'"",1))"),0.0)</f>
        <v>0</v>
      </c>
      <c r="W430" s="9">
        <f>IFERROR(__xludf.DUMMYFUNCTION("SUM(QUERY(Entregas_BD!D:AL,""select AJ where D='""&amp;D430&amp;""'"",1))"),0.0)</f>
        <v>0</v>
      </c>
      <c r="X430" s="9">
        <f>IFERROR(__xludf.DUMMYFUNCTION("SUM(QUERY(Entregas_BD!D:AL,""select AL where D='""&amp;D430&amp;""'"",1))"),0.0)</f>
        <v>0</v>
      </c>
      <c r="Y430" s="9">
        <f>IFERROR(__xludf.DUMMYFUNCTION("SUM(QUERY(Entregas_BD!D:AL,""select AK where D='""&amp;D430&amp;""'"",1))"),0.0)</f>
        <v>0</v>
      </c>
      <c r="Z430" s="9">
        <v>-500.0</v>
      </c>
      <c r="AA430" s="9">
        <v>0.0</v>
      </c>
      <c r="AB430" s="9">
        <v>0.0</v>
      </c>
      <c r="AC430" s="9">
        <v>0.0</v>
      </c>
      <c r="AD430" s="9">
        <v>0.0</v>
      </c>
      <c r="AE430" s="9">
        <v>0.0</v>
      </c>
      <c r="AF430" s="32"/>
      <c r="AG430" s="15">
        <f>IFERROR(__xludf.DUMMYFUNCTION("SUM(QUERY(Entregas_BD!D:W,""select U where D='""&amp;D430&amp;""'"",1))"),0.0)</f>
        <v>0</v>
      </c>
      <c r="AH430" s="15">
        <f>IFERROR(__xludf.DUMMYFUNCTION("SUM(QUERY(Entregas_BD!D:W,""select S where D='""&amp;D430&amp;""'"",1))"),0.0)</f>
        <v>0</v>
      </c>
      <c r="AI430" s="15">
        <f>IFERROR(__xludf.DUMMYFUNCTION("SUM(QUERY(Entregas_BD!D:W,""select T where D='""&amp;D430&amp;""'"",1))"),0.0)</f>
        <v>0</v>
      </c>
    </row>
    <row r="431" ht="19.5" customHeight="1">
      <c r="A431" s="72"/>
      <c r="B431" s="69"/>
      <c r="C431" s="61">
        <v>430.0</v>
      </c>
      <c r="D431" s="89" t="s">
        <v>962</v>
      </c>
      <c r="E431" s="91" t="s">
        <v>963</v>
      </c>
      <c r="F431" s="20" t="s">
        <v>791</v>
      </c>
      <c r="G431" s="20" t="s">
        <v>964</v>
      </c>
      <c r="H431" s="92" t="s">
        <v>622</v>
      </c>
      <c r="I431" s="21" t="s">
        <v>41</v>
      </c>
      <c r="J431" s="25"/>
      <c r="K431" s="22"/>
      <c r="L431" s="23"/>
      <c r="M431" s="25"/>
      <c r="N431" s="19">
        <f>IFERROR(__xludf.DUMMYFUNCTION("SUM(QUERY(Entregas_BD!D:L,""select G where D='""&amp;D431&amp;""'"",1))"),0.0)</f>
        <v>0</v>
      </c>
      <c r="O431" s="19">
        <f>IFERROR(__xludf.DUMMYFUNCTION("SUM(QUERY(Entregas_BD!D:L,""select H where D='""&amp;D431&amp;""'"",1))"),0.0)</f>
        <v>0</v>
      </c>
      <c r="P431" s="19">
        <f>IFERROR(__xludf.DUMMYFUNCTION("SUM(QUERY(Entregas_BD!D:L,""select I where D='""&amp;D431&amp;""'"",1))"),0.0)</f>
        <v>0</v>
      </c>
      <c r="Q431" s="19">
        <f>IFERROR(__xludf.DUMMYFUNCTION("SUM(QUERY(Entregas_BD!D:L,""select J where D='""&amp;D431&amp;""'"",1))"),0.0)</f>
        <v>0</v>
      </c>
      <c r="R431" s="24">
        <f>IFERROR(__xludf.DUMMYFUNCTION("SUM(QUERY(Entregas_BD!D:L,""select K where D='""&amp;D431&amp;""'"",1))"),0.0)</f>
        <v>0</v>
      </c>
      <c r="S431" s="24">
        <f>IFERROR(__xludf.DUMMYFUNCTION("SUM(QUERY(Entregas_BD!D:L,""select L where D='""&amp;D431&amp;""'"",1))"),0.0)</f>
        <v>0</v>
      </c>
      <c r="T431" s="19">
        <f>IFERROR(__xludf.DUMMYFUNCTION("SUM(QUERY(Entregas_BD!D:AL,""select AG where D='""&amp;D431&amp;""'"",1))"),300.0)</f>
        <v>300</v>
      </c>
      <c r="U431" s="19">
        <f>IFERROR(__xludf.DUMMYFUNCTION("SUM(QUERY(Entregas_BD!D:AL,""select AH where D='""&amp;D431&amp;""'"",1))"),0.0)</f>
        <v>0</v>
      </c>
      <c r="V431" s="19">
        <f>IFERROR(__xludf.DUMMYFUNCTION("SUM(QUERY(Entregas_BD!D:AL,""select AI where D='""&amp;D431&amp;""'"",1))"),0.0)</f>
        <v>0</v>
      </c>
      <c r="W431" s="19">
        <f>IFERROR(__xludf.DUMMYFUNCTION("SUM(QUERY(Entregas_BD!D:AL,""select AJ where D='""&amp;D431&amp;""'"",1))"),0.0)</f>
        <v>0</v>
      </c>
      <c r="X431" s="19">
        <f>IFERROR(__xludf.DUMMYFUNCTION("SUM(QUERY(Entregas_BD!D:AL,""select AL where D='""&amp;D431&amp;""'"",1))"),0.0)</f>
        <v>0</v>
      </c>
      <c r="Y431" s="19">
        <f>IFERROR(__xludf.DUMMYFUNCTION("SUM(QUERY(Entregas_BD!D:AL,""select AK where D='""&amp;D431&amp;""'"",1))"),0.0)</f>
        <v>0</v>
      </c>
      <c r="Z431" s="19">
        <v>-300.0</v>
      </c>
      <c r="AA431" s="19">
        <v>0.0</v>
      </c>
      <c r="AB431" s="19">
        <v>0.0</v>
      </c>
      <c r="AC431" s="19">
        <v>0.0</v>
      </c>
      <c r="AD431" s="19">
        <v>0.0</v>
      </c>
      <c r="AE431" s="19">
        <v>0.0</v>
      </c>
      <c r="AF431" s="25"/>
      <c r="AG431" s="24">
        <f>IFERROR(__xludf.DUMMYFUNCTION("SUM(QUERY(Entregas_BD!D:W,""select U where D='""&amp;D431&amp;""'"",1))"),0.0)</f>
        <v>0</v>
      </c>
      <c r="AH431" s="24">
        <f>IFERROR(__xludf.DUMMYFUNCTION("SUM(QUERY(Entregas_BD!D:W,""select S where D='""&amp;D431&amp;""'"",1))"),0.0)</f>
        <v>0</v>
      </c>
      <c r="AI431" s="24">
        <f>IFERROR(__xludf.DUMMYFUNCTION("SUM(QUERY(Entregas_BD!D:W,""select T where D='""&amp;D431&amp;""'"",1))"),0.0)</f>
        <v>0</v>
      </c>
    </row>
    <row r="432" ht="19.5" customHeight="1">
      <c r="A432" s="71"/>
      <c r="B432" s="70"/>
      <c r="C432" s="90">
        <v>431.0</v>
      </c>
      <c r="D432" s="52" t="s">
        <v>965</v>
      </c>
      <c r="E432" s="88" t="s">
        <v>953</v>
      </c>
      <c r="F432" s="10" t="s">
        <v>966</v>
      </c>
      <c r="G432" s="10" t="s">
        <v>966</v>
      </c>
      <c r="H432" s="32" t="s">
        <v>770</v>
      </c>
      <c r="I432" s="11" t="s">
        <v>41</v>
      </c>
      <c r="J432" s="32"/>
      <c r="K432" s="12"/>
      <c r="L432" s="13"/>
      <c r="M432" s="32"/>
      <c r="N432" s="9">
        <f>IFERROR(__xludf.DUMMYFUNCTION("SUM(QUERY(Entregas_BD!D:L,""select G where D='""&amp;D432&amp;""'"",1))"),0.0)</f>
        <v>0</v>
      </c>
      <c r="O432" s="9">
        <f>IFERROR(__xludf.DUMMYFUNCTION("SUM(QUERY(Entregas_BD!D:L,""select H where D='""&amp;D432&amp;""'"",1))"),0.0)</f>
        <v>0</v>
      </c>
      <c r="P432" s="9">
        <f>IFERROR(__xludf.DUMMYFUNCTION("SUM(QUERY(Entregas_BD!D:L,""select I where D='""&amp;D432&amp;""'"",1))"),0.0)</f>
        <v>0</v>
      </c>
      <c r="Q432" s="9">
        <f>IFERROR(__xludf.DUMMYFUNCTION("SUM(QUERY(Entregas_BD!D:L,""select J where D='""&amp;D432&amp;""'"",1))"),0.0)</f>
        <v>0</v>
      </c>
      <c r="R432" s="15">
        <f>IFERROR(__xludf.DUMMYFUNCTION("SUM(QUERY(Entregas_BD!D:L,""select K where D='""&amp;D432&amp;""'"",1))"),0.0)</f>
        <v>0</v>
      </c>
      <c r="S432" s="15">
        <f>IFERROR(__xludf.DUMMYFUNCTION("SUM(QUERY(Entregas_BD!D:L,""select L where D='""&amp;D432&amp;""'"",1))"),0.0)</f>
        <v>0</v>
      </c>
      <c r="T432" s="9">
        <f>IFERROR(__xludf.DUMMYFUNCTION("SUM(QUERY(Entregas_BD!D:AL,""select AG where D='""&amp;D432&amp;""'"",1))"),1190.0)</f>
        <v>1190</v>
      </c>
      <c r="U432" s="9">
        <f>IFERROR(__xludf.DUMMYFUNCTION("SUM(QUERY(Entregas_BD!D:AL,""select AH where D='""&amp;D432&amp;""'"",1))"),0.0)</f>
        <v>0</v>
      </c>
      <c r="V432" s="9">
        <f>IFERROR(__xludf.DUMMYFUNCTION("SUM(QUERY(Entregas_BD!D:AL,""select AI where D='""&amp;D432&amp;""'"",1))"),0.0)</f>
        <v>0</v>
      </c>
      <c r="W432" s="9">
        <f>IFERROR(__xludf.DUMMYFUNCTION("SUM(QUERY(Entregas_BD!D:AL,""select AJ where D='""&amp;D432&amp;""'"",1))"),0.0)</f>
        <v>0</v>
      </c>
      <c r="X432" s="9">
        <f>IFERROR(__xludf.DUMMYFUNCTION("SUM(QUERY(Entregas_BD!D:AL,""select AL where D='""&amp;D432&amp;""'"",1))"),0.0)</f>
        <v>0</v>
      </c>
      <c r="Y432" s="9">
        <f>IFERROR(__xludf.DUMMYFUNCTION("SUM(QUERY(Entregas_BD!D:AL,""select AK where D='""&amp;D432&amp;""'"",1))"),0.0)</f>
        <v>0</v>
      </c>
      <c r="Z432" s="9">
        <v>-1190.0</v>
      </c>
      <c r="AA432" s="9">
        <v>0.0</v>
      </c>
      <c r="AB432" s="9">
        <v>0.0</v>
      </c>
      <c r="AC432" s="9">
        <v>0.0</v>
      </c>
      <c r="AD432" s="9">
        <v>0.0</v>
      </c>
      <c r="AE432" s="9">
        <v>0.0</v>
      </c>
      <c r="AF432" s="32"/>
      <c r="AG432" s="15">
        <f>IFERROR(__xludf.DUMMYFUNCTION("SUM(QUERY(Entregas_BD!D:W,""select U where D='""&amp;D432&amp;""'"",1))"),0.0)</f>
        <v>0</v>
      </c>
      <c r="AH432" s="15">
        <f>IFERROR(__xludf.DUMMYFUNCTION("SUM(QUERY(Entregas_BD!D:W,""select S where D='""&amp;D432&amp;""'"",1))"),0.0)</f>
        <v>0</v>
      </c>
      <c r="AI432" s="15">
        <f>IFERROR(__xludf.DUMMYFUNCTION("SUM(QUERY(Entregas_BD!D:W,""select T where D='""&amp;D432&amp;""'"",1))"),0.0)</f>
        <v>0</v>
      </c>
    </row>
    <row r="433" ht="19.5" customHeight="1">
      <c r="A433" s="72"/>
      <c r="B433" s="69"/>
      <c r="C433" s="61">
        <v>432.0</v>
      </c>
      <c r="D433" s="89"/>
      <c r="E433" s="89"/>
      <c r="F433" s="20"/>
      <c r="G433" s="20"/>
      <c r="H433" s="25"/>
      <c r="I433" s="21"/>
      <c r="J433" s="25"/>
      <c r="K433" s="22"/>
      <c r="L433" s="23"/>
      <c r="M433" s="25"/>
      <c r="N433" s="19">
        <f>IFERROR(__xludf.DUMMYFUNCTION("SUM(QUERY(Entregas_BD!D:L,""select G where D='""&amp;D433&amp;""'"",1))"),0.0)</f>
        <v>0</v>
      </c>
      <c r="O433" s="19">
        <f>IFERROR(__xludf.DUMMYFUNCTION("SUM(QUERY(Entregas_BD!D:L,""select H where D='""&amp;D433&amp;""'"",1))"),0.0)</f>
        <v>0</v>
      </c>
      <c r="P433" s="19">
        <f>IFERROR(__xludf.DUMMYFUNCTION("SUM(QUERY(Entregas_BD!D:L,""select I where D='""&amp;D433&amp;""'"",1))"),0.0)</f>
        <v>0</v>
      </c>
      <c r="Q433" s="19">
        <f>IFERROR(__xludf.DUMMYFUNCTION("SUM(QUERY(Entregas_BD!D:L,""select J where D='""&amp;D433&amp;""'"",1))"),0.0)</f>
        <v>0</v>
      </c>
      <c r="R433" s="24">
        <f>IFERROR(__xludf.DUMMYFUNCTION("SUM(QUERY(Entregas_BD!D:L,""select K where D='""&amp;D433&amp;""'"",1))"),0.0)</f>
        <v>0</v>
      </c>
      <c r="S433" s="24">
        <f>IFERROR(__xludf.DUMMYFUNCTION("SUM(QUERY(Entregas_BD!D:L,""select L where D='""&amp;D433&amp;""'"",1))"),0.0)</f>
        <v>0</v>
      </c>
      <c r="T433" s="19">
        <f>IFERROR(__xludf.DUMMYFUNCTION("SUM(QUERY(Entregas_BD!D:AL,""select AG where D='""&amp;D433&amp;""'"",1))"),0.0)</f>
        <v>0</v>
      </c>
      <c r="U433" s="19">
        <f>IFERROR(__xludf.DUMMYFUNCTION("SUM(QUERY(Entregas_BD!D:AL,""select AH where D='""&amp;D433&amp;""'"",1))"),0.0)</f>
        <v>0</v>
      </c>
      <c r="V433" s="19">
        <f>IFERROR(__xludf.DUMMYFUNCTION("SUM(QUERY(Entregas_BD!D:AL,""select AI where D='""&amp;D433&amp;""'"",1))"),0.0)</f>
        <v>0</v>
      </c>
      <c r="W433" s="19">
        <f>IFERROR(__xludf.DUMMYFUNCTION("SUM(QUERY(Entregas_BD!D:AL,""select AJ where D='""&amp;D433&amp;""'"",1))"),0.0)</f>
        <v>0</v>
      </c>
      <c r="X433" s="19">
        <f>IFERROR(__xludf.DUMMYFUNCTION("SUM(QUERY(Entregas_BD!D:AL,""select AL where D='""&amp;D433&amp;""'"",1))"),0.0)</f>
        <v>0</v>
      </c>
      <c r="Y433" s="19">
        <f>IFERROR(__xludf.DUMMYFUNCTION("SUM(QUERY(Entregas_BD!D:AL,""select AK where D='""&amp;D433&amp;""'"",1))"),0.0)</f>
        <v>0</v>
      </c>
      <c r="Z433" s="19">
        <v>0.0</v>
      </c>
      <c r="AA433" s="19">
        <v>0.0</v>
      </c>
      <c r="AB433" s="19">
        <v>0.0</v>
      </c>
      <c r="AC433" s="19">
        <v>0.0</v>
      </c>
      <c r="AD433" s="19">
        <v>0.0</v>
      </c>
      <c r="AE433" s="19">
        <v>0.0</v>
      </c>
      <c r="AF433" s="25"/>
      <c r="AG433" s="24">
        <f>IFERROR(__xludf.DUMMYFUNCTION("SUM(QUERY(Entregas_BD!D:W,""select U where D='""&amp;D433&amp;""'"",1))"),0.0)</f>
        <v>0</v>
      </c>
      <c r="AH433" s="24">
        <f>IFERROR(__xludf.DUMMYFUNCTION("SUM(QUERY(Entregas_BD!D:W,""select S where D='""&amp;D433&amp;""'"",1))"),0.0)</f>
        <v>0</v>
      </c>
      <c r="AI433" s="24">
        <f>IFERROR(__xludf.DUMMYFUNCTION("SUM(QUERY(Entregas_BD!D:W,""select T where D='""&amp;D433&amp;""'"",1))"),0.0)</f>
        <v>0</v>
      </c>
    </row>
  </sheetData>
  <autoFilter ref="$A$1:$AI$433"/>
  <conditionalFormatting sqref="Z2:AE433">
    <cfRule type="cellIs" dxfId="0" priority="1" operator="lessThan">
      <formula>0</formula>
    </cfRule>
  </conditionalFormatting>
  <conditionalFormatting sqref="Z2:AE433">
    <cfRule type="cellIs" dxfId="1" priority="2" operator="greater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58.86"/>
    <col customWidth="1" min="13" max="13" width="22.57"/>
    <col customWidth="1" min="17" max="17" width="12.43"/>
    <col customWidth="1" min="18" max="18" width="45.71"/>
    <col customWidth="1" min="19" max="19" width="20.57"/>
    <col customWidth="1" min="20" max="20" width="22.57"/>
    <col customWidth="1" min="22" max="22" width="14.14"/>
    <col customWidth="1" min="23" max="23" width="19.43"/>
    <col customWidth="1" min="24" max="24" width="18.14"/>
    <col customWidth="1" min="29" max="31" width="16.71"/>
    <col customWidth="1" min="32" max="32" width="14.43"/>
  </cols>
  <sheetData>
    <row r="1" ht="30.75" customHeight="1">
      <c r="A1" s="93" t="s">
        <v>2</v>
      </c>
      <c r="B1" s="94" t="s">
        <v>3</v>
      </c>
      <c r="C1" s="93" t="s">
        <v>967</v>
      </c>
      <c r="D1" s="93" t="s">
        <v>968</v>
      </c>
      <c r="E1" s="93" t="s">
        <v>969</v>
      </c>
      <c r="F1" s="93" t="s">
        <v>970</v>
      </c>
      <c r="G1" s="93" t="s">
        <v>971</v>
      </c>
      <c r="H1" s="95" t="s">
        <v>972</v>
      </c>
      <c r="I1" s="95" t="s">
        <v>973</v>
      </c>
      <c r="J1" s="95" t="s">
        <v>974</v>
      </c>
      <c r="K1" s="95" t="s">
        <v>975</v>
      </c>
      <c r="L1" s="95" t="s">
        <v>976</v>
      </c>
      <c r="M1" s="96" t="s">
        <v>977</v>
      </c>
      <c r="N1" s="97" t="s">
        <v>978</v>
      </c>
      <c r="O1" s="96" t="s">
        <v>8</v>
      </c>
      <c r="P1" s="93" t="s">
        <v>979</v>
      </c>
      <c r="Q1" s="96" t="s">
        <v>10</v>
      </c>
      <c r="R1" s="96" t="s">
        <v>980</v>
      </c>
      <c r="S1" s="5" t="s">
        <v>981</v>
      </c>
      <c r="T1" s="5" t="s">
        <v>982</v>
      </c>
      <c r="U1" s="95" t="s">
        <v>983</v>
      </c>
      <c r="V1" s="98" t="s">
        <v>984</v>
      </c>
      <c r="W1" s="98" t="s">
        <v>985</v>
      </c>
      <c r="X1" s="93" t="s">
        <v>986</v>
      </c>
      <c r="Y1" s="93" t="s">
        <v>987</v>
      </c>
      <c r="Z1" s="93" t="s">
        <v>988</v>
      </c>
      <c r="AA1" s="93" t="s">
        <v>989</v>
      </c>
      <c r="AB1" s="93" t="s">
        <v>990</v>
      </c>
      <c r="AC1" s="93" t="s">
        <v>991</v>
      </c>
      <c r="AD1" s="93" t="s">
        <v>992</v>
      </c>
      <c r="AE1" s="93" t="s">
        <v>993</v>
      </c>
      <c r="AF1" s="4" t="s">
        <v>994</v>
      </c>
      <c r="AG1" s="4" t="s">
        <v>995</v>
      </c>
      <c r="AH1" s="99" t="s">
        <v>996</v>
      </c>
      <c r="AI1" s="99" t="s">
        <v>997</v>
      </c>
      <c r="AJ1" s="99" t="s">
        <v>998</v>
      </c>
      <c r="AK1" s="95" t="s">
        <v>999</v>
      </c>
      <c r="AL1" s="95" t="s">
        <v>1000</v>
      </c>
      <c r="AM1" s="93" t="s">
        <v>1001</v>
      </c>
    </row>
    <row r="2" ht="21.0" customHeight="1">
      <c r="A2" s="100"/>
      <c r="B2" s="101"/>
      <c r="C2" s="59"/>
      <c r="D2" s="35" t="s">
        <v>53</v>
      </c>
      <c r="E2" s="102"/>
      <c r="F2" s="102"/>
      <c r="G2" s="103"/>
      <c r="H2" s="32"/>
      <c r="I2" s="32"/>
      <c r="J2" s="32"/>
      <c r="K2" s="32"/>
      <c r="L2" s="32"/>
      <c r="M2" s="104" t="str">
        <f>IFERROR(__xludf.DUMMYFUNCTION("QUERY(Hospitais_BD!D:I,""select E where D='""&amp;D2&amp;""'"",0)"),"ZONA SUL")</f>
        <v>ZONA SUL</v>
      </c>
      <c r="N2" s="102" t="str">
        <f>IFERROR(__xludf.DUMMYFUNCTION("QUERY(Hospitais_BD!D:I,""select F where D='""&amp;D2&amp;""'"")"),"Rio de Janeiro")</f>
        <v>Rio de Janeiro</v>
      </c>
      <c r="O2" s="105" t="str">
        <f>IFERROR(__xludf.DUMMYFUNCTION("QUERY(Hospitais_BD!D:I,""select G where D='""&amp;D2&amp;""'"")"),"Humaita")</f>
        <v>Humaita</v>
      </c>
      <c r="P2" s="102"/>
      <c r="Q2" s="105" t="str">
        <f>IFERROR(__xludf.DUMMYFUNCTION("QUERY(Hospitais_BD!D:I,""select I where D='""&amp;D2&amp;""'"")"),"Privado")</f>
        <v>Privado</v>
      </c>
      <c r="R2" s="105" t="str">
        <f>IFERROR(__xludf.DUMMYFUNCTION("QUERY(Hospitais_BD!D:I,""select H where D='""&amp;D2&amp;""'"")"),"Unidade básica - BAIXA COMPLEXIDADE")</f>
        <v>Unidade básica - BAIXA COMPLEXIDADE</v>
      </c>
      <c r="S2" s="106"/>
      <c r="T2" s="106"/>
      <c r="U2" s="107"/>
      <c r="V2" s="102"/>
      <c r="W2" s="102"/>
      <c r="X2" s="102"/>
      <c r="Y2" s="35"/>
      <c r="Z2" s="35"/>
      <c r="AA2" s="108"/>
      <c r="AB2" s="102"/>
      <c r="AC2" s="102"/>
      <c r="AD2" s="102"/>
      <c r="AE2" s="102"/>
      <c r="AF2" s="109"/>
      <c r="AG2" s="110">
        <v>20.0</v>
      </c>
      <c r="AH2" s="109">
        <v>0.0</v>
      </c>
      <c r="AI2" s="109">
        <v>0.0</v>
      </c>
      <c r="AJ2" s="109">
        <v>0.0</v>
      </c>
      <c r="AK2" s="109">
        <v>0.0</v>
      </c>
      <c r="AL2" s="109"/>
      <c r="AM2" s="111" t="s">
        <v>1002</v>
      </c>
    </row>
    <row r="3" ht="21.0" customHeight="1">
      <c r="A3" s="112"/>
      <c r="B3" s="113"/>
      <c r="C3" s="42"/>
      <c r="D3" s="38" t="s">
        <v>67</v>
      </c>
      <c r="E3" s="75"/>
      <c r="F3" s="75"/>
      <c r="G3" s="114"/>
      <c r="H3" s="25"/>
      <c r="I3" s="25"/>
      <c r="J3" s="25"/>
      <c r="K3" s="25"/>
      <c r="L3" s="25"/>
      <c r="M3" s="115" t="str">
        <f>IFERROR(__xludf.DUMMYFUNCTION("QUERY(Hospitais_BD!D:I,""select E where D='""&amp;D3&amp;""'"",0)"),"ZONA SUL")</f>
        <v>ZONA SUL</v>
      </c>
      <c r="N3" s="75" t="str">
        <f>IFERROR(__xludf.DUMMYFUNCTION("QUERY(Hospitais_BD!D:I,""select F where D='""&amp;D3&amp;""'"")"),"Rio de Janeiro")</f>
        <v>Rio de Janeiro</v>
      </c>
      <c r="O3" s="116" t="str">
        <f>IFERROR(__xludf.DUMMYFUNCTION("QUERY(Hospitais_BD!D:I,""select G where D='""&amp;D3&amp;""'"")"),"Leblon")</f>
        <v>Leblon</v>
      </c>
      <c r="P3" s="75"/>
      <c r="Q3" s="116" t="str">
        <f>IFERROR(__xludf.DUMMYFUNCTION("QUERY(Hospitais_BD!D:I,""select I where D='""&amp;D3&amp;""'"")"),"Público")</f>
        <v>Público</v>
      </c>
      <c r="R3" s="116" t="str">
        <f>IFERROR(__xludf.DUMMYFUNCTION("QUERY(Hospitais_BD!D:I,""select H where D='""&amp;D3&amp;""'"")"),"Grande emergência - MÉDIA COMPLEXIDADE")</f>
        <v>Grande emergência - MÉDIA COMPLEXIDADE</v>
      </c>
      <c r="S3" s="117"/>
      <c r="T3" s="117"/>
      <c r="U3" s="118"/>
      <c r="V3" s="75"/>
      <c r="W3" s="75"/>
      <c r="X3" s="119"/>
      <c r="Y3" s="30"/>
      <c r="Z3" s="30"/>
      <c r="AA3" s="120"/>
      <c r="AB3" s="75"/>
      <c r="AC3" s="75"/>
      <c r="AD3" s="75"/>
      <c r="AE3" s="75"/>
      <c r="AF3" s="121"/>
      <c r="AG3" s="122">
        <v>50.0</v>
      </c>
      <c r="AH3" s="123">
        <v>0.0</v>
      </c>
      <c r="AI3" s="123">
        <v>0.0</v>
      </c>
      <c r="AJ3" s="123">
        <v>0.0</v>
      </c>
      <c r="AK3" s="123">
        <v>0.0</v>
      </c>
      <c r="AL3" s="123"/>
      <c r="AM3" s="124" t="s">
        <v>1002</v>
      </c>
    </row>
    <row r="4" ht="21.0" customHeight="1">
      <c r="A4" s="100"/>
      <c r="B4" s="101"/>
      <c r="C4" s="59"/>
      <c r="D4" s="37" t="s">
        <v>884</v>
      </c>
      <c r="E4" s="102"/>
      <c r="F4" s="102"/>
      <c r="G4" s="109"/>
      <c r="H4" s="32"/>
      <c r="I4" s="32"/>
      <c r="J4" s="32"/>
      <c r="K4" s="32"/>
      <c r="L4" s="32"/>
      <c r="M4" s="104" t="str">
        <f>IFERROR(__xludf.DUMMYFUNCTION("QUERY(Hospitais_BD!D:I,""select E where D='""&amp;D4&amp;""'"",0)"),"CENTRO")</f>
        <v>CENTRO</v>
      </c>
      <c r="N4" s="102" t="str">
        <f>IFERROR(__xludf.DUMMYFUNCTION("QUERY(Hospitais_BD!D:I,""select F where D='""&amp;D4&amp;""'"")"),"Rio de Janeiro")</f>
        <v>Rio de Janeiro</v>
      </c>
      <c r="O4" s="105" t="str">
        <f>IFERROR(__xludf.DUMMYFUNCTION("QUERY(Hospitais_BD!D:I,""select G where D='""&amp;D4&amp;""'"")"),"Centro")</f>
        <v>Centro</v>
      </c>
      <c r="P4" s="102"/>
      <c r="Q4" s="105" t="str">
        <f>IFERROR(__xludf.DUMMYFUNCTION("QUERY(Hospitais_BD!D:I,""select I where D='""&amp;D4&amp;""'"")"),"Público")</f>
        <v>Público</v>
      </c>
      <c r="R4" s="105" t="str">
        <f>IFERROR(__xludf.DUMMYFUNCTION("QUERY(Hospitais_BD!D:I,""select H where D='""&amp;D4&amp;""'"")"),"Unidade básica de saúde - BAIXA COMPLEXIDADE")</f>
        <v>Unidade básica de saúde - BAIXA COMPLEXIDADE</v>
      </c>
      <c r="S4" s="106"/>
      <c r="T4" s="106"/>
      <c r="U4" s="107"/>
      <c r="V4" s="102"/>
      <c r="W4" s="102"/>
      <c r="X4" s="125"/>
      <c r="Y4" s="35"/>
      <c r="Z4" s="35"/>
      <c r="AA4" s="126"/>
      <c r="AB4" s="102"/>
      <c r="AC4" s="102"/>
      <c r="AD4" s="102"/>
      <c r="AE4" s="102"/>
      <c r="AF4" s="110"/>
      <c r="AG4" s="127">
        <v>100.0</v>
      </c>
      <c r="AH4" s="109">
        <v>0.0</v>
      </c>
      <c r="AI4" s="109">
        <v>0.0</v>
      </c>
      <c r="AJ4" s="109">
        <v>0.0</v>
      </c>
      <c r="AK4" s="109">
        <v>0.0</v>
      </c>
      <c r="AL4" s="109"/>
      <c r="AM4" s="111" t="s">
        <v>1002</v>
      </c>
    </row>
    <row r="5" ht="21.0" customHeight="1">
      <c r="A5" s="112"/>
      <c r="B5" s="113"/>
      <c r="C5" s="42"/>
      <c r="D5" s="30" t="s">
        <v>108</v>
      </c>
      <c r="E5" s="75"/>
      <c r="F5" s="75"/>
      <c r="G5" s="68"/>
      <c r="H5" s="25"/>
      <c r="I5" s="25"/>
      <c r="J5" s="25"/>
      <c r="K5" s="25"/>
      <c r="L5" s="25"/>
      <c r="M5" s="115" t="str">
        <f>IFERROR(__xludf.DUMMYFUNCTION("QUERY(Hospitais_BD!D:I,""select E where D='""&amp;D5&amp;""'"",0)"),"ZONA SUL")</f>
        <v>ZONA SUL</v>
      </c>
      <c r="N5" s="75" t="str">
        <f>IFERROR(__xludf.DUMMYFUNCTION("QUERY(Hospitais_BD!D:I,""select F where D='""&amp;D5&amp;""'"")"),"Rio de Janeiro")</f>
        <v>Rio de Janeiro</v>
      </c>
      <c r="O5" s="116" t="str">
        <f>IFERROR(__xludf.DUMMYFUNCTION("QUERY(Hospitais_BD!D:I,""select G where D='""&amp;D5&amp;""'"")"),"Rocinha")</f>
        <v>Rocinha</v>
      </c>
      <c r="P5" s="75"/>
      <c r="Q5" s="116" t="str">
        <f>IFERROR(__xludf.DUMMYFUNCTION("QUERY(Hospitais_BD!D:I,""select I where D='""&amp;D5&amp;""'"")"),"Público")</f>
        <v>Público</v>
      </c>
      <c r="R5" s="116" t="str">
        <f>IFERROR(__xludf.DUMMYFUNCTION("QUERY(Hospitais_BD!D:I,""select H where D='""&amp;D5&amp;""'"")"),"Unidade básica - BAIXA COMPLEXIDADE")</f>
        <v>Unidade básica - BAIXA COMPLEXIDADE</v>
      </c>
      <c r="S5" s="117"/>
      <c r="T5" s="117"/>
      <c r="U5" s="118"/>
      <c r="V5" s="75"/>
      <c r="W5" s="75"/>
      <c r="X5" s="75"/>
      <c r="Y5" s="75"/>
      <c r="Z5" s="75"/>
      <c r="AA5" s="128"/>
      <c r="AB5" s="75"/>
      <c r="AC5" s="75"/>
      <c r="AD5" s="75"/>
      <c r="AE5" s="75"/>
      <c r="AF5" s="121"/>
      <c r="AG5" s="122">
        <v>20.0</v>
      </c>
      <c r="AH5" s="123">
        <v>0.0</v>
      </c>
      <c r="AI5" s="123">
        <v>0.0</v>
      </c>
      <c r="AJ5" s="123">
        <v>0.0</v>
      </c>
      <c r="AK5" s="123">
        <v>0.0</v>
      </c>
      <c r="AL5" s="123"/>
      <c r="AM5" s="124" t="s">
        <v>1002</v>
      </c>
    </row>
    <row r="6" ht="21.0" customHeight="1">
      <c r="A6" s="100"/>
      <c r="B6" s="101"/>
      <c r="C6" s="59"/>
      <c r="D6" s="35" t="s">
        <v>111</v>
      </c>
      <c r="E6" s="102"/>
      <c r="F6" s="102"/>
      <c r="G6" s="13"/>
      <c r="H6" s="32"/>
      <c r="I6" s="32"/>
      <c r="J6" s="32"/>
      <c r="K6" s="32"/>
      <c r="L6" s="32"/>
      <c r="M6" s="104" t="str">
        <f>IFERROR(__xludf.DUMMYFUNCTION("QUERY(Hospitais_BD!D:I,""select E where D='""&amp;D6&amp;""'"",0)"),"ZONA NORTE")</f>
        <v>ZONA NORTE</v>
      </c>
      <c r="N6" s="102" t="str">
        <f>IFERROR(__xludf.DUMMYFUNCTION("QUERY(Hospitais_BD!D:I,""select F where D='""&amp;D6&amp;""'"")"),"Rio de Janeiro")</f>
        <v>Rio de Janeiro</v>
      </c>
      <c r="O6" s="105" t="str">
        <f>IFERROR(__xludf.DUMMYFUNCTION("QUERY(Hospitais_BD!D:I,""select G where D='""&amp;D6&amp;""'"")"),"Iraja")</f>
        <v>Iraja</v>
      </c>
      <c r="P6" s="102"/>
      <c r="Q6" s="105" t="str">
        <f>IFERROR(__xludf.DUMMYFUNCTION("QUERY(Hospitais_BD!D:I,""select I where D='""&amp;D6&amp;""'"")"),"Público")</f>
        <v>Público</v>
      </c>
      <c r="R6" s="105" t="str">
        <f>IFERROR(__xludf.DUMMYFUNCTION("QUERY(Hospitais_BD!D:I,""select H where D='""&amp;D6&amp;""'"")"),"Unidade básica - BAIXA COMPLEXIDADE")</f>
        <v>Unidade básica - BAIXA COMPLEXIDADE</v>
      </c>
      <c r="S6" s="106"/>
      <c r="T6" s="106"/>
      <c r="U6" s="107"/>
      <c r="V6" s="102"/>
      <c r="W6" s="102"/>
      <c r="X6" s="102"/>
      <c r="Y6" s="102"/>
      <c r="Z6" s="102"/>
      <c r="AA6" s="129"/>
      <c r="AB6" s="102"/>
      <c r="AC6" s="102"/>
      <c r="AD6" s="102"/>
      <c r="AE6" s="102"/>
      <c r="AF6" s="110"/>
      <c r="AG6" s="127">
        <v>20.0</v>
      </c>
      <c r="AH6" s="109">
        <v>0.0</v>
      </c>
      <c r="AI6" s="109">
        <v>0.0</v>
      </c>
      <c r="AJ6" s="109">
        <v>0.0</v>
      </c>
      <c r="AK6" s="109">
        <v>0.0</v>
      </c>
      <c r="AL6" s="109"/>
      <c r="AM6" s="111" t="s">
        <v>1002</v>
      </c>
    </row>
    <row r="7" ht="21.0" customHeight="1">
      <c r="A7" s="112"/>
      <c r="B7" s="113"/>
      <c r="C7" s="42"/>
      <c r="D7" s="38" t="s">
        <v>117</v>
      </c>
      <c r="E7" s="75"/>
      <c r="F7" s="75"/>
      <c r="G7" s="114"/>
      <c r="H7" s="25"/>
      <c r="I7" s="25"/>
      <c r="J7" s="25"/>
      <c r="K7" s="25"/>
      <c r="L7" s="25"/>
      <c r="M7" s="115" t="str">
        <f>IFERROR(__xludf.DUMMYFUNCTION("QUERY(Hospitais_BD!D:I,""select E where D='""&amp;D7&amp;""'"",0)"),"ZONA OESTE")</f>
        <v>ZONA OESTE</v>
      </c>
      <c r="N7" s="75" t="str">
        <f>IFERROR(__xludf.DUMMYFUNCTION("QUERY(Hospitais_BD!D:I,""select F where D='""&amp;D7&amp;""'"")"),"Rio de Janeiro")</f>
        <v>Rio de Janeiro</v>
      </c>
      <c r="O7" s="116" t="str">
        <f>IFERROR(__xludf.DUMMYFUNCTION("QUERY(Hospitais_BD!D:I,""select G where D='""&amp;D7&amp;""'"")"),"Vargem grande")</f>
        <v>Vargem grande</v>
      </c>
      <c r="P7" s="75"/>
      <c r="Q7" s="116" t="str">
        <f>IFERROR(__xludf.DUMMYFUNCTION("QUERY(Hospitais_BD!D:I,""select I where D='""&amp;D7&amp;""'"")"),"Público")</f>
        <v>Público</v>
      </c>
      <c r="R7" s="116" t="str">
        <f>IFERROR(__xludf.DUMMYFUNCTION("QUERY(Hospitais_BD!D:I,""select H where D='""&amp;D7&amp;""'"")"),"Unidade básica - BAIXA COMPLEXIDADE")</f>
        <v>Unidade básica - BAIXA COMPLEXIDADE</v>
      </c>
      <c r="S7" s="117"/>
      <c r="T7" s="117"/>
      <c r="U7" s="118"/>
      <c r="V7" s="75"/>
      <c r="W7" s="75"/>
      <c r="X7" s="75"/>
      <c r="Y7" s="75"/>
      <c r="Z7" s="75"/>
      <c r="AA7" s="130"/>
      <c r="AB7" s="75"/>
      <c r="AC7" s="75"/>
      <c r="AD7" s="75"/>
      <c r="AE7" s="75"/>
      <c r="AF7" s="121"/>
      <c r="AG7" s="122">
        <v>20.0</v>
      </c>
      <c r="AH7" s="123">
        <v>0.0</v>
      </c>
      <c r="AI7" s="123">
        <v>0.0</v>
      </c>
      <c r="AJ7" s="123">
        <v>0.0</v>
      </c>
      <c r="AK7" s="123">
        <v>0.0</v>
      </c>
      <c r="AL7" s="123"/>
      <c r="AM7" s="124" t="s">
        <v>1002</v>
      </c>
    </row>
    <row r="8" ht="21.0" customHeight="1">
      <c r="A8" s="100"/>
      <c r="B8" s="101"/>
      <c r="C8" s="59"/>
      <c r="D8" s="10" t="s">
        <v>123</v>
      </c>
      <c r="E8" s="102"/>
      <c r="F8" s="102"/>
      <c r="G8" s="103"/>
      <c r="H8" s="32"/>
      <c r="I8" s="32"/>
      <c r="J8" s="32"/>
      <c r="K8" s="32"/>
      <c r="L8" s="32"/>
      <c r="M8" s="104" t="str">
        <f>IFERROR(__xludf.DUMMYFUNCTION("QUERY(Hospitais_BD!D:I,""select E where D='""&amp;D8&amp;""'"",0)"),"ZONA NORTE")</f>
        <v>ZONA NORTE</v>
      </c>
      <c r="N8" s="102" t="str">
        <f>IFERROR(__xludf.DUMMYFUNCTION("QUERY(Hospitais_BD!D:I,""select F where D='""&amp;D8&amp;""'"")"),"Rio de Janeiro")</f>
        <v>Rio de Janeiro</v>
      </c>
      <c r="O8" s="105" t="str">
        <f>IFERROR(__xludf.DUMMYFUNCTION("QUERY(Hospitais_BD!D:I,""select G where D='""&amp;D8&amp;""'"")"),"Cordovil")</f>
        <v>Cordovil</v>
      </c>
      <c r="P8" s="102"/>
      <c r="Q8" s="105" t="str">
        <f>IFERROR(__xludf.DUMMYFUNCTION("QUERY(Hospitais_BD!D:I,""select I where D='""&amp;D8&amp;""'"")"),"Público")</f>
        <v>Público</v>
      </c>
      <c r="R8" s="105" t="str">
        <f>IFERROR(__xludf.DUMMYFUNCTION("QUERY(Hospitais_BD!D:I,""select H where D='""&amp;D8&amp;""'"")"),"Unidade básica - BAIXA COMPLEXIDADE")</f>
        <v>Unidade básica - BAIXA COMPLEXIDADE</v>
      </c>
      <c r="S8" s="106"/>
      <c r="T8" s="106"/>
      <c r="U8" s="107"/>
      <c r="V8" s="102"/>
      <c r="W8" s="102"/>
      <c r="X8" s="102"/>
      <c r="Y8" s="35"/>
      <c r="Z8" s="35"/>
      <c r="AA8" s="108"/>
      <c r="AB8" s="102"/>
      <c r="AC8" s="102"/>
      <c r="AD8" s="102"/>
      <c r="AE8" s="102"/>
      <c r="AF8" s="109"/>
      <c r="AG8" s="110">
        <v>20.0</v>
      </c>
      <c r="AH8" s="109">
        <v>0.0</v>
      </c>
      <c r="AI8" s="109">
        <v>0.0</v>
      </c>
      <c r="AJ8" s="109">
        <v>0.0</v>
      </c>
      <c r="AK8" s="109">
        <v>0.0</v>
      </c>
      <c r="AL8" s="109"/>
      <c r="AM8" s="111" t="s">
        <v>1002</v>
      </c>
    </row>
    <row r="9" ht="21.0" customHeight="1">
      <c r="A9" s="112"/>
      <c r="B9" s="113"/>
      <c r="C9" s="42"/>
      <c r="D9" s="30" t="s">
        <v>126</v>
      </c>
      <c r="E9" s="75"/>
      <c r="F9" s="75"/>
      <c r="G9" s="114"/>
      <c r="H9" s="25"/>
      <c r="I9" s="25"/>
      <c r="J9" s="25"/>
      <c r="K9" s="25"/>
      <c r="L9" s="25"/>
      <c r="M9" s="115" t="str">
        <f>IFERROR(__xludf.DUMMYFUNCTION("QUERY(Hospitais_BD!D:I,""select E where D='""&amp;D9&amp;""'"",0)"),"ZONA SUL")</f>
        <v>ZONA SUL</v>
      </c>
      <c r="N9" s="75" t="str">
        <f>IFERROR(__xludf.DUMMYFUNCTION("QUERY(Hospitais_BD!D:I,""select F where D='""&amp;D9&amp;""'"")"),"Rio de Janeiro")</f>
        <v>Rio de Janeiro</v>
      </c>
      <c r="O9" s="116" t="str">
        <f>IFERROR(__xludf.DUMMYFUNCTION("QUERY(Hospitais_BD!D:I,""select G where D='""&amp;D9&amp;""'"")"),"Catete")</f>
        <v>Catete</v>
      </c>
      <c r="P9" s="75"/>
      <c r="Q9" s="116" t="str">
        <f>IFERROR(__xludf.DUMMYFUNCTION("QUERY(Hospitais_BD!D:I,""select I where D='""&amp;D9&amp;""'"")"),"Público")</f>
        <v>Público</v>
      </c>
      <c r="R9" s="116" t="str">
        <f>IFERROR(__xludf.DUMMYFUNCTION("QUERY(Hospitais_BD!D:I,""select H where D='""&amp;D9&amp;""'"")"),"Unidade básica - BAIXA COMPLEXIDADE")</f>
        <v>Unidade básica - BAIXA COMPLEXIDADE</v>
      </c>
      <c r="S9" s="117"/>
      <c r="T9" s="117"/>
      <c r="U9" s="118"/>
      <c r="V9" s="75"/>
      <c r="W9" s="75"/>
      <c r="X9" s="75"/>
      <c r="Y9" s="75"/>
      <c r="Z9" s="75"/>
      <c r="AA9" s="75"/>
      <c r="AB9" s="75"/>
      <c r="AC9" s="75"/>
      <c r="AD9" s="75"/>
      <c r="AE9" s="75"/>
      <c r="AF9" s="121"/>
      <c r="AG9" s="122">
        <v>20.0</v>
      </c>
      <c r="AH9" s="123">
        <v>0.0</v>
      </c>
      <c r="AI9" s="123">
        <v>0.0</v>
      </c>
      <c r="AJ9" s="123">
        <v>0.0</v>
      </c>
      <c r="AK9" s="123">
        <v>0.0</v>
      </c>
      <c r="AL9" s="123"/>
      <c r="AM9" s="124" t="s">
        <v>1002</v>
      </c>
    </row>
    <row r="10" ht="21.0" customHeight="1">
      <c r="A10" s="100"/>
      <c r="B10" s="101"/>
      <c r="C10" s="59"/>
      <c r="D10" s="35" t="s">
        <v>129</v>
      </c>
      <c r="E10" s="102"/>
      <c r="F10" s="102"/>
      <c r="G10" s="103"/>
      <c r="H10" s="32"/>
      <c r="I10" s="32"/>
      <c r="J10" s="32"/>
      <c r="K10" s="32"/>
      <c r="L10" s="32"/>
      <c r="M10" s="104" t="str">
        <f>IFERROR(__xludf.DUMMYFUNCTION("QUERY(Hospitais_BD!D:I,""select E where D='""&amp;D10&amp;""'"",0)"),"ZONA OESTE")</f>
        <v>ZONA OESTE</v>
      </c>
      <c r="N10" s="102" t="str">
        <f>IFERROR(__xludf.DUMMYFUNCTION("QUERY(Hospitais_BD!D:I,""select F where D='""&amp;D10&amp;""'"")"),"Rio de Janeiro")</f>
        <v>Rio de Janeiro</v>
      </c>
      <c r="O10" s="105" t="str">
        <f>IFERROR(__xludf.DUMMYFUNCTION("QUERY(Hospitais_BD!D:I,""select G where D='""&amp;D10&amp;""'"")"),"Padre Miguel")</f>
        <v>Padre Miguel</v>
      </c>
      <c r="P10" s="102"/>
      <c r="Q10" s="105" t="str">
        <f>IFERROR(__xludf.DUMMYFUNCTION("QUERY(Hospitais_BD!D:I,""select I where D='""&amp;D10&amp;""'"")"),"Público")</f>
        <v>Público</v>
      </c>
      <c r="R10" s="105" t="str">
        <f>IFERROR(__xludf.DUMMYFUNCTION("QUERY(Hospitais_BD!D:I,""select H where D='""&amp;D10&amp;""'"")"),"Unidade básica - BAIXA COMPLEXIDADE")</f>
        <v>Unidade básica - BAIXA COMPLEXIDADE</v>
      </c>
      <c r="S10" s="106"/>
      <c r="T10" s="106"/>
      <c r="U10" s="107"/>
      <c r="V10" s="102"/>
      <c r="W10" s="102"/>
      <c r="X10" s="102"/>
      <c r="Y10" s="102"/>
      <c r="Z10" s="102"/>
      <c r="AA10" s="129"/>
      <c r="AB10" s="102"/>
      <c r="AC10" s="102"/>
      <c r="AD10" s="102"/>
      <c r="AE10" s="102"/>
      <c r="AF10" s="110"/>
      <c r="AG10" s="127">
        <v>20.0</v>
      </c>
      <c r="AH10" s="109">
        <v>0.0</v>
      </c>
      <c r="AI10" s="109">
        <v>0.0</v>
      </c>
      <c r="AJ10" s="109">
        <v>0.0</v>
      </c>
      <c r="AK10" s="109">
        <v>0.0</v>
      </c>
      <c r="AL10" s="109"/>
      <c r="AM10" s="111" t="s">
        <v>1002</v>
      </c>
    </row>
    <row r="11" ht="21.0" customHeight="1">
      <c r="A11" s="112"/>
      <c r="B11" s="113"/>
      <c r="C11" s="42"/>
      <c r="D11" s="75" t="s">
        <v>132</v>
      </c>
      <c r="E11" s="75"/>
      <c r="F11" s="75"/>
      <c r="G11" s="114"/>
      <c r="H11" s="25"/>
      <c r="I11" s="25"/>
      <c r="J11" s="25"/>
      <c r="K11" s="25"/>
      <c r="L11" s="25"/>
      <c r="M11" s="115" t="str">
        <f>IFERROR(__xludf.DUMMYFUNCTION("QUERY(Hospitais_BD!D:I,""select E where D='""&amp;D11&amp;""'"",0)"),"ZONA SUL")</f>
        <v>ZONA SUL</v>
      </c>
      <c r="N11" s="75" t="str">
        <f>IFERROR(__xludf.DUMMYFUNCTION("QUERY(Hospitais_BD!D:I,""select F where D='""&amp;D11&amp;""'"")"),"Rio de Janeiro")</f>
        <v>Rio de Janeiro</v>
      </c>
      <c r="O11" s="116" t="str">
        <f>IFERROR(__xludf.DUMMYFUNCTION("QUERY(Hospitais_BD!D:I,""select G where D='""&amp;D11&amp;""'"")"),"GAVEA")</f>
        <v>GAVEA</v>
      </c>
      <c r="P11" s="75"/>
      <c r="Q11" s="116" t="str">
        <f>IFERROR(__xludf.DUMMYFUNCTION("QUERY(Hospitais_BD!D:I,""select I where D='""&amp;D11&amp;""'"")"),"Público")</f>
        <v>Público</v>
      </c>
      <c r="R11" s="116" t="str">
        <f>IFERROR(__xludf.DUMMYFUNCTION("QUERY(Hospitais_BD!D:I,""select H where D='""&amp;D11&amp;""'"")"),"Unidade básica - BAIXA COMPLEXIDADE")</f>
        <v>Unidade básica - BAIXA COMPLEXIDADE</v>
      </c>
      <c r="S11" s="117"/>
      <c r="T11" s="117"/>
      <c r="U11" s="118"/>
      <c r="V11" s="75"/>
      <c r="W11" s="75"/>
      <c r="X11" s="75"/>
      <c r="Y11" s="75"/>
      <c r="Z11" s="75"/>
      <c r="AA11" s="131"/>
      <c r="AB11" s="75"/>
      <c r="AC11" s="75"/>
      <c r="AD11" s="75"/>
      <c r="AE11" s="75"/>
      <c r="AF11" s="123"/>
      <c r="AG11" s="132">
        <v>20.0</v>
      </c>
      <c r="AH11" s="123">
        <v>0.0</v>
      </c>
      <c r="AI11" s="123">
        <v>0.0</v>
      </c>
      <c r="AJ11" s="123">
        <v>0.0</v>
      </c>
      <c r="AK11" s="123">
        <v>0.0</v>
      </c>
      <c r="AL11" s="123"/>
      <c r="AM11" s="124" t="s">
        <v>1002</v>
      </c>
    </row>
    <row r="12" ht="21.0" customHeight="1">
      <c r="A12" s="100"/>
      <c r="B12" s="101"/>
      <c r="C12" s="59"/>
      <c r="D12" s="35" t="s">
        <v>135</v>
      </c>
      <c r="E12" s="102"/>
      <c r="F12" s="102"/>
      <c r="G12" s="13"/>
      <c r="H12" s="32"/>
      <c r="I12" s="32"/>
      <c r="J12" s="32"/>
      <c r="K12" s="32"/>
      <c r="L12" s="32"/>
      <c r="M12" s="104" t="str">
        <f>IFERROR(__xludf.DUMMYFUNCTION("QUERY(Hospitais_BD!D:I,""select E where D='""&amp;D12&amp;""'"",0)"),"ZONA NORTE")</f>
        <v>ZONA NORTE</v>
      </c>
      <c r="N12" s="102" t="str">
        <f>IFERROR(__xludf.DUMMYFUNCTION("QUERY(Hospitais_BD!D:I,""select F where D='""&amp;D12&amp;""'"")"),"Rio de Janeiro")</f>
        <v>Rio de Janeiro</v>
      </c>
      <c r="O12" s="105" t="str">
        <f>IFERROR(__xludf.DUMMYFUNCTION("QUERY(Hospitais_BD!D:I,""select G where D='""&amp;D12&amp;""'"")"),"Rio Comprido")</f>
        <v>Rio Comprido</v>
      </c>
      <c r="P12" s="102"/>
      <c r="Q12" s="105" t="str">
        <f>IFERROR(__xludf.DUMMYFUNCTION("QUERY(Hospitais_BD!D:I,""select I where D='""&amp;D12&amp;""'"")"),"Público")</f>
        <v>Público</v>
      </c>
      <c r="R12" s="105" t="str">
        <f>IFERROR(__xludf.DUMMYFUNCTION("QUERY(Hospitais_BD!D:I,""select H where D='""&amp;D12&amp;""'"")"),"Unidade básica - BAIXA COMPLEXIDADE")</f>
        <v>Unidade básica - BAIXA COMPLEXIDADE</v>
      </c>
      <c r="S12" s="106"/>
      <c r="T12" s="106"/>
      <c r="U12" s="107"/>
      <c r="V12" s="102"/>
      <c r="W12" s="102"/>
      <c r="X12" s="102"/>
      <c r="Y12" s="102"/>
      <c r="Z12" s="102"/>
      <c r="AA12" s="129"/>
      <c r="AB12" s="102"/>
      <c r="AC12" s="102"/>
      <c r="AD12" s="102"/>
      <c r="AE12" s="102"/>
      <c r="AF12" s="110"/>
      <c r="AG12" s="127">
        <v>20.0</v>
      </c>
      <c r="AH12" s="109">
        <v>0.0</v>
      </c>
      <c r="AI12" s="109">
        <v>0.0</v>
      </c>
      <c r="AJ12" s="109">
        <v>0.0</v>
      </c>
      <c r="AK12" s="109">
        <v>0.0</v>
      </c>
      <c r="AL12" s="109"/>
      <c r="AM12" s="111" t="s">
        <v>1002</v>
      </c>
    </row>
    <row r="13" ht="21.0" customHeight="1">
      <c r="A13" s="112"/>
      <c r="B13" s="113"/>
      <c r="C13" s="42"/>
      <c r="D13" s="75" t="s">
        <v>146</v>
      </c>
      <c r="E13" s="75"/>
      <c r="F13" s="75"/>
      <c r="G13" s="114"/>
      <c r="H13" s="25"/>
      <c r="I13" s="25"/>
      <c r="J13" s="25"/>
      <c r="K13" s="25"/>
      <c r="L13" s="25"/>
      <c r="M13" s="115" t="str">
        <f>IFERROR(__xludf.DUMMYFUNCTION("QUERY(Hospitais_BD!D:I,""select E where D='""&amp;D13&amp;""'"",0)"),"ZONA SUL")</f>
        <v>ZONA SUL</v>
      </c>
      <c r="N13" s="75" t="str">
        <f>IFERROR(__xludf.DUMMYFUNCTION("QUERY(Hospitais_BD!D:I,""select F where D='""&amp;D13&amp;""'"")"),"Rio de Janeiro")</f>
        <v>Rio de Janeiro</v>
      </c>
      <c r="O13" s="116" t="str">
        <f>IFERROR(__xludf.DUMMYFUNCTION("QUERY(Hospitais_BD!D:I,""select G where D='""&amp;D13&amp;""'"")"),"Catete")</f>
        <v>Catete</v>
      </c>
      <c r="P13" s="75"/>
      <c r="Q13" s="116" t="str">
        <f>IFERROR(__xludf.DUMMYFUNCTION("QUERY(Hospitais_BD!D:I,""select I where D='""&amp;D13&amp;""'"")"),"Público")</f>
        <v>Público</v>
      </c>
      <c r="R13" s="116" t="str">
        <f>IFERROR(__xludf.DUMMYFUNCTION("QUERY(Hospitais_BD!D:I,""select H where D='""&amp;D13&amp;""'"")"),"Unidade básica - BAIXA COMPLEXIDADE")</f>
        <v>Unidade básica - BAIXA COMPLEXIDADE</v>
      </c>
      <c r="S13" s="117"/>
      <c r="T13" s="117"/>
      <c r="U13" s="118"/>
      <c r="V13" s="75"/>
      <c r="W13" s="75"/>
      <c r="X13" s="75"/>
      <c r="Y13" s="75"/>
      <c r="Z13" s="75"/>
      <c r="AA13" s="131"/>
      <c r="AB13" s="75"/>
      <c r="AC13" s="75"/>
      <c r="AD13" s="75"/>
      <c r="AE13" s="75"/>
      <c r="AF13" s="123"/>
      <c r="AG13" s="132">
        <v>100.0</v>
      </c>
      <c r="AH13" s="123">
        <v>0.0</v>
      </c>
      <c r="AI13" s="123">
        <v>0.0</v>
      </c>
      <c r="AJ13" s="123">
        <v>0.0</v>
      </c>
      <c r="AK13" s="123">
        <v>0.0</v>
      </c>
      <c r="AL13" s="123"/>
      <c r="AM13" s="124" t="s">
        <v>1002</v>
      </c>
    </row>
    <row r="14" ht="21.0" customHeight="1">
      <c r="A14" s="100"/>
      <c r="B14" s="101"/>
      <c r="C14" s="59"/>
      <c r="D14" s="37" t="s">
        <v>151</v>
      </c>
      <c r="E14" s="102"/>
      <c r="F14" s="102"/>
      <c r="G14" s="103"/>
      <c r="H14" s="32"/>
      <c r="I14" s="32"/>
      <c r="J14" s="32"/>
      <c r="K14" s="32"/>
      <c r="L14" s="32"/>
      <c r="M14" s="104" t="str">
        <f>IFERROR(__xludf.DUMMYFUNCTION("QUERY(Hospitais_BD!D:I,""select E where D='""&amp;D14&amp;""'"",0)"),"CENTRO")</f>
        <v>CENTRO</v>
      </c>
      <c r="N14" s="102" t="str">
        <f>IFERROR(__xludf.DUMMYFUNCTION("QUERY(Hospitais_BD!D:I,""select F where D='""&amp;D14&amp;""'"")"),"Rio de Janeiro")</f>
        <v>Rio de Janeiro</v>
      </c>
      <c r="O14" s="105" t="str">
        <f>IFERROR(__xludf.DUMMYFUNCTION("QUERY(Hospitais_BD!D:I,""select G where D='""&amp;D14&amp;""'"")"),"Centro")</f>
        <v>Centro</v>
      </c>
      <c r="P14" s="102"/>
      <c r="Q14" s="105" t="str">
        <f>IFERROR(__xludf.DUMMYFUNCTION("QUERY(Hospitais_BD!D:I,""select I where D='""&amp;D14&amp;""'"")"),"Público")</f>
        <v>Público</v>
      </c>
      <c r="R14" s="105" t="str">
        <f>IFERROR(__xludf.DUMMYFUNCTION("QUERY(Hospitais_BD!D:I,""select H where D='""&amp;D14&amp;""'"")"),"Referência - ALTA COMPLEXIDADE")</f>
        <v>Referência - ALTA COMPLEXIDADE</v>
      </c>
      <c r="S14" s="106"/>
      <c r="T14" s="106"/>
      <c r="U14" s="107"/>
      <c r="V14" s="102"/>
      <c r="W14" s="102"/>
      <c r="X14" s="102"/>
      <c r="Y14" s="102"/>
      <c r="Z14" s="102"/>
      <c r="AA14" s="133"/>
      <c r="AB14" s="102"/>
      <c r="AC14" s="102"/>
      <c r="AD14" s="102"/>
      <c r="AE14" s="102"/>
      <c r="AF14" s="110"/>
      <c r="AG14" s="127">
        <v>70.0</v>
      </c>
      <c r="AH14" s="109">
        <v>0.0</v>
      </c>
      <c r="AI14" s="109">
        <v>0.0</v>
      </c>
      <c r="AJ14" s="109">
        <v>0.0</v>
      </c>
      <c r="AK14" s="109">
        <v>0.0</v>
      </c>
      <c r="AL14" s="109"/>
      <c r="AM14" s="111" t="s">
        <v>1002</v>
      </c>
    </row>
    <row r="15" ht="21.0" customHeight="1">
      <c r="A15" s="112"/>
      <c r="B15" s="113"/>
      <c r="C15" s="42"/>
      <c r="D15" s="73" t="s">
        <v>885</v>
      </c>
      <c r="E15" s="75"/>
      <c r="F15" s="75"/>
      <c r="G15" s="114"/>
      <c r="H15" s="25"/>
      <c r="I15" s="25"/>
      <c r="J15" s="25"/>
      <c r="K15" s="25"/>
      <c r="L15" s="25"/>
      <c r="M15" s="115" t="str">
        <f>IFERROR(__xludf.DUMMYFUNCTION("QUERY(Hospitais_BD!D:I,""select E where D='""&amp;D15&amp;""'"",0)"),"ZONA NORTE")</f>
        <v>ZONA NORTE</v>
      </c>
      <c r="N15" s="75" t="str">
        <f>IFERROR(__xludf.DUMMYFUNCTION("QUERY(Hospitais_BD!D:I,""select F where D='""&amp;D15&amp;""'"")"),"Rio de Janeiro")</f>
        <v>Rio de Janeiro</v>
      </c>
      <c r="O15" s="116" t="str">
        <f>IFERROR(__xludf.DUMMYFUNCTION("QUERY(Hospitais_BD!D:I,""select G where D='""&amp;D15&amp;""'"")"),"Manguinhos")</f>
        <v>Manguinhos</v>
      </c>
      <c r="P15" s="75"/>
      <c r="Q15" s="116" t="str">
        <f>IFERROR(__xludf.DUMMYFUNCTION("QUERY(Hospitais_BD!D:I,""select I where D='""&amp;D15&amp;""'"")"),"Público")</f>
        <v>Público</v>
      </c>
      <c r="R15" s="116" t="str">
        <f>IFERROR(__xludf.DUMMYFUNCTION("QUERY(Hospitais_BD!D:I,""select H where D='""&amp;D15&amp;""'"")"),"Unidade de Pesquisa")</f>
        <v>Unidade de Pesquisa</v>
      </c>
      <c r="S15" s="117"/>
      <c r="T15" s="117"/>
      <c r="U15" s="118"/>
      <c r="V15" s="75"/>
      <c r="W15" s="75"/>
      <c r="X15" s="75"/>
      <c r="Y15" s="46"/>
      <c r="Z15" s="46"/>
      <c r="AA15" s="75"/>
      <c r="AB15" s="75"/>
      <c r="AC15" s="75"/>
      <c r="AD15" s="75"/>
      <c r="AE15" s="75"/>
      <c r="AF15" s="121"/>
      <c r="AG15" s="122">
        <v>40.0</v>
      </c>
      <c r="AH15" s="123">
        <v>0.0</v>
      </c>
      <c r="AI15" s="123">
        <v>0.0</v>
      </c>
      <c r="AJ15" s="123">
        <v>0.0</v>
      </c>
      <c r="AK15" s="123">
        <v>0.0</v>
      </c>
      <c r="AL15" s="123"/>
      <c r="AM15" s="124" t="s">
        <v>1002</v>
      </c>
    </row>
    <row r="16" ht="21.0" customHeight="1">
      <c r="A16" s="100"/>
      <c r="B16" s="101"/>
      <c r="C16" s="59"/>
      <c r="D16" s="10" t="s">
        <v>179</v>
      </c>
      <c r="E16" s="102"/>
      <c r="F16" s="102"/>
      <c r="G16" s="103"/>
      <c r="H16" s="32"/>
      <c r="I16" s="32"/>
      <c r="J16" s="32"/>
      <c r="K16" s="32"/>
      <c r="L16" s="32"/>
      <c r="M16" s="104" t="str">
        <f>IFERROR(__xludf.DUMMYFUNCTION("QUERY(Hospitais_BD!D:I,""select E where D='""&amp;D16&amp;""'"",0)"),"CENTRO")</f>
        <v>CENTRO</v>
      </c>
      <c r="N16" s="102" t="str">
        <f>IFERROR(__xludf.DUMMYFUNCTION("QUERY(Hospitais_BD!D:I,""select F where D='""&amp;D16&amp;""'"")"),"Rio de Janeiro")</f>
        <v>Rio de Janeiro</v>
      </c>
      <c r="O16" s="105" t="str">
        <f>IFERROR(__xludf.DUMMYFUNCTION("QUERY(Hospitais_BD!D:I,""select G where D='""&amp;D16&amp;""'"")"),"Rio Comprido")</f>
        <v>Rio Comprido</v>
      </c>
      <c r="P16" s="102"/>
      <c r="Q16" s="105" t="str">
        <f>IFERROR(__xludf.DUMMYFUNCTION("QUERY(Hospitais_BD!D:I,""select I where D='""&amp;D16&amp;""'"")"),"Público")</f>
        <v>Público</v>
      </c>
      <c r="R16" s="105" t="str">
        <f>IFERROR(__xludf.DUMMYFUNCTION("QUERY(Hospitais_BD!D:I,""select H where D='""&amp;D16&amp;""'"")"),"Referência - ALTA COMPLEXIDADE")</f>
        <v>Referência - ALTA COMPLEXIDADE</v>
      </c>
      <c r="S16" s="106"/>
      <c r="T16" s="106"/>
      <c r="U16" s="107"/>
      <c r="V16" s="102"/>
      <c r="W16" s="102"/>
      <c r="X16" s="102"/>
      <c r="Y16" s="35"/>
      <c r="Z16" s="35"/>
      <c r="AA16" s="126"/>
      <c r="AB16" s="102"/>
      <c r="AC16" s="102"/>
      <c r="AD16" s="102"/>
      <c r="AE16" s="102"/>
      <c r="AF16" s="110"/>
      <c r="AG16" s="127">
        <v>100.0</v>
      </c>
      <c r="AH16" s="109">
        <v>0.0</v>
      </c>
      <c r="AI16" s="109">
        <v>0.0</v>
      </c>
      <c r="AJ16" s="109">
        <v>0.0</v>
      </c>
      <c r="AK16" s="109">
        <v>0.0</v>
      </c>
      <c r="AL16" s="109"/>
      <c r="AM16" s="111" t="s">
        <v>1002</v>
      </c>
    </row>
    <row r="17" ht="21.0" customHeight="1">
      <c r="A17" s="112"/>
      <c r="B17" s="113"/>
      <c r="C17" s="42"/>
      <c r="D17" s="20" t="s">
        <v>181</v>
      </c>
      <c r="E17" s="75"/>
      <c r="F17" s="75"/>
      <c r="G17" s="114"/>
      <c r="H17" s="25"/>
      <c r="I17" s="25"/>
      <c r="J17" s="25"/>
      <c r="K17" s="25"/>
      <c r="L17" s="25"/>
      <c r="M17" s="115" t="str">
        <f>IFERROR(__xludf.DUMMYFUNCTION("QUERY(Hospitais_BD!D:I,""select E where D='""&amp;D17&amp;""'"",0)"),"CENTRO")</f>
        <v>CENTRO</v>
      </c>
      <c r="N17" s="75" t="str">
        <f>IFERROR(__xludf.DUMMYFUNCTION("QUERY(Hospitais_BD!D:I,""select F where D='""&amp;D17&amp;""'"")"),"Rio de Janeiro")</f>
        <v>Rio de Janeiro</v>
      </c>
      <c r="O17" s="116" t="str">
        <f>IFERROR(__xludf.DUMMYFUNCTION("QUERY(Hospitais_BD!D:I,""select G where D='""&amp;D17&amp;""'"")"),"Estacio")</f>
        <v>Estacio</v>
      </c>
      <c r="P17" s="75"/>
      <c r="Q17" s="116" t="str">
        <f>IFERROR(__xludf.DUMMYFUNCTION("QUERY(Hospitais_BD!D:I,""select I where D='""&amp;D17&amp;""'"")"),"Público")</f>
        <v>Público</v>
      </c>
      <c r="R17" s="116" t="str">
        <f>IFERROR(__xludf.DUMMYFUNCTION("QUERY(Hospitais_BD!D:I,""select H where D='""&amp;D17&amp;""'"")"),"Unidade básica - BAIXA COMPLEXIDADE")</f>
        <v>Unidade básica - BAIXA COMPLEXIDADE</v>
      </c>
      <c r="S17" s="117"/>
      <c r="T17" s="117"/>
      <c r="U17" s="118"/>
      <c r="V17" s="75"/>
      <c r="W17" s="75"/>
      <c r="X17" s="75"/>
      <c r="Y17" s="30"/>
      <c r="Z17" s="30"/>
      <c r="AA17" s="130"/>
      <c r="AB17" s="75"/>
      <c r="AC17" s="75"/>
      <c r="AD17" s="75"/>
      <c r="AE17" s="75"/>
      <c r="AF17" s="121"/>
      <c r="AG17" s="122">
        <v>100.0</v>
      </c>
      <c r="AH17" s="123">
        <v>0.0</v>
      </c>
      <c r="AI17" s="123">
        <v>0.0</v>
      </c>
      <c r="AJ17" s="123">
        <v>0.0</v>
      </c>
      <c r="AK17" s="123">
        <v>0.0</v>
      </c>
      <c r="AL17" s="123"/>
      <c r="AM17" s="124" t="s">
        <v>1002</v>
      </c>
    </row>
    <row r="18" ht="21.0" customHeight="1">
      <c r="A18" s="100"/>
      <c r="B18" s="101"/>
      <c r="C18" s="59"/>
      <c r="D18" s="35" t="s">
        <v>201</v>
      </c>
      <c r="E18" s="102"/>
      <c r="F18" s="102"/>
      <c r="G18" s="103"/>
      <c r="H18" s="32"/>
      <c r="I18" s="32"/>
      <c r="J18" s="32"/>
      <c r="K18" s="32"/>
      <c r="L18" s="32"/>
      <c r="M18" s="104" t="str">
        <f>IFERROR(__xludf.DUMMYFUNCTION("QUERY(Hospitais_BD!D:I,""select E where D='""&amp;D18&amp;""'"",0)"),"ZONA OESTE")</f>
        <v>ZONA OESTE</v>
      </c>
      <c r="N18" s="102" t="str">
        <f>IFERROR(__xludf.DUMMYFUNCTION("QUERY(Hospitais_BD!D:I,""select F where D='""&amp;D18&amp;""'"")"),"Rio de Janeiro")</f>
        <v>Rio de Janeiro</v>
      </c>
      <c r="O18" s="105" t="str">
        <f>IFERROR(__xludf.DUMMYFUNCTION("QUERY(Hospitais_BD!D:I,""select G where D='""&amp;D18&amp;""'"")"),"Bangu")</f>
        <v>Bangu</v>
      </c>
      <c r="P18" s="102"/>
      <c r="Q18" s="105" t="str">
        <f>IFERROR(__xludf.DUMMYFUNCTION("QUERY(Hospitais_BD!D:I,""select I where D='""&amp;D18&amp;""'"")"),"Público")</f>
        <v>Público</v>
      </c>
      <c r="R18" s="105" t="str">
        <f>IFERROR(__xludf.DUMMYFUNCTION("QUERY(Hospitais_BD!D:I,""select H where D='""&amp;D18&amp;""'"")"),"Grande emergência - MÉDIA COMPLEXIDADE")</f>
        <v>Grande emergência - MÉDIA COMPLEXIDADE</v>
      </c>
      <c r="S18" s="106"/>
      <c r="T18" s="106"/>
      <c r="U18" s="107"/>
      <c r="V18" s="102"/>
      <c r="W18" s="102"/>
      <c r="X18" s="102"/>
      <c r="Y18" s="102"/>
      <c r="Z18" s="102"/>
      <c r="AA18" s="129"/>
      <c r="AB18" s="102"/>
      <c r="AC18" s="102"/>
      <c r="AD18" s="102"/>
      <c r="AE18" s="102"/>
      <c r="AF18" s="110"/>
      <c r="AG18" s="127">
        <v>20.0</v>
      </c>
      <c r="AH18" s="109">
        <v>0.0</v>
      </c>
      <c r="AI18" s="109">
        <v>0.0</v>
      </c>
      <c r="AJ18" s="109">
        <v>0.0</v>
      </c>
      <c r="AK18" s="109">
        <v>0.0</v>
      </c>
      <c r="AL18" s="109"/>
      <c r="AM18" s="111" t="s">
        <v>1002</v>
      </c>
    </row>
    <row r="19" ht="21.0" customHeight="1">
      <c r="A19" s="112"/>
      <c r="B19" s="113"/>
      <c r="C19" s="42"/>
      <c r="D19" s="30" t="s">
        <v>211</v>
      </c>
      <c r="E19" s="75"/>
      <c r="F19" s="75"/>
      <c r="G19" s="114"/>
      <c r="H19" s="25"/>
      <c r="I19" s="25"/>
      <c r="J19" s="25"/>
      <c r="K19" s="25"/>
      <c r="L19" s="25"/>
      <c r="M19" s="115" t="str">
        <f>IFERROR(__xludf.DUMMYFUNCTION("QUERY(Hospitais_BD!D:I,""select E where D='""&amp;D19&amp;""'"",0)"),"CENTRO")</f>
        <v>CENTRO</v>
      </c>
      <c r="N19" s="75" t="str">
        <f>IFERROR(__xludf.DUMMYFUNCTION("QUERY(Hospitais_BD!D:I,""select F where D='""&amp;D19&amp;""'"")"),"Rio de Janeiro")</f>
        <v>Rio de Janeiro</v>
      </c>
      <c r="O19" s="116" t="str">
        <f>IFERROR(__xludf.DUMMYFUNCTION("QUERY(Hospitais_BD!D:I,""select G where D='""&amp;D19&amp;""'"")"),"centro")</f>
        <v>centro</v>
      </c>
      <c r="P19" s="75"/>
      <c r="Q19" s="116" t="str">
        <f>IFERROR(__xludf.DUMMYFUNCTION("QUERY(Hospitais_BD!D:I,""select I where D='""&amp;D19&amp;""'"")"),"Público")</f>
        <v>Público</v>
      </c>
      <c r="R19" s="116" t="str">
        <f>IFERROR(__xludf.DUMMYFUNCTION("QUERY(Hospitais_BD!D:I,""select H where D='""&amp;D19&amp;""'"")"),"Unidade básica - BAIXA COMPLEXIDADE")</f>
        <v>Unidade básica - BAIXA COMPLEXIDADE</v>
      </c>
      <c r="S19" s="117"/>
      <c r="T19" s="117"/>
      <c r="U19" s="118"/>
      <c r="V19" s="75"/>
      <c r="W19" s="75"/>
      <c r="X19" s="75"/>
      <c r="Y19" s="75"/>
      <c r="Z19" s="75"/>
      <c r="AA19" s="131"/>
      <c r="AB19" s="75"/>
      <c r="AC19" s="75"/>
      <c r="AD19" s="75"/>
      <c r="AE19" s="75"/>
      <c r="AF19" s="121"/>
      <c r="AG19" s="134">
        <v>100.0</v>
      </c>
      <c r="AH19" s="123">
        <v>0.0</v>
      </c>
      <c r="AI19" s="123">
        <v>0.0</v>
      </c>
      <c r="AJ19" s="123">
        <v>0.0</v>
      </c>
      <c r="AK19" s="123">
        <v>0.0</v>
      </c>
      <c r="AL19" s="123"/>
      <c r="AM19" s="124" t="s">
        <v>1002</v>
      </c>
    </row>
    <row r="20" ht="21.0" customHeight="1">
      <c r="A20" s="100"/>
      <c r="B20" s="101"/>
      <c r="C20" s="59"/>
      <c r="D20" s="35" t="s">
        <v>214</v>
      </c>
      <c r="E20" s="102"/>
      <c r="F20" s="102"/>
      <c r="G20" s="103"/>
      <c r="H20" s="32"/>
      <c r="I20" s="32"/>
      <c r="J20" s="32"/>
      <c r="K20" s="32"/>
      <c r="L20" s="32"/>
      <c r="M20" s="104" t="str">
        <f>IFERROR(__xludf.DUMMYFUNCTION("QUERY(Hospitais_BD!D:I,""select E where D='""&amp;D20&amp;""'"",0)"),"CENTRO")</f>
        <v>CENTRO</v>
      </c>
      <c r="N20" s="102" t="str">
        <f>IFERROR(__xludf.DUMMYFUNCTION("QUERY(Hospitais_BD!D:I,""select F where D='""&amp;D20&amp;""'"")"),"Rio de Janeiro")</f>
        <v>Rio de Janeiro</v>
      </c>
      <c r="O20" s="105" t="str">
        <f>IFERROR(__xludf.DUMMYFUNCTION("QUERY(Hospitais_BD!D:I,""select G where D='""&amp;D20&amp;""'"")"),"Santo Cristo")</f>
        <v>Santo Cristo</v>
      </c>
      <c r="P20" s="102"/>
      <c r="Q20" s="105" t="str">
        <f>IFERROR(__xludf.DUMMYFUNCTION("QUERY(Hospitais_BD!D:I,""select I where D='""&amp;D20&amp;""'"")"),"Público")</f>
        <v>Público</v>
      </c>
      <c r="R20" s="105" t="str">
        <f>IFERROR(__xludf.DUMMYFUNCTION("QUERY(Hospitais_BD!D:I,""select H where D='""&amp;D20&amp;""'"")"),"Unidade básica - BAIXA COMPLEXIDADE")</f>
        <v>Unidade básica - BAIXA COMPLEXIDADE</v>
      </c>
      <c r="S20" s="106"/>
      <c r="T20" s="106"/>
      <c r="U20" s="107"/>
      <c r="V20" s="102"/>
      <c r="W20" s="102"/>
      <c r="X20" s="102"/>
      <c r="Y20" s="102"/>
      <c r="Z20" s="102"/>
      <c r="AA20" s="129"/>
      <c r="AB20" s="102"/>
      <c r="AC20" s="102"/>
      <c r="AD20" s="102"/>
      <c r="AE20" s="102"/>
      <c r="AF20" s="110"/>
      <c r="AG20" s="127">
        <v>50.0</v>
      </c>
      <c r="AH20" s="109">
        <v>0.0</v>
      </c>
      <c r="AI20" s="109">
        <v>0.0</v>
      </c>
      <c r="AJ20" s="109">
        <v>0.0</v>
      </c>
      <c r="AK20" s="109">
        <v>0.0</v>
      </c>
      <c r="AL20" s="109"/>
      <c r="AM20" s="111" t="s">
        <v>1002</v>
      </c>
    </row>
    <row r="21" ht="21.0" customHeight="1">
      <c r="A21" s="112"/>
      <c r="B21" s="113"/>
      <c r="C21" s="42"/>
      <c r="D21" s="30" t="s">
        <v>217</v>
      </c>
      <c r="E21" s="75"/>
      <c r="F21" s="75"/>
      <c r="G21" s="114"/>
      <c r="H21" s="25"/>
      <c r="I21" s="25"/>
      <c r="J21" s="25"/>
      <c r="K21" s="25"/>
      <c r="L21" s="25"/>
      <c r="M21" s="115" t="str">
        <f>IFERROR(__xludf.DUMMYFUNCTION("QUERY(Hospitais_BD!D:I,""select E where D='""&amp;D21&amp;""'"",0)"),"ZONA NORTE")</f>
        <v>ZONA NORTE</v>
      </c>
      <c r="N21" s="75" t="str">
        <f>IFERROR(__xludf.DUMMYFUNCTION("QUERY(Hospitais_BD!D:I,""select F where D='""&amp;D21&amp;""'"")"),"Rio de Janeiro")</f>
        <v>Rio de Janeiro</v>
      </c>
      <c r="O21" s="116" t="str">
        <f>IFERROR(__xludf.DUMMYFUNCTION("QUERY(Hospitais_BD!D:I,""select G where D='""&amp;D21&amp;""'"")"),"Vila Isabel")</f>
        <v>Vila Isabel</v>
      </c>
      <c r="P21" s="75"/>
      <c r="Q21" s="116" t="str">
        <f>IFERROR(__xludf.DUMMYFUNCTION("QUERY(Hospitais_BD!D:I,""select I where D='""&amp;D21&amp;""'"")"),"Público")</f>
        <v>Público</v>
      </c>
      <c r="R21" s="116" t="str">
        <f>IFERROR(__xludf.DUMMYFUNCTION("QUERY(Hospitais_BD!D:I,""select H where D='""&amp;D21&amp;""'"")"),"Unidade básica - BAIXA COMPLEXIDADE")</f>
        <v>Unidade básica - BAIXA COMPLEXIDADE</v>
      </c>
      <c r="S21" s="117"/>
      <c r="T21" s="117"/>
      <c r="U21" s="118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121"/>
      <c r="AG21" s="122">
        <v>50.0</v>
      </c>
      <c r="AH21" s="123">
        <v>0.0</v>
      </c>
      <c r="AI21" s="123">
        <v>0.0</v>
      </c>
      <c r="AJ21" s="123">
        <v>0.0</v>
      </c>
      <c r="AK21" s="123">
        <v>0.0</v>
      </c>
      <c r="AL21" s="123"/>
      <c r="AM21" s="124" t="s">
        <v>1002</v>
      </c>
    </row>
    <row r="22" ht="21.0" customHeight="1">
      <c r="A22" s="100"/>
      <c r="B22" s="101"/>
      <c r="C22" s="59"/>
      <c r="D22" s="35" t="s">
        <v>220</v>
      </c>
      <c r="E22" s="102"/>
      <c r="F22" s="102"/>
      <c r="G22" s="103"/>
      <c r="H22" s="32"/>
      <c r="I22" s="32"/>
      <c r="J22" s="32"/>
      <c r="K22" s="32"/>
      <c r="L22" s="32"/>
      <c r="M22" s="104" t="str">
        <f>IFERROR(__xludf.DUMMYFUNCTION("QUERY(Hospitais_BD!D:I,""select E where D='""&amp;D22&amp;""'"",0)"),"ZONA NORTE")</f>
        <v>ZONA NORTE</v>
      </c>
      <c r="N22" s="102" t="str">
        <f>IFERROR(__xludf.DUMMYFUNCTION("QUERY(Hospitais_BD!D:I,""select F where D='""&amp;D22&amp;""'"")"),"Rio de Janeiro")</f>
        <v>Rio de Janeiro</v>
      </c>
      <c r="O22" s="105" t="str">
        <f>IFERROR(__xludf.DUMMYFUNCTION("QUERY(Hospitais_BD!D:I,""select G where D='""&amp;D22&amp;""'"")"),"Vila Isabel")</f>
        <v>Vila Isabel</v>
      </c>
      <c r="P22" s="102"/>
      <c r="Q22" s="105" t="str">
        <f>IFERROR(__xludf.DUMMYFUNCTION("QUERY(Hospitais_BD!D:I,""select I where D='""&amp;D22&amp;""'"")"),"Público")</f>
        <v>Público</v>
      </c>
      <c r="R22" s="105" t="str">
        <f>IFERROR(__xludf.DUMMYFUNCTION("QUERY(Hospitais_BD!D:I,""select H where D='""&amp;D22&amp;""'"")"),"Unidade básica - BAIXA COMPLEXIDADE")</f>
        <v>Unidade básica - BAIXA COMPLEXIDADE</v>
      </c>
      <c r="S22" s="106"/>
      <c r="T22" s="106"/>
      <c r="U22" s="107"/>
      <c r="V22" s="102"/>
      <c r="W22" s="102"/>
      <c r="X22" s="102"/>
      <c r="Y22" s="102"/>
      <c r="Z22" s="102"/>
      <c r="AA22" s="129"/>
      <c r="AB22" s="102"/>
      <c r="AC22" s="102"/>
      <c r="AD22" s="102"/>
      <c r="AE22" s="102"/>
      <c r="AF22" s="110"/>
      <c r="AG22" s="127">
        <v>50.0</v>
      </c>
      <c r="AH22" s="109">
        <v>0.0</v>
      </c>
      <c r="AI22" s="109">
        <v>0.0</v>
      </c>
      <c r="AJ22" s="109">
        <v>0.0</v>
      </c>
      <c r="AK22" s="109">
        <v>0.0</v>
      </c>
      <c r="AL22" s="109"/>
      <c r="AM22" s="111" t="s">
        <v>1002</v>
      </c>
    </row>
    <row r="23" ht="21.0" customHeight="1">
      <c r="A23" s="112"/>
      <c r="B23" s="113"/>
      <c r="C23" s="42"/>
      <c r="D23" s="38" t="s">
        <v>242</v>
      </c>
      <c r="E23" s="75"/>
      <c r="F23" s="75"/>
      <c r="G23" s="114"/>
      <c r="H23" s="25"/>
      <c r="I23" s="25"/>
      <c r="J23" s="25"/>
      <c r="K23" s="25"/>
      <c r="L23" s="25"/>
      <c r="M23" s="115" t="str">
        <f>IFERROR(__xludf.DUMMYFUNCTION("QUERY(Hospitais_BD!D:I,""select E where D='""&amp;D23&amp;""'"",0)"),"BAIXADA FLUMINENSE")</f>
        <v>BAIXADA FLUMINENSE</v>
      </c>
      <c r="N23" s="75" t="str">
        <f>IFERROR(__xludf.DUMMYFUNCTION("QUERY(Hospitais_BD!D:I,""select F where D='""&amp;D23&amp;""'"")"),"Duque de Caxias")</f>
        <v>Duque de Caxias</v>
      </c>
      <c r="O23" s="116" t="str">
        <f>IFERROR(__xludf.DUMMYFUNCTION("QUERY(Hospitais_BD!D:I,""select G where D='""&amp;D23&amp;""'"")"),"Jardim Primavera")</f>
        <v>Jardim Primavera</v>
      </c>
      <c r="P23" s="75"/>
      <c r="Q23" s="116" t="str">
        <f>IFERROR(__xludf.DUMMYFUNCTION("QUERY(Hospitais_BD!D:I,""select I where D='""&amp;D23&amp;""'"")"),"Público")</f>
        <v>Público</v>
      </c>
      <c r="R23" s="116" t="str">
        <f>IFERROR(__xludf.DUMMYFUNCTION("QUERY(Hospitais_BD!D:I,""select H where D='""&amp;D23&amp;""'"")"),"Grande emergência - MÉDIA COMPLEXIDADE")</f>
        <v>Grande emergência - MÉDIA COMPLEXIDADE</v>
      </c>
      <c r="S23" s="117"/>
      <c r="T23" s="117"/>
      <c r="U23" s="118"/>
      <c r="V23" s="75"/>
      <c r="W23" s="75"/>
      <c r="X23" s="119"/>
      <c r="Y23" s="30"/>
      <c r="Z23" s="30"/>
      <c r="AA23" s="120"/>
      <c r="AB23" s="75"/>
      <c r="AC23" s="75"/>
      <c r="AD23" s="75"/>
      <c r="AE23" s="75"/>
      <c r="AF23" s="121"/>
      <c r="AG23" s="134">
        <v>50.0</v>
      </c>
      <c r="AH23" s="123">
        <v>0.0</v>
      </c>
      <c r="AI23" s="123">
        <v>0.0</v>
      </c>
      <c r="AJ23" s="123">
        <v>0.0</v>
      </c>
      <c r="AK23" s="123">
        <v>0.0</v>
      </c>
      <c r="AL23" s="123"/>
      <c r="AM23" s="124" t="s">
        <v>1002</v>
      </c>
    </row>
    <row r="24" ht="21.0" customHeight="1">
      <c r="A24" s="100"/>
      <c r="B24" s="101"/>
      <c r="C24" s="59"/>
      <c r="D24" s="102" t="s">
        <v>242</v>
      </c>
      <c r="E24" s="102"/>
      <c r="F24" s="102"/>
      <c r="G24" s="103"/>
      <c r="H24" s="32"/>
      <c r="I24" s="32"/>
      <c r="J24" s="32"/>
      <c r="K24" s="32"/>
      <c r="L24" s="32"/>
      <c r="M24" s="104" t="str">
        <f>IFERROR(__xludf.DUMMYFUNCTION("QUERY(Hospitais_BD!D:I,""select E where D='""&amp;D24&amp;""'"",0)"),"BAIXADA FLUMINENSE")</f>
        <v>BAIXADA FLUMINENSE</v>
      </c>
      <c r="N24" s="102" t="str">
        <f>IFERROR(__xludf.DUMMYFUNCTION("QUERY(Hospitais_BD!D:I,""select F where D='""&amp;D24&amp;""'"")"),"Duque de Caxias")</f>
        <v>Duque de Caxias</v>
      </c>
      <c r="O24" s="105" t="str">
        <f>IFERROR(__xludf.DUMMYFUNCTION("QUERY(Hospitais_BD!D:I,""select G where D='""&amp;D24&amp;""'"")"),"Jardim Primavera")</f>
        <v>Jardim Primavera</v>
      </c>
      <c r="P24" s="102"/>
      <c r="Q24" s="105" t="str">
        <f>IFERROR(__xludf.DUMMYFUNCTION("QUERY(Hospitais_BD!D:I,""select I where D='""&amp;D24&amp;""'"")"),"Público")</f>
        <v>Público</v>
      </c>
      <c r="R24" s="105" t="str">
        <f>IFERROR(__xludf.DUMMYFUNCTION("QUERY(Hospitais_BD!D:I,""select H where D='""&amp;D24&amp;""'"")"),"Grande emergência - MÉDIA COMPLEXIDADE")</f>
        <v>Grande emergência - MÉDIA COMPLEXIDADE</v>
      </c>
      <c r="S24" s="106"/>
      <c r="T24" s="106"/>
      <c r="U24" s="107"/>
      <c r="V24" s="102"/>
      <c r="W24" s="102"/>
      <c r="X24" s="102"/>
      <c r="Y24" s="102"/>
      <c r="Z24" s="102"/>
      <c r="AA24" s="108"/>
      <c r="AB24" s="102"/>
      <c r="AC24" s="102"/>
      <c r="AD24" s="102"/>
      <c r="AE24" s="102"/>
      <c r="AF24" s="109"/>
      <c r="AG24" s="135">
        <v>100.0</v>
      </c>
      <c r="AH24" s="109">
        <v>0.0</v>
      </c>
      <c r="AI24" s="109">
        <v>0.0</v>
      </c>
      <c r="AJ24" s="109">
        <v>0.0</v>
      </c>
      <c r="AK24" s="109">
        <v>0.0</v>
      </c>
      <c r="AL24" s="109"/>
      <c r="AM24" s="111" t="s">
        <v>1002</v>
      </c>
    </row>
    <row r="25" ht="21.0" customHeight="1">
      <c r="A25" s="112"/>
      <c r="B25" s="113"/>
      <c r="C25" s="42"/>
      <c r="D25" s="38" t="s">
        <v>246</v>
      </c>
      <c r="E25" s="75"/>
      <c r="F25" s="75"/>
      <c r="G25" s="114"/>
      <c r="H25" s="25"/>
      <c r="I25" s="25"/>
      <c r="J25" s="25"/>
      <c r="K25" s="25"/>
      <c r="L25" s="25"/>
      <c r="M25" s="115" t="str">
        <f>IFERROR(__xludf.DUMMYFUNCTION("QUERY(Hospitais_BD!D:I,""select E where D='""&amp;D25&amp;""'"",0)"),"REGIAO METROPOLITANA")</f>
        <v>REGIAO METROPOLITANA</v>
      </c>
      <c r="N25" s="75" t="str">
        <f>IFERROR(__xludf.DUMMYFUNCTION("QUERY(Hospitais_BD!D:I,""select F where D='""&amp;D25&amp;""'"")"),"São Gonçalo")</f>
        <v>São Gonçalo</v>
      </c>
      <c r="O25" s="116" t="str">
        <f>IFERROR(__xludf.DUMMYFUNCTION("QUERY(Hospitais_BD!D:I,""select G where D='""&amp;D25&amp;""'"")"),"Colunbandê")</f>
        <v>Colunbandê</v>
      </c>
      <c r="P25" s="75"/>
      <c r="Q25" s="116" t="str">
        <f>IFERROR(__xludf.DUMMYFUNCTION("QUERY(Hospitais_BD!D:I,""select I where D='""&amp;D25&amp;""'"")"),"Público")</f>
        <v>Público</v>
      </c>
      <c r="R25" s="116" t="str">
        <f>IFERROR(__xludf.DUMMYFUNCTION("QUERY(Hospitais_BD!D:I,""select H where D='""&amp;D25&amp;""'"")"),"Referência - ALTA COMPLEXIDADE")</f>
        <v>Referência - ALTA COMPLEXIDADE</v>
      </c>
      <c r="S25" s="117"/>
      <c r="T25" s="117"/>
      <c r="U25" s="118"/>
      <c r="V25" s="75"/>
      <c r="W25" s="75"/>
      <c r="X25" s="75"/>
      <c r="Y25" s="30"/>
      <c r="Z25" s="30"/>
      <c r="AA25" s="120"/>
      <c r="AB25" s="75"/>
      <c r="AC25" s="75"/>
      <c r="AD25" s="75"/>
      <c r="AE25" s="75"/>
      <c r="AF25" s="121"/>
      <c r="AG25" s="122">
        <v>100.0</v>
      </c>
      <c r="AH25" s="123">
        <v>0.0</v>
      </c>
      <c r="AI25" s="123">
        <v>0.0</v>
      </c>
      <c r="AJ25" s="123">
        <v>0.0</v>
      </c>
      <c r="AK25" s="123">
        <v>0.0</v>
      </c>
      <c r="AL25" s="123"/>
      <c r="AM25" s="124" t="s">
        <v>1002</v>
      </c>
    </row>
    <row r="26" ht="21.0" customHeight="1">
      <c r="A26" s="100"/>
      <c r="B26" s="101"/>
      <c r="C26" s="59"/>
      <c r="D26" s="37" t="s">
        <v>249</v>
      </c>
      <c r="E26" s="102"/>
      <c r="F26" s="102"/>
      <c r="G26" s="103"/>
      <c r="H26" s="32"/>
      <c r="I26" s="32"/>
      <c r="J26" s="32"/>
      <c r="K26" s="32"/>
      <c r="L26" s="32"/>
      <c r="M26" s="104" t="str">
        <f>IFERROR(__xludf.DUMMYFUNCTION("QUERY(Hospitais_BD!D:I,""select E where D='""&amp;D26&amp;""'"",0)"),"REGIAO METROPOLITANA")</f>
        <v>REGIAO METROPOLITANA</v>
      </c>
      <c r="N26" s="102" t="str">
        <f>IFERROR(__xludf.DUMMYFUNCTION("QUERY(Hospitais_BD!D:I,""select F where D='""&amp;D26&amp;""'"")"),"Niteroi")</f>
        <v>Niteroi</v>
      </c>
      <c r="O26" s="105" t="str">
        <f>IFERROR(__xludf.DUMMYFUNCTION("QUERY(Hospitais_BD!D:I,""select G where D='""&amp;D26&amp;""'"")"),"Fonseca")</f>
        <v>Fonseca</v>
      </c>
      <c r="P26" s="102"/>
      <c r="Q26" s="105" t="str">
        <f>IFERROR(__xludf.DUMMYFUNCTION("QUERY(Hospitais_BD!D:I,""select I where D='""&amp;D26&amp;""'"")"),"Público")</f>
        <v>Público</v>
      </c>
      <c r="R26" s="105" t="str">
        <f>IFERROR(__xludf.DUMMYFUNCTION("QUERY(Hospitais_BD!D:I,""select H where D='""&amp;D26&amp;""'"")"),"Referência - ALTA COMPLEXIDADE")</f>
        <v>Referência - ALTA COMPLEXIDADE</v>
      </c>
      <c r="S26" s="106"/>
      <c r="T26" s="106"/>
      <c r="U26" s="107"/>
      <c r="V26" s="102"/>
      <c r="W26" s="102"/>
      <c r="X26" s="102"/>
      <c r="Y26" s="35"/>
      <c r="Z26" s="35"/>
      <c r="AA26" s="126"/>
      <c r="AB26" s="102"/>
      <c r="AC26" s="102"/>
      <c r="AD26" s="102"/>
      <c r="AE26" s="102"/>
      <c r="AF26" s="110"/>
      <c r="AG26" s="127">
        <v>100.0</v>
      </c>
      <c r="AH26" s="109">
        <v>0.0</v>
      </c>
      <c r="AI26" s="109">
        <v>0.0</v>
      </c>
      <c r="AJ26" s="109">
        <v>0.0</v>
      </c>
      <c r="AK26" s="109">
        <v>0.0</v>
      </c>
      <c r="AL26" s="109"/>
      <c r="AM26" s="111" t="s">
        <v>1002</v>
      </c>
    </row>
    <row r="27" ht="21.0" customHeight="1">
      <c r="A27" s="112"/>
      <c r="B27" s="113"/>
      <c r="C27" s="42"/>
      <c r="D27" s="38" t="s">
        <v>255</v>
      </c>
      <c r="E27" s="75"/>
      <c r="F27" s="75"/>
      <c r="G27" s="114"/>
      <c r="H27" s="25"/>
      <c r="I27" s="25"/>
      <c r="J27" s="25"/>
      <c r="K27" s="25"/>
      <c r="L27" s="25"/>
      <c r="M27" s="115" t="str">
        <f>IFERROR(__xludf.DUMMYFUNCTION("QUERY(Hospitais_BD!D:I,""select E where D='""&amp;D27&amp;""'"",0)"),"ZONA OESTE")</f>
        <v>ZONA OESTE</v>
      </c>
      <c r="N27" s="75" t="str">
        <f>IFERROR(__xludf.DUMMYFUNCTION("QUERY(Hospitais_BD!D:I,""select F where D='""&amp;D27&amp;""'"")"),"Rio de Janeiro")</f>
        <v>Rio de Janeiro</v>
      </c>
      <c r="O27" s="116" t="str">
        <f>IFERROR(__xludf.DUMMYFUNCTION("QUERY(Hospitais_BD!D:I,""select G where D='""&amp;D27&amp;""'"")"),"Vila valqueire")</f>
        <v>Vila valqueire</v>
      </c>
      <c r="P27" s="75"/>
      <c r="Q27" s="116" t="str">
        <f>IFERROR(__xludf.DUMMYFUNCTION("QUERY(Hospitais_BD!D:I,""select I where D='""&amp;D27&amp;""'"")"),"Público")</f>
        <v>Público</v>
      </c>
      <c r="R27" s="116" t="str">
        <f>IFERROR(__xludf.DUMMYFUNCTION("QUERY(Hospitais_BD!D:I,""select H where D='""&amp;D27&amp;""'"")"),"Referência - ALTA COMPLEXIDADE")</f>
        <v>Referência - ALTA COMPLEXIDADE</v>
      </c>
      <c r="S27" s="117"/>
      <c r="T27" s="117"/>
      <c r="U27" s="118"/>
      <c r="V27" s="75"/>
      <c r="W27" s="75"/>
      <c r="X27" s="75"/>
      <c r="Y27" s="30"/>
      <c r="Z27" s="30"/>
      <c r="AA27" s="130"/>
      <c r="AB27" s="75"/>
      <c r="AC27" s="75"/>
      <c r="AD27" s="75"/>
      <c r="AE27" s="75"/>
      <c r="AF27" s="121"/>
      <c r="AG27" s="122">
        <v>20.0</v>
      </c>
      <c r="AH27" s="123">
        <v>0.0</v>
      </c>
      <c r="AI27" s="123">
        <v>0.0</v>
      </c>
      <c r="AJ27" s="123">
        <v>0.0</v>
      </c>
      <c r="AK27" s="123">
        <v>0.0</v>
      </c>
      <c r="AL27" s="123"/>
      <c r="AM27" s="124" t="s">
        <v>1002</v>
      </c>
    </row>
    <row r="28" ht="21.0" customHeight="1">
      <c r="A28" s="100"/>
      <c r="B28" s="101"/>
      <c r="C28" s="59"/>
      <c r="D28" s="37" t="s">
        <v>887</v>
      </c>
      <c r="E28" s="102"/>
      <c r="F28" s="102"/>
      <c r="G28" s="103"/>
      <c r="H28" s="32"/>
      <c r="I28" s="32"/>
      <c r="J28" s="32"/>
      <c r="K28" s="32"/>
      <c r="L28" s="32"/>
      <c r="M28" s="104" t="str">
        <f>IFERROR(__xludf.DUMMYFUNCTION("QUERY(Hospitais_BD!D:I,""select E where D='""&amp;D28&amp;""'"",0)"),"REGIAO METROPOLITANA")</f>
        <v>REGIAO METROPOLITANA</v>
      </c>
      <c r="N28" s="102" t="str">
        <f>IFERROR(__xludf.DUMMYFUNCTION("QUERY(Hospitais_BD!D:I,""select F where D='""&amp;D28&amp;""'"")"),"Itaboraí")</f>
        <v>Itaboraí</v>
      </c>
      <c r="O28" s="105" t="str">
        <f>IFERROR(__xludf.DUMMYFUNCTION("QUERY(Hospitais_BD!D:I,""select G where D='""&amp;D28&amp;""'"")"),"Manilha")</f>
        <v>Manilha</v>
      </c>
      <c r="P28" s="102"/>
      <c r="Q28" s="105" t="str">
        <f>IFERROR(__xludf.DUMMYFUNCTION("QUERY(Hospitais_BD!D:I,""select I where D='""&amp;D28&amp;""'"")"),"Público")</f>
        <v>Público</v>
      </c>
      <c r="R28" s="105" t="str">
        <f>IFERROR(__xludf.DUMMYFUNCTION("QUERY(Hospitais_BD!D:I,""select H where D='""&amp;D28&amp;""'"")"),"Hospital de Referência - ALTA COMPLEXIDADE")</f>
        <v>Hospital de Referência - ALTA COMPLEXIDADE</v>
      </c>
      <c r="S28" s="106"/>
      <c r="T28" s="106"/>
      <c r="U28" s="107"/>
      <c r="V28" s="102"/>
      <c r="W28" s="102"/>
      <c r="X28" s="102"/>
      <c r="Y28" s="35"/>
      <c r="Z28" s="35"/>
      <c r="AA28" s="136"/>
      <c r="AB28" s="102"/>
      <c r="AC28" s="102"/>
      <c r="AD28" s="102"/>
      <c r="AE28" s="102"/>
      <c r="AF28" s="110"/>
      <c r="AG28" s="127">
        <v>100.0</v>
      </c>
      <c r="AH28" s="109">
        <v>0.0</v>
      </c>
      <c r="AI28" s="109">
        <v>0.0</v>
      </c>
      <c r="AJ28" s="109">
        <v>0.0</v>
      </c>
      <c r="AK28" s="109">
        <v>0.0</v>
      </c>
      <c r="AL28" s="109"/>
      <c r="AM28" s="111" t="s">
        <v>1002</v>
      </c>
    </row>
    <row r="29" ht="21.0" customHeight="1">
      <c r="A29" s="112"/>
      <c r="B29" s="113"/>
      <c r="C29" s="42"/>
      <c r="D29" s="75" t="s">
        <v>261</v>
      </c>
      <c r="E29" s="75"/>
      <c r="F29" s="75"/>
      <c r="G29" s="114"/>
      <c r="H29" s="25"/>
      <c r="I29" s="25"/>
      <c r="J29" s="25"/>
      <c r="K29" s="25"/>
      <c r="L29" s="25"/>
      <c r="M29" s="115" t="str">
        <f>IFERROR(__xludf.DUMMYFUNCTION("QUERY(Hospitais_BD!D:I,""select E where D='""&amp;D29&amp;""'"",0)"),"ZONA OESTE")</f>
        <v>ZONA OESTE</v>
      </c>
      <c r="N29" s="75" t="str">
        <f>IFERROR(__xludf.DUMMYFUNCTION("QUERY(Hospitais_BD!D:I,""select F where D='""&amp;D29&amp;""'"")"),"Rio de Janeiro")</f>
        <v>Rio de Janeiro</v>
      </c>
      <c r="O29" s="116" t="str">
        <f>IFERROR(__xludf.DUMMYFUNCTION("QUERY(Hospitais_BD!D:I,""select G where D='""&amp;D29&amp;""'"")"),"Jacarepagua")</f>
        <v>Jacarepagua</v>
      </c>
      <c r="P29" s="75"/>
      <c r="Q29" s="116" t="str">
        <f>IFERROR(__xludf.DUMMYFUNCTION("QUERY(Hospitais_BD!D:I,""select I where D='""&amp;D29&amp;""'"")"),"Público")</f>
        <v>Público</v>
      </c>
      <c r="R29" s="116" t="str">
        <f>IFERROR(__xludf.DUMMYFUNCTION("QUERY(Hospitais_BD!D:I,""select H where D='""&amp;D29&amp;""'"")"),"Grande emergência - MÉDIA COMPLEXIDADE")</f>
        <v>Grande emergência - MÉDIA COMPLEXIDADE</v>
      </c>
      <c r="S29" s="117"/>
      <c r="T29" s="117"/>
      <c r="U29" s="118"/>
      <c r="V29" s="75"/>
      <c r="W29" s="75"/>
      <c r="X29" s="75"/>
      <c r="Y29" s="75"/>
      <c r="Z29" s="75"/>
      <c r="AA29" s="137"/>
      <c r="AB29" s="75"/>
      <c r="AC29" s="75"/>
      <c r="AD29" s="75"/>
      <c r="AE29" s="75"/>
      <c r="AF29" s="123"/>
      <c r="AG29" s="132">
        <v>100.0</v>
      </c>
      <c r="AH29" s="123">
        <v>0.0</v>
      </c>
      <c r="AI29" s="123">
        <v>0.0</v>
      </c>
      <c r="AJ29" s="123">
        <v>0.0</v>
      </c>
      <c r="AK29" s="123">
        <v>0.0</v>
      </c>
      <c r="AL29" s="123"/>
      <c r="AM29" s="124" t="s">
        <v>1002</v>
      </c>
    </row>
    <row r="30" ht="21.0" customHeight="1">
      <c r="A30" s="100"/>
      <c r="B30" s="101"/>
      <c r="C30" s="59"/>
      <c r="D30" s="37" t="s">
        <v>264</v>
      </c>
      <c r="E30" s="102"/>
      <c r="F30" s="102"/>
      <c r="G30" s="103"/>
      <c r="H30" s="32"/>
      <c r="I30" s="32"/>
      <c r="J30" s="32"/>
      <c r="K30" s="32"/>
      <c r="L30" s="32"/>
      <c r="M30" s="104" t="str">
        <f>IFERROR(__xludf.DUMMYFUNCTION("QUERY(Hospitais_BD!D:I,""select E where D='""&amp;D30&amp;""'"",0)"),"ZONA OESTE")</f>
        <v>ZONA OESTE</v>
      </c>
      <c r="N30" s="102" t="str">
        <f>IFERROR(__xludf.DUMMYFUNCTION("QUERY(Hospitais_BD!D:I,""select F where D='""&amp;D30&amp;""'"")"),"Rio de Janeiro")</f>
        <v>Rio de Janeiro</v>
      </c>
      <c r="O30" s="105" t="str">
        <f>IFERROR(__xludf.DUMMYFUNCTION("QUERY(Hospitais_BD!D:I,""select G where D='""&amp;D30&amp;""'"")"),"Freguesia - RJ")</f>
        <v>Freguesia - RJ</v>
      </c>
      <c r="P30" s="102"/>
      <c r="Q30" s="105" t="str">
        <f>IFERROR(__xludf.DUMMYFUNCTION("QUERY(Hospitais_BD!D:I,""select I where D='""&amp;D30&amp;""'"")"),"Público")</f>
        <v>Público</v>
      </c>
      <c r="R30" s="105" t="str">
        <f>IFERROR(__xludf.DUMMYFUNCTION("QUERY(Hospitais_BD!D:I,""select H where D='""&amp;D30&amp;""'"")"),"Referência - ALTA COMPLEXIDADE")</f>
        <v>Referência - ALTA COMPLEXIDADE</v>
      </c>
      <c r="S30" s="106"/>
      <c r="T30" s="106"/>
      <c r="U30" s="107"/>
      <c r="V30" s="102"/>
      <c r="W30" s="102"/>
      <c r="X30" s="102"/>
      <c r="Y30" s="35"/>
      <c r="Z30" s="35"/>
      <c r="AA30" s="138"/>
      <c r="AB30" s="102"/>
      <c r="AC30" s="102"/>
      <c r="AD30" s="102"/>
      <c r="AE30" s="102"/>
      <c r="AF30" s="110"/>
      <c r="AG30" s="139">
        <v>300.0</v>
      </c>
      <c r="AH30" s="109">
        <v>0.0</v>
      </c>
      <c r="AI30" s="109">
        <v>0.0</v>
      </c>
      <c r="AJ30" s="109">
        <v>0.0</v>
      </c>
      <c r="AK30" s="109">
        <v>0.0</v>
      </c>
      <c r="AL30" s="109"/>
      <c r="AM30" s="111" t="s">
        <v>1002</v>
      </c>
    </row>
    <row r="31" ht="21.0" customHeight="1">
      <c r="A31" s="112"/>
      <c r="B31" s="113"/>
      <c r="C31" s="42"/>
      <c r="D31" s="38" t="s">
        <v>267</v>
      </c>
      <c r="E31" s="75"/>
      <c r="F31" s="75"/>
      <c r="G31" s="114"/>
      <c r="H31" s="25"/>
      <c r="I31" s="25"/>
      <c r="J31" s="25"/>
      <c r="K31" s="25"/>
      <c r="L31" s="25"/>
      <c r="M31" s="115" t="str">
        <f>IFERROR(__xludf.DUMMYFUNCTION("QUERY(Hospitais_BD!D:I,""select E where D='""&amp;D31&amp;""'"",0)"),"ZONA SUL")</f>
        <v>ZONA SUL</v>
      </c>
      <c r="N31" s="75" t="str">
        <f>IFERROR(__xludf.DUMMYFUNCTION("QUERY(Hospitais_BD!D:I,""select F where D='""&amp;D31&amp;""'"")"),"Rio de Janeiro")</f>
        <v>Rio de Janeiro</v>
      </c>
      <c r="O31" s="116" t="str">
        <f>IFERROR(__xludf.DUMMYFUNCTION("QUERY(Hospitais_BD!D:I,""select G where D='""&amp;D31&amp;""'"")"),"Jardim Botanico")</f>
        <v>Jardim Botanico</v>
      </c>
      <c r="P31" s="75"/>
      <c r="Q31" s="116" t="str">
        <f>IFERROR(__xludf.DUMMYFUNCTION("QUERY(Hospitais_BD!D:I,""select I where D='""&amp;D31&amp;""'"")"),"Público")</f>
        <v>Público</v>
      </c>
      <c r="R31" s="116" t="str">
        <f>IFERROR(__xludf.DUMMYFUNCTION("QUERY(Hospitais_BD!D:I,""select H where D='""&amp;D31&amp;""'"")"),"Grande emergência - MÉDIA COMPLEXIDADE")</f>
        <v>Grande emergência - MÉDIA COMPLEXIDADE</v>
      </c>
      <c r="S31" s="117"/>
      <c r="T31" s="117"/>
      <c r="U31" s="118"/>
      <c r="V31" s="75"/>
      <c r="W31" s="75"/>
      <c r="X31" s="75"/>
      <c r="Y31" s="75"/>
      <c r="Z31" s="75"/>
      <c r="AA31" s="130"/>
      <c r="AB31" s="75"/>
      <c r="AC31" s="75"/>
      <c r="AD31" s="75"/>
      <c r="AE31" s="75"/>
      <c r="AF31" s="121"/>
      <c r="AG31" s="122">
        <v>80.0</v>
      </c>
      <c r="AH31" s="123">
        <v>0.0</v>
      </c>
      <c r="AI31" s="123">
        <v>0.0</v>
      </c>
      <c r="AJ31" s="123">
        <v>0.0</v>
      </c>
      <c r="AK31" s="123">
        <v>0.0</v>
      </c>
      <c r="AL31" s="123"/>
      <c r="AM31" s="124" t="s">
        <v>1002</v>
      </c>
    </row>
    <row r="32" ht="21.0" customHeight="1">
      <c r="A32" s="100"/>
      <c r="B32" s="101"/>
      <c r="C32" s="59"/>
      <c r="D32" s="37" t="s">
        <v>270</v>
      </c>
      <c r="E32" s="102"/>
      <c r="F32" s="102"/>
      <c r="G32" s="103"/>
      <c r="H32" s="32"/>
      <c r="I32" s="32"/>
      <c r="J32" s="32"/>
      <c r="K32" s="32"/>
      <c r="L32" s="32"/>
      <c r="M32" s="104" t="str">
        <f>IFERROR(__xludf.DUMMYFUNCTION("QUERY(Hospitais_BD!D:I,""select E where D='""&amp;D32&amp;""'"",0)"),"ZONA SUL")</f>
        <v>ZONA SUL</v>
      </c>
      <c r="N32" s="102" t="str">
        <f>IFERROR(__xludf.DUMMYFUNCTION("QUERY(Hospitais_BD!D:I,""select F where D='""&amp;D32&amp;""'"")"),"Rio de Janeiro")</f>
        <v>Rio de Janeiro</v>
      </c>
      <c r="O32" s="105" t="str">
        <f>IFERROR(__xludf.DUMMYFUNCTION("QUERY(Hospitais_BD!D:I,""select G where D='""&amp;D32&amp;""'"")"),"Ipanema")</f>
        <v>Ipanema</v>
      </c>
      <c r="P32" s="102"/>
      <c r="Q32" s="105" t="str">
        <f>IFERROR(__xludf.DUMMYFUNCTION("QUERY(Hospitais_BD!D:I,""select I where D='""&amp;D32&amp;""'"")"),"Público")</f>
        <v>Público</v>
      </c>
      <c r="R32" s="105" t="str">
        <f>IFERROR(__xludf.DUMMYFUNCTION("QUERY(Hospitais_BD!D:I,""select H where D='""&amp;D32&amp;""'"")"),"Grande emergência - MÉDIA COMPLEXIDADE")</f>
        <v>Grande emergência - MÉDIA COMPLEXIDADE</v>
      </c>
      <c r="S32" s="106"/>
      <c r="T32" s="106"/>
      <c r="U32" s="107"/>
      <c r="V32" s="102"/>
      <c r="W32" s="102"/>
      <c r="X32" s="102"/>
      <c r="Y32" s="35"/>
      <c r="Z32" s="35"/>
      <c r="AA32" s="136"/>
      <c r="AB32" s="102"/>
      <c r="AC32" s="102"/>
      <c r="AD32" s="102"/>
      <c r="AE32" s="102"/>
      <c r="AF32" s="110"/>
      <c r="AG32" s="127">
        <v>50.0</v>
      </c>
      <c r="AH32" s="109">
        <v>0.0</v>
      </c>
      <c r="AI32" s="109">
        <v>0.0</v>
      </c>
      <c r="AJ32" s="109">
        <v>0.0</v>
      </c>
      <c r="AK32" s="109">
        <v>0.0</v>
      </c>
      <c r="AL32" s="109"/>
      <c r="AM32" s="111" t="s">
        <v>1002</v>
      </c>
    </row>
    <row r="33" ht="21.0" customHeight="1">
      <c r="A33" s="112"/>
      <c r="B33" s="113"/>
      <c r="C33" s="42"/>
      <c r="D33" s="30" t="s">
        <v>270</v>
      </c>
      <c r="E33" s="75"/>
      <c r="F33" s="75"/>
      <c r="G33" s="114"/>
      <c r="H33" s="25"/>
      <c r="I33" s="25"/>
      <c r="J33" s="25"/>
      <c r="K33" s="25"/>
      <c r="L33" s="25"/>
      <c r="M33" s="115" t="str">
        <f>IFERROR(__xludf.DUMMYFUNCTION("QUERY(Hospitais_BD!D:I,""select E where D='""&amp;D33&amp;""'"",0)"),"ZONA SUL")</f>
        <v>ZONA SUL</v>
      </c>
      <c r="N33" s="75" t="str">
        <f>IFERROR(__xludf.DUMMYFUNCTION("QUERY(Hospitais_BD!D:I,""select F where D='""&amp;D33&amp;""'"")"),"Rio de Janeiro")</f>
        <v>Rio de Janeiro</v>
      </c>
      <c r="O33" s="116" t="str">
        <f>IFERROR(__xludf.DUMMYFUNCTION("QUERY(Hospitais_BD!D:I,""select G where D='""&amp;D33&amp;""'"")"),"Ipanema")</f>
        <v>Ipanema</v>
      </c>
      <c r="P33" s="75"/>
      <c r="Q33" s="116" t="str">
        <f>IFERROR(__xludf.DUMMYFUNCTION("QUERY(Hospitais_BD!D:I,""select I where D='""&amp;D33&amp;""'"")"),"Público")</f>
        <v>Público</v>
      </c>
      <c r="R33" s="116" t="str">
        <f>IFERROR(__xludf.DUMMYFUNCTION("QUERY(Hospitais_BD!D:I,""select H where D='""&amp;D33&amp;""'"")"),"Grande emergência - MÉDIA COMPLEXIDADE")</f>
        <v>Grande emergência - MÉDIA COMPLEXIDADE</v>
      </c>
      <c r="S33" s="117"/>
      <c r="T33" s="117"/>
      <c r="U33" s="118"/>
      <c r="V33" s="75"/>
      <c r="W33" s="75"/>
      <c r="X33" s="75"/>
      <c r="Y33" s="30"/>
      <c r="Z33" s="30"/>
      <c r="AA33" s="140"/>
      <c r="AB33" s="75"/>
      <c r="AC33" s="75"/>
      <c r="AD33" s="75"/>
      <c r="AE33" s="75"/>
      <c r="AF33" s="121"/>
      <c r="AG33" s="122">
        <v>50.0</v>
      </c>
      <c r="AH33" s="123">
        <v>0.0</v>
      </c>
      <c r="AI33" s="123">
        <v>0.0</v>
      </c>
      <c r="AJ33" s="123">
        <v>0.0</v>
      </c>
      <c r="AK33" s="123">
        <v>0.0</v>
      </c>
      <c r="AL33" s="123"/>
      <c r="AM33" s="124" t="s">
        <v>1002</v>
      </c>
    </row>
    <row r="34" ht="21.0" customHeight="1">
      <c r="A34" s="100"/>
      <c r="B34" s="101"/>
      <c r="C34" s="59"/>
      <c r="D34" s="37" t="s">
        <v>801</v>
      </c>
      <c r="E34" s="102"/>
      <c r="F34" s="102"/>
      <c r="G34" s="103"/>
      <c r="H34" s="32"/>
      <c r="I34" s="32"/>
      <c r="J34" s="32"/>
      <c r="K34" s="32"/>
      <c r="L34" s="32"/>
      <c r="M34" s="104" t="str">
        <f>IFERROR(__xludf.DUMMYFUNCTION("QUERY(Hospitais_BD!D:I,""select E where D='""&amp;D34&amp;""'"",0)"),"ZONA NORTE")</f>
        <v>ZONA NORTE</v>
      </c>
      <c r="N34" s="102" t="str">
        <f>IFERROR(__xludf.DUMMYFUNCTION("QUERY(Hospitais_BD!D:I,""select F where D='""&amp;D34&amp;""'"")"),"Rio de Janeiro")</f>
        <v>Rio de Janeiro</v>
      </c>
      <c r="O34" s="105" t="str">
        <f>IFERROR(__xludf.DUMMYFUNCTION("QUERY(Hospitais_BD!D:I,""select G where D='""&amp;D34&amp;""'"")"),"Andaraí")</f>
        <v>Andaraí</v>
      </c>
      <c r="P34" s="102"/>
      <c r="Q34" s="105" t="str">
        <f>IFERROR(__xludf.DUMMYFUNCTION("QUERY(Hospitais_BD!D:I,""select I where D='""&amp;D34&amp;""'"")"),"Público")</f>
        <v>Público</v>
      </c>
      <c r="R34" s="105" t="str">
        <f>IFERROR(__xludf.DUMMYFUNCTION("QUERY(Hospitais_BD!D:I,""select H where D='""&amp;D34&amp;""'"")"),"Hospital de Referência - ALTA COMPLEXIDADE
")</f>
        <v>Hospital de Referência - ALTA COMPLEXIDADE
</v>
      </c>
      <c r="S34" s="106"/>
      <c r="T34" s="106"/>
      <c r="U34" s="107"/>
      <c r="V34" s="102"/>
      <c r="W34" s="102"/>
      <c r="X34" s="102"/>
      <c r="Y34" s="35"/>
      <c r="Z34" s="35"/>
      <c r="AA34" s="126"/>
      <c r="AB34" s="102"/>
      <c r="AC34" s="102"/>
      <c r="AD34" s="102"/>
      <c r="AE34" s="102"/>
      <c r="AF34" s="110"/>
      <c r="AG34" s="139">
        <v>200.0</v>
      </c>
      <c r="AH34" s="109">
        <v>0.0</v>
      </c>
      <c r="AI34" s="109">
        <v>0.0</v>
      </c>
      <c r="AJ34" s="109">
        <v>0.0</v>
      </c>
      <c r="AK34" s="109">
        <v>0.0</v>
      </c>
      <c r="AL34" s="109"/>
      <c r="AM34" s="111" t="s">
        <v>1002</v>
      </c>
    </row>
    <row r="35" ht="21.0" customHeight="1">
      <c r="A35" s="112"/>
      <c r="B35" s="113"/>
      <c r="C35" s="42"/>
      <c r="D35" s="20" t="s">
        <v>273</v>
      </c>
      <c r="E35" s="75"/>
      <c r="F35" s="75"/>
      <c r="G35" s="114"/>
      <c r="H35" s="25"/>
      <c r="I35" s="25"/>
      <c r="J35" s="25"/>
      <c r="K35" s="25"/>
      <c r="L35" s="25"/>
      <c r="M35" s="115" t="str">
        <f>IFERROR(__xludf.DUMMYFUNCTION("QUERY(Hospitais_BD!D:I,""select E where D='""&amp;D35&amp;""'"",0)"),"#REF!")</f>
        <v>#REF!</v>
      </c>
      <c r="N35" s="75" t="str">
        <f>IFERROR(__xludf.DUMMYFUNCTION("QUERY(Hospitais_BD!D:I,""select F where D='""&amp;D35&amp;""'"")"),"#REF!")</f>
        <v>#REF!</v>
      </c>
      <c r="O35" s="116" t="str">
        <f>IFERROR(__xludf.DUMMYFUNCTION("QUERY(Hospitais_BD!D:I,""select G where D='""&amp;D35&amp;""'"")"),"#REF!")</f>
        <v>#REF!</v>
      </c>
      <c r="P35" s="75"/>
      <c r="Q35" s="116" t="str">
        <f>IFERROR(__xludf.DUMMYFUNCTION("QUERY(Hospitais_BD!D:I,""select I where D='""&amp;D35&amp;""'"")"),"#REF!")</f>
        <v>#REF!</v>
      </c>
      <c r="R35" s="116" t="str">
        <f>IFERROR(__xludf.DUMMYFUNCTION("QUERY(Hospitais_BD!D:I,""select H where D='""&amp;D35&amp;""'"")"),"#REF!")</f>
        <v>#REF!</v>
      </c>
      <c r="S35" s="117"/>
      <c r="T35" s="117"/>
      <c r="U35" s="118"/>
      <c r="V35" s="75"/>
      <c r="W35" s="75"/>
      <c r="X35" s="75"/>
      <c r="Y35" s="30"/>
      <c r="Z35" s="30"/>
      <c r="AA35" s="130"/>
      <c r="AB35" s="75"/>
      <c r="AC35" s="75"/>
      <c r="AD35" s="75"/>
      <c r="AE35" s="75"/>
      <c r="AF35" s="121"/>
      <c r="AG35" s="122">
        <v>100.0</v>
      </c>
      <c r="AH35" s="123">
        <v>0.0</v>
      </c>
      <c r="AI35" s="123">
        <v>0.0</v>
      </c>
      <c r="AJ35" s="123">
        <v>0.0</v>
      </c>
      <c r="AK35" s="123">
        <v>0.0</v>
      </c>
      <c r="AL35" s="123"/>
      <c r="AM35" s="124" t="s">
        <v>1002</v>
      </c>
    </row>
    <row r="36" ht="21.0" customHeight="1">
      <c r="A36" s="100"/>
      <c r="B36" s="101"/>
      <c r="C36" s="59"/>
      <c r="D36" s="102" t="s">
        <v>607</v>
      </c>
      <c r="E36" s="102"/>
      <c r="F36" s="102"/>
      <c r="G36" s="103"/>
      <c r="H36" s="32"/>
      <c r="I36" s="32"/>
      <c r="J36" s="32"/>
      <c r="K36" s="32"/>
      <c r="L36" s="32"/>
      <c r="M36" s="104" t="str">
        <f>IFERROR(__xludf.DUMMYFUNCTION("QUERY(Hospitais_BD!D:I,""select E where D='""&amp;D36&amp;""'"",0)"),"REGIAO NORTE")</f>
        <v>REGIAO NORTE</v>
      </c>
      <c r="N36" s="102" t="str">
        <f>IFERROR(__xludf.DUMMYFUNCTION("QUERY(Hospitais_BD!D:I,""select F where D='""&amp;D36&amp;""'"")"),"Campos dos Goytacazes")</f>
        <v>Campos dos Goytacazes</v>
      </c>
      <c r="O36" s="105" t="str">
        <f>IFERROR(__xludf.DUMMYFUNCTION("QUERY(Hospitais_BD!D:I,""select G where D='""&amp;D36&amp;""'"")"),"Centro")</f>
        <v>Centro</v>
      </c>
      <c r="P36" s="102"/>
      <c r="Q36" s="105" t="str">
        <f>IFERROR(__xludf.DUMMYFUNCTION("QUERY(Hospitais_BD!D:I,""select I where D='""&amp;D36&amp;""'"")"),"Público")</f>
        <v>Público</v>
      </c>
      <c r="R36" s="105" t="str">
        <f>IFERROR(__xludf.DUMMYFUNCTION("QUERY(Hospitais_BD!D:I,""select H where D='""&amp;D36&amp;""'"")"),"Grande emergência - MÉDIA COMPLEXIDADE")</f>
        <v>Grande emergência - MÉDIA COMPLEXIDADE</v>
      </c>
      <c r="S36" s="106"/>
      <c r="T36" s="106"/>
      <c r="U36" s="107"/>
      <c r="V36" s="102"/>
      <c r="W36" s="102"/>
      <c r="X36" s="102"/>
      <c r="Y36" s="102"/>
      <c r="Z36" s="102"/>
      <c r="AA36" s="141"/>
      <c r="AB36" s="102"/>
      <c r="AC36" s="102"/>
      <c r="AD36" s="102"/>
      <c r="AE36" s="102"/>
      <c r="AF36" s="109"/>
      <c r="AG36" s="109">
        <v>100.0</v>
      </c>
      <c r="AH36" s="109">
        <v>0.0</v>
      </c>
      <c r="AI36" s="109">
        <v>0.0</v>
      </c>
      <c r="AJ36" s="109">
        <v>0.0</v>
      </c>
      <c r="AK36" s="109">
        <v>0.0</v>
      </c>
      <c r="AL36" s="109"/>
      <c r="AM36" s="111" t="s">
        <v>1002</v>
      </c>
    </row>
    <row r="37" ht="21.0" customHeight="1">
      <c r="A37" s="112"/>
      <c r="B37" s="113"/>
      <c r="C37" s="42"/>
      <c r="D37" s="75" t="s">
        <v>275</v>
      </c>
      <c r="E37" s="75"/>
      <c r="F37" s="75"/>
      <c r="G37" s="114"/>
      <c r="H37" s="25"/>
      <c r="I37" s="25"/>
      <c r="J37" s="25"/>
      <c r="K37" s="25"/>
      <c r="L37" s="25"/>
      <c r="M37" s="115" t="str">
        <f>IFERROR(__xludf.DUMMYFUNCTION("QUERY(Hospitais_BD!D:I,""select E where D='""&amp;D37&amp;""'"",0)"),"REGIAO DOS LAGOS")</f>
        <v>REGIAO DOS LAGOS</v>
      </c>
      <c r="N37" s="75" t="str">
        <f>IFERROR(__xludf.DUMMYFUNCTION("QUERY(Hospitais_BD!D:I,""select F where D='""&amp;D37&amp;""'"")"),"Arraial do Cabo")</f>
        <v>Arraial do Cabo</v>
      </c>
      <c r="O37" s="116" t="str">
        <f>IFERROR(__xludf.DUMMYFUNCTION("QUERY(Hospitais_BD!D:I,""select G where D='""&amp;D37&amp;""'"")"),"Centro")</f>
        <v>Centro</v>
      </c>
      <c r="P37" s="75"/>
      <c r="Q37" s="116" t="str">
        <f>IFERROR(__xludf.DUMMYFUNCTION("QUERY(Hospitais_BD!D:I,""select I where D='""&amp;D37&amp;""'"")"),"Público")</f>
        <v>Público</v>
      </c>
      <c r="R37" s="116" t="str">
        <f>IFERROR(__xludf.DUMMYFUNCTION("QUERY(Hospitais_BD!D:I,""select H where D='""&amp;D37&amp;""'"")"),"Referência - ALTA COMPLEXIDADE")</f>
        <v>Referência - ALTA COMPLEXIDADE</v>
      </c>
      <c r="S37" s="117"/>
      <c r="T37" s="117"/>
      <c r="U37" s="118"/>
      <c r="V37" s="75"/>
      <c r="W37" s="75"/>
      <c r="X37" s="75"/>
      <c r="Y37" s="75"/>
      <c r="Z37" s="75"/>
      <c r="AA37" s="131"/>
      <c r="AB37" s="75"/>
      <c r="AC37" s="75"/>
      <c r="AD37" s="75"/>
      <c r="AE37" s="75"/>
      <c r="AF37" s="123"/>
      <c r="AG37" s="132">
        <v>50.0</v>
      </c>
      <c r="AH37" s="123">
        <v>0.0</v>
      </c>
      <c r="AI37" s="123">
        <v>0.0</v>
      </c>
      <c r="AJ37" s="123">
        <v>0.0</v>
      </c>
      <c r="AK37" s="123">
        <v>0.0</v>
      </c>
      <c r="AL37" s="123"/>
      <c r="AM37" s="124" t="s">
        <v>1002</v>
      </c>
    </row>
    <row r="38" ht="21.0" customHeight="1">
      <c r="A38" s="100"/>
      <c r="B38" s="101"/>
      <c r="C38" s="59"/>
      <c r="D38" s="10" t="s">
        <v>173</v>
      </c>
      <c r="E38" s="102"/>
      <c r="F38" s="102"/>
      <c r="G38" s="103"/>
      <c r="H38" s="32"/>
      <c r="I38" s="32"/>
      <c r="J38" s="32"/>
      <c r="K38" s="32"/>
      <c r="L38" s="32"/>
      <c r="M38" s="104" t="str">
        <f>IFERROR(__xludf.DUMMYFUNCTION("QUERY(Hospitais_BD!D:I,""select E where D='""&amp;D38&amp;""'"",0)"),"ZONA NORTE")</f>
        <v>ZONA NORTE</v>
      </c>
      <c r="N38" s="102" t="str">
        <f>IFERROR(__xludf.DUMMYFUNCTION("QUERY(Hospitais_BD!D:I,""select F where D='""&amp;D38&amp;""'"")"),"Rio de Janeiro")</f>
        <v>Rio de Janeiro</v>
      </c>
      <c r="O38" s="105" t="str">
        <f>IFERROR(__xludf.DUMMYFUNCTION("QUERY(Hospitais_BD!D:I,""select G where D='""&amp;D38&amp;""'"")"),"Bonsucesso")</f>
        <v>Bonsucesso</v>
      </c>
      <c r="P38" s="102"/>
      <c r="Q38" s="105" t="str">
        <f>IFERROR(__xludf.DUMMYFUNCTION("QUERY(Hospitais_BD!D:I,""select I where D='""&amp;D38&amp;""'"")"),"Público")</f>
        <v>Público</v>
      </c>
      <c r="R38" s="105" t="str">
        <f>IFERROR(__xludf.DUMMYFUNCTION("QUERY(Hospitais_BD!D:I,""select H where D='""&amp;D38&amp;""'"")"),"Referência - ALTA COMPLEXIDADE")</f>
        <v>Referência - ALTA COMPLEXIDADE</v>
      </c>
      <c r="S38" s="106"/>
      <c r="T38" s="106"/>
      <c r="U38" s="107"/>
      <c r="V38" s="102"/>
      <c r="W38" s="102"/>
      <c r="X38" s="102"/>
      <c r="Y38" s="142"/>
      <c r="Z38" s="142"/>
      <c r="AA38" s="102"/>
      <c r="AB38" s="102"/>
      <c r="AC38" s="102"/>
      <c r="AD38" s="102"/>
      <c r="AE38" s="102"/>
      <c r="AF38" s="110"/>
      <c r="AG38" s="139">
        <v>95.0</v>
      </c>
      <c r="AH38" s="109">
        <v>0.0</v>
      </c>
      <c r="AI38" s="109">
        <v>0.0</v>
      </c>
      <c r="AJ38" s="109">
        <v>0.0</v>
      </c>
      <c r="AK38" s="109">
        <v>0.0</v>
      </c>
      <c r="AL38" s="109"/>
      <c r="AM38" s="111" t="s">
        <v>1002</v>
      </c>
    </row>
    <row r="39" ht="21.0" customHeight="1">
      <c r="A39" s="112"/>
      <c r="B39" s="113"/>
      <c r="C39" s="42"/>
      <c r="D39" s="75" t="s">
        <v>579</v>
      </c>
      <c r="E39" s="75"/>
      <c r="F39" s="75"/>
      <c r="G39" s="114"/>
      <c r="H39" s="25"/>
      <c r="I39" s="25"/>
      <c r="J39" s="25"/>
      <c r="K39" s="25"/>
      <c r="L39" s="25"/>
      <c r="M39" s="115" t="str">
        <f>IFERROR(__xludf.DUMMYFUNCTION("QUERY(Hospitais_BD!D:I,""select E where D='""&amp;D39&amp;""'"",0)"),"REGIAO NORTE")</f>
        <v>REGIAO NORTE</v>
      </c>
      <c r="N39" s="75" t="str">
        <f>IFERROR(__xludf.DUMMYFUNCTION("QUERY(Hospitais_BD!D:I,""select F where D='""&amp;D39&amp;""'"")"),"Campos dos Goytacazes")</f>
        <v>Campos dos Goytacazes</v>
      </c>
      <c r="O39" s="116" t="str">
        <f>IFERROR(__xludf.DUMMYFUNCTION("QUERY(Hospitais_BD!D:I,""select G where D='""&amp;D39&amp;""'"")"),"Guarus")</f>
        <v>Guarus</v>
      </c>
      <c r="P39" s="75"/>
      <c r="Q39" s="116" t="str">
        <f>IFERROR(__xludf.DUMMYFUNCTION("QUERY(Hospitais_BD!D:I,""select I where D='""&amp;D39&amp;""'"")"),"Público")</f>
        <v>Público</v>
      </c>
      <c r="R39" s="116" t="str">
        <f>IFERROR(__xludf.DUMMYFUNCTION("QUERY(Hospitais_BD!D:I,""select H where D='""&amp;D39&amp;""'"")"),"Referência - ALTA COMPLEXIDADE")</f>
        <v>Referência - ALTA COMPLEXIDADE</v>
      </c>
      <c r="S39" s="117"/>
      <c r="T39" s="117"/>
      <c r="U39" s="118"/>
      <c r="V39" s="75"/>
      <c r="W39" s="75"/>
      <c r="X39" s="75"/>
      <c r="Y39" s="75"/>
      <c r="Z39" s="75"/>
      <c r="AA39" s="131"/>
      <c r="AB39" s="75"/>
      <c r="AC39" s="75"/>
      <c r="AD39" s="75"/>
      <c r="AE39" s="75"/>
      <c r="AF39" s="123"/>
      <c r="AG39" s="123">
        <v>50.0</v>
      </c>
      <c r="AH39" s="123">
        <v>0.0</v>
      </c>
      <c r="AI39" s="123">
        <v>0.0</v>
      </c>
      <c r="AJ39" s="123">
        <v>0.0</v>
      </c>
      <c r="AK39" s="123">
        <v>0.0</v>
      </c>
      <c r="AL39" s="123"/>
      <c r="AM39" s="124" t="s">
        <v>1002</v>
      </c>
    </row>
    <row r="40" ht="21.0" customHeight="1">
      <c r="A40" s="100"/>
      <c r="B40" s="101"/>
      <c r="C40" s="59"/>
      <c r="D40" s="37" t="s">
        <v>819</v>
      </c>
      <c r="E40" s="102"/>
      <c r="F40" s="102"/>
      <c r="G40" s="103"/>
      <c r="H40" s="32"/>
      <c r="I40" s="32"/>
      <c r="J40" s="32"/>
      <c r="K40" s="32"/>
      <c r="L40" s="32"/>
      <c r="M40" s="104" t="str">
        <f>IFERROR(__xludf.DUMMYFUNCTION("QUERY(Hospitais_BD!D:I,""select E where D='""&amp;D40&amp;""'"",0)"),"BAIXADA FLUMINENSE")</f>
        <v>BAIXADA FLUMINENSE</v>
      </c>
      <c r="N40" s="102" t="str">
        <f>IFERROR(__xludf.DUMMYFUNCTION("QUERY(Hospitais_BD!D:I,""select F where D='""&amp;D40&amp;""'"")"),"Nova Iguaçu")</f>
        <v>Nova Iguaçu</v>
      </c>
      <c r="O40" s="105" t="str">
        <f>IFERROR(__xludf.DUMMYFUNCTION("QUERY(Hospitais_BD!D:I,""select G where D='""&amp;D40&amp;""'"")"),"Posse")</f>
        <v>Posse</v>
      </c>
      <c r="P40" s="102"/>
      <c r="Q40" s="105" t="str">
        <f>IFERROR(__xludf.DUMMYFUNCTION("QUERY(Hospitais_BD!D:I,""select I where D='""&amp;D40&amp;""'"")"),"Público")</f>
        <v>Público</v>
      </c>
      <c r="R40" s="105" t="str">
        <f>IFERROR(__xludf.DUMMYFUNCTION("QUERY(Hospitais_BD!D:I,""select H where D='""&amp;D40&amp;""'"")"),"Hospital de Referência - ALTA COMPLEXIDADE
")</f>
        <v>Hospital de Referência - ALTA COMPLEXIDADE
</v>
      </c>
      <c r="S40" s="106"/>
      <c r="T40" s="106"/>
      <c r="U40" s="107"/>
      <c r="V40" s="102"/>
      <c r="W40" s="102"/>
      <c r="X40" s="125"/>
      <c r="Y40" s="35"/>
      <c r="Z40" s="35"/>
      <c r="AA40" s="136"/>
      <c r="AB40" s="102"/>
      <c r="AC40" s="102"/>
      <c r="AD40" s="102"/>
      <c r="AE40" s="102"/>
      <c r="AF40" s="110"/>
      <c r="AG40" s="139">
        <v>400.0</v>
      </c>
      <c r="AH40" s="109">
        <v>0.0</v>
      </c>
      <c r="AI40" s="109">
        <v>0.0</v>
      </c>
      <c r="AJ40" s="109">
        <v>0.0</v>
      </c>
      <c r="AK40" s="109">
        <v>0.0</v>
      </c>
      <c r="AL40" s="109"/>
      <c r="AM40" s="111" t="s">
        <v>1002</v>
      </c>
    </row>
    <row r="41" ht="21.0" customHeight="1">
      <c r="A41" s="112"/>
      <c r="B41" s="113"/>
      <c r="C41" s="42"/>
      <c r="D41" s="30" t="s">
        <v>294</v>
      </c>
      <c r="E41" s="75"/>
      <c r="F41" s="75"/>
      <c r="G41" s="114"/>
      <c r="H41" s="25"/>
      <c r="I41" s="25"/>
      <c r="J41" s="25"/>
      <c r="K41" s="25"/>
      <c r="L41" s="25"/>
      <c r="M41" s="115" t="str">
        <f>IFERROR(__xludf.DUMMYFUNCTION("QUERY(Hospitais_BD!D:I,""select E where D='""&amp;D41&amp;""'"",0)"),"ZONA NORTE")</f>
        <v>ZONA NORTE</v>
      </c>
      <c r="N41" s="75" t="str">
        <f>IFERROR(__xludf.DUMMYFUNCTION("QUERY(Hospitais_BD!D:I,""select F where D='""&amp;D41&amp;""'"")"),"Rio de Janeiro")</f>
        <v>Rio de Janeiro</v>
      </c>
      <c r="O41" s="116" t="str">
        <f>IFERROR(__xludf.DUMMYFUNCTION("QUERY(Hospitais_BD!D:I,""select G where D='""&amp;D41&amp;""'"")"),"Penha")</f>
        <v>Penha</v>
      </c>
      <c r="P41" s="75"/>
      <c r="Q41" s="116" t="str">
        <f>IFERROR(__xludf.DUMMYFUNCTION("QUERY(Hospitais_BD!D:I,""select I where D='""&amp;D41&amp;""'"")"),"Público")</f>
        <v>Público</v>
      </c>
      <c r="R41" s="116" t="str">
        <f>IFERROR(__xludf.DUMMYFUNCTION("QUERY(Hospitais_BD!D:I,""select H where D='""&amp;D41&amp;""'"")"),"Unidade básica - BAIXA COMPLEXIDADE")</f>
        <v>Unidade básica - BAIXA COMPLEXIDADE</v>
      </c>
      <c r="S41" s="117"/>
      <c r="T41" s="117"/>
      <c r="U41" s="118"/>
      <c r="V41" s="75"/>
      <c r="W41" s="75"/>
      <c r="X41" s="75"/>
      <c r="Y41" s="30"/>
      <c r="Z41" s="30"/>
      <c r="AA41" s="131"/>
      <c r="AB41" s="75"/>
      <c r="AC41" s="75"/>
      <c r="AD41" s="75"/>
      <c r="AE41" s="75"/>
      <c r="AF41" s="123"/>
      <c r="AG41" s="121">
        <v>50.0</v>
      </c>
      <c r="AH41" s="123">
        <v>0.0</v>
      </c>
      <c r="AI41" s="123">
        <v>0.0</v>
      </c>
      <c r="AJ41" s="123">
        <v>0.0</v>
      </c>
      <c r="AK41" s="123">
        <v>0.0</v>
      </c>
      <c r="AL41" s="123"/>
      <c r="AM41" s="124" t="s">
        <v>1002</v>
      </c>
    </row>
    <row r="42" ht="21.0" customHeight="1">
      <c r="A42" s="100"/>
      <c r="B42" s="143"/>
      <c r="C42" s="59"/>
      <c r="D42" s="37" t="s">
        <v>299</v>
      </c>
      <c r="E42" s="35"/>
      <c r="F42" s="35"/>
      <c r="G42" s="103"/>
      <c r="H42" s="90"/>
      <c r="I42" s="90"/>
      <c r="J42" s="90"/>
      <c r="K42" s="90"/>
      <c r="L42" s="90"/>
      <c r="M42" s="104" t="str">
        <f>IFERROR(__xludf.DUMMYFUNCTION("QUERY(Hospitais_BD!D:I,""select E where D='""&amp;D42&amp;""'"",0)"),"ZONA OESTE")</f>
        <v>ZONA OESTE</v>
      </c>
      <c r="N42" s="35" t="str">
        <f>IFERROR(__xludf.DUMMYFUNCTION("QUERY(Hospitais_BD!D:I,""select F where D='""&amp;D42&amp;""'"")"),"Rio de Janeiro")</f>
        <v>Rio de Janeiro</v>
      </c>
      <c r="O42" s="105" t="str">
        <f>IFERROR(__xludf.DUMMYFUNCTION("QUERY(Hospitais_BD!D:I,""select G where D='""&amp;D42&amp;""'"")"),"Realengo")</f>
        <v>Realengo</v>
      </c>
      <c r="P42" s="35"/>
      <c r="Q42" s="105" t="str">
        <f>IFERROR(__xludf.DUMMYFUNCTION("QUERY(Hospitais_BD!D:I,""select I where D='""&amp;D42&amp;""'"")"),"Público")</f>
        <v>Público</v>
      </c>
      <c r="R42" s="105" t="str">
        <f>IFERROR(__xludf.DUMMYFUNCTION("QUERY(Hospitais_BD!D:I,""select H where D='""&amp;D42&amp;""'"")"),"Grande emergência - MÉDIA COMPLEXIDADE")</f>
        <v>Grande emergência - MÉDIA COMPLEXIDADE</v>
      </c>
      <c r="S42" s="105"/>
      <c r="T42" s="105"/>
      <c r="U42" s="144"/>
      <c r="V42" s="35"/>
      <c r="W42" s="35"/>
      <c r="X42" s="125"/>
      <c r="Y42" s="35"/>
      <c r="Z42" s="35"/>
      <c r="AA42" s="145"/>
      <c r="AB42" s="35"/>
      <c r="AC42" s="35"/>
      <c r="AD42" s="35"/>
      <c r="AE42" s="35"/>
      <c r="AF42" s="110"/>
      <c r="AG42" s="127">
        <v>50.0</v>
      </c>
      <c r="AH42" s="146">
        <v>0.0</v>
      </c>
      <c r="AI42" s="146">
        <v>0.0</v>
      </c>
      <c r="AJ42" s="146">
        <v>0.0</v>
      </c>
      <c r="AK42" s="146">
        <v>0.0</v>
      </c>
      <c r="AL42" s="146"/>
      <c r="AM42" s="147" t="s">
        <v>1002</v>
      </c>
    </row>
    <row r="43" ht="21.0" customHeight="1">
      <c r="A43" s="112"/>
      <c r="B43" s="113"/>
      <c r="C43" s="42"/>
      <c r="D43" s="74" t="s">
        <v>890</v>
      </c>
      <c r="E43" s="75"/>
      <c r="F43" s="75"/>
      <c r="G43" s="114"/>
      <c r="H43" s="25"/>
      <c r="I43" s="25"/>
      <c r="J43" s="25"/>
      <c r="K43" s="25"/>
      <c r="L43" s="25"/>
      <c r="M43" s="115" t="str">
        <f>IFERROR(__xludf.DUMMYFUNCTION("QUERY(Hospitais_BD!D:I,""select E where D='""&amp;D43&amp;""'"",0)"),"ZONA OESTE")</f>
        <v>ZONA OESTE</v>
      </c>
      <c r="N43" s="75" t="str">
        <f>IFERROR(__xludf.DUMMYFUNCTION("QUERY(Hospitais_BD!D:I,""select F where D='""&amp;D43&amp;""'"")"),"Rio de Janeiro")</f>
        <v>Rio de Janeiro</v>
      </c>
      <c r="O43" s="116" t="str">
        <f>IFERROR(__xludf.DUMMYFUNCTION("QUERY(Hospitais_BD!D:I,""select G where D='""&amp;D43&amp;""'"")"),"Taquara")</f>
        <v>Taquara</v>
      </c>
      <c r="P43" s="75"/>
      <c r="Q43" s="116" t="str">
        <f>IFERROR(__xludf.DUMMYFUNCTION("QUERY(Hospitais_BD!D:I,""select I where D='""&amp;D43&amp;""'"")"),"Público")</f>
        <v>Público</v>
      </c>
      <c r="R43" s="116" t="str">
        <f>IFERROR(__xludf.DUMMYFUNCTION("QUERY(Hospitais_BD!D:I,""select H where D='""&amp;D43&amp;""'"")"),"Grande emergência - MÉDIA COMPLEXIDADE
")</f>
        <v>Grande emergência - MÉDIA COMPLEXIDADE
</v>
      </c>
      <c r="S43" s="117"/>
      <c r="T43" s="117"/>
      <c r="U43" s="118"/>
      <c r="V43" s="75"/>
      <c r="W43" s="75"/>
      <c r="X43" s="75"/>
      <c r="Y43" s="75"/>
      <c r="Z43" s="75"/>
      <c r="AA43" s="137"/>
      <c r="AB43" s="75"/>
      <c r="AC43" s="75"/>
      <c r="AD43" s="75"/>
      <c r="AE43" s="75"/>
      <c r="AF43" s="123"/>
      <c r="AG43" s="132">
        <v>90.0</v>
      </c>
      <c r="AH43" s="123">
        <v>0.0</v>
      </c>
      <c r="AI43" s="123">
        <v>0.0</v>
      </c>
      <c r="AJ43" s="123">
        <v>0.0</v>
      </c>
      <c r="AK43" s="123">
        <v>0.0</v>
      </c>
      <c r="AL43" s="123"/>
      <c r="AM43" s="124" t="s">
        <v>1002</v>
      </c>
    </row>
    <row r="44" ht="21.0" customHeight="1">
      <c r="A44" s="100"/>
      <c r="B44" s="101"/>
      <c r="C44" s="59"/>
      <c r="D44" s="35" t="s">
        <v>891</v>
      </c>
      <c r="E44" s="102"/>
      <c r="F44" s="102"/>
      <c r="G44" s="103"/>
      <c r="H44" s="32"/>
      <c r="I44" s="32"/>
      <c r="J44" s="32"/>
      <c r="K44" s="32"/>
      <c r="L44" s="32"/>
      <c r="M44" s="104" t="str">
        <f>IFERROR(__xludf.DUMMYFUNCTION("QUERY(Hospitais_BD!D:I,""select E where D='""&amp;D44&amp;""'"",0)"),"CENTRO")</f>
        <v>CENTRO</v>
      </c>
      <c r="N44" s="102" t="str">
        <f>IFERROR(__xludf.DUMMYFUNCTION("QUERY(Hospitais_BD!D:I,""select F where D='""&amp;D44&amp;""'"")"),"Rio de Janeiro")</f>
        <v>Rio de Janeiro</v>
      </c>
      <c r="O44" s="105" t="str">
        <f>IFERROR(__xludf.DUMMYFUNCTION("QUERY(Hospitais_BD!D:I,""select G where D='""&amp;D44&amp;""'"")"),"Mangueira")</f>
        <v>Mangueira</v>
      </c>
      <c r="P44" s="102"/>
      <c r="Q44" s="105" t="str">
        <f>IFERROR(__xludf.DUMMYFUNCTION("QUERY(Hospitais_BD!D:I,""select I where D='""&amp;D44&amp;""'"")"),"Público")</f>
        <v>Público</v>
      </c>
      <c r="R44" s="105" t="str">
        <f>IFERROR(__xludf.DUMMYFUNCTION("QUERY(Hospitais_BD!D:I,""select H where D='""&amp;D44&amp;""'"")"),"Grande emergência - MÉDIA COMPLEXIDADE
")</f>
        <v>Grande emergência - MÉDIA COMPLEXIDADE
</v>
      </c>
      <c r="S44" s="106"/>
      <c r="T44" s="106"/>
      <c r="U44" s="107"/>
      <c r="V44" s="102"/>
      <c r="W44" s="102"/>
      <c r="X44" s="102"/>
      <c r="Y44" s="35"/>
      <c r="Z44" s="35"/>
      <c r="AA44" s="141"/>
      <c r="AB44" s="102"/>
      <c r="AC44" s="102"/>
      <c r="AD44" s="102"/>
      <c r="AE44" s="102"/>
      <c r="AF44" s="109"/>
      <c r="AG44" s="135">
        <v>100.0</v>
      </c>
      <c r="AH44" s="109">
        <v>0.0</v>
      </c>
      <c r="AI44" s="109">
        <v>0.0</v>
      </c>
      <c r="AJ44" s="109">
        <v>0.0</v>
      </c>
      <c r="AK44" s="109">
        <v>0.0</v>
      </c>
      <c r="AL44" s="109"/>
      <c r="AM44" s="111" t="s">
        <v>1002</v>
      </c>
    </row>
    <row r="45" ht="21.0" customHeight="1">
      <c r="A45" s="112"/>
      <c r="B45" s="113"/>
      <c r="C45" s="42"/>
      <c r="D45" s="38" t="s">
        <v>1003</v>
      </c>
      <c r="E45" s="75"/>
      <c r="F45" s="75"/>
      <c r="G45" s="114"/>
      <c r="H45" s="25"/>
      <c r="I45" s="25"/>
      <c r="J45" s="25"/>
      <c r="K45" s="25"/>
      <c r="L45" s="25"/>
      <c r="M45" s="60" t="s">
        <v>197</v>
      </c>
      <c r="N45" s="74" t="s">
        <v>316</v>
      </c>
      <c r="O45" s="60" t="s">
        <v>149</v>
      </c>
      <c r="P45" s="75"/>
      <c r="Q45" s="60" t="s">
        <v>1004</v>
      </c>
      <c r="R45" s="116" t="str">
        <f>IFERROR(__xludf.DUMMYFUNCTION("QUERY(Hospitais_BD!D:I,""select H where D='""&amp;D45&amp;""'"")"),"#N/A")</f>
        <v>#N/A</v>
      </c>
      <c r="S45" s="117"/>
      <c r="T45" s="117"/>
      <c r="U45" s="118"/>
      <c r="V45" s="75"/>
      <c r="W45" s="75"/>
      <c r="X45" s="119"/>
      <c r="Y45" s="30"/>
      <c r="Z45" s="30"/>
      <c r="AA45" s="140"/>
      <c r="AB45" s="75"/>
      <c r="AC45" s="75"/>
      <c r="AD45" s="75"/>
      <c r="AE45" s="75"/>
      <c r="AF45" s="121"/>
      <c r="AG45" s="122">
        <v>50.0</v>
      </c>
      <c r="AH45" s="123">
        <v>0.0</v>
      </c>
      <c r="AI45" s="123">
        <v>0.0</v>
      </c>
      <c r="AJ45" s="123">
        <v>0.0</v>
      </c>
      <c r="AK45" s="123">
        <v>0.0</v>
      </c>
      <c r="AL45" s="123"/>
      <c r="AM45" s="124" t="s">
        <v>1002</v>
      </c>
    </row>
    <row r="46" ht="21.0" customHeight="1">
      <c r="A46" s="100"/>
      <c r="B46" s="101"/>
      <c r="C46" s="59"/>
      <c r="D46" s="10" t="s">
        <v>312</v>
      </c>
      <c r="E46" s="102"/>
      <c r="F46" s="102"/>
      <c r="G46" s="103"/>
      <c r="H46" s="32"/>
      <c r="I46" s="32"/>
      <c r="J46" s="32"/>
      <c r="K46" s="32"/>
      <c r="L46" s="32"/>
      <c r="M46" s="104" t="str">
        <f>IFERROR(__xludf.DUMMYFUNCTION("QUERY(Hospitais_BD!D:I,""select E where D='""&amp;D46&amp;""'"",0)"),"ZONA NORTE")</f>
        <v>ZONA NORTE</v>
      </c>
      <c r="N46" s="102" t="str">
        <f>IFERROR(__xludf.DUMMYFUNCTION("QUERY(Hospitais_BD!D:I,""select F where D='""&amp;D46&amp;""'"")"),"Rio de Janeiro")</f>
        <v>Rio de Janeiro</v>
      </c>
      <c r="O46" s="105" t="str">
        <f>IFERROR(__xludf.DUMMYFUNCTION("QUERY(Hospitais_BD!D:I,""select G where D='""&amp;D46&amp;""'"")"),"Piedade")</f>
        <v>Piedade</v>
      </c>
      <c r="P46" s="102"/>
      <c r="Q46" s="105" t="str">
        <f>IFERROR(__xludf.DUMMYFUNCTION("QUERY(Hospitais_BD!D:I,""select I where D='""&amp;D46&amp;""'"")"),"Público")</f>
        <v>Público</v>
      </c>
      <c r="R46" s="105" t="str">
        <f>IFERROR(__xludf.DUMMYFUNCTION("QUERY(Hospitais_BD!D:I,""select H where D='""&amp;D46&amp;""'"")"),"Grande emergência - MÉDIA COMPLEXIDADE")</f>
        <v>Grande emergência - MÉDIA COMPLEXIDADE</v>
      </c>
      <c r="S46" s="106"/>
      <c r="T46" s="106"/>
      <c r="U46" s="107"/>
      <c r="V46" s="102"/>
      <c r="W46" s="102"/>
      <c r="X46" s="102"/>
      <c r="Y46" s="35"/>
      <c r="Z46" s="35"/>
      <c r="AA46" s="108"/>
      <c r="AB46" s="102"/>
      <c r="AC46" s="102"/>
      <c r="AD46" s="102"/>
      <c r="AE46" s="102"/>
      <c r="AF46" s="109"/>
      <c r="AG46" s="110">
        <v>100.0</v>
      </c>
      <c r="AH46" s="109">
        <v>0.0</v>
      </c>
      <c r="AI46" s="109">
        <v>0.0</v>
      </c>
      <c r="AJ46" s="109">
        <v>0.0</v>
      </c>
      <c r="AK46" s="109">
        <v>0.0</v>
      </c>
      <c r="AL46" s="109"/>
      <c r="AM46" s="111" t="s">
        <v>1002</v>
      </c>
    </row>
    <row r="47" ht="21.0" customHeight="1">
      <c r="A47" s="112"/>
      <c r="B47" s="113"/>
      <c r="C47" s="42"/>
      <c r="D47" s="75" t="s">
        <v>892</v>
      </c>
      <c r="E47" s="75"/>
      <c r="F47" s="75"/>
      <c r="G47" s="114"/>
      <c r="H47" s="25"/>
      <c r="I47" s="25"/>
      <c r="J47" s="25"/>
      <c r="K47" s="25"/>
      <c r="L47" s="25"/>
      <c r="M47" s="115" t="str">
        <f>IFERROR(__xludf.DUMMYFUNCTION("QUERY(Hospitais_BD!D:I,""select E where D='""&amp;D47&amp;""'"",0)"),"REGIAO METROPOLITANA")</f>
        <v>REGIAO METROPOLITANA</v>
      </c>
      <c r="N47" s="75" t="str">
        <f>IFERROR(__xludf.DUMMYFUNCTION("QUERY(Hospitais_BD!D:I,""select F where D='""&amp;D47&amp;""'"")"),"Itaboraí")</f>
        <v>Itaboraí</v>
      </c>
      <c r="O47" s="116" t="str">
        <f>IFERROR(__xludf.DUMMYFUNCTION("QUERY(Hospitais_BD!D:I,""select G where D='""&amp;D47&amp;""'"")"),"Nancilândia")</f>
        <v>Nancilândia</v>
      </c>
      <c r="P47" s="75"/>
      <c r="Q47" s="116" t="str">
        <f>IFERROR(__xludf.DUMMYFUNCTION("QUERY(Hospitais_BD!D:I,""select I where D='""&amp;D47&amp;""'"")"),"Público")</f>
        <v>Público</v>
      </c>
      <c r="R47" s="116" t="str">
        <f>IFERROR(__xludf.DUMMYFUNCTION("QUERY(Hospitais_BD!D:I,""select H where D='""&amp;D47&amp;""'"")"),"Grande emergência - MÉDIA COMPLEXIDADE
")</f>
        <v>Grande emergência - MÉDIA COMPLEXIDADE
</v>
      </c>
      <c r="S47" s="117"/>
      <c r="T47" s="117"/>
      <c r="U47" s="118"/>
      <c r="V47" s="75"/>
      <c r="W47" s="75"/>
      <c r="X47" s="75"/>
      <c r="Y47" s="75"/>
      <c r="Z47" s="75"/>
      <c r="AA47" s="131"/>
      <c r="AB47" s="75"/>
      <c r="AC47" s="75"/>
      <c r="AD47" s="75"/>
      <c r="AE47" s="75"/>
      <c r="AF47" s="123"/>
      <c r="AG47" s="132">
        <v>100.0</v>
      </c>
      <c r="AH47" s="123">
        <v>0.0</v>
      </c>
      <c r="AI47" s="123">
        <v>0.0</v>
      </c>
      <c r="AJ47" s="123">
        <v>0.0</v>
      </c>
      <c r="AK47" s="123">
        <v>0.0</v>
      </c>
      <c r="AL47" s="123"/>
      <c r="AM47" s="124" t="s">
        <v>1002</v>
      </c>
    </row>
    <row r="48" ht="21.0" customHeight="1">
      <c r="A48" s="100"/>
      <c r="B48" s="101"/>
      <c r="C48" s="59"/>
      <c r="D48" s="37" t="s">
        <v>323</v>
      </c>
      <c r="E48" s="102"/>
      <c r="F48" s="102"/>
      <c r="G48" s="103"/>
      <c r="H48" s="32"/>
      <c r="I48" s="32"/>
      <c r="J48" s="32"/>
      <c r="K48" s="32"/>
      <c r="L48" s="32"/>
      <c r="M48" s="104" t="str">
        <f>IFERROR(__xludf.DUMMYFUNCTION("QUERY(Hospitais_BD!D:I,""select E where D='""&amp;D48&amp;""'"",0)"),"REGIAO SERRANA")</f>
        <v>REGIAO SERRANA</v>
      </c>
      <c r="N48" s="102" t="str">
        <f>IFERROR(__xludf.DUMMYFUNCTION("QUERY(Hospitais_BD!D:I,""select F where D='""&amp;D48&amp;""'"")"),"Petropólis")</f>
        <v>Petropólis</v>
      </c>
      <c r="O48" s="105" t="str">
        <f>IFERROR(__xludf.DUMMYFUNCTION("QUERY(Hospitais_BD!D:I,""select G where D='""&amp;D48&amp;""'"")"),"Centro")</f>
        <v>Centro</v>
      </c>
      <c r="P48" s="102"/>
      <c r="Q48" s="105" t="str">
        <f>IFERROR(__xludf.DUMMYFUNCTION("QUERY(Hospitais_BD!D:I,""select I where D='""&amp;D48&amp;""'"")"),"Público")</f>
        <v>Público</v>
      </c>
      <c r="R48" s="105" t="str">
        <f>IFERROR(__xludf.DUMMYFUNCTION("QUERY(Hospitais_BD!D:I,""select H where D='""&amp;D48&amp;""'"")"),"Referência - ALTA COMPLEXIDADE")</f>
        <v>Referência - ALTA COMPLEXIDADE</v>
      </c>
      <c r="S48" s="106"/>
      <c r="T48" s="106"/>
      <c r="U48" s="107"/>
      <c r="V48" s="102"/>
      <c r="W48" s="102"/>
      <c r="X48" s="102"/>
      <c r="Y48" s="102"/>
      <c r="Z48" s="102"/>
      <c r="AA48" s="37"/>
      <c r="AB48" s="102"/>
      <c r="AC48" s="102"/>
      <c r="AD48" s="102"/>
      <c r="AE48" s="102"/>
      <c r="AF48" s="110"/>
      <c r="AG48" s="127">
        <v>50.0</v>
      </c>
      <c r="AH48" s="109">
        <v>0.0</v>
      </c>
      <c r="AI48" s="109">
        <v>0.0</v>
      </c>
      <c r="AJ48" s="109">
        <v>0.0</v>
      </c>
      <c r="AK48" s="109">
        <v>0.0</v>
      </c>
      <c r="AL48" s="109"/>
      <c r="AM48" s="111" t="s">
        <v>1002</v>
      </c>
    </row>
    <row r="49" ht="21.0" customHeight="1">
      <c r="A49" s="112"/>
      <c r="B49" s="113"/>
      <c r="C49" s="42"/>
      <c r="D49" s="20" t="s">
        <v>327</v>
      </c>
      <c r="E49" s="75"/>
      <c r="F49" s="75"/>
      <c r="G49" s="114"/>
      <c r="H49" s="25"/>
      <c r="I49" s="25"/>
      <c r="J49" s="25"/>
      <c r="K49" s="25"/>
      <c r="L49" s="25"/>
      <c r="M49" s="115" t="str">
        <f>IFERROR(__xludf.DUMMYFUNCTION("QUERY(Hospitais_BD!D:I,""select E where D='""&amp;D49&amp;""'"",0)"),"REGIAO DOS LAGOS")</f>
        <v>REGIAO DOS LAGOS</v>
      </c>
      <c r="N49" s="75" t="str">
        <f>IFERROR(__xludf.DUMMYFUNCTION("QUERY(Hospitais_BD!D:I,""select F where D='""&amp;D49&amp;""'"")"),"Macaé")</f>
        <v>Macaé</v>
      </c>
      <c r="O49" s="116" t="str">
        <f>IFERROR(__xludf.DUMMYFUNCTION("QUERY(Hospitais_BD!D:I,""select G where D='""&amp;D49&amp;""'"")"),"Virgem Santa")</f>
        <v>Virgem Santa</v>
      </c>
      <c r="P49" s="75"/>
      <c r="Q49" s="116" t="str">
        <f>IFERROR(__xludf.DUMMYFUNCTION("QUERY(Hospitais_BD!D:I,""select I where D='""&amp;D49&amp;""'"")"),"Público")</f>
        <v>Público</v>
      </c>
      <c r="R49" s="116" t="str">
        <f>IFERROR(__xludf.DUMMYFUNCTION("QUERY(Hospitais_BD!D:I,""select H where D='""&amp;D49&amp;""'"")"),"Referência - ALTA COMPLEXIDADE")</f>
        <v>Referência - ALTA COMPLEXIDADE</v>
      </c>
      <c r="S49" s="117"/>
      <c r="T49" s="117"/>
      <c r="U49" s="118"/>
      <c r="V49" s="75"/>
      <c r="W49" s="75"/>
      <c r="X49" s="75"/>
      <c r="Y49" s="75"/>
      <c r="Z49" s="75"/>
      <c r="AA49" s="131"/>
      <c r="AB49" s="75"/>
      <c r="AC49" s="75"/>
      <c r="AD49" s="75"/>
      <c r="AE49" s="75"/>
      <c r="AF49" s="123"/>
      <c r="AG49" s="132">
        <v>50.0</v>
      </c>
      <c r="AH49" s="123">
        <v>0.0</v>
      </c>
      <c r="AI49" s="123">
        <v>0.0</v>
      </c>
      <c r="AJ49" s="123">
        <v>0.0</v>
      </c>
      <c r="AK49" s="123">
        <v>0.0</v>
      </c>
      <c r="AL49" s="123"/>
      <c r="AM49" s="124" t="s">
        <v>1002</v>
      </c>
    </row>
    <row r="50" ht="21.0" customHeight="1">
      <c r="A50" s="100"/>
      <c r="B50" s="101"/>
      <c r="C50" s="59"/>
      <c r="D50" s="37" t="s">
        <v>834</v>
      </c>
      <c r="E50" s="102"/>
      <c r="F50" s="102"/>
      <c r="G50" s="103"/>
      <c r="H50" s="32"/>
      <c r="I50" s="32"/>
      <c r="J50" s="32"/>
      <c r="K50" s="32"/>
      <c r="L50" s="32"/>
      <c r="M50" s="104" t="str">
        <f>IFERROR(__xludf.DUMMYFUNCTION("QUERY(Hospitais_BD!D:I,""select E where D='""&amp;D50&amp;""'"",0)"),"ZONA NORTE")</f>
        <v>ZONA NORTE</v>
      </c>
      <c r="N50" s="102" t="str">
        <f>IFERROR(__xludf.DUMMYFUNCTION("QUERY(Hospitais_BD!D:I,""select F where D='""&amp;D50&amp;""'"")"),"Rio de Janeiro")</f>
        <v>Rio de Janeiro</v>
      </c>
      <c r="O50" s="105" t="str">
        <f>IFERROR(__xludf.DUMMYFUNCTION("QUERY(Hospitais_BD!D:I,""select G where D='""&amp;D50&amp;""'"")"),"Portuguesa")</f>
        <v>Portuguesa</v>
      </c>
      <c r="P50" s="102"/>
      <c r="Q50" s="105" t="str">
        <f>IFERROR(__xludf.DUMMYFUNCTION("QUERY(Hospitais_BD!D:I,""select I where D='""&amp;D50&amp;""'"")"),"Público")</f>
        <v>Público</v>
      </c>
      <c r="R50" s="105" t="str">
        <f>IFERROR(__xludf.DUMMYFUNCTION("QUERY(Hospitais_BD!D:I,""select H where D='""&amp;D50&amp;""'"")"),"Hospital de Referência - ALTA COMPLEXIDADE
")</f>
        <v>Hospital de Referência - ALTA COMPLEXIDADE
</v>
      </c>
      <c r="S50" s="106"/>
      <c r="T50" s="106"/>
      <c r="U50" s="107"/>
      <c r="V50" s="102"/>
      <c r="W50" s="102"/>
      <c r="X50" s="102"/>
      <c r="Y50" s="102"/>
      <c r="Z50" s="102"/>
      <c r="AA50" s="133"/>
      <c r="AB50" s="102"/>
      <c r="AC50" s="102"/>
      <c r="AD50" s="102"/>
      <c r="AE50" s="102"/>
      <c r="AF50" s="110"/>
      <c r="AG50" s="127">
        <v>80.0</v>
      </c>
      <c r="AH50" s="109">
        <v>0.0</v>
      </c>
      <c r="AI50" s="109">
        <v>0.0</v>
      </c>
      <c r="AJ50" s="109">
        <v>0.0</v>
      </c>
      <c r="AK50" s="109">
        <v>0.0</v>
      </c>
      <c r="AL50" s="109"/>
      <c r="AM50" s="111" t="s">
        <v>1002</v>
      </c>
    </row>
    <row r="51" ht="21.0" customHeight="1">
      <c r="A51" s="112"/>
      <c r="B51" s="113"/>
      <c r="C51" s="42"/>
      <c r="D51" s="38" t="s">
        <v>335</v>
      </c>
      <c r="E51" s="75"/>
      <c r="F51" s="75"/>
      <c r="G51" s="114"/>
      <c r="H51" s="25"/>
      <c r="I51" s="25"/>
      <c r="J51" s="25"/>
      <c r="K51" s="25"/>
      <c r="L51" s="25"/>
      <c r="M51" s="115" t="str">
        <f>IFERROR(__xludf.DUMMYFUNCTION("QUERY(Hospitais_BD!D:I,""select E where D='""&amp;D51&amp;""'"",0)"),"#REF!")</f>
        <v>#REF!</v>
      </c>
      <c r="N51" s="75" t="str">
        <f>IFERROR(__xludf.DUMMYFUNCTION("QUERY(Hospitais_BD!D:I,""select F where D='""&amp;D51&amp;""'"")"),"#REF!")</f>
        <v>#REF!</v>
      </c>
      <c r="O51" s="116" t="str">
        <f>IFERROR(__xludf.DUMMYFUNCTION("QUERY(Hospitais_BD!D:I,""select G where D='""&amp;D51&amp;""'"")"),"#REF!")</f>
        <v>#REF!</v>
      </c>
      <c r="P51" s="75"/>
      <c r="Q51" s="116" t="str">
        <f>IFERROR(__xludf.DUMMYFUNCTION("QUERY(Hospitais_BD!D:I,""select I where D='""&amp;D51&amp;""'"")"),"#REF!")</f>
        <v>#REF!</v>
      </c>
      <c r="R51" s="116" t="str">
        <f>IFERROR(__xludf.DUMMYFUNCTION("QUERY(Hospitais_BD!D:I,""select H where D='""&amp;D51&amp;""'"")"),"#REF!")</f>
        <v>#REF!</v>
      </c>
      <c r="S51" s="117"/>
      <c r="T51" s="117"/>
      <c r="U51" s="118"/>
      <c r="V51" s="75"/>
      <c r="W51" s="75"/>
      <c r="X51" s="75"/>
      <c r="Y51" s="75"/>
      <c r="Z51" s="75"/>
      <c r="AA51" s="130"/>
      <c r="AB51" s="75"/>
      <c r="AC51" s="75"/>
      <c r="AD51" s="75"/>
      <c r="AE51" s="75"/>
      <c r="AF51" s="121"/>
      <c r="AG51" s="122">
        <v>50.0</v>
      </c>
      <c r="AH51" s="123">
        <v>0.0</v>
      </c>
      <c r="AI51" s="123">
        <v>0.0</v>
      </c>
      <c r="AJ51" s="123">
        <v>0.0</v>
      </c>
      <c r="AK51" s="123">
        <v>0.0</v>
      </c>
      <c r="AL51" s="123"/>
      <c r="AM51" s="124" t="s">
        <v>1002</v>
      </c>
    </row>
    <row r="52" ht="21.0" customHeight="1">
      <c r="A52" s="100"/>
      <c r="B52" s="101"/>
      <c r="C52" s="59"/>
      <c r="D52" s="37" t="s">
        <v>337</v>
      </c>
      <c r="E52" s="102"/>
      <c r="F52" s="102"/>
      <c r="G52" s="103"/>
      <c r="H52" s="32"/>
      <c r="I52" s="32"/>
      <c r="J52" s="32"/>
      <c r="K52" s="32"/>
      <c r="L52" s="32"/>
      <c r="M52" s="104" t="str">
        <f>IFERROR(__xludf.DUMMYFUNCTION("QUERY(Hospitais_BD!D:I,""select E where D='""&amp;D52&amp;""'"",0)"),"ZONA NORTE")</f>
        <v>ZONA NORTE</v>
      </c>
      <c r="N52" s="102" t="str">
        <f>IFERROR(__xludf.DUMMYFUNCTION("QUERY(Hospitais_BD!D:I,""select F where D='""&amp;D52&amp;""'"")"),"Rio de Janeiro")</f>
        <v>Rio de Janeiro</v>
      </c>
      <c r="O52" s="105" t="str">
        <f>IFERROR(__xludf.DUMMYFUNCTION("QUERY(Hospitais_BD!D:I,""select G where D='""&amp;D52&amp;""'"")"),"Vila Isabel")</f>
        <v>Vila Isabel</v>
      </c>
      <c r="P52" s="102"/>
      <c r="Q52" s="105" t="str">
        <f>IFERROR(__xludf.DUMMYFUNCTION("QUERY(Hospitais_BD!D:I,""select I where D='""&amp;D52&amp;""'"")"),"Público")</f>
        <v>Público</v>
      </c>
      <c r="R52" s="105" t="str">
        <f>IFERROR(__xludf.DUMMYFUNCTION("QUERY(Hospitais_BD!D:I,""select H where D='""&amp;D52&amp;""'"")"),"Grande emergência - MÉDIA COMPLEXIDADE")</f>
        <v>Grande emergência - MÉDIA COMPLEXIDADE</v>
      </c>
      <c r="S52" s="106"/>
      <c r="T52" s="106"/>
      <c r="U52" s="107"/>
      <c r="V52" s="102"/>
      <c r="W52" s="102"/>
      <c r="X52" s="102"/>
      <c r="Y52" s="102"/>
      <c r="Z52" s="102"/>
      <c r="AA52" s="133"/>
      <c r="AB52" s="102"/>
      <c r="AC52" s="102"/>
      <c r="AD52" s="102"/>
      <c r="AE52" s="102"/>
      <c r="AF52" s="110"/>
      <c r="AG52" s="127">
        <v>30.0</v>
      </c>
      <c r="AH52" s="109">
        <v>0.0</v>
      </c>
      <c r="AI52" s="109">
        <v>0.0</v>
      </c>
      <c r="AJ52" s="109">
        <v>0.0</v>
      </c>
      <c r="AK52" s="109">
        <v>0.0</v>
      </c>
      <c r="AL52" s="109"/>
      <c r="AM52" s="111" t="s">
        <v>1002</v>
      </c>
    </row>
    <row r="53" ht="21.0" customHeight="1">
      <c r="A53" s="112"/>
      <c r="B53" s="113"/>
      <c r="C53" s="42"/>
      <c r="D53" s="38" t="s">
        <v>339</v>
      </c>
      <c r="E53" s="75"/>
      <c r="F53" s="75"/>
      <c r="G53" s="114"/>
      <c r="H53" s="25"/>
      <c r="I53" s="25"/>
      <c r="J53" s="25"/>
      <c r="K53" s="25"/>
      <c r="L53" s="25"/>
      <c r="M53" s="115" t="str">
        <f>IFERROR(__xludf.DUMMYFUNCTION("QUERY(Hospitais_BD!D:I,""select E where D='""&amp;D53&amp;""'"",0)"),"REGIAO SERRANA")</f>
        <v>REGIAO SERRANA</v>
      </c>
      <c r="N53" s="75" t="str">
        <f>IFERROR(__xludf.DUMMYFUNCTION("QUERY(Hospitais_BD!D:I,""select F where D='""&amp;D53&amp;""'"")"),"Guapimirim serrana")</f>
        <v>Guapimirim serrana</v>
      </c>
      <c r="O53" s="116" t="str">
        <f>IFERROR(__xludf.DUMMYFUNCTION("QUERY(Hospitais_BD!D:I,""select G where D='""&amp;D53&amp;""'"")"),"Bananal")</f>
        <v>Bananal</v>
      </c>
      <c r="P53" s="75"/>
      <c r="Q53" s="116" t="str">
        <f>IFERROR(__xludf.DUMMYFUNCTION("QUERY(Hospitais_BD!D:I,""select I where D='""&amp;D53&amp;""'"")"),"Público")</f>
        <v>Público</v>
      </c>
      <c r="R53" s="116" t="str">
        <f>IFERROR(__xludf.DUMMYFUNCTION("QUERY(Hospitais_BD!D:I,""select H where D='""&amp;D53&amp;""'"")"),"Referência - ALTA COMPLEXIDADE")</f>
        <v>Referência - ALTA COMPLEXIDADE</v>
      </c>
      <c r="S53" s="117"/>
      <c r="T53" s="117"/>
      <c r="U53" s="118"/>
      <c r="V53" s="75"/>
      <c r="W53" s="75"/>
      <c r="X53" s="148"/>
      <c r="Y53" s="30"/>
      <c r="Z53" s="30"/>
      <c r="AA53" s="120"/>
      <c r="AB53" s="75"/>
      <c r="AC53" s="75"/>
      <c r="AD53" s="75"/>
      <c r="AE53" s="75"/>
      <c r="AF53" s="121"/>
      <c r="AG53" s="122">
        <v>50.0</v>
      </c>
      <c r="AH53" s="123">
        <v>0.0</v>
      </c>
      <c r="AI53" s="123">
        <v>0.0</v>
      </c>
      <c r="AJ53" s="123">
        <v>0.0</v>
      </c>
      <c r="AK53" s="123">
        <v>0.0</v>
      </c>
      <c r="AL53" s="123"/>
      <c r="AM53" s="124" t="s">
        <v>1002</v>
      </c>
    </row>
    <row r="54" ht="21.0" customHeight="1">
      <c r="A54" s="100"/>
      <c r="B54" s="101"/>
      <c r="C54" s="59"/>
      <c r="D54" s="142" t="s">
        <v>345</v>
      </c>
      <c r="E54" s="102"/>
      <c r="F54" s="102"/>
      <c r="G54" s="103"/>
      <c r="H54" s="32"/>
      <c r="I54" s="32"/>
      <c r="J54" s="32"/>
      <c r="K54" s="32"/>
      <c r="L54" s="32"/>
      <c r="M54" s="104" t="str">
        <f>IFERROR(__xludf.DUMMYFUNCTION("QUERY(Hospitais_BD!D:I,""select E where D='""&amp;D54&amp;""'"",0)"),"ZONA OESTE")</f>
        <v>ZONA OESTE</v>
      </c>
      <c r="N54" s="102" t="str">
        <f>IFERROR(__xludf.DUMMYFUNCTION("QUERY(Hospitais_BD!D:I,""select F where D='""&amp;D54&amp;""'"")"),"Rio de Janeiro")</f>
        <v>Rio de Janeiro</v>
      </c>
      <c r="O54" s="105" t="str">
        <f>IFERROR(__xludf.DUMMYFUNCTION("QUERY(Hospitais_BD!D:I,""select G where D='""&amp;D54&amp;""'"")"),"Barra da Tijuca")</f>
        <v>Barra da Tijuca</v>
      </c>
      <c r="P54" s="102"/>
      <c r="Q54" s="105" t="str">
        <f>IFERROR(__xludf.DUMMYFUNCTION("QUERY(Hospitais_BD!D:I,""select I where D='""&amp;D54&amp;""'"")"),"Público")</f>
        <v>Público</v>
      </c>
      <c r="R54" s="105" t="str">
        <f>IFERROR(__xludf.DUMMYFUNCTION("QUERY(Hospitais_BD!D:I,""select H where D='""&amp;D54&amp;""'"")"),"Grande emergência - MÉDIA COMPLEXIDADE")</f>
        <v>Grande emergência - MÉDIA COMPLEXIDADE</v>
      </c>
      <c r="S54" s="106"/>
      <c r="T54" s="106"/>
      <c r="U54" s="107"/>
      <c r="V54" s="102"/>
      <c r="W54" s="102"/>
      <c r="X54" s="102"/>
      <c r="Y54" s="142"/>
      <c r="Z54" s="142"/>
      <c r="AA54" s="102"/>
      <c r="AB54" s="102"/>
      <c r="AC54" s="102"/>
      <c r="AD54" s="102"/>
      <c r="AE54" s="102"/>
      <c r="AF54" s="65"/>
      <c r="AG54" s="149">
        <v>50.0</v>
      </c>
      <c r="AH54" s="109">
        <v>0.0</v>
      </c>
      <c r="AI54" s="109">
        <v>0.0</v>
      </c>
      <c r="AJ54" s="109">
        <v>0.0</v>
      </c>
      <c r="AK54" s="109">
        <v>0.0</v>
      </c>
      <c r="AL54" s="109"/>
      <c r="AM54" s="111" t="s">
        <v>1002</v>
      </c>
    </row>
    <row r="55" ht="21.0" customHeight="1">
      <c r="A55" s="112"/>
      <c r="B55" s="113"/>
      <c r="C55" s="42"/>
      <c r="D55" s="38" t="s">
        <v>346</v>
      </c>
      <c r="E55" s="75"/>
      <c r="F55" s="75"/>
      <c r="G55" s="114"/>
      <c r="H55" s="25"/>
      <c r="I55" s="25"/>
      <c r="J55" s="25"/>
      <c r="K55" s="25"/>
      <c r="L55" s="25"/>
      <c r="M55" s="115" t="str">
        <f>IFERROR(__xludf.DUMMYFUNCTION("QUERY(Hospitais_BD!D:I,""select E where D='""&amp;D55&amp;""'"",0)"),"ZONA SUL")</f>
        <v>ZONA SUL</v>
      </c>
      <c r="N55" s="75" t="str">
        <f>IFERROR(__xludf.DUMMYFUNCTION("QUERY(Hospitais_BD!D:I,""select F where D='""&amp;D55&amp;""'"")"),"Rio de Janeiro")</f>
        <v>Rio de Janeiro</v>
      </c>
      <c r="O55" s="116" t="str">
        <f>IFERROR(__xludf.DUMMYFUNCTION("QUERY(Hospitais_BD!D:I,""select G where D='""&amp;D55&amp;""'"")"),"Leblon/Gavea")</f>
        <v>Leblon/Gavea</v>
      </c>
      <c r="P55" s="75"/>
      <c r="Q55" s="116" t="str">
        <f>IFERROR(__xludf.DUMMYFUNCTION("QUERY(Hospitais_BD!D:I,""select I where D='""&amp;D55&amp;""'"")"),"Público")</f>
        <v>Público</v>
      </c>
      <c r="R55" s="116" t="str">
        <f>IFERROR(__xludf.DUMMYFUNCTION("QUERY(Hospitais_BD!D:I,""select H where D='""&amp;D55&amp;""'"")"),"Grande emergência - MÉDIA COMPLEXIDADE")</f>
        <v>Grande emergência - MÉDIA COMPLEXIDADE</v>
      </c>
      <c r="S55" s="117"/>
      <c r="T55" s="117"/>
      <c r="U55" s="118"/>
      <c r="V55" s="75"/>
      <c r="W55" s="75"/>
      <c r="X55" s="119"/>
      <c r="Y55" s="30"/>
      <c r="Z55" s="30"/>
      <c r="AA55" s="140"/>
      <c r="AB55" s="75"/>
      <c r="AC55" s="75"/>
      <c r="AD55" s="75"/>
      <c r="AE55" s="75"/>
      <c r="AF55" s="121"/>
      <c r="AG55" s="122">
        <v>50.0</v>
      </c>
      <c r="AH55" s="123">
        <v>0.0</v>
      </c>
      <c r="AI55" s="123">
        <v>0.0</v>
      </c>
      <c r="AJ55" s="123">
        <v>0.0</v>
      </c>
      <c r="AK55" s="123">
        <v>0.0</v>
      </c>
      <c r="AL55" s="123"/>
      <c r="AM55" s="124" t="s">
        <v>1002</v>
      </c>
    </row>
    <row r="56" ht="21.0" customHeight="1">
      <c r="A56" s="100"/>
      <c r="B56" s="101"/>
      <c r="C56" s="59"/>
      <c r="D56" s="102" t="s">
        <v>346</v>
      </c>
      <c r="E56" s="102"/>
      <c r="F56" s="102"/>
      <c r="G56" s="103"/>
      <c r="H56" s="32"/>
      <c r="I56" s="32"/>
      <c r="J56" s="32"/>
      <c r="K56" s="32"/>
      <c r="L56" s="32"/>
      <c r="M56" s="104" t="str">
        <f>IFERROR(__xludf.DUMMYFUNCTION("QUERY(Hospitais_BD!D:I,""select E where D='""&amp;D56&amp;""'"",0)"),"ZONA SUL")</f>
        <v>ZONA SUL</v>
      </c>
      <c r="N56" s="102" t="str">
        <f>IFERROR(__xludf.DUMMYFUNCTION("QUERY(Hospitais_BD!D:I,""select F where D='""&amp;D56&amp;""'"")"),"Rio de Janeiro")</f>
        <v>Rio de Janeiro</v>
      </c>
      <c r="O56" s="105" t="str">
        <f>IFERROR(__xludf.DUMMYFUNCTION("QUERY(Hospitais_BD!D:I,""select G where D='""&amp;D56&amp;""'"")"),"Leblon/Gavea")</f>
        <v>Leblon/Gavea</v>
      </c>
      <c r="P56" s="102"/>
      <c r="Q56" s="105" t="str">
        <f>IFERROR(__xludf.DUMMYFUNCTION("QUERY(Hospitais_BD!D:I,""select I where D='""&amp;D56&amp;""'"")"),"Público")</f>
        <v>Público</v>
      </c>
      <c r="R56" s="105" t="str">
        <f>IFERROR(__xludf.DUMMYFUNCTION("QUERY(Hospitais_BD!D:I,""select H where D='""&amp;D56&amp;""'"")"),"Grande emergência - MÉDIA COMPLEXIDADE")</f>
        <v>Grande emergência - MÉDIA COMPLEXIDADE</v>
      </c>
      <c r="S56" s="106"/>
      <c r="T56" s="106"/>
      <c r="U56" s="107"/>
      <c r="V56" s="102"/>
      <c r="W56" s="102"/>
      <c r="X56" s="102"/>
      <c r="Y56" s="102"/>
      <c r="Z56" s="102"/>
      <c r="AA56" s="108"/>
      <c r="AB56" s="102"/>
      <c r="AC56" s="102"/>
      <c r="AD56" s="102"/>
      <c r="AE56" s="102"/>
      <c r="AF56" s="109"/>
      <c r="AG56" s="135">
        <v>100.0</v>
      </c>
      <c r="AH56" s="109">
        <v>0.0</v>
      </c>
      <c r="AI56" s="109">
        <v>0.0</v>
      </c>
      <c r="AJ56" s="109">
        <v>0.0</v>
      </c>
      <c r="AK56" s="109">
        <v>0.0</v>
      </c>
      <c r="AL56" s="109"/>
      <c r="AM56" s="111" t="s">
        <v>1002</v>
      </c>
    </row>
    <row r="57" ht="21.0" customHeight="1">
      <c r="A57" s="112"/>
      <c r="B57" s="113"/>
      <c r="C57" s="42"/>
      <c r="D57" s="38" t="s">
        <v>349</v>
      </c>
      <c r="E57" s="75"/>
      <c r="F57" s="75"/>
      <c r="G57" s="114"/>
      <c r="H57" s="25"/>
      <c r="I57" s="25"/>
      <c r="J57" s="25"/>
      <c r="K57" s="25"/>
      <c r="L57" s="25"/>
      <c r="M57" s="115" t="str">
        <f>IFERROR(__xludf.DUMMYFUNCTION("QUERY(Hospitais_BD!D:I,""select E where D='""&amp;D57&amp;""'"",0)"),"BAIXADA FLUMINENSE")</f>
        <v>BAIXADA FLUMINENSE</v>
      </c>
      <c r="N57" s="75" t="str">
        <f>IFERROR(__xludf.DUMMYFUNCTION("QUERY(Hospitais_BD!D:I,""select F where D='""&amp;D57&amp;""'"")"),"Rio de Janeiro")</f>
        <v>Rio de Janeiro</v>
      </c>
      <c r="O57" s="116" t="str">
        <f>IFERROR(__xludf.DUMMYFUNCTION("QUERY(Hospitais_BD!D:I,""select G where D='""&amp;D57&amp;""'"")"),"Vila sao luiz")</f>
        <v>Vila sao luiz</v>
      </c>
      <c r="P57" s="75"/>
      <c r="Q57" s="116" t="str">
        <f>IFERROR(__xludf.DUMMYFUNCTION("QUERY(Hospitais_BD!D:I,""select I where D='""&amp;D57&amp;""'"")"),"Público")</f>
        <v>Público</v>
      </c>
      <c r="R57" s="116" t="str">
        <f>IFERROR(__xludf.DUMMYFUNCTION("QUERY(Hospitais_BD!D:I,""select H where D='""&amp;D57&amp;""'"")"),"Referência - ALTA COMPLEXIDADE")</f>
        <v>Referência - ALTA COMPLEXIDADE</v>
      </c>
      <c r="S57" s="117"/>
      <c r="T57" s="117"/>
      <c r="U57" s="118"/>
      <c r="V57" s="75"/>
      <c r="W57" s="75"/>
      <c r="X57" s="75"/>
      <c r="Y57" s="30"/>
      <c r="Z57" s="30"/>
      <c r="AA57" s="128"/>
      <c r="AB57" s="75"/>
      <c r="AC57" s="75"/>
      <c r="AD57" s="75"/>
      <c r="AE57" s="75"/>
      <c r="AF57" s="121"/>
      <c r="AG57" s="134">
        <v>300.0</v>
      </c>
      <c r="AH57" s="123">
        <v>0.0</v>
      </c>
      <c r="AI57" s="123">
        <v>0.0</v>
      </c>
      <c r="AJ57" s="123">
        <v>0.0</v>
      </c>
      <c r="AK57" s="123">
        <v>0.0</v>
      </c>
      <c r="AL57" s="123"/>
      <c r="AM57" s="124" t="s">
        <v>1002</v>
      </c>
    </row>
    <row r="58" ht="21.0" customHeight="1">
      <c r="A58" s="100"/>
      <c r="B58" s="101"/>
      <c r="C58" s="59"/>
      <c r="D58" s="35" t="s">
        <v>352</v>
      </c>
      <c r="E58" s="102"/>
      <c r="F58" s="102"/>
      <c r="G58" s="103"/>
      <c r="H58" s="32"/>
      <c r="I58" s="32"/>
      <c r="J58" s="32"/>
      <c r="K58" s="32"/>
      <c r="L58" s="32"/>
      <c r="M58" s="104" t="str">
        <f>IFERROR(__xludf.DUMMYFUNCTION("QUERY(Hospitais_BD!D:I,""select E where D='""&amp;D58&amp;""'"",0)"),"ZONA NORTE")</f>
        <v>ZONA NORTE</v>
      </c>
      <c r="N58" s="102" t="str">
        <f>IFERROR(__xludf.DUMMYFUNCTION("QUERY(Hospitais_BD!D:I,""select F where D='""&amp;D58&amp;""'"")"),"Rio de Janeiro")</f>
        <v>Rio de Janeiro</v>
      </c>
      <c r="O58" s="105" t="str">
        <f>IFERROR(__xludf.DUMMYFUNCTION("QUERY(Hospitais_BD!D:I,""select G where D='""&amp;D58&amp;""'"")"),"Ilha do Governador")</f>
        <v>Ilha do Governador</v>
      </c>
      <c r="P58" s="102"/>
      <c r="Q58" s="105" t="str">
        <f>IFERROR(__xludf.DUMMYFUNCTION("QUERY(Hospitais_BD!D:I,""select I where D='""&amp;D58&amp;""'"")"),"Público")</f>
        <v>Público</v>
      </c>
      <c r="R58" s="105" t="str">
        <f>IFERROR(__xludf.DUMMYFUNCTION("QUERY(Hospitais_BD!D:I,""select H where D='""&amp;D58&amp;""'"")"),"Grande emergência - MÉDIA COMPLEXIDADE")</f>
        <v>Grande emergência - MÉDIA COMPLEXIDADE</v>
      </c>
      <c r="S58" s="106"/>
      <c r="T58" s="106"/>
      <c r="U58" s="107"/>
      <c r="V58" s="102"/>
      <c r="W58" s="102"/>
      <c r="X58" s="102"/>
      <c r="Y58" s="35"/>
      <c r="Z58" s="35"/>
      <c r="AA58" s="141"/>
      <c r="AB58" s="102"/>
      <c r="AC58" s="102"/>
      <c r="AD58" s="102"/>
      <c r="AE58" s="102"/>
      <c r="AF58" s="109"/>
      <c r="AG58" s="110">
        <v>50.0</v>
      </c>
      <c r="AH58" s="109">
        <v>0.0</v>
      </c>
      <c r="AI58" s="109">
        <v>0.0</v>
      </c>
      <c r="AJ58" s="109">
        <v>0.0</v>
      </c>
      <c r="AK58" s="109">
        <v>0.0</v>
      </c>
      <c r="AL58" s="109"/>
      <c r="AM58" s="111" t="s">
        <v>1002</v>
      </c>
    </row>
    <row r="59" ht="21.0" customHeight="1">
      <c r="A59" s="112"/>
      <c r="B59" s="113"/>
      <c r="C59" s="42"/>
      <c r="D59" s="38" t="s">
        <v>355</v>
      </c>
      <c r="E59" s="75"/>
      <c r="F59" s="75"/>
      <c r="G59" s="114"/>
      <c r="H59" s="25"/>
      <c r="I59" s="25"/>
      <c r="J59" s="25"/>
      <c r="K59" s="25"/>
      <c r="L59" s="25"/>
      <c r="M59" s="115" t="str">
        <f>IFERROR(__xludf.DUMMYFUNCTION("QUERY(Hospitais_BD!D:I,""select E where D='""&amp;D59&amp;""'"",0)"),"ZONA OESTE")</f>
        <v>ZONA OESTE</v>
      </c>
      <c r="N59" s="75" t="str">
        <f>IFERROR(__xludf.DUMMYFUNCTION("QUERY(Hospitais_BD!D:I,""select F where D='""&amp;D59&amp;""'"")"),"Rio de Janeiro")</f>
        <v>Rio de Janeiro</v>
      </c>
      <c r="O59" s="116" t="str">
        <f>IFERROR(__xludf.DUMMYFUNCTION("QUERY(Hospitais_BD!D:I,""select G where D='""&amp;D59&amp;""'"")"),"Santa Cruz")</f>
        <v>Santa Cruz</v>
      </c>
      <c r="P59" s="75"/>
      <c r="Q59" s="116" t="str">
        <f>IFERROR(__xludf.DUMMYFUNCTION("QUERY(Hospitais_BD!D:I,""select I where D='""&amp;D59&amp;""'"")"),"Público")</f>
        <v>Público</v>
      </c>
      <c r="R59" s="116" t="str">
        <f>IFERROR(__xludf.DUMMYFUNCTION("QUERY(Hospitais_BD!D:I,""select H where D='""&amp;D59&amp;""'"")"),"Grande emergência - MÉDIA COMPLEXIDADE")</f>
        <v>Grande emergência - MÉDIA COMPLEXIDADE</v>
      </c>
      <c r="S59" s="117"/>
      <c r="T59" s="117"/>
      <c r="U59" s="118"/>
      <c r="V59" s="75"/>
      <c r="W59" s="75"/>
      <c r="X59" s="75"/>
      <c r="Y59" s="75"/>
      <c r="Z59" s="75"/>
      <c r="AA59" s="120"/>
      <c r="AB59" s="75"/>
      <c r="AC59" s="75"/>
      <c r="AD59" s="75"/>
      <c r="AE59" s="75"/>
      <c r="AF59" s="121"/>
      <c r="AG59" s="122">
        <v>50.0</v>
      </c>
      <c r="AH59" s="123">
        <v>0.0</v>
      </c>
      <c r="AI59" s="123">
        <v>0.0</v>
      </c>
      <c r="AJ59" s="123">
        <v>0.0</v>
      </c>
      <c r="AK59" s="123">
        <v>0.0</v>
      </c>
      <c r="AL59" s="123"/>
      <c r="AM59" s="124" t="s">
        <v>1002</v>
      </c>
    </row>
    <row r="60" ht="21.0" customHeight="1">
      <c r="A60" s="100"/>
      <c r="B60" s="101"/>
      <c r="C60" s="59"/>
      <c r="D60" s="102" t="s">
        <v>358</v>
      </c>
      <c r="E60" s="102"/>
      <c r="F60" s="102"/>
      <c r="G60" s="103"/>
      <c r="H60" s="32"/>
      <c r="I60" s="32"/>
      <c r="J60" s="32"/>
      <c r="K60" s="32"/>
      <c r="L60" s="32"/>
      <c r="M60" s="104" t="str">
        <f>IFERROR(__xludf.DUMMYFUNCTION("QUERY(Hospitais_BD!D:I,""select E where D='""&amp;D60&amp;""'"",0)"),"ZONA OESTE")</f>
        <v>ZONA OESTE</v>
      </c>
      <c r="N60" s="102" t="str">
        <f>IFERROR(__xludf.DUMMYFUNCTION("QUERY(Hospitais_BD!D:I,""select F where D='""&amp;D60&amp;""'"")"),"Rio de Janeiro")</f>
        <v>Rio de Janeiro</v>
      </c>
      <c r="O60" s="105" t="str">
        <f>IFERROR(__xludf.DUMMYFUNCTION("QUERY(Hospitais_BD!D:I,""select G where D='""&amp;D60&amp;""'"")"),"Curicica")</f>
        <v>Curicica</v>
      </c>
      <c r="P60" s="102"/>
      <c r="Q60" s="105" t="str">
        <f>IFERROR(__xludf.DUMMYFUNCTION("QUERY(Hospitais_BD!D:I,""select I where D='""&amp;D60&amp;""'"")"),"Público")</f>
        <v>Público</v>
      </c>
      <c r="R60" s="105" t="str">
        <f>IFERROR(__xludf.DUMMYFUNCTION("QUERY(Hospitais_BD!D:I,""select H where D='""&amp;D60&amp;""'"")"),"Grande emergência - MÉDIA COMPLEXIDADE")</f>
        <v>Grande emergência - MÉDIA COMPLEXIDADE</v>
      </c>
      <c r="S60" s="106"/>
      <c r="T60" s="106"/>
      <c r="U60" s="107"/>
      <c r="V60" s="102"/>
      <c r="W60" s="102"/>
      <c r="X60" s="102"/>
      <c r="Y60" s="102"/>
      <c r="Z60" s="102"/>
      <c r="AA60" s="108"/>
      <c r="AB60" s="102"/>
      <c r="AC60" s="102"/>
      <c r="AD60" s="102"/>
      <c r="AE60" s="102"/>
      <c r="AF60" s="109"/>
      <c r="AG60" s="135">
        <v>50.0</v>
      </c>
      <c r="AH60" s="109">
        <v>0.0</v>
      </c>
      <c r="AI60" s="109">
        <v>0.0</v>
      </c>
      <c r="AJ60" s="109">
        <v>0.0</v>
      </c>
      <c r="AK60" s="109">
        <v>0.0</v>
      </c>
      <c r="AL60" s="109"/>
      <c r="AM60" s="111" t="s">
        <v>1002</v>
      </c>
    </row>
    <row r="61" ht="21.0" customHeight="1">
      <c r="A61" s="112"/>
      <c r="B61" s="113"/>
      <c r="C61" s="42"/>
      <c r="D61" s="38" t="s">
        <v>361</v>
      </c>
      <c r="E61" s="75"/>
      <c r="F61" s="75"/>
      <c r="G61" s="114"/>
      <c r="H61" s="25"/>
      <c r="I61" s="25"/>
      <c r="J61" s="25"/>
      <c r="K61" s="25"/>
      <c r="L61" s="25"/>
      <c r="M61" s="115" t="str">
        <f>IFERROR(__xludf.DUMMYFUNCTION("QUERY(Hospitais_BD!D:I,""select E where D='""&amp;D61&amp;""'"",0)"),"ZONA OESTE")</f>
        <v>ZONA OESTE</v>
      </c>
      <c r="N61" s="75" t="str">
        <f>IFERROR(__xludf.DUMMYFUNCTION("QUERY(Hospitais_BD!D:I,""select F where D='""&amp;D61&amp;""'"")"),"Rio de Janeiro")</f>
        <v>Rio de Janeiro</v>
      </c>
      <c r="O61" s="116" t="str">
        <f>IFERROR(__xludf.DUMMYFUNCTION("QUERY(Hospitais_BD!D:I,""select G where D='""&amp;D61&amp;""'"")"),"Campo Grande")</f>
        <v>Campo Grande</v>
      </c>
      <c r="P61" s="75"/>
      <c r="Q61" s="116" t="str">
        <f>IFERROR(__xludf.DUMMYFUNCTION("QUERY(Hospitais_BD!D:I,""select I where D='""&amp;D61&amp;""'"")"),"Público")</f>
        <v>Público</v>
      </c>
      <c r="R61" s="116" t="str">
        <f>IFERROR(__xludf.DUMMYFUNCTION("QUERY(Hospitais_BD!D:I,""select H where D='""&amp;D61&amp;""'"")"),"Grande emergência - MÉDIA COMPLEXIDADE")</f>
        <v>Grande emergência - MÉDIA COMPLEXIDADE</v>
      </c>
      <c r="S61" s="117"/>
      <c r="T61" s="117"/>
      <c r="U61" s="118"/>
      <c r="V61" s="75"/>
      <c r="W61" s="75"/>
      <c r="X61" s="75"/>
      <c r="Y61" s="30"/>
      <c r="Z61" s="30"/>
      <c r="AA61" s="140"/>
      <c r="AB61" s="75"/>
      <c r="AC61" s="75"/>
      <c r="AD61" s="75"/>
      <c r="AE61" s="75"/>
      <c r="AF61" s="121"/>
      <c r="AG61" s="122">
        <v>50.0</v>
      </c>
      <c r="AH61" s="123">
        <v>0.0</v>
      </c>
      <c r="AI61" s="123">
        <v>0.0</v>
      </c>
      <c r="AJ61" s="123">
        <v>0.0</v>
      </c>
      <c r="AK61" s="123">
        <v>0.0</v>
      </c>
      <c r="AL61" s="123"/>
      <c r="AM61" s="124" t="s">
        <v>1002</v>
      </c>
    </row>
    <row r="62" ht="21.0" customHeight="1">
      <c r="A62" s="100"/>
      <c r="B62" s="101"/>
      <c r="C62" s="59"/>
      <c r="D62" s="37" t="s">
        <v>367</v>
      </c>
      <c r="E62" s="102"/>
      <c r="F62" s="102"/>
      <c r="G62" s="146"/>
      <c r="H62" s="32"/>
      <c r="I62" s="32"/>
      <c r="J62" s="32"/>
      <c r="K62" s="32"/>
      <c r="L62" s="32"/>
      <c r="M62" s="104" t="str">
        <f>IFERROR(__xludf.DUMMYFUNCTION("QUERY(Hospitais_BD!D:I,""select E where D='""&amp;D62&amp;""'"",0)"),"ZONA NORTE")</f>
        <v>ZONA NORTE</v>
      </c>
      <c r="N62" s="102" t="str">
        <f>IFERROR(__xludf.DUMMYFUNCTION("QUERY(Hospitais_BD!D:I,""select F where D='""&amp;D62&amp;""'"")"),"Rio de Janeiro")</f>
        <v>Rio de Janeiro</v>
      </c>
      <c r="O62" s="105" t="str">
        <f>IFERROR(__xludf.DUMMYFUNCTION("QUERY(Hospitais_BD!D:I,""select G where D='""&amp;D62&amp;""'"")"),"Acari")</f>
        <v>Acari</v>
      </c>
      <c r="P62" s="102"/>
      <c r="Q62" s="105" t="str">
        <f>IFERROR(__xludf.DUMMYFUNCTION("QUERY(Hospitais_BD!D:I,""select I where D='""&amp;D62&amp;""'"")"),"Público")</f>
        <v>Público</v>
      </c>
      <c r="R62" s="105" t="str">
        <f>IFERROR(__xludf.DUMMYFUNCTION("QUERY(Hospitais_BD!D:I,""select H where D='""&amp;D62&amp;""'"")"),"Referência - ALTA COMPLEXIDADE")</f>
        <v>Referência - ALTA COMPLEXIDADE</v>
      </c>
      <c r="S62" s="106"/>
      <c r="T62" s="106"/>
      <c r="U62" s="107"/>
      <c r="V62" s="102"/>
      <c r="W62" s="102"/>
      <c r="X62" s="125"/>
      <c r="Y62" s="35"/>
      <c r="Z62" s="35"/>
      <c r="AA62" s="136"/>
      <c r="AB62" s="102"/>
      <c r="AC62" s="102"/>
      <c r="AD62" s="102"/>
      <c r="AE62" s="102"/>
      <c r="AF62" s="110"/>
      <c r="AG62" s="139">
        <v>500.0</v>
      </c>
      <c r="AH62" s="109">
        <v>0.0</v>
      </c>
      <c r="AI62" s="109">
        <v>0.0</v>
      </c>
      <c r="AJ62" s="109">
        <v>0.0</v>
      </c>
      <c r="AK62" s="109">
        <v>0.0</v>
      </c>
      <c r="AL62" s="109"/>
      <c r="AM62" s="111" t="s">
        <v>1002</v>
      </c>
    </row>
    <row r="63" ht="21.0" customHeight="1">
      <c r="A63" s="112"/>
      <c r="B63" s="113"/>
      <c r="C63" s="42"/>
      <c r="D63" s="38" t="s">
        <v>368</v>
      </c>
      <c r="E63" s="75"/>
      <c r="F63" s="75"/>
      <c r="G63" s="114"/>
      <c r="H63" s="25"/>
      <c r="I63" s="25"/>
      <c r="J63" s="25"/>
      <c r="K63" s="25"/>
      <c r="L63" s="25"/>
      <c r="M63" s="115" t="str">
        <f>IFERROR(__xludf.DUMMYFUNCTION("QUERY(Hospitais_BD!D:I,""select E where D='""&amp;D63&amp;""'"",0)"),"#REF!")</f>
        <v>#REF!</v>
      </c>
      <c r="N63" s="75" t="str">
        <f>IFERROR(__xludf.DUMMYFUNCTION("QUERY(Hospitais_BD!D:I,""select F where D='""&amp;D63&amp;""'"")"),"#REF!")</f>
        <v>#REF!</v>
      </c>
      <c r="O63" s="116" t="str">
        <f>IFERROR(__xludf.DUMMYFUNCTION("QUERY(Hospitais_BD!D:I,""select G where D='""&amp;D63&amp;""'"")"),"#REF!")</f>
        <v>#REF!</v>
      </c>
      <c r="P63" s="75"/>
      <c r="Q63" s="116" t="str">
        <f>IFERROR(__xludf.DUMMYFUNCTION("QUERY(Hospitais_BD!D:I,""select I where D='""&amp;D63&amp;""'"")"),"#REF!")</f>
        <v>#REF!</v>
      </c>
      <c r="R63" s="116" t="str">
        <f>IFERROR(__xludf.DUMMYFUNCTION("QUERY(Hospitais_BD!D:I,""select H where D='""&amp;D63&amp;""'"")"),"#REF!")</f>
        <v>#REF!</v>
      </c>
      <c r="S63" s="117"/>
      <c r="T63" s="117"/>
      <c r="U63" s="118"/>
      <c r="V63" s="75"/>
      <c r="W63" s="75"/>
      <c r="X63" s="75"/>
      <c r="Y63" s="75"/>
      <c r="Z63" s="75"/>
      <c r="AA63" s="38"/>
      <c r="AB63" s="75"/>
      <c r="AC63" s="75"/>
      <c r="AD63" s="75"/>
      <c r="AE63" s="75"/>
      <c r="AF63" s="121"/>
      <c r="AG63" s="122">
        <v>80.0</v>
      </c>
      <c r="AH63" s="123">
        <v>0.0</v>
      </c>
      <c r="AI63" s="123">
        <v>0.0</v>
      </c>
      <c r="AJ63" s="123">
        <v>0.0</v>
      </c>
      <c r="AK63" s="123">
        <v>0.0</v>
      </c>
      <c r="AL63" s="123"/>
      <c r="AM63" s="124" t="s">
        <v>1002</v>
      </c>
    </row>
    <row r="64" ht="21.0" customHeight="1">
      <c r="A64" s="100"/>
      <c r="B64" s="101"/>
      <c r="C64" s="59"/>
      <c r="D64" s="37" t="s">
        <v>372</v>
      </c>
      <c r="E64" s="102"/>
      <c r="F64" s="102"/>
      <c r="G64" s="103"/>
      <c r="H64" s="32"/>
      <c r="I64" s="32"/>
      <c r="J64" s="32"/>
      <c r="K64" s="32"/>
      <c r="L64" s="32"/>
      <c r="M64" s="104" t="str">
        <f>IFERROR(__xludf.DUMMYFUNCTION("QUERY(Hospitais_BD!D:I,""select E where D='""&amp;D64&amp;""'"",0)"),"REGIAO METROPOLITANA")</f>
        <v>REGIAO METROPOLITANA</v>
      </c>
      <c r="N64" s="102" t="str">
        <f>IFERROR(__xludf.DUMMYFUNCTION("QUERY(Hospitais_BD!D:I,""select F where D='""&amp;D64&amp;""'"")"),"Itaguai")</f>
        <v>Itaguai</v>
      </c>
      <c r="O64" s="105" t="str">
        <f>IFERROR(__xludf.DUMMYFUNCTION("QUERY(Hospitais_BD!D:I,""select G where D='""&amp;D64&amp;""'"")"),"Centro")</f>
        <v>Centro</v>
      </c>
      <c r="P64" s="102"/>
      <c r="Q64" s="105" t="str">
        <f>IFERROR(__xludf.DUMMYFUNCTION("QUERY(Hospitais_BD!D:I,""select I where D='""&amp;D64&amp;""'"")"),"Público")</f>
        <v>Público</v>
      </c>
      <c r="R64" s="105" t="str">
        <f>IFERROR(__xludf.DUMMYFUNCTION("QUERY(Hospitais_BD!D:I,""select H where D='""&amp;D64&amp;""'"")"),"Referência - ALTA COMPLEXIDADE")</f>
        <v>Referência - ALTA COMPLEXIDADE</v>
      </c>
      <c r="S64" s="106"/>
      <c r="T64" s="106"/>
      <c r="U64" s="107"/>
      <c r="V64" s="102"/>
      <c r="W64" s="102"/>
      <c r="X64" s="102"/>
      <c r="Y64" s="102"/>
      <c r="Z64" s="102"/>
      <c r="AA64" s="37"/>
      <c r="AB64" s="102"/>
      <c r="AC64" s="102"/>
      <c r="AD64" s="102"/>
      <c r="AE64" s="102"/>
      <c r="AF64" s="110"/>
      <c r="AG64" s="127">
        <v>100.0</v>
      </c>
      <c r="AH64" s="109">
        <v>0.0</v>
      </c>
      <c r="AI64" s="109">
        <v>0.0</v>
      </c>
      <c r="AJ64" s="109">
        <v>0.0</v>
      </c>
      <c r="AK64" s="109">
        <v>0.0</v>
      </c>
      <c r="AL64" s="109"/>
      <c r="AM64" s="111" t="s">
        <v>1002</v>
      </c>
    </row>
    <row r="65" ht="21.0" customHeight="1">
      <c r="A65" s="112"/>
      <c r="B65" s="113"/>
      <c r="C65" s="42"/>
      <c r="D65" s="38" t="s">
        <v>375</v>
      </c>
      <c r="E65" s="75"/>
      <c r="F65" s="75"/>
      <c r="G65" s="114"/>
      <c r="H65" s="25"/>
      <c r="I65" s="25"/>
      <c r="J65" s="25"/>
      <c r="K65" s="25"/>
      <c r="L65" s="25"/>
      <c r="M65" s="115" t="str">
        <f>IFERROR(__xludf.DUMMYFUNCTION("QUERY(Hospitais_BD!D:I,""select E where D='""&amp;D65&amp;""'"",0)"),"CENTRO")</f>
        <v>CENTRO</v>
      </c>
      <c r="N65" s="75" t="str">
        <f>IFERROR(__xludf.DUMMYFUNCTION("QUERY(Hospitais_BD!D:I,""select F where D='""&amp;D65&amp;""'"")"),"Rio de Janeiro")</f>
        <v>Rio de Janeiro</v>
      </c>
      <c r="O65" s="116" t="str">
        <f>IFERROR(__xludf.DUMMYFUNCTION("QUERY(Hospitais_BD!D:I,""select G where D='""&amp;D65&amp;""'"")"),"Centro")</f>
        <v>Centro</v>
      </c>
      <c r="P65" s="75"/>
      <c r="Q65" s="116" t="str">
        <f>IFERROR(__xludf.DUMMYFUNCTION("QUERY(Hospitais_BD!D:I,""select I where D='""&amp;D65&amp;""'"")"),"Público")</f>
        <v>Público</v>
      </c>
      <c r="R65" s="116" t="str">
        <f>IFERROR(__xludf.DUMMYFUNCTION("QUERY(Hospitais_BD!D:I,""select H where D='""&amp;D65&amp;""'"")"),"Grande emergência - MÉDIA COMPLEXIDADE")</f>
        <v>Grande emergência - MÉDIA COMPLEXIDADE</v>
      </c>
      <c r="S65" s="117"/>
      <c r="T65" s="117"/>
      <c r="U65" s="124"/>
      <c r="V65" s="75"/>
      <c r="W65" s="75"/>
      <c r="X65" s="75"/>
      <c r="Y65" s="46"/>
      <c r="Z65" s="46"/>
      <c r="AA65" s="75"/>
      <c r="AB65" s="75"/>
      <c r="AC65" s="75"/>
      <c r="AD65" s="75"/>
      <c r="AE65" s="75"/>
      <c r="AF65" s="121"/>
      <c r="AG65" s="134">
        <v>265.0</v>
      </c>
      <c r="AH65" s="123">
        <v>0.0</v>
      </c>
      <c r="AI65" s="123">
        <v>0.0</v>
      </c>
      <c r="AJ65" s="123">
        <v>0.0</v>
      </c>
      <c r="AK65" s="123">
        <v>0.0</v>
      </c>
      <c r="AL65" s="123"/>
      <c r="AM65" s="124" t="s">
        <v>1002</v>
      </c>
    </row>
    <row r="66" ht="21.0" customHeight="1">
      <c r="A66" s="100"/>
      <c r="B66" s="101"/>
      <c r="C66" s="59"/>
      <c r="D66" s="102" t="s">
        <v>538</v>
      </c>
      <c r="E66" s="102"/>
      <c r="F66" s="102"/>
      <c r="G66" s="103"/>
      <c r="H66" s="32"/>
      <c r="I66" s="32"/>
      <c r="J66" s="32"/>
      <c r="K66" s="32"/>
      <c r="L66" s="32"/>
      <c r="M66" s="104" t="str">
        <f>IFERROR(__xludf.DUMMYFUNCTION("QUERY(Hospitais_BD!D:I,""select E where D='""&amp;D66&amp;""'"",0)"),"ZONA OESTE")</f>
        <v>ZONA OESTE</v>
      </c>
      <c r="N66" s="102" t="str">
        <f>IFERROR(__xludf.DUMMYFUNCTION("QUERY(Hospitais_BD!D:I,""select F where D='""&amp;D66&amp;""'"")"),"Rio de Janeiro")</f>
        <v>Rio de Janeiro</v>
      </c>
      <c r="O66" s="105" t="str">
        <f>IFERROR(__xludf.DUMMYFUNCTION("QUERY(Hospitais_BD!D:I,""select G where D='""&amp;D66&amp;""'"")"),"Barra da Tijuca")</f>
        <v>Barra da Tijuca</v>
      </c>
      <c r="P66" s="102"/>
      <c r="Q66" s="105" t="str">
        <f>IFERROR(__xludf.DUMMYFUNCTION("QUERY(Hospitais_BD!D:I,""select I where D='""&amp;D66&amp;""'"")"),"Privado")</f>
        <v>Privado</v>
      </c>
      <c r="R66" s="105" t="str">
        <f>IFERROR(__xludf.DUMMYFUNCTION("QUERY(Hospitais_BD!D:I,""select H where D='""&amp;D66&amp;""'"")"),"Referência - ALTA COMPLEXIDADE")</f>
        <v>Referência - ALTA COMPLEXIDADE</v>
      </c>
      <c r="S66" s="106"/>
      <c r="T66" s="106"/>
      <c r="U66" s="107"/>
      <c r="V66" s="102"/>
      <c r="W66" s="102"/>
      <c r="X66" s="102"/>
      <c r="Y66" s="102"/>
      <c r="Z66" s="102"/>
      <c r="AA66" s="108"/>
      <c r="AB66" s="102"/>
      <c r="AC66" s="102"/>
      <c r="AD66" s="102"/>
      <c r="AE66" s="102"/>
      <c r="AF66" s="109"/>
      <c r="AG66" s="135">
        <v>50.0</v>
      </c>
      <c r="AH66" s="109">
        <v>0.0</v>
      </c>
      <c r="AI66" s="109">
        <v>0.0</v>
      </c>
      <c r="AJ66" s="109">
        <v>0.0</v>
      </c>
      <c r="AK66" s="109">
        <v>0.0</v>
      </c>
      <c r="AL66" s="109"/>
      <c r="AM66" s="111" t="s">
        <v>1002</v>
      </c>
    </row>
    <row r="67" ht="21.0" customHeight="1">
      <c r="A67" s="112"/>
      <c r="B67" s="113"/>
      <c r="C67" s="42"/>
      <c r="D67" s="25" t="s">
        <v>419</v>
      </c>
      <c r="E67" s="75"/>
      <c r="F67" s="75"/>
      <c r="G67" s="114"/>
      <c r="H67" s="25"/>
      <c r="I67" s="25"/>
      <c r="J67" s="25"/>
      <c r="K67" s="25"/>
      <c r="L67" s="25"/>
      <c r="M67" s="115" t="str">
        <f>IFERROR(__xludf.DUMMYFUNCTION("QUERY(Hospitais_BD!D:I,""select E where D='""&amp;D67&amp;""'"",0)"),"ZONA NORTE")</f>
        <v>ZONA NORTE</v>
      </c>
      <c r="N67" s="75" t="str">
        <f>IFERROR(__xludf.DUMMYFUNCTION("QUERY(Hospitais_BD!D:I,""select F where D='""&amp;D67&amp;""'"")"),"Rio de Janeiro")</f>
        <v>Rio de Janeiro</v>
      </c>
      <c r="O67" s="116" t="str">
        <f>IFERROR(__xludf.DUMMYFUNCTION("QUERY(Hospitais_BD!D:I,""select G where D='""&amp;D67&amp;""'"")"),"Ilha do Fundão")</f>
        <v>Ilha do Fundão</v>
      </c>
      <c r="P67" s="75"/>
      <c r="Q67" s="116" t="str">
        <f>IFERROR(__xludf.DUMMYFUNCTION("QUERY(Hospitais_BD!D:I,""select I where D='""&amp;D67&amp;""'"")"),"Público")</f>
        <v>Público</v>
      </c>
      <c r="R67" s="116" t="str">
        <f>IFERROR(__xludf.DUMMYFUNCTION("QUERY(Hospitais_BD!D:I,""select H where D='""&amp;D67&amp;""'"")"),"Referência - ALTA COMPLEXIDADE")</f>
        <v>Referência - ALTA COMPLEXIDADE</v>
      </c>
      <c r="S67" s="117"/>
      <c r="T67" s="117"/>
      <c r="U67" s="124"/>
      <c r="V67" s="75"/>
      <c r="W67" s="75"/>
      <c r="X67" s="75"/>
      <c r="Y67" s="46"/>
      <c r="Z67" s="46"/>
      <c r="AA67" s="75"/>
      <c r="AB67" s="75"/>
      <c r="AC67" s="75"/>
      <c r="AD67" s="75"/>
      <c r="AE67" s="75"/>
      <c r="AF67" s="121"/>
      <c r="AG67" s="122">
        <v>100.0</v>
      </c>
      <c r="AH67" s="123">
        <v>0.0</v>
      </c>
      <c r="AI67" s="123">
        <v>0.0</v>
      </c>
      <c r="AJ67" s="123">
        <v>0.0</v>
      </c>
      <c r="AK67" s="123">
        <v>0.0</v>
      </c>
      <c r="AL67" s="123"/>
      <c r="AM67" s="124" t="s">
        <v>1002</v>
      </c>
    </row>
    <row r="68" ht="21.0" customHeight="1">
      <c r="A68" s="100"/>
      <c r="B68" s="101"/>
      <c r="C68" s="59"/>
      <c r="D68" s="37" t="s">
        <v>422</v>
      </c>
      <c r="E68" s="102"/>
      <c r="F68" s="102"/>
      <c r="G68" s="103"/>
      <c r="H68" s="32"/>
      <c r="I68" s="32"/>
      <c r="J68" s="32"/>
      <c r="K68" s="32"/>
      <c r="L68" s="32"/>
      <c r="M68" s="104" t="str">
        <f>IFERROR(__xludf.DUMMYFUNCTION("QUERY(Hospitais_BD!D:I,""select E where D='""&amp;D68&amp;""'"",0)"),"#REF!")</f>
        <v>#REF!</v>
      </c>
      <c r="N68" s="102" t="str">
        <f>IFERROR(__xludf.DUMMYFUNCTION("QUERY(Hospitais_BD!D:I,""select F where D='""&amp;D68&amp;""'"")"),"#REF!")</f>
        <v>#REF!</v>
      </c>
      <c r="O68" s="105" t="str">
        <f>IFERROR(__xludf.DUMMYFUNCTION("QUERY(Hospitais_BD!D:I,""select G where D='""&amp;D68&amp;""'"")"),"#REF!")</f>
        <v>#REF!</v>
      </c>
      <c r="P68" s="102"/>
      <c r="Q68" s="105" t="str">
        <f>IFERROR(__xludf.DUMMYFUNCTION("QUERY(Hospitais_BD!D:I,""select I where D='""&amp;D68&amp;""'"")"),"#REF!")</f>
        <v>#REF!</v>
      </c>
      <c r="R68" s="105" t="str">
        <f>IFERROR(__xludf.DUMMYFUNCTION("QUERY(Hospitais_BD!D:I,""select H where D='""&amp;D68&amp;""'"")"),"#REF!")</f>
        <v>#REF!</v>
      </c>
      <c r="S68" s="106"/>
      <c r="T68" s="106"/>
      <c r="U68" s="107"/>
      <c r="V68" s="102"/>
      <c r="W68" s="102"/>
      <c r="X68" s="125"/>
      <c r="Y68" s="35"/>
      <c r="Z68" s="35"/>
      <c r="AA68" s="136"/>
      <c r="AB68" s="102"/>
      <c r="AC68" s="102"/>
      <c r="AD68" s="102"/>
      <c r="AE68" s="102"/>
      <c r="AF68" s="110"/>
      <c r="AG68" s="127">
        <v>90.0</v>
      </c>
      <c r="AH68" s="109">
        <v>0.0</v>
      </c>
      <c r="AI68" s="109">
        <v>0.0</v>
      </c>
      <c r="AJ68" s="109">
        <v>0.0</v>
      </c>
      <c r="AK68" s="109">
        <v>0.0</v>
      </c>
      <c r="AL68" s="109"/>
      <c r="AM68" s="111" t="s">
        <v>1002</v>
      </c>
    </row>
    <row r="69" ht="21.0" customHeight="1">
      <c r="A69" s="112"/>
      <c r="B69" s="113"/>
      <c r="C69" s="42"/>
      <c r="D69" s="20" t="s">
        <v>424</v>
      </c>
      <c r="E69" s="75"/>
      <c r="F69" s="75"/>
      <c r="G69" s="114"/>
      <c r="H69" s="25"/>
      <c r="I69" s="25"/>
      <c r="J69" s="25"/>
      <c r="K69" s="25"/>
      <c r="L69" s="25"/>
      <c r="M69" s="115" t="str">
        <f>IFERROR(__xludf.DUMMYFUNCTION("QUERY(Hospitais_BD!D:I,""select E where D='""&amp;D69&amp;""'"",0)"),"#REF!")</f>
        <v>#REF!</v>
      </c>
      <c r="N69" s="75" t="str">
        <f>IFERROR(__xludf.DUMMYFUNCTION("QUERY(Hospitais_BD!D:I,""select F where D='""&amp;D69&amp;""'"")"),"#REF!")</f>
        <v>#REF!</v>
      </c>
      <c r="O69" s="116" t="str">
        <f>IFERROR(__xludf.DUMMYFUNCTION("QUERY(Hospitais_BD!D:I,""select G where D='""&amp;D69&amp;""'"")"),"#REF!")</f>
        <v>#REF!</v>
      </c>
      <c r="P69" s="75"/>
      <c r="Q69" s="116" t="str">
        <f>IFERROR(__xludf.DUMMYFUNCTION("QUERY(Hospitais_BD!D:I,""select I where D='""&amp;D69&amp;""'"")"),"#REF!")</f>
        <v>#REF!</v>
      </c>
      <c r="R69" s="116" t="str">
        <f>IFERROR(__xludf.DUMMYFUNCTION("QUERY(Hospitais_BD!D:I,""select H where D='""&amp;D69&amp;""'"")"),"#REF!")</f>
        <v>#REF!</v>
      </c>
      <c r="S69" s="117"/>
      <c r="T69" s="117"/>
      <c r="U69" s="118"/>
      <c r="V69" s="75"/>
      <c r="W69" s="75"/>
      <c r="X69" s="119"/>
      <c r="Y69" s="30"/>
      <c r="Z69" s="30"/>
      <c r="AA69" s="120"/>
      <c r="AB69" s="75"/>
      <c r="AC69" s="75"/>
      <c r="AD69" s="75"/>
      <c r="AE69" s="75"/>
      <c r="AF69" s="121"/>
      <c r="AG69" s="122">
        <v>100.0</v>
      </c>
      <c r="AH69" s="123">
        <v>0.0</v>
      </c>
      <c r="AI69" s="123">
        <v>0.0</v>
      </c>
      <c r="AJ69" s="123">
        <v>0.0</v>
      </c>
      <c r="AK69" s="123">
        <v>0.0</v>
      </c>
      <c r="AL69" s="123"/>
      <c r="AM69" s="124" t="s">
        <v>1002</v>
      </c>
    </row>
    <row r="70" ht="21.0" customHeight="1">
      <c r="A70" s="100"/>
      <c r="B70" s="101"/>
      <c r="C70" s="59"/>
      <c r="D70" s="37" t="s">
        <v>894</v>
      </c>
      <c r="E70" s="102"/>
      <c r="F70" s="102"/>
      <c r="G70" s="103"/>
      <c r="H70" s="32"/>
      <c r="I70" s="32"/>
      <c r="J70" s="32"/>
      <c r="K70" s="32"/>
      <c r="L70" s="32"/>
      <c r="M70" s="104" t="str">
        <f>IFERROR(__xludf.DUMMYFUNCTION("QUERY(Hospitais_BD!D:I,""select E where D='""&amp;D70&amp;""'"",0)"),"CENTRO")</f>
        <v>CENTRO</v>
      </c>
      <c r="N70" s="102" t="str">
        <f>IFERROR(__xludf.DUMMYFUNCTION("QUERY(Hospitais_BD!D:I,""select F where D='""&amp;D70&amp;""'"")"),"Rio de Janeiro")</f>
        <v>Rio de Janeiro</v>
      </c>
      <c r="O70" s="105" t="str">
        <f>IFERROR(__xludf.DUMMYFUNCTION("QUERY(Hospitais_BD!D:I,""select G where D='""&amp;D70&amp;""'"")"),"CENTRO")</f>
        <v>CENTRO</v>
      </c>
      <c r="P70" s="102"/>
      <c r="Q70" s="105" t="str">
        <f>IFERROR(__xludf.DUMMYFUNCTION("QUERY(Hospitais_BD!D:I,""select I where D='""&amp;D70&amp;""'"")"),"Público")</f>
        <v>Público</v>
      </c>
      <c r="R70" s="105" t="str">
        <f>IFERROR(__xludf.DUMMYFUNCTION("QUERY(Hospitais_BD!D:I,""select H where D='""&amp;D70&amp;""'"")"),"Unidade de Pesquisa")</f>
        <v>Unidade de Pesquisa</v>
      </c>
      <c r="S70" s="106"/>
      <c r="T70" s="106"/>
      <c r="U70" s="107"/>
      <c r="V70" s="102"/>
      <c r="W70" s="102"/>
      <c r="X70" s="102"/>
      <c r="Y70" s="35"/>
      <c r="Z70" s="35"/>
      <c r="AA70" s="126"/>
      <c r="AB70" s="102"/>
      <c r="AC70" s="102"/>
      <c r="AD70" s="102"/>
      <c r="AE70" s="102"/>
      <c r="AF70" s="110"/>
      <c r="AG70" s="127">
        <v>25.0</v>
      </c>
      <c r="AH70" s="109">
        <v>0.0</v>
      </c>
      <c r="AI70" s="109">
        <v>0.0</v>
      </c>
      <c r="AJ70" s="109">
        <v>0.0</v>
      </c>
      <c r="AK70" s="109">
        <v>0.0</v>
      </c>
      <c r="AL70" s="109"/>
      <c r="AM70" s="111" t="s">
        <v>1002</v>
      </c>
    </row>
    <row r="71" ht="21.0" customHeight="1">
      <c r="A71" s="112"/>
      <c r="B71" s="113"/>
      <c r="C71" s="42"/>
      <c r="D71" s="20" t="s">
        <v>451</v>
      </c>
      <c r="E71" s="75"/>
      <c r="F71" s="75"/>
      <c r="G71" s="114"/>
      <c r="H71" s="25"/>
      <c r="I71" s="25"/>
      <c r="J71" s="25"/>
      <c r="K71" s="25"/>
      <c r="L71" s="25"/>
      <c r="M71" s="115" t="str">
        <f>IFERROR(__xludf.DUMMYFUNCTION("QUERY(Hospitais_BD!D:I,""select E where D='""&amp;D71&amp;""'"",0)"),"CENTRO")</f>
        <v>CENTRO</v>
      </c>
      <c r="N71" s="75" t="str">
        <f>IFERROR(__xludf.DUMMYFUNCTION("QUERY(Hospitais_BD!D:I,""select F where D='""&amp;D71&amp;""'"")"),"Rio de Janeiro")</f>
        <v>Rio de Janeiro</v>
      </c>
      <c r="O71" s="116" t="str">
        <f>IFERROR(__xludf.DUMMYFUNCTION("QUERY(Hospitais_BD!D:I,""select G where D='""&amp;D71&amp;""'"")"),"Central do Brasil")</f>
        <v>Central do Brasil</v>
      </c>
      <c r="P71" s="75"/>
      <c r="Q71" s="116" t="str">
        <f>IFERROR(__xludf.DUMMYFUNCTION("QUERY(Hospitais_BD!D:I,""select I where D='""&amp;D71&amp;""'"")"),"Público")</f>
        <v>Público</v>
      </c>
      <c r="R71" s="116" t="str">
        <f>IFERROR(__xludf.DUMMYFUNCTION("QUERY(Hospitais_BD!D:I,""select H where D='""&amp;D71&amp;""'"")"),"Unidade básica - BAIXA COMPLEXIDADE")</f>
        <v>Unidade básica - BAIXA COMPLEXIDADE</v>
      </c>
      <c r="S71" s="117"/>
      <c r="T71" s="117"/>
      <c r="U71" s="118"/>
      <c r="V71" s="75"/>
      <c r="W71" s="75"/>
      <c r="X71" s="75"/>
      <c r="Y71" s="75"/>
      <c r="Z71" s="75"/>
      <c r="AA71" s="137"/>
      <c r="AB71" s="75"/>
      <c r="AC71" s="75"/>
      <c r="AD71" s="75"/>
      <c r="AE71" s="75"/>
      <c r="AF71" s="123"/>
      <c r="AG71" s="132">
        <v>50.0</v>
      </c>
      <c r="AH71" s="123">
        <v>0.0</v>
      </c>
      <c r="AI71" s="123">
        <v>0.0</v>
      </c>
      <c r="AJ71" s="123">
        <v>0.0</v>
      </c>
      <c r="AK71" s="123">
        <v>0.0</v>
      </c>
      <c r="AL71" s="123"/>
      <c r="AM71" s="124" t="s">
        <v>1002</v>
      </c>
    </row>
    <row r="72" ht="21.0" customHeight="1">
      <c r="A72" s="100"/>
      <c r="B72" s="101"/>
      <c r="C72" s="59"/>
      <c r="D72" s="37" t="s">
        <v>454</v>
      </c>
      <c r="E72" s="102"/>
      <c r="F72" s="102"/>
      <c r="G72" s="103"/>
      <c r="H72" s="32"/>
      <c r="I72" s="32"/>
      <c r="J72" s="32"/>
      <c r="K72" s="32"/>
      <c r="L72" s="32"/>
      <c r="M72" s="104" t="str">
        <f>IFERROR(__xludf.DUMMYFUNCTION("QUERY(Hospitais_BD!D:I,""select E where D='""&amp;D72&amp;""'"",0)"),"REGIAO METROPOLITANA")</f>
        <v>REGIAO METROPOLITANA</v>
      </c>
      <c r="N72" s="102" t="str">
        <f>IFERROR(__xludf.DUMMYFUNCTION("QUERY(Hospitais_BD!D:I,""select F where D='""&amp;D72&amp;""'"")"),"Niteroi")</f>
        <v>Niteroi</v>
      </c>
      <c r="O72" s="105" t="str">
        <f>IFERROR(__xludf.DUMMYFUNCTION("QUERY(Hospitais_BD!D:I,""select G where D='""&amp;D72&amp;""'"")"),"Barreto")</f>
        <v>Barreto</v>
      </c>
      <c r="P72" s="102"/>
      <c r="Q72" s="105" t="str">
        <f>IFERROR(__xludf.DUMMYFUNCTION("QUERY(Hospitais_BD!D:I,""select I where D='""&amp;D72&amp;""'"")"),"Público")</f>
        <v>Público</v>
      </c>
      <c r="R72" s="105" t="str">
        <f>IFERROR(__xludf.DUMMYFUNCTION("QUERY(Hospitais_BD!D:I,""select H where D='""&amp;D72&amp;""'"")"),"Referência - ALTA COMPLEXIDADE")</f>
        <v>Referência - ALTA COMPLEXIDADE</v>
      </c>
      <c r="S72" s="106"/>
      <c r="T72" s="106"/>
      <c r="U72" s="107"/>
      <c r="V72" s="102"/>
      <c r="W72" s="102"/>
      <c r="X72" s="102"/>
      <c r="Y72" s="35"/>
      <c r="Z72" s="35"/>
      <c r="AA72" s="136"/>
      <c r="AB72" s="102"/>
      <c r="AC72" s="102"/>
      <c r="AD72" s="102"/>
      <c r="AE72" s="102"/>
      <c r="AF72" s="110"/>
      <c r="AG72" s="139">
        <v>150.0</v>
      </c>
      <c r="AH72" s="109">
        <v>0.0</v>
      </c>
      <c r="AI72" s="109">
        <v>0.0</v>
      </c>
      <c r="AJ72" s="109">
        <v>0.0</v>
      </c>
      <c r="AK72" s="109">
        <v>0.0</v>
      </c>
      <c r="AL72" s="109"/>
      <c r="AM72" s="111" t="s">
        <v>1002</v>
      </c>
    </row>
    <row r="73" ht="21.0" customHeight="1">
      <c r="A73" s="112"/>
      <c r="B73" s="113"/>
      <c r="C73" s="42"/>
      <c r="D73" s="38" t="s">
        <v>457</v>
      </c>
      <c r="E73" s="75"/>
      <c r="F73" s="75"/>
      <c r="G73" s="114"/>
      <c r="H73" s="25"/>
      <c r="I73" s="25"/>
      <c r="J73" s="25"/>
      <c r="K73" s="25"/>
      <c r="L73" s="25"/>
      <c r="M73" s="60" t="s">
        <v>72</v>
      </c>
      <c r="N73" s="74" t="s">
        <v>45</v>
      </c>
      <c r="O73" s="60" t="s">
        <v>149</v>
      </c>
      <c r="P73" s="75"/>
      <c r="Q73" s="60" t="s">
        <v>1004</v>
      </c>
      <c r="R73" s="116" t="str">
        <f>IFERROR(__xludf.DUMMYFUNCTION("QUERY(Hospitais_BD!D:I,""select H where D='""&amp;D73&amp;""'"")"),"Referência - ALTA COMPLEXIDADE")</f>
        <v>Referência - ALTA COMPLEXIDADE</v>
      </c>
      <c r="S73" s="117"/>
      <c r="T73" s="117"/>
      <c r="U73" s="118"/>
      <c r="V73" s="75"/>
      <c r="W73" s="75"/>
      <c r="X73" s="119"/>
      <c r="Y73" s="30"/>
      <c r="Z73" s="30"/>
      <c r="AA73" s="120"/>
      <c r="AB73" s="75"/>
      <c r="AC73" s="75"/>
      <c r="AD73" s="75"/>
      <c r="AE73" s="75"/>
      <c r="AF73" s="121"/>
      <c r="AG73" s="122">
        <v>50.0</v>
      </c>
      <c r="AH73" s="123">
        <v>0.0</v>
      </c>
      <c r="AI73" s="123">
        <v>0.0</v>
      </c>
      <c r="AJ73" s="123">
        <v>0.0</v>
      </c>
      <c r="AK73" s="123">
        <v>0.0</v>
      </c>
      <c r="AL73" s="123"/>
      <c r="AM73" s="124" t="s">
        <v>1002</v>
      </c>
    </row>
    <row r="74" ht="21.0" customHeight="1">
      <c r="A74" s="100"/>
      <c r="B74" s="101"/>
      <c r="C74" s="59"/>
      <c r="D74" s="37" t="s">
        <v>468</v>
      </c>
      <c r="E74" s="102"/>
      <c r="F74" s="102"/>
      <c r="G74" s="103"/>
      <c r="H74" s="32"/>
      <c r="I74" s="32"/>
      <c r="J74" s="32"/>
      <c r="K74" s="32"/>
      <c r="L74" s="32"/>
      <c r="M74" s="104" t="str">
        <f>IFERROR(__xludf.DUMMYFUNCTION("QUERY(Hospitais_BD!D:I,""select E where D='""&amp;D74&amp;""'"",0)"),"ZONA SUL")</f>
        <v>ZONA SUL</v>
      </c>
      <c r="N74" s="102" t="str">
        <f>IFERROR(__xludf.DUMMYFUNCTION("QUERY(Hospitais_BD!D:I,""select F where D='""&amp;D74&amp;""'"")"),"Rio de Janeiro")</f>
        <v>Rio de Janeiro</v>
      </c>
      <c r="O74" s="105" t="str">
        <f>IFERROR(__xludf.DUMMYFUNCTION("QUERY(Hospitais_BD!D:I,""select G where D='""&amp;D74&amp;""'"")"),"Flamengo")</f>
        <v>Flamengo</v>
      </c>
      <c r="P74" s="102"/>
      <c r="Q74" s="105" t="str">
        <f>IFERROR(__xludf.DUMMYFUNCTION("QUERY(Hospitais_BD!D:I,""select I where D='""&amp;D74&amp;""'"")"),"Público")</f>
        <v>Público</v>
      </c>
      <c r="R74" s="105" t="str">
        <f>IFERROR(__xludf.DUMMYFUNCTION("QUERY(Hospitais_BD!D:I,""select H where D='""&amp;D74&amp;""'"")"),"Referência - ALTA COMPLEXIDADE")</f>
        <v>Referência - ALTA COMPLEXIDADE</v>
      </c>
      <c r="S74" s="106"/>
      <c r="T74" s="106"/>
      <c r="U74" s="107"/>
      <c r="V74" s="102"/>
      <c r="W74" s="102"/>
      <c r="X74" s="102"/>
      <c r="Y74" s="35"/>
      <c r="Z74" s="35"/>
      <c r="AA74" s="136"/>
      <c r="AB74" s="102"/>
      <c r="AC74" s="102"/>
      <c r="AD74" s="102"/>
      <c r="AE74" s="102"/>
      <c r="AF74" s="110"/>
      <c r="AG74" s="127">
        <v>100.0</v>
      </c>
      <c r="AH74" s="109">
        <v>0.0</v>
      </c>
      <c r="AI74" s="109">
        <v>0.0</v>
      </c>
      <c r="AJ74" s="109">
        <v>0.0</v>
      </c>
      <c r="AK74" s="109">
        <v>0.0</v>
      </c>
      <c r="AL74" s="109"/>
      <c r="AM74" s="111" t="s">
        <v>1002</v>
      </c>
    </row>
    <row r="75" ht="21.0" customHeight="1">
      <c r="A75" s="112"/>
      <c r="B75" s="113"/>
      <c r="C75" s="42"/>
      <c r="D75" s="60" t="s">
        <v>500</v>
      </c>
      <c r="E75" s="75"/>
      <c r="F75" s="75"/>
      <c r="G75" s="114"/>
      <c r="H75" s="25"/>
      <c r="I75" s="25"/>
      <c r="J75" s="25"/>
      <c r="K75" s="25"/>
      <c r="L75" s="25"/>
      <c r="M75" s="115" t="str">
        <f>IFERROR(__xludf.DUMMYFUNCTION("QUERY(Hospitais_BD!D:I,""select E where D='""&amp;D75&amp;""'"",0)"),"ZONA NORTE")</f>
        <v>ZONA NORTE</v>
      </c>
      <c r="N75" s="75" t="str">
        <f>IFERROR(__xludf.DUMMYFUNCTION("QUERY(Hospitais_BD!D:I,""select F where D='""&amp;D75&amp;""'"")"),"Rio de Janeiro")</f>
        <v>Rio de Janeiro</v>
      </c>
      <c r="O75" s="116" t="str">
        <f>IFERROR(__xludf.DUMMYFUNCTION("QUERY(Hospitais_BD!D:I,""select G where D='""&amp;D75&amp;""'"")"),"Cocotá")</f>
        <v>Cocotá</v>
      </c>
      <c r="P75" s="75"/>
      <c r="Q75" s="116" t="str">
        <f>IFERROR(__xludf.DUMMYFUNCTION("QUERY(Hospitais_BD!D:I,""select I where D='""&amp;D75&amp;""'"")"),"Público")</f>
        <v>Público</v>
      </c>
      <c r="R75" s="116" t="str">
        <f>IFERROR(__xludf.DUMMYFUNCTION("QUERY(Hospitais_BD!D:I,""select H where D='""&amp;D75&amp;""'"")"),"Unidade básica - BAIXA COMPLEXIDADE")</f>
        <v>Unidade básica - BAIXA COMPLEXIDADE</v>
      </c>
      <c r="S75" s="117"/>
      <c r="T75" s="117"/>
      <c r="U75" s="118"/>
      <c r="V75" s="75"/>
      <c r="W75" s="75"/>
      <c r="X75" s="75"/>
      <c r="Y75" s="30"/>
      <c r="Z75" s="30"/>
      <c r="AA75" s="140"/>
      <c r="AB75" s="75"/>
      <c r="AC75" s="75"/>
      <c r="AD75" s="75"/>
      <c r="AE75" s="75"/>
      <c r="AF75" s="121"/>
      <c r="AG75" s="122">
        <v>6.0</v>
      </c>
      <c r="AH75" s="123">
        <v>0.0</v>
      </c>
      <c r="AI75" s="123">
        <v>0.0</v>
      </c>
      <c r="AJ75" s="123">
        <v>0.0</v>
      </c>
      <c r="AK75" s="123">
        <v>0.0</v>
      </c>
      <c r="AL75" s="123"/>
      <c r="AM75" s="124" t="s">
        <v>1002</v>
      </c>
    </row>
    <row r="76" ht="21.0" customHeight="1">
      <c r="A76" s="100"/>
      <c r="B76" s="101"/>
      <c r="C76" s="59"/>
      <c r="D76" s="35" t="s">
        <v>514</v>
      </c>
      <c r="E76" s="102"/>
      <c r="F76" s="102"/>
      <c r="G76" s="103"/>
      <c r="H76" s="32"/>
      <c r="I76" s="32"/>
      <c r="J76" s="32"/>
      <c r="K76" s="32"/>
      <c r="L76" s="32"/>
      <c r="M76" s="104" t="str">
        <f>IFERROR(__xludf.DUMMYFUNCTION("QUERY(Hospitais_BD!D:I,""select E where D='""&amp;D76&amp;""'"",0)"),"BAIXADA FLUMINENSE")</f>
        <v>BAIXADA FLUMINENSE</v>
      </c>
      <c r="N76" s="102" t="str">
        <f>IFERROR(__xludf.DUMMYFUNCTION("QUERY(Hospitais_BD!D:I,""select F where D='""&amp;D76&amp;""'"")"),"Duque de Caxias")</f>
        <v>Duque de Caxias</v>
      </c>
      <c r="O76" s="105" t="str">
        <f>IFERROR(__xludf.DUMMYFUNCTION("QUERY(Hospitais_BD!D:I,""select G where D='""&amp;D76&amp;""'"")"),"Parque Beira Mar")</f>
        <v>Parque Beira Mar</v>
      </c>
      <c r="P76" s="102"/>
      <c r="Q76" s="105" t="str">
        <f>IFERROR(__xludf.DUMMYFUNCTION("QUERY(Hospitais_BD!D:I,""select I where D='""&amp;D76&amp;""'"")"),"Público")</f>
        <v>Público</v>
      </c>
      <c r="R76" s="105" t="str">
        <f>IFERROR(__xludf.DUMMYFUNCTION("QUERY(Hospitais_BD!D:I,""select H where D='""&amp;D76&amp;""'"")"),"Unidade básica - BAIXA COMPLEXIDADE")</f>
        <v>Unidade básica - BAIXA COMPLEXIDADE</v>
      </c>
      <c r="S76" s="106"/>
      <c r="T76" s="106"/>
      <c r="U76" s="107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10"/>
      <c r="AG76" s="139">
        <v>120.0</v>
      </c>
      <c r="AH76" s="109">
        <v>0.0</v>
      </c>
      <c r="AI76" s="109">
        <v>0.0</v>
      </c>
      <c r="AJ76" s="109">
        <v>0.0</v>
      </c>
      <c r="AK76" s="109">
        <v>0.0</v>
      </c>
      <c r="AL76" s="109"/>
      <c r="AM76" s="111" t="s">
        <v>1002</v>
      </c>
    </row>
    <row r="77" ht="21.0" customHeight="1">
      <c r="A77" s="112"/>
      <c r="B77" s="113"/>
      <c r="C77" s="42"/>
      <c r="D77" s="30" t="s">
        <v>516</v>
      </c>
      <c r="E77" s="75"/>
      <c r="F77" s="75"/>
      <c r="G77" s="114"/>
      <c r="H77" s="25"/>
      <c r="I77" s="25"/>
      <c r="J77" s="25"/>
      <c r="K77" s="25"/>
      <c r="L77" s="25"/>
      <c r="M77" s="115" t="str">
        <f>IFERROR(__xludf.DUMMYFUNCTION("QUERY(Hospitais_BD!D:I,""select E where D='""&amp;D77&amp;""'"",0)"),"BAIXADA FLUMINENSE")</f>
        <v>BAIXADA FLUMINENSE</v>
      </c>
      <c r="N77" s="75" t="str">
        <f>IFERROR(__xludf.DUMMYFUNCTION("QUERY(Hospitais_BD!D:I,""select F where D='""&amp;D77&amp;""'"")"),"Sao Joao de Meriti")</f>
        <v>Sao Joao de Meriti</v>
      </c>
      <c r="O77" s="116" t="str">
        <f>IFERROR(__xludf.DUMMYFUNCTION("QUERY(Hospitais_BD!D:I,""select G where D='""&amp;D77&amp;""'"")"),"Jardim Meriti")</f>
        <v>Jardim Meriti</v>
      </c>
      <c r="P77" s="75"/>
      <c r="Q77" s="116" t="str">
        <f>IFERROR(__xludf.DUMMYFUNCTION("QUERY(Hospitais_BD!D:I,""select I where D='""&amp;D77&amp;""'"")"),"Público")</f>
        <v>Público</v>
      </c>
      <c r="R77" s="116" t="str">
        <f>IFERROR(__xludf.DUMMYFUNCTION("QUERY(Hospitais_BD!D:I,""select H where D='""&amp;D77&amp;""'"")"),"Unidade básica - BAIXA COMPLEXIDADE")</f>
        <v>Unidade básica - BAIXA COMPLEXIDADE</v>
      </c>
      <c r="S77" s="117"/>
      <c r="T77" s="117"/>
      <c r="U77" s="118"/>
      <c r="V77" s="75"/>
      <c r="W77" s="75"/>
      <c r="X77" s="75"/>
      <c r="Y77" s="75"/>
      <c r="Z77" s="75"/>
      <c r="AA77" s="128"/>
      <c r="AB77" s="75"/>
      <c r="AC77" s="75"/>
      <c r="AD77" s="75"/>
      <c r="AE77" s="75"/>
      <c r="AF77" s="121"/>
      <c r="AG77" s="134">
        <v>120.0</v>
      </c>
      <c r="AH77" s="123">
        <v>0.0</v>
      </c>
      <c r="AI77" s="123">
        <v>0.0</v>
      </c>
      <c r="AJ77" s="123">
        <v>0.0</v>
      </c>
      <c r="AK77" s="123">
        <v>0.0</v>
      </c>
      <c r="AL77" s="123"/>
      <c r="AM77" s="124" t="s">
        <v>1002</v>
      </c>
    </row>
    <row r="78" ht="21.0" customHeight="1">
      <c r="A78" s="100"/>
      <c r="B78" s="101"/>
      <c r="C78" s="59"/>
      <c r="D78" s="142" t="s">
        <v>539</v>
      </c>
      <c r="E78" s="102"/>
      <c r="F78" s="102"/>
      <c r="G78" s="103"/>
      <c r="H78" s="32"/>
      <c r="I78" s="32"/>
      <c r="J78" s="32"/>
      <c r="K78" s="32"/>
      <c r="L78" s="32"/>
      <c r="M78" s="104" t="str">
        <f>IFERROR(__xludf.DUMMYFUNCTION("QUERY(Hospitais_BD!D:I,""select E where D='""&amp;D78&amp;""'"",0)"),"REGIAO METROPOLITANA")</f>
        <v>REGIAO METROPOLITANA</v>
      </c>
      <c r="N78" s="102" t="str">
        <f>IFERROR(__xludf.DUMMYFUNCTION("QUERY(Hospitais_BD!D:I,""select F where D='""&amp;D78&amp;""'"")"),"Niteroi")</f>
        <v>Niteroi</v>
      </c>
      <c r="O78" s="105" t="str">
        <f>IFERROR(__xludf.DUMMYFUNCTION("QUERY(Hospitais_BD!D:I,""select G where D='""&amp;D78&amp;""'"")"),"Regiao oceanica")</f>
        <v>Regiao oceanica</v>
      </c>
      <c r="P78" s="102"/>
      <c r="Q78" s="105" t="str">
        <f>IFERROR(__xludf.DUMMYFUNCTION("QUERY(Hospitais_BD!D:I,""select I where D='""&amp;D78&amp;""'"")"),"Público")</f>
        <v>Público</v>
      </c>
      <c r="R78" s="105" t="str">
        <f>IFERROR(__xludf.DUMMYFUNCTION("QUERY(Hospitais_BD!D:I,""select H where D='""&amp;D78&amp;""'"")"),"Grande emergência - MÉDIA COMPLEXIDADE")</f>
        <v>Grande emergência - MÉDIA COMPLEXIDADE</v>
      </c>
      <c r="S78" s="106"/>
      <c r="T78" s="106"/>
      <c r="U78" s="107"/>
      <c r="V78" s="102"/>
      <c r="W78" s="102"/>
      <c r="X78" s="37"/>
      <c r="Y78" s="142"/>
      <c r="Z78" s="142"/>
      <c r="AA78" s="108"/>
      <c r="AB78" s="102"/>
      <c r="AC78" s="102"/>
      <c r="AD78" s="102"/>
      <c r="AE78" s="102"/>
      <c r="AF78" s="65"/>
      <c r="AG78" s="149">
        <v>5.0</v>
      </c>
      <c r="AH78" s="109">
        <v>0.0</v>
      </c>
      <c r="AI78" s="109">
        <v>0.0</v>
      </c>
      <c r="AJ78" s="109">
        <v>0.0</v>
      </c>
      <c r="AK78" s="109">
        <v>0.0</v>
      </c>
      <c r="AL78" s="109"/>
      <c r="AM78" s="111" t="s">
        <v>1002</v>
      </c>
    </row>
    <row r="79" ht="21.0" customHeight="1">
      <c r="A79" s="112"/>
      <c r="B79" s="113"/>
      <c r="C79" s="42"/>
      <c r="D79" s="38" t="s">
        <v>541</v>
      </c>
      <c r="E79" s="75"/>
      <c r="F79" s="75"/>
      <c r="G79" s="114"/>
      <c r="H79" s="25"/>
      <c r="I79" s="25"/>
      <c r="J79" s="25"/>
      <c r="K79" s="25"/>
      <c r="L79" s="25"/>
      <c r="M79" s="115" t="str">
        <f>IFERROR(__xludf.DUMMYFUNCTION("QUERY(Hospitais_BD!D:I,""select E where D='""&amp;D79&amp;""'"",0)"),"ZONA NORTE")</f>
        <v>ZONA NORTE</v>
      </c>
      <c r="N79" s="75" t="str">
        <f>IFERROR(__xludf.DUMMYFUNCTION("QUERY(Hospitais_BD!D:I,""select F where D='""&amp;D79&amp;""'"")"),"Rio de Janeiro")</f>
        <v>Rio de Janeiro</v>
      </c>
      <c r="O79" s="116" t="str">
        <f>IFERROR(__xludf.DUMMYFUNCTION("QUERY(Hospitais_BD!D:I,""select G where D='""&amp;D79&amp;""'"")"),"Benfica")</f>
        <v>Benfica</v>
      </c>
      <c r="P79" s="75"/>
      <c r="Q79" s="116" t="str">
        <f>IFERROR(__xludf.DUMMYFUNCTION("QUERY(Hospitais_BD!D:I,""select I where D='""&amp;D79&amp;""'"")"),"Público")</f>
        <v>Público</v>
      </c>
      <c r="R79" s="116" t="str">
        <f>IFERROR(__xludf.DUMMYFUNCTION("QUERY(Hospitais_BD!D:I,""select H where D='""&amp;D79&amp;""'"")"),"Grande emergência - MÉDIA COMPLEXIDADE")</f>
        <v>Grande emergência - MÉDIA COMPLEXIDADE</v>
      </c>
      <c r="S79" s="117"/>
      <c r="T79" s="117"/>
      <c r="U79" s="118"/>
      <c r="V79" s="75"/>
      <c r="W79" s="75"/>
      <c r="X79" s="75"/>
      <c r="Y79" s="30"/>
      <c r="Z79" s="30"/>
      <c r="AA79" s="130"/>
      <c r="AB79" s="75"/>
      <c r="AC79" s="75"/>
      <c r="AD79" s="75"/>
      <c r="AE79" s="75"/>
      <c r="AF79" s="121"/>
      <c r="AG79" s="122">
        <v>5.0</v>
      </c>
      <c r="AH79" s="123">
        <v>0.0</v>
      </c>
      <c r="AI79" s="123">
        <v>0.0</v>
      </c>
      <c r="AJ79" s="123">
        <v>0.0</v>
      </c>
      <c r="AK79" s="123">
        <v>25.0</v>
      </c>
      <c r="AL79" s="123"/>
      <c r="AM79" s="124" t="s">
        <v>1002</v>
      </c>
    </row>
    <row r="80" ht="21.0" customHeight="1">
      <c r="A80" s="100"/>
      <c r="B80" s="101"/>
      <c r="C80" s="59"/>
      <c r="D80" s="35" t="s">
        <v>543</v>
      </c>
      <c r="E80" s="102"/>
      <c r="F80" s="102"/>
      <c r="G80" s="103"/>
      <c r="H80" s="32"/>
      <c r="I80" s="32"/>
      <c r="J80" s="32"/>
      <c r="K80" s="32"/>
      <c r="L80" s="32"/>
      <c r="M80" s="104" t="str">
        <f>IFERROR(__xludf.DUMMYFUNCTION("QUERY(Hospitais_BD!D:I,""select E where D='""&amp;D80&amp;""'"",0)"),"REGIAO METROPOLITANA")</f>
        <v>REGIAO METROPOLITANA</v>
      </c>
      <c r="N80" s="102" t="str">
        <f>IFERROR(__xludf.DUMMYFUNCTION("QUERY(Hospitais_BD!D:I,""select F where D='""&amp;D80&amp;""'"")"),"Niterói")</f>
        <v>Niterói</v>
      </c>
      <c r="O80" s="105" t="str">
        <f>IFERROR(__xludf.DUMMYFUNCTION("QUERY(Hospitais_BD!D:I,""select G where D='""&amp;D80&amp;""'"")"),"Centro / Silva Jardim")</f>
        <v>Centro / Silva Jardim</v>
      </c>
      <c r="P80" s="102"/>
      <c r="Q80" s="105" t="str">
        <f>IFERROR(__xludf.DUMMYFUNCTION("QUERY(Hospitais_BD!D:I,""select I where D='""&amp;D80&amp;""'"")"),"Público")</f>
        <v>Público</v>
      </c>
      <c r="R80" s="105" t="str">
        <f>IFERROR(__xludf.DUMMYFUNCTION("QUERY(Hospitais_BD!D:I,""select H where D='""&amp;D80&amp;""'"")"),"Grande emergência - MÉDIA COMPLEXIDADE")</f>
        <v>Grande emergência - MÉDIA COMPLEXIDADE</v>
      </c>
      <c r="S80" s="106"/>
      <c r="T80" s="106"/>
      <c r="U80" s="107"/>
      <c r="V80" s="102"/>
      <c r="W80" s="102"/>
      <c r="X80" s="102"/>
      <c r="Y80" s="102"/>
      <c r="Z80" s="102"/>
      <c r="AA80" s="129"/>
      <c r="AB80" s="102"/>
      <c r="AC80" s="102"/>
      <c r="AD80" s="102"/>
      <c r="AE80" s="102"/>
      <c r="AF80" s="110"/>
      <c r="AG80" s="127">
        <v>20.0</v>
      </c>
      <c r="AH80" s="109">
        <v>0.0</v>
      </c>
      <c r="AI80" s="109">
        <v>0.0</v>
      </c>
      <c r="AJ80" s="109">
        <v>0.0</v>
      </c>
      <c r="AK80" s="109">
        <v>0.0</v>
      </c>
      <c r="AL80" s="109"/>
      <c r="AM80" s="111" t="s">
        <v>1002</v>
      </c>
    </row>
    <row r="81" ht="21.0" customHeight="1">
      <c r="A81" s="112"/>
      <c r="B81" s="113"/>
      <c r="C81" s="42"/>
      <c r="D81" s="22" t="s">
        <v>545</v>
      </c>
      <c r="E81" s="75"/>
      <c r="F81" s="75"/>
      <c r="G81" s="114"/>
      <c r="H81" s="25"/>
      <c r="I81" s="25"/>
      <c r="J81" s="25"/>
      <c r="K81" s="25"/>
      <c r="L81" s="25"/>
      <c r="M81" s="115" t="str">
        <f>IFERROR(__xludf.DUMMYFUNCTION("QUERY(Hospitais_BD!D:I,""select E where D='""&amp;D81&amp;""'"",0)"),"ZONA OESTE")</f>
        <v>ZONA OESTE</v>
      </c>
      <c r="N81" s="75" t="str">
        <f>IFERROR(__xludf.DUMMYFUNCTION("QUERY(Hospitais_BD!D:I,""select F where D='""&amp;D81&amp;""'"")"),"Rio de Janeiro")</f>
        <v>Rio de Janeiro</v>
      </c>
      <c r="O81" s="116" t="str">
        <f>IFERROR(__xludf.DUMMYFUNCTION("QUERY(Hospitais_BD!D:I,""select G where D='""&amp;D81&amp;""'"")"),"Campo Grande")</f>
        <v>Campo Grande</v>
      </c>
      <c r="P81" s="75"/>
      <c r="Q81" s="116" t="str">
        <f>IFERROR(__xludf.DUMMYFUNCTION("QUERY(Hospitais_BD!D:I,""select I where D='""&amp;D81&amp;""'"")"),"Público")</f>
        <v>Público</v>
      </c>
      <c r="R81" s="116" t="str">
        <f>IFERROR(__xludf.DUMMYFUNCTION("QUERY(Hospitais_BD!D:I,""select H where D='""&amp;D81&amp;""'"")"),"Grande emergência - MÉDIA COMPLEXIDADE")</f>
        <v>Grande emergência - MÉDIA COMPLEXIDADE</v>
      </c>
      <c r="S81" s="117"/>
      <c r="T81" s="117"/>
      <c r="U81" s="118"/>
      <c r="V81" s="75"/>
      <c r="W81" s="75"/>
      <c r="X81" s="75"/>
      <c r="Y81" s="30"/>
      <c r="Z81" s="30"/>
      <c r="AA81" s="120"/>
      <c r="AB81" s="75"/>
      <c r="AC81" s="75"/>
      <c r="AD81" s="75"/>
      <c r="AE81" s="75"/>
      <c r="AF81" s="121"/>
      <c r="AG81" s="122">
        <v>5.0</v>
      </c>
      <c r="AH81" s="123">
        <v>0.0</v>
      </c>
      <c r="AI81" s="123">
        <v>0.0</v>
      </c>
      <c r="AJ81" s="123">
        <v>0.0</v>
      </c>
      <c r="AK81" s="123">
        <v>5.0</v>
      </c>
      <c r="AL81" s="123">
        <v>25.0</v>
      </c>
      <c r="AM81" s="124" t="s">
        <v>1002</v>
      </c>
    </row>
    <row r="82" ht="21.0" customHeight="1">
      <c r="A82" s="100"/>
      <c r="B82" s="101"/>
      <c r="C82" s="59"/>
      <c r="D82" s="35" t="s">
        <v>546</v>
      </c>
      <c r="E82" s="102"/>
      <c r="F82" s="102"/>
      <c r="G82" s="103"/>
      <c r="H82" s="32"/>
      <c r="I82" s="32"/>
      <c r="J82" s="32"/>
      <c r="K82" s="32"/>
      <c r="L82" s="32"/>
      <c r="M82" s="104" t="str">
        <f>IFERROR(__xludf.DUMMYFUNCTION("QUERY(Hospitais_BD!D:I,""select E where D='""&amp;D82&amp;""'"",0)"),"ZONA SUL")</f>
        <v>ZONA SUL</v>
      </c>
      <c r="N82" s="102" t="str">
        <f>IFERROR(__xludf.DUMMYFUNCTION("QUERY(Hospitais_BD!D:I,""select F where D='""&amp;D82&amp;""'"")"),"Rio de Janeiro")</f>
        <v>Rio de Janeiro</v>
      </c>
      <c r="O82" s="105" t="str">
        <f>IFERROR(__xludf.DUMMYFUNCTION("QUERY(Hospitais_BD!D:I,""select G where D='""&amp;D82&amp;""'"")"),"Copacabana")</f>
        <v>Copacabana</v>
      </c>
      <c r="P82" s="102"/>
      <c r="Q82" s="105" t="str">
        <f>IFERROR(__xludf.DUMMYFUNCTION("QUERY(Hospitais_BD!D:I,""select I where D='""&amp;D82&amp;""'"")"),"Público")</f>
        <v>Público</v>
      </c>
      <c r="R82" s="105" t="str">
        <f>IFERROR(__xludf.DUMMYFUNCTION("QUERY(Hospitais_BD!D:I,""select H where D='""&amp;D82&amp;""'"")"),"Grande emergência - MÉDIA COMPLEXIDADE")</f>
        <v>Grande emergência - MÉDIA COMPLEXIDADE</v>
      </c>
      <c r="S82" s="106"/>
      <c r="T82" s="106"/>
      <c r="U82" s="107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10"/>
      <c r="AG82" s="127">
        <v>20.0</v>
      </c>
      <c r="AH82" s="109">
        <v>0.0</v>
      </c>
      <c r="AI82" s="109">
        <v>0.0</v>
      </c>
      <c r="AJ82" s="109">
        <v>0.0</v>
      </c>
      <c r="AK82" s="109">
        <v>0.0</v>
      </c>
      <c r="AL82" s="109">
        <v>25.0</v>
      </c>
      <c r="AM82" s="111" t="s">
        <v>1002</v>
      </c>
    </row>
    <row r="83" ht="21.0" customHeight="1">
      <c r="A83" s="112"/>
      <c r="B83" s="113"/>
      <c r="C83" s="42"/>
      <c r="D83" s="61" t="s">
        <v>553</v>
      </c>
      <c r="E83" s="75"/>
      <c r="F83" s="75"/>
      <c r="G83" s="114"/>
      <c r="H83" s="25"/>
      <c r="I83" s="25"/>
      <c r="J83" s="25"/>
      <c r="K83" s="25"/>
      <c r="L83" s="25"/>
      <c r="M83" s="115" t="str">
        <f>IFERROR(__xludf.DUMMYFUNCTION("QUERY(Hospitais_BD!D:I,""select E where D='""&amp;D83&amp;""'"",0)"),"BAIXADA FLUMINENSE")</f>
        <v>BAIXADA FLUMINENSE</v>
      </c>
      <c r="N83" s="75" t="str">
        <f>IFERROR(__xludf.DUMMYFUNCTION("QUERY(Hospitais_BD!D:I,""select F where D='""&amp;D83&amp;""'"")"),"Rio de Janeiro")</f>
        <v>Rio de Janeiro</v>
      </c>
      <c r="O83" s="116" t="str">
        <f>IFERROR(__xludf.DUMMYFUNCTION("QUERY(Hospitais_BD!D:I,""select G where D='""&amp;D83&amp;""'"")"),"Jardim Iris")</f>
        <v>Jardim Iris</v>
      </c>
      <c r="P83" s="75"/>
      <c r="Q83" s="116" t="str">
        <f>IFERROR(__xludf.DUMMYFUNCTION("QUERY(Hospitais_BD!D:I,""select I where D='""&amp;D83&amp;""'"")"),"Público")</f>
        <v>Público</v>
      </c>
      <c r="R83" s="116" t="str">
        <f>IFERROR(__xludf.DUMMYFUNCTION("QUERY(Hospitais_BD!D:I,""select H where D='""&amp;D83&amp;""'"")"),"Referência - ALTA COMPLEXIDADE")</f>
        <v>Referência - ALTA COMPLEXIDADE</v>
      </c>
      <c r="S83" s="117"/>
      <c r="T83" s="117"/>
      <c r="U83" s="118"/>
      <c r="V83" s="75"/>
      <c r="W83" s="75"/>
      <c r="X83" s="75"/>
      <c r="Y83" s="30"/>
      <c r="Z83" s="30"/>
      <c r="AA83" s="120"/>
      <c r="AB83" s="75"/>
      <c r="AC83" s="75"/>
      <c r="AD83" s="75"/>
      <c r="AE83" s="75"/>
      <c r="AF83" s="121"/>
      <c r="AG83" s="134">
        <v>55.0</v>
      </c>
      <c r="AH83" s="123">
        <v>0.0</v>
      </c>
      <c r="AI83" s="123">
        <v>0.0</v>
      </c>
      <c r="AJ83" s="123">
        <v>0.0</v>
      </c>
      <c r="AK83" s="123">
        <v>6.0</v>
      </c>
      <c r="AL83" s="123"/>
      <c r="AM83" s="124" t="s">
        <v>1002</v>
      </c>
    </row>
    <row r="84" ht="21.0" customHeight="1">
      <c r="A84" s="100"/>
      <c r="B84" s="101"/>
      <c r="C84" s="59"/>
      <c r="D84" s="10" t="s">
        <v>556</v>
      </c>
      <c r="E84" s="102"/>
      <c r="F84" s="102"/>
      <c r="G84" s="103"/>
      <c r="H84" s="32"/>
      <c r="I84" s="32"/>
      <c r="J84" s="32"/>
      <c r="K84" s="32"/>
      <c r="L84" s="32"/>
      <c r="M84" s="104" t="str">
        <f>IFERROR(__xludf.DUMMYFUNCTION("QUERY(Hospitais_BD!D:I,""select E where D='""&amp;D85&amp;""'"",0)"),"ZONA NORTE")</f>
        <v>ZONA NORTE</v>
      </c>
      <c r="N84" s="102" t="str">
        <f>IFERROR(__xludf.DUMMYFUNCTION("QUERY(Hospitais_BD!D:I,""select F where D='""&amp;D84&amp;""'"")"),"Rio de Janeiro")</f>
        <v>Rio de Janeiro</v>
      </c>
      <c r="O84" s="105" t="str">
        <f>IFERROR(__xludf.DUMMYFUNCTION("QUERY(Hospitais_BD!D:I,""select G where D='""&amp;D84&amp;""'"")"),"Rocinha")</f>
        <v>Rocinha</v>
      </c>
      <c r="P84" s="102"/>
      <c r="Q84" s="105" t="str">
        <f>IFERROR(__xludf.DUMMYFUNCTION("QUERY(Hospitais_BD!D:I,""select I where D='""&amp;D84&amp;""'"")"),"Público")</f>
        <v>Público</v>
      </c>
      <c r="R84" s="105" t="str">
        <f>IFERROR(__xludf.DUMMYFUNCTION("QUERY(Hospitais_BD!D:I,""select H where D='""&amp;D84&amp;""'"")"),"Grande emergência - MÉDIA COMPLEXIDADE")</f>
        <v>Grande emergência - MÉDIA COMPLEXIDADE</v>
      </c>
      <c r="S84" s="106"/>
      <c r="T84" s="106"/>
      <c r="U84" s="107"/>
      <c r="V84" s="102"/>
      <c r="W84" s="102"/>
      <c r="X84" s="102"/>
      <c r="Y84" s="35"/>
      <c r="Z84" s="35"/>
      <c r="AA84" s="136"/>
      <c r="AB84" s="102"/>
      <c r="AC84" s="102"/>
      <c r="AD84" s="102"/>
      <c r="AE84" s="102"/>
      <c r="AF84" s="110"/>
      <c r="AG84" s="127">
        <v>5.0</v>
      </c>
      <c r="AH84" s="109">
        <v>0.0</v>
      </c>
      <c r="AI84" s="109">
        <v>0.0</v>
      </c>
      <c r="AJ84" s="109">
        <v>0.0</v>
      </c>
      <c r="AK84" s="109">
        <v>7.5</v>
      </c>
      <c r="AL84" s="109">
        <v>10.0</v>
      </c>
      <c r="AM84" s="111" t="s">
        <v>1002</v>
      </c>
    </row>
    <row r="85" ht="21.0" customHeight="1">
      <c r="A85" s="112"/>
      <c r="B85" s="113"/>
      <c r="C85" s="42"/>
      <c r="D85" s="38" t="s">
        <v>557</v>
      </c>
      <c r="E85" s="75"/>
      <c r="F85" s="75"/>
      <c r="G85" s="114"/>
      <c r="H85" s="25"/>
      <c r="I85" s="25"/>
      <c r="J85" s="25"/>
      <c r="K85" s="25"/>
      <c r="L85" s="25"/>
      <c r="M85" s="75" t="str">
        <f>IFERROR(__xludf.DUMMYFUNCTION("QUERY(Hospitais_BD!D:I,""select E where D='""&amp;D85&amp;""'"",0)"),"ZONA NORTE")</f>
        <v>ZONA NORTE</v>
      </c>
      <c r="N85" s="75" t="str">
        <f>IFERROR(__xludf.DUMMYFUNCTION("QUERY(Hospitais_BD!D:I,""select F where D='""&amp;D85&amp;""'"")"),"Rio de Janeiro")</f>
        <v>Rio de Janeiro</v>
      </c>
      <c r="O85" s="116" t="str">
        <f>IFERROR(__xludf.DUMMYFUNCTION("QUERY(Hospitais_BD!D:I,""select G where D='""&amp;D85&amp;""'"")"),"Tijuca")</f>
        <v>Tijuca</v>
      </c>
      <c r="P85" s="75"/>
      <c r="Q85" s="116" t="str">
        <f>IFERROR(__xludf.DUMMYFUNCTION("QUERY(Hospitais_BD!D:I,""select I where D='""&amp;D85&amp;""'"")"),"Público")</f>
        <v>Público</v>
      </c>
      <c r="R85" s="116" t="str">
        <f>IFERROR(__xludf.DUMMYFUNCTION("QUERY(Hospitais_BD!D:I,""select H where D='""&amp;D85&amp;""'"")"),"Grande emergência - MÉDIA COMPLEXIDADE")</f>
        <v>Grande emergência - MÉDIA COMPLEXIDADE</v>
      </c>
      <c r="S85" s="117"/>
      <c r="T85" s="117"/>
      <c r="U85" s="118"/>
      <c r="V85" s="75"/>
      <c r="W85" s="75"/>
      <c r="X85" s="75"/>
      <c r="Y85" s="30"/>
      <c r="Z85" s="30"/>
      <c r="AA85" s="120"/>
      <c r="AB85" s="75"/>
      <c r="AC85" s="75"/>
      <c r="AD85" s="75"/>
      <c r="AE85" s="75"/>
      <c r="AF85" s="121"/>
      <c r="AG85" s="122">
        <v>5.0</v>
      </c>
      <c r="AH85" s="123">
        <v>0.0</v>
      </c>
      <c r="AI85" s="123">
        <v>0.0</v>
      </c>
      <c r="AJ85" s="123">
        <v>0.0</v>
      </c>
      <c r="AK85" s="123">
        <v>0.0</v>
      </c>
      <c r="AL85" s="123"/>
      <c r="AM85" s="124" t="s">
        <v>1002</v>
      </c>
    </row>
    <row r="86" ht="21.0" customHeight="1">
      <c r="A86" s="150"/>
      <c r="B86" s="151"/>
      <c r="C86" s="59"/>
      <c r="D86" s="44" t="s">
        <v>565</v>
      </c>
      <c r="E86" s="102"/>
      <c r="F86" s="102"/>
      <c r="G86" s="152"/>
      <c r="H86" s="32"/>
      <c r="I86" s="32"/>
      <c r="J86" s="32"/>
      <c r="K86" s="32"/>
      <c r="L86" s="32"/>
      <c r="M86" s="104" t="str">
        <f>IFERROR(__xludf.DUMMYFUNCTION("QUERY(Hospitais_BD!D:I,""select E where D='""&amp;D86&amp;""'"",0)"),"REGIAO SERRANA")</f>
        <v>REGIAO SERRANA</v>
      </c>
      <c r="N86" s="102" t="str">
        <f>IFERROR(__xludf.DUMMYFUNCTION("QUERY(Hospitais_BD!D:I,""select F where D='""&amp;D86&amp;""'"")"),"VASSOURAS")</f>
        <v>VASSOURAS</v>
      </c>
      <c r="O86" s="105" t="str">
        <f>IFERROR(__xludf.DUMMYFUNCTION("QUERY(Hospitais_BD!D:I,""select G where D='""&amp;D86&amp;""'"")"),"MADRUGA")</f>
        <v>MADRUGA</v>
      </c>
      <c r="P86" s="102"/>
      <c r="Q86" s="105" t="str">
        <f>IFERROR(__xludf.DUMMYFUNCTION("QUERY(Hospitais_BD!D:I,""select I where D='""&amp;D86&amp;""'"")"),"Público")</f>
        <v>Público</v>
      </c>
      <c r="R86" s="105" t="str">
        <f>IFERROR(__xludf.DUMMYFUNCTION("QUERY(Hospitais_BD!D:I,""select H where D='""&amp;D86&amp;""'"")"),"Referência - ALTA COMPLEXIDADE")</f>
        <v>Referência - ALTA COMPLEXIDADE</v>
      </c>
      <c r="S86" s="153"/>
      <c r="T86" s="106"/>
      <c r="U86" s="154"/>
      <c r="V86" s="102"/>
      <c r="W86" s="152"/>
      <c r="X86" s="82"/>
      <c r="Y86" s="152"/>
      <c r="Z86" s="152"/>
      <c r="AA86" s="82"/>
      <c r="AB86" s="102"/>
      <c r="AC86" s="102"/>
      <c r="AD86" s="102"/>
      <c r="AE86" s="102"/>
      <c r="AF86" s="146"/>
      <c r="AG86" s="103">
        <v>250.0</v>
      </c>
      <c r="AH86" s="109">
        <v>0.0</v>
      </c>
      <c r="AI86" s="109">
        <v>0.0</v>
      </c>
      <c r="AJ86" s="109">
        <v>0.0</v>
      </c>
      <c r="AK86" s="109">
        <v>0.0</v>
      </c>
      <c r="AL86" s="109"/>
      <c r="AM86" s="111" t="s">
        <v>1002</v>
      </c>
    </row>
    <row r="87" ht="21.0" customHeight="1">
      <c r="A87" s="155"/>
      <c r="B87" s="156"/>
      <c r="C87" s="42"/>
      <c r="D87" s="67" t="s">
        <v>568</v>
      </c>
      <c r="E87" s="75"/>
      <c r="F87" s="75"/>
      <c r="G87" s="157"/>
      <c r="H87" s="25"/>
      <c r="I87" s="25"/>
      <c r="J87" s="25"/>
      <c r="K87" s="25"/>
      <c r="L87" s="25"/>
      <c r="M87" s="115" t="str">
        <f>IFERROR(__xludf.DUMMYFUNCTION("QUERY(Hospitais_BD!D:I,""select E where D='""&amp;D87&amp;""'"",0)"),"BAIXADA FLUMINENSE")</f>
        <v>BAIXADA FLUMINENSE</v>
      </c>
      <c r="N87" s="75" t="str">
        <f>IFERROR(__xludf.DUMMYFUNCTION("QUERY(Hospitais_BD!D:I,""select F where D='""&amp;D87&amp;""'"")"),"Nova Iguaçu")</f>
        <v>Nova Iguaçu</v>
      </c>
      <c r="O87" s="116" t="str">
        <f>IFERROR(__xludf.DUMMYFUNCTION("QUERY(Hospitais_BD!D:I,""select G where D='""&amp;D87&amp;""'"")"),"Cabuçu")</f>
        <v>Cabuçu</v>
      </c>
      <c r="P87" s="75"/>
      <c r="Q87" s="116" t="str">
        <f>IFERROR(__xludf.DUMMYFUNCTION("QUERY(Hospitais_BD!D:I,""select I where D='""&amp;D87&amp;""'"")"),"Público")</f>
        <v>Público</v>
      </c>
      <c r="R87" s="116" t="str">
        <f>IFERROR(__xludf.DUMMYFUNCTION("QUERY(Hospitais_BD!D:I,""select H where D='""&amp;D87&amp;""'"")"),"Grande emergência - MÉDIA COMPLEXIDADE")</f>
        <v>Grande emergência - MÉDIA COMPLEXIDADE</v>
      </c>
      <c r="S87" s="158"/>
      <c r="T87" s="117"/>
      <c r="U87" s="159"/>
      <c r="V87" s="75"/>
      <c r="W87" s="157"/>
      <c r="X87" s="67"/>
      <c r="Y87" s="157"/>
      <c r="Z87" s="157"/>
      <c r="AA87" s="67"/>
      <c r="AB87" s="75"/>
      <c r="AC87" s="75"/>
      <c r="AD87" s="75"/>
      <c r="AE87" s="75"/>
      <c r="AF87" s="121"/>
      <c r="AG87" s="114">
        <v>50.0</v>
      </c>
      <c r="AH87" s="123">
        <v>0.0</v>
      </c>
      <c r="AI87" s="123">
        <v>0.0</v>
      </c>
      <c r="AJ87" s="123">
        <v>0.0</v>
      </c>
      <c r="AK87" s="123">
        <v>0.0</v>
      </c>
      <c r="AL87" s="123"/>
      <c r="AM87" s="124" t="s">
        <v>1002</v>
      </c>
    </row>
    <row r="88" ht="21.0" customHeight="1">
      <c r="A88" s="150"/>
      <c r="B88" s="151"/>
      <c r="C88" s="59"/>
      <c r="D88" s="82" t="s">
        <v>1005</v>
      </c>
      <c r="E88" s="102"/>
      <c r="F88" s="102"/>
      <c r="G88" s="152"/>
      <c r="H88" s="32"/>
      <c r="I88" s="32"/>
      <c r="J88" s="32"/>
      <c r="K88" s="32"/>
      <c r="L88" s="32"/>
      <c r="M88" s="43" t="s">
        <v>58</v>
      </c>
      <c r="N88" s="81" t="s">
        <v>571</v>
      </c>
      <c r="O88" s="43" t="s">
        <v>572</v>
      </c>
      <c r="P88" s="102"/>
      <c r="Q88" s="43" t="s">
        <v>41</v>
      </c>
      <c r="R88" s="43" t="s">
        <v>51</v>
      </c>
      <c r="S88" s="153"/>
      <c r="T88" s="106"/>
      <c r="U88" s="154"/>
      <c r="V88" s="102"/>
      <c r="W88" s="152"/>
      <c r="X88" s="82"/>
      <c r="Y88" s="160"/>
      <c r="Z88" s="160"/>
      <c r="AA88" s="82"/>
      <c r="AB88" s="102"/>
      <c r="AC88" s="102"/>
      <c r="AD88" s="102"/>
      <c r="AE88" s="102"/>
      <c r="AF88" s="110"/>
      <c r="AG88" s="139">
        <v>25.0</v>
      </c>
      <c r="AH88" s="109">
        <v>0.0</v>
      </c>
      <c r="AI88" s="109">
        <v>0.0</v>
      </c>
      <c r="AJ88" s="109">
        <v>0.0</v>
      </c>
      <c r="AK88" s="109">
        <v>0.0</v>
      </c>
      <c r="AL88" s="109"/>
      <c r="AM88" s="111" t="s">
        <v>1002</v>
      </c>
    </row>
    <row r="89" ht="21.0" customHeight="1">
      <c r="A89" s="155"/>
      <c r="B89" s="156"/>
      <c r="C89" s="42"/>
      <c r="D89" s="67" t="s">
        <v>573</v>
      </c>
      <c r="E89" s="75"/>
      <c r="F89" s="75"/>
      <c r="G89" s="157"/>
      <c r="H89" s="25"/>
      <c r="I89" s="25"/>
      <c r="J89" s="25"/>
      <c r="K89" s="25"/>
      <c r="L89" s="25"/>
      <c r="M89" s="115" t="str">
        <f>IFERROR(__xludf.DUMMYFUNCTION("QUERY(Hospitais_BD!D:I,""select E where D='""&amp;D89&amp;""'"",0)"),"ZONA SUL")</f>
        <v>ZONA SUL</v>
      </c>
      <c r="N89" s="75" t="str">
        <f>IFERROR(__xludf.DUMMYFUNCTION("QUERY(Hospitais_BD!D:I,""select F where D='""&amp;D89&amp;""'"")"),"Rio de Janeiro")</f>
        <v>Rio de Janeiro</v>
      </c>
      <c r="O89" s="116" t="str">
        <f>IFERROR(__xludf.DUMMYFUNCTION("QUERY(Hospitais_BD!D:I,""select G where D='""&amp;D89&amp;""'"")"),"Copacabana")</f>
        <v>Copacabana</v>
      </c>
      <c r="P89" s="75"/>
      <c r="Q89" s="116" t="str">
        <f>IFERROR(__xludf.DUMMYFUNCTION("QUERY(Hospitais_BD!D:I,""select I where D='""&amp;D89&amp;""'"")"),"Público")</f>
        <v>Público</v>
      </c>
      <c r="R89" s="116" t="str">
        <f>IFERROR(__xludf.DUMMYFUNCTION("QUERY(Hospitais_BD!D:I,""select H where D='""&amp;D89&amp;""'"")"),"Grande emergência - MÉDIA COMPLEXIDADE")</f>
        <v>Grande emergência - MÉDIA COMPLEXIDADE</v>
      </c>
      <c r="S89" s="158"/>
      <c r="T89" s="117"/>
      <c r="U89" s="159"/>
      <c r="V89" s="75"/>
      <c r="W89" s="157"/>
      <c r="X89" s="67"/>
      <c r="Y89" s="157"/>
      <c r="Z89" s="157"/>
      <c r="AA89" s="67"/>
      <c r="AB89" s="75"/>
      <c r="AC89" s="75"/>
      <c r="AD89" s="75"/>
      <c r="AE89" s="75"/>
      <c r="AF89" s="121"/>
      <c r="AG89" s="134">
        <v>50.0</v>
      </c>
      <c r="AH89" s="123">
        <v>0.0</v>
      </c>
      <c r="AI89" s="123">
        <v>0.0</v>
      </c>
      <c r="AJ89" s="123">
        <v>0.0</v>
      </c>
      <c r="AK89" s="123">
        <v>6.0</v>
      </c>
      <c r="AL89" s="123"/>
      <c r="AM89" s="124" t="s">
        <v>1002</v>
      </c>
    </row>
    <row r="90" ht="21.0" customHeight="1">
      <c r="A90" s="150"/>
      <c r="B90" s="151"/>
      <c r="C90" s="59"/>
      <c r="D90" s="82" t="s">
        <v>574</v>
      </c>
      <c r="E90" s="102"/>
      <c r="F90" s="102"/>
      <c r="G90" s="152"/>
      <c r="H90" s="32"/>
      <c r="I90" s="32"/>
      <c r="J90" s="32"/>
      <c r="K90" s="32"/>
      <c r="L90" s="32"/>
      <c r="M90" s="104" t="str">
        <f>IFERROR(__xludf.DUMMYFUNCTION("QUERY(Hospitais_BD!D:I,""select E where D='""&amp;D90&amp;""'"",0)"),"ZONA SUL")</f>
        <v>ZONA SUL</v>
      </c>
      <c r="N90" s="102" t="str">
        <f>IFERROR(__xludf.DUMMYFUNCTION("QUERY(Hospitais_BD!D:I,""select F where D='""&amp;D90&amp;""'"")"),"Rio de Janeiro")</f>
        <v>Rio de Janeiro</v>
      </c>
      <c r="O90" s="105" t="str">
        <f>IFERROR(__xludf.DUMMYFUNCTION("QUERY(Hospitais_BD!D:I,""select G where D='""&amp;D90&amp;""'"")"),"LEME")</f>
        <v>LEME</v>
      </c>
      <c r="P90" s="102"/>
      <c r="Q90" s="105" t="str">
        <f>IFERROR(__xludf.DUMMYFUNCTION("QUERY(Hospitais_BD!D:I,""select I where D='""&amp;D90&amp;""'"")"),"Público")</f>
        <v>Público</v>
      </c>
      <c r="R90" s="105" t="str">
        <f>IFERROR(__xludf.DUMMYFUNCTION("QUERY(Hospitais_BD!D:I,""select H where D='""&amp;D90&amp;""'"")"),"Grande emergência - MÉDIA COMPLEXIDADE")</f>
        <v>Grande emergência - MÉDIA COMPLEXIDADE</v>
      </c>
      <c r="S90" s="153"/>
      <c r="T90" s="106"/>
      <c r="U90" s="154"/>
      <c r="V90" s="102"/>
      <c r="W90" s="152"/>
      <c r="X90" s="82"/>
      <c r="Y90" s="152"/>
      <c r="Z90" s="152"/>
      <c r="AA90" s="82"/>
      <c r="AB90" s="102"/>
      <c r="AC90" s="102"/>
      <c r="AD90" s="102"/>
      <c r="AE90" s="102"/>
      <c r="AF90" s="110"/>
      <c r="AG90" s="139"/>
      <c r="AH90" s="109"/>
      <c r="AI90" s="109"/>
      <c r="AJ90" s="109"/>
      <c r="AK90" s="109">
        <v>0.0</v>
      </c>
      <c r="AL90" s="109"/>
      <c r="AM90" s="111" t="s">
        <v>1006</v>
      </c>
    </row>
    <row r="91" ht="21.0" customHeight="1">
      <c r="A91" s="155"/>
      <c r="B91" s="156"/>
      <c r="C91" s="42"/>
      <c r="D91" s="67" t="s">
        <v>576</v>
      </c>
      <c r="E91" s="75"/>
      <c r="F91" s="75"/>
      <c r="G91" s="157"/>
      <c r="H91" s="25"/>
      <c r="I91" s="25"/>
      <c r="J91" s="25"/>
      <c r="K91" s="25"/>
      <c r="L91" s="25"/>
      <c r="M91" s="115" t="str">
        <f>IFERROR(__xludf.DUMMYFUNCTION("QUERY(Hospitais_BD!D:I,""select E where D='""&amp;D91&amp;""'"",0)"),"REGIAO DOS LAGOS")</f>
        <v>REGIAO DOS LAGOS</v>
      </c>
      <c r="N91" s="75" t="str">
        <f>IFERROR(__xludf.DUMMYFUNCTION("QUERY(Hospitais_BD!D:I,""select F where D='""&amp;D91&amp;""'"")"),"Cabo frio")</f>
        <v>Cabo frio</v>
      </c>
      <c r="O91" s="116" t="str">
        <f>IFERROR(__xludf.DUMMYFUNCTION("QUERY(Hospitais_BD!D:I,""select G where D='""&amp;D91&amp;""'"")"),"Tamoios")</f>
        <v>Tamoios</v>
      </c>
      <c r="P91" s="75"/>
      <c r="Q91" s="116" t="str">
        <f>IFERROR(__xludf.DUMMYFUNCTION("QUERY(Hospitais_BD!D:I,""select I where D='""&amp;D91&amp;""'"")"),"Público")</f>
        <v>Público</v>
      </c>
      <c r="R91" s="116" t="str">
        <f>IFERROR(__xludf.DUMMYFUNCTION("QUERY(Hospitais_BD!D:I,""select H where D='""&amp;D91&amp;""'"")"),"Grande emergência - MÉDIA COMPLEXIDADE")</f>
        <v>Grande emergência - MÉDIA COMPLEXIDADE</v>
      </c>
      <c r="S91" s="158"/>
      <c r="T91" s="117"/>
      <c r="U91" s="159"/>
      <c r="V91" s="75"/>
      <c r="W91" s="157"/>
      <c r="X91" s="67"/>
      <c r="Y91" s="157"/>
      <c r="Z91" s="157"/>
      <c r="AA91" s="67"/>
      <c r="AB91" s="75"/>
      <c r="AC91" s="75"/>
      <c r="AD91" s="75"/>
      <c r="AE91" s="75"/>
      <c r="AF91" s="121"/>
      <c r="AG91" s="134">
        <v>50.0</v>
      </c>
      <c r="AH91" s="123">
        <v>0.0</v>
      </c>
      <c r="AI91" s="123">
        <v>0.0</v>
      </c>
      <c r="AJ91" s="123">
        <v>0.0</v>
      </c>
      <c r="AK91" s="123">
        <v>0.0</v>
      </c>
      <c r="AL91" s="123"/>
      <c r="AM91" s="124" t="s">
        <v>1002</v>
      </c>
    </row>
    <row r="92" ht="21.0" customHeight="1">
      <c r="A92" s="150"/>
      <c r="B92" s="151"/>
      <c r="C92" s="59"/>
      <c r="D92" s="82" t="s">
        <v>579</v>
      </c>
      <c r="E92" s="102"/>
      <c r="F92" s="102"/>
      <c r="G92" s="152"/>
      <c r="H92" s="32"/>
      <c r="I92" s="32"/>
      <c r="J92" s="32"/>
      <c r="K92" s="32"/>
      <c r="L92" s="32"/>
      <c r="M92" s="104" t="str">
        <f>IFERROR(__xludf.DUMMYFUNCTION("QUERY(Hospitais_BD!D:I,""select E where D='""&amp;D92&amp;""'"",0)"),"REGIAO NORTE")</f>
        <v>REGIAO NORTE</v>
      </c>
      <c r="N92" s="102" t="str">
        <f>IFERROR(__xludf.DUMMYFUNCTION("QUERY(Hospitais_BD!D:I,""select F where D='""&amp;D92&amp;""'"")"),"Campos dos Goytacazes")</f>
        <v>Campos dos Goytacazes</v>
      </c>
      <c r="O92" s="105" t="str">
        <f>IFERROR(__xludf.DUMMYFUNCTION("QUERY(Hospitais_BD!D:I,""select G where D='""&amp;D92&amp;""'"")"),"Guarus")</f>
        <v>Guarus</v>
      </c>
      <c r="P92" s="102"/>
      <c r="Q92" s="105" t="str">
        <f>IFERROR(__xludf.DUMMYFUNCTION("QUERY(Hospitais_BD!D:I,""select I where D='""&amp;D92&amp;""'"")"),"Público")</f>
        <v>Público</v>
      </c>
      <c r="R92" s="105" t="str">
        <f>IFERROR(__xludf.DUMMYFUNCTION("QUERY(Hospitais_BD!D:I,""select H where D='""&amp;D92&amp;""'"")"),"Referência - ALTA COMPLEXIDADE")</f>
        <v>Referência - ALTA COMPLEXIDADE</v>
      </c>
      <c r="S92" s="153"/>
      <c r="T92" s="106"/>
      <c r="U92" s="161"/>
      <c r="V92" s="102"/>
      <c r="W92" s="133"/>
      <c r="X92" s="82"/>
      <c r="Y92" s="152"/>
      <c r="Z92" s="152"/>
      <c r="AA92" s="82"/>
      <c r="AB92" s="102"/>
      <c r="AC92" s="102"/>
      <c r="AD92" s="102"/>
      <c r="AE92" s="102"/>
      <c r="AF92" s="110"/>
      <c r="AG92" s="139"/>
      <c r="AH92" s="109">
        <v>0.0</v>
      </c>
      <c r="AI92" s="109">
        <v>0.0</v>
      </c>
      <c r="AJ92" s="109">
        <v>0.0</v>
      </c>
      <c r="AK92" s="109">
        <v>0.0</v>
      </c>
      <c r="AL92" s="109"/>
      <c r="AM92" s="111" t="s">
        <v>1006</v>
      </c>
    </row>
    <row r="93" ht="21.0" customHeight="1">
      <c r="A93" s="155"/>
      <c r="B93" s="156"/>
      <c r="C93" s="42"/>
      <c r="D93" s="67" t="s">
        <v>582</v>
      </c>
      <c r="E93" s="75"/>
      <c r="F93" s="75"/>
      <c r="G93" s="157"/>
      <c r="H93" s="25"/>
      <c r="I93" s="25"/>
      <c r="J93" s="25"/>
      <c r="K93" s="25"/>
      <c r="L93" s="25"/>
      <c r="M93" s="115" t="str">
        <f>IFERROR(__xludf.DUMMYFUNCTION("QUERY(Hospitais_BD!D:I,""select E where D='""&amp;D93&amp;""'"",0)"),"BAIXADA FLUMINENSE")</f>
        <v>BAIXADA FLUMINENSE</v>
      </c>
      <c r="N93" s="75" t="str">
        <f>IFERROR(__xludf.DUMMYFUNCTION("QUERY(Hospitais_BD!D:I,""select F where D='""&amp;D93&amp;""'"")"),"Mesquita")</f>
        <v>Mesquita</v>
      </c>
      <c r="O93" s="116" t="str">
        <f>IFERROR(__xludf.DUMMYFUNCTION("QUERY(Hospitais_BD!D:I,""select G where D='""&amp;D93&amp;""'"")"),"Rocha Sobrinho")</f>
        <v>Rocha Sobrinho</v>
      </c>
      <c r="P93" s="75"/>
      <c r="Q93" s="116" t="str">
        <f>IFERROR(__xludf.DUMMYFUNCTION("QUERY(Hospitais_BD!D:I,""select I where D='""&amp;D93&amp;""'"")"),"Público")</f>
        <v>Público</v>
      </c>
      <c r="R93" s="116" t="str">
        <f>IFERROR(__xludf.DUMMYFUNCTION("QUERY(Hospitais_BD!D:I,""select H where D='""&amp;D93&amp;""'"")"),"Unidade básica - BAIXA COMPLEXIDADE")</f>
        <v>Unidade básica - BAIXA COMPLEXIDADE</v>
      </c>
      <c r="S93" s="158"/>
      <c r="T93" s="117"/>
      <c r="U93" s="159"/>
      <c r="V93" s="75"/>
      <c r="W93" s="67"/>
      <c r="X93" s="67"/>
      <c r="Y93" s="157"/>
      <c r="Z93" s="157"/>
      <c r="AA93" s="67"/>
      <c r="AB93" s="75"/>
      <c r="AC93" s="75"/>
      <c r="AD93" s="75"/>
      <c r="AE93" s="75"/>
      <c r="AF93" s="121"/>
      <c r="AG93" s="134">
        <v>0.0</v>
      </c>
      <c r="AH93" s="123">
        <v>0.0</v>
      </c>
      <c r="AI93" s="123">
        <v>0.0</v>
      </c>
      <c r="AJ93" s="123">
        <v>0.0</v>
      </c>
      <c r="AK93" s="123">
        <v>0.0</v>
      </c>
      <c r="AL93" s="123"/>
      <c r="AM93" s="124" t="s">
        <v>1007</v>
      </c>
    </row>
    <row r="94" ht="21.0" customHeight="1">
      <c r="A94" s="150"/>
      <c r="B94" s="151"/>
      <c r="C94" s="59"/>
      <c r="D94" s="10" t="s">
        <v>579</v>
      </c>
      <c r="E94" s="102"/>
      <c r="F94" s="102"/>
      <c r="G94" s="152"/>
      <c r="H94" s="32"/>
      <c r="I94" s="32"/>
      <c r="J94" s="32"/>
      <c r="K94" s="32"/>
      <c r="L94" s="32"/>
      <c r="M94" s="104" t="str">
        <f>IFERROR(__xludf.DUMMYFUNCTION("QUERY(Hospitais_BD!D:I,""select E where D='""&amp;D94&amp;""'"",0)"),"REGIAO NORTE")</f>
        <v>REGIAO NORTE</v>
      </c>
      <c r="N94" s="102" t="str">
        <f>IFERROR(__xludf.DUMMYFUNCTION("QUERY(Hospitais_BD!D:I,""select F where D='""&amp;D94&amp;""'"")"),"Campos dos Goytacazes")</f>
        <v>Campos dos Goytacazes</v>
      </c>
      <c r="O94" s="105" t="str">
        <f>IFERROR(__xludf.DUMMYFUNCTION("QUERY(Hospitais_BD!D:I,""select G where D='""&amp;D94&amp;""'"")"),"Guarus")</f>
        <v>Guarus</v>
      </c>
      <c r="P94" s="102"/>
      <c r="Q94" s="105" t="str">
        <f>IFERROR(__xludf.DUMMYFUNCTION("QUERY(Hospitais_BD!D:I,""select I where D='""&amp;D94&amp;""'"")"),"Público")</f>
        <v>Público</v>
      </c>
      <c r="R94" s="105" t="str">
        <f>IFERROR(__xludf.DUMMYFUNCTION("QUERY(Hospitais_BD!D:I,""select H where D='""&amp;D94&amp;""'"")"),"Referência - ALTA COMPLEXIDADE")</f>
        <v>Referência - ALTA COMPLEXIDADE</v>
      </c>
      <c r="S94" s="153"/>
      <c r="T94" s="106"/>
      <c r="U94" s="154"/>
      <c r="V94" s="102"/>
      <c r="W94" s="82"/>
      <c r="X94" s="82"/>
      <c r="Y94" s="152"/>
      <c r="Z94" s="152"/>
      <c r="AA94" s="82"/>
      <c r="AB94" s="102"/>
      <c r="AC94" s="102"/>
      <c r="AD94" s="102"/>
      <c r="AE94" s="102"/>
      <c r="AF94" s="110"/>
      <c r="AG94" s="139"/>
      <c r="AH94" s="109">
        <v>0.0</v>
      </c>
      <c r="AI94" s="109">
        <v>0.0</v>
      </c>
      <c r="AJ94" s="109">
        <v>0.0</v>
      </c>
      <c r="AK94" s="109">
        <v>0.0</v>
      </c>
      <c r="AL94" s="109"/>
      <c r="AM94" s="111" t="s">
        <v>1006</v>
      </c>
    </row>
    <row r="95" ht="21.0" customHeight="1">
      <c r="A95" s="155"/>
      <c r="B95" s="156"/>
      <c r="C95" s="42"/>
      <c r="D95" s="67" t="s">
        <v>585</v>
      </c>
      <c r="E95" s="75"/>
      <c r="F95" s="75"/>
      <c r="G95" s="157"/>
      <c r="H95" s="25"/>
      <c r="I95" s="25"/>
      <c r="J95" s="25"/>
      <c r="K95" s="25"/>
      <c r="L95" s="25"/>
      <c r="M95" s="115" t="str">
        <f>IFERROR(__xludf.DUMMYFUNCTION("QUERY(Hospitais_BD!D:I,""select E where D='""&amp;D95&amp;""'"",0)"),"REGIAO DOS LAGOS")</f>
        <v>REGIAO DOS LAGOS</v>
      </c>
      <c r="N95" s="75" t="str">
        <f>IFERROR(__xludf.DUMMYFUNCTION("QUERY(Hospitais_BD!D:I,""select F where D='""&amp;D95&amp;""'"")"),"Macae")</f>
        <v>Macae</v>
      </c>
      <c r="O95" s="116" t="str">
        <f>IFERROR(__xludf.DUMMYFUNCTION("QUERY(Hospitais_BD!D:I,""select G where D='""&amp;D95&amp;""'"")"),"Barra de Macae")</f>
        <v>Barra de Macae</v>
      </c>
      <c r="P95" s="75"/>
      <c r="Q95" s="116" t="str">
        <f>IFERROR(__xludf.DUMMYFUNCTION("QUERY(Hospitais_BD!D:I,""select I where D='""&amp;D95&amp;""'"")"),"Público")</f>
        <v>Público</v>
      </c>
      <c r="R95" s="116" t="str">
        <f>IFERROR(__xludf.DUMMYFUNCTION("QUERY(Hospitais_BD!D:I,""select H where D='""&amp;D95&amp;""'"")"),"Grande emergência - MÉDIA COMPLEXIDADE")</f>
        <v>Grande emergência - MÉDIA COMPLEXIDADE</v>
      </c>
      <c r="S95" s="158"/>
      <c r="T95" s="117"/>
      <c r="U95" s="159"/>
      <c r="V95" s="75"/>
      <c r="W95" s="157"/>
      <c r="X95" s="67"/>
      <c r="Y95" s="157"/>
      <c r="Z95" s="157"/>
      <c r="AA95" s="67"/>
      <c r="AB95" s="75"/>
      <c r="AC95" s="75"/>
      <c r="AD95" s="75"/>
      <c r="AE95" s="75"/>
      <c r="AF95" s="121"/>
      <c r="AG95" s="134">
        <v>50.0</v>
      </c>
      <c r="AH95" s="123">
        <v>0.0</v>
      </c>
      <c r="AI95" s="123">
        <v>0.0</v>
      </c>
      <c r="AJ95" s="123">
        <v>0.0</v>
      </c>
      <c r="AK95" s="123">
        <v>0.0</v>
      </c>
      <c r="AL95" s="123"/>
      <c r="AM95" s="124" t="s">
        <v>1002</v>
      </c>
    </row>
    <row r="96" ht="21.0" customHeight="1">
      <c r="A96" s="150"/>
      <c r="B96" s="151"/>
      <c r="C96" s="59"/>
      <c r="D96" s="162" t="s">
        <v>588</v>
      </c>
      <c r="E96" s="102"/>
      <c r="F96" s="102"/>
      <c r="G96" s="152"/>
      <c r="H96" s="32"/>
      <c r="I96" s="32"/>
      <c r="J96" s="32"/>
      <c r="K96" s="32"/>
      <c r="L96" s="32"/>
      <c r="M96" s="104" t="str">
        <f>IFERROR(__xludf.DUMMYFUNCTION("QUERY(Hospitais_BD!D:I,""select E where D='""&amp;D96&amp;""'"",0)"),"REGIAO NORTE")</f>
        <v>REGIAO NORTE</v>
      </c>
      <c r="N96" s="102" t="str">
        <f>IFERROR(__xludf.DUMMYFUNCTION("QUERY(Hospitais_BD!D:I,""select F where D='""&amp;D96&amp;""'"")"),"Sao Joao da Barra")</f>
        <v>Sao Joao da Barra</v>
      </c>
      <c r="O96" s="105" t="str">
        <f>IFERROR(__xludf.DUMMYFUNCTION("QUERY(Hospitais_BD!D:I,""select G where D='""&amp;D96&amp;""'"")"),"Centro")</f>
        <v>Centro</v>
      </c>
      <c r="P96" s="102"/>
      <c r="Q96" s="105" t="str">
        <f>IFERROR(__xludf.DUMMYFUNCTION("QUERY(Hospitais_BD!D:I,""select I where D='""&amp;D96&amp;""'"")"),"Público")</f>
        <v>Público</v>
      </c>
      <c r="R96" s="105" t="str">
        <f>IFERROR(__xludf.DUMMYFUNCTION("QUERY(Hospitais_BD!D:I,""select H where D='""&amp;D96&amp;""'"")"),"Grande emergência - MÉDIA COMPLEXIDADE")</f>
        <v>Grande emergência - MÉDIA COMPLEXIDADE</v>
      </c>
      <c r="S96" s="153"/>
      <c r="T96" s="106"/>
      <c r="U96" s="154"/>
      <c r="V96" s="102"/>
      <c r="W96" s="152"/>
      <c r="X96" s="82"/>
      <c r="Y96" s="82"/>
      <c r="Z96" s="82"/>
      <c r="AA96" s="82"/>
      <c r="AB96" s="102"/>
      <c r="AC96" s="102"/>
      <c r="AD96" s="102"/>
      <c r="AE96" s="102"/>
      <c r="AF96" s="110"/>
      <c r="AG96" s="139">
        <v>150.0</v>
      </c>
      <c r="AH96" s="109">
        <v>0.0</v>
      </c>
      <c r="AI96" s="109">
        <v>0.0</v>
      </c>
      <c r="AJ96" s="109">
        <v>25.0</v>
      </c>
      <c r="AK96" s="109">
        <v>0.0</v>
      </c>
      <c r="AL96" s="109"/>
      <c r="AM96" s="111" t="s">
        <v>1002</v>
      </c>
    </row>
    <row r="97" ht="21.0" customHeight="1">
      <c r="A97" s="155"/>
      <c r="B97" s="156"/>
      <c r="C97" s="42"/>
      <c r="D97" s="67" t="s">
        <v>590</v>
      </c>
      <c r="E97" s="75"/>
      <c r="F97" s="75"/>
      <c r="G97" s="157"/>
      <c r="H97" s="25"/>
      <c r="I97" s="25"/>
      <c r="J97" s="25"/>
      <c r="K97" s="25"/>
      <c r="L97" s="25"/>
      <c r="M97" s="115" t="str">
        <f>IFERROR(__xludf.DUMMYFUNCTION("QUERY(Hospitais_BD!D:I,""select E where D='""&amp;D97&amp;""'"",0)"),"REGIAO DOS LAGOS")</f>
        <v>REGIAO DOS LAGOS</v>
      </c>
      <c r="N97" s="75" t="str">
        <f>IFERROR(__xludf.DUMMYFUNCTION("QUERY(Hospitais_BD!D:I,""select F where D='""&amp;D97&amp;""'"")"),"Casimiro de Abreu")</f>
        <v>Casimiro de Abreu</v>
      </c>
      <c r="O97" s="116" t="str">
        <f>IFERROR(__xludf.DUMMYFUNCTION("QUERY(Hospitais_BD!D:I,""select G where D='""&amp;D97&amp;""'"")"),"Santa Ely")</f>
        <v>Santa Ely</v>
      </c>
      <c r="P97" s="75"/>
      <c r="Q97" s="116" t="str">
        <f>IFERROR(__xludf.DUMMYFUNCTION("QUERY(Hospitais_BD!D:I,""select I where D='""&amp;D97&amp;""'"")"),"Público")</f>
        <v>Público</v>
      </c>
      <c r="R97" s="116" t="str">
        <f>IFERROR(__xludf.DUMMYFUNCTION("QUERY(Hospitais_BD!D:I,""select H where D='""&amp;D97&amp;""'"")"),"Grande emergência - MÉDIA COMPLEXIDADE")</f>
        <v>Grande emergência - MÉDIA COMPLEXIDADE</v>
      </c>
      <c r="S97" s="158"/>
      <c r="T97" s="117"/>
      <c r="U97" s="159"/>
      <c r="V97" s="75"/>
      <c r="W97" s="67"/>
      <c r="X97" s="67"/>
      <c r="Y97" s="157"/>
      <c r="Z97" s="157"/>
      <c r="AA97" s="67"/>
      <c r="AB97" s="75"/>
      <c r="AC97" s="75"/>
      <c r="AD97" s="75"/>
      <c r="AE97" s="75"/>
      <c r="AF97" s="121"/>
      <c r="AG97" s="134">
        <v>50.0</v>
      </c>
      <c r="AH97" s="123">
        <v>0.0</v>
      </c>
      <c r="AI97" s="123">
        <v>0.0</v>
      </c>
      <c r="AJ97" s="123">
        <v>0.0</v>
      </c>
      <c r="AK97" s="123">
        <v>0.0</v>
      </c>
      <c r="AL97" s="123"/>
      <c r="AM97" s="124" t="s">
        <v>1002</v>
      </c>
    </row>
    <row r="98" ht="21.0" customHeight="1">
      <c r="A98" s="150"/>
      <c r="B98" s="151"/>
      <c r="C98" s="59"/>
      <c r="D98" s="82" t="s">
        <v>1008</v>
      </c>
      <c r="E98" s="102"/>
      <c r="F98" s="102"/>
      <c r="G98" s="152"/>
      <c r="H98" s="32"/>
      <c r="I98" s="32"/>
      <c r="J98" s="32"/>
      <c r="K98" s="32"/>
      <c r="L98" s="32"/>
      <c r="M98" s="104" t="str">
        <f>IFERROR(__xludf.DUMMYFUNCTION("QUERY(Hospitais_BD!D:I,""select E where D='""&amp;D98&amp;""'"",0)"),"#N/A")</f>
        <v>#N/A</v>
      </c>
      <c r="N98" s="102" t="str">
        <f>IFERROR(__xludf.DUMMYFUNCTION("QUERY(Hospitais_BD!D:I,""select F where D='""&amp;D98&amp;""'"")"),"#N/A")</f>
        <v>#N/A</v>
      </c>
      <c r="O98" s="105" t="str">
        <f>IFERROR(__xludf.DUMMYFUNCTION("QUERY(Hospitais_BD!D:I,""select G where D='""&amp;D98&amp;""'"")"),"#N/A")</f>
        <v>#N/A</v>
      </c>
      <c r="P98" s="102"/>
      <c r="Q98" s="105" t="str">
        <f>IFERROR(__xludf.DUMMYFUNCTION("QUERY(Hospitais_BD!D:I,""select I where D='""&amp;D98&amp;""'"")"),"#N/A")</f>
        <v>#N/A</v>
      </c>
      <c r="R98" s="105" t="str">
        <f>IFERROR(__xludf.DUMMYFUNCTION("QUERY(Hospitais_BD!D:I,""select H where D='""&amp;D98&amp;""'"")"),"#N/A")</f>
        <v>#N/A</v>
      </c>
      <c r="S98" s="153"/>
      <c r="T98" s="106"/>
      <c r="U98" s="154"/>
      <c r="V98" s="102"/>
      <c r="W98" s="82"/>
      <c r="X98" s="82"/>
      <c r="Y98" s="152"/>
      <c r="Z98" s="152"/>
      <c r="AA98" s="82"/>
      <c r="AB98" s="102"/>
      <c r="AC98" s="102"/>
      <c r="AD98" s="102"/>
      <c r="AE98" s="102"/>
      <c r="AF98" s="110"/>
      <c r="AG98" s="139"/>
      <c r="AH98" s="109"/>
      <c r="AI98" s="109"/>
      <c r="AJ98" s="109"/>
      <c r="AK98" s="109">
        <v>0.0</v>
      </c>
      <c r="AL98" s="109"/>
      <c r="AM98" s="111" t="s">
        <v>1006</v>
      </c>
    </row>
    <row r="99" ht="21.0" customHeight="1">
      <c r="A99" s="155"/>
      <c r="B99" s="156"/>
      <c r="C99" s="42"/>
      <c r="D99" s="67" t="s">
        <v>594</v>
      </c>
      <c r="E99" s="75"/>
      <c r="F99" s="75"/>
      <c r="G99" s="157"/>
      <c r="H99" s="25"/>
      <c r="I99" s="25"/>
      <c r="J99" s="25"/>
      <c r="K99" s="25"/>
      <c r="L99" s="25"/>
      <c r="M99" s="115" t="str">
        <f>IFERROR(__xludf.DUMMYFUNCTION("QUERY(Hospitais_BD!D:I,""select E where D='""&amp;D99&amp;""'"",0)"),"ZONA OESTE")</f>
        <v>ZONA OESTE</v>
      </c>
      <c r="N99" s="75" t="str">
        <f>IFERROR(__xludf.DUMMYFUNCTION("QUERY(Hospitais_BD!D:I,""select F where D='""&amp;D99&amp;""'"")"),"Rio de Janeiro")</f>
        <v>Rio de Janeiro</v>
      </c>
      <c r="O99" s="116" t="str">
        <f>IFERROR(__xludf.DUMMYFUNCTION("QUERY(Hospitais_BD!D:I,""select G where D='""&amp;D99&amp;""'"")"),"Senador Vasconcelos")</f>
        <v>Senador Vasconcelos</v>
      </c>
      <c r="P99" s="75"/>
      <c r="Q99" s="116" t="str">
        <f>IFERROR(__xludf.DUMMYFUNCTION("QUERY(Hospitais_BD!D:I,""select I where D='""&amp;D99&amp;""'"")"),"Público")</f>
        <v>Público</v>
      </c>
      <c r="R99" s="116" t="str">
        <f>IFERROR(__xludf.DUMMYFUNCTION("QUERY(Hospitais_BD!D:I,""select H where D='""&amp;D99&amp;""'"")"),"Referência - ALTA COMPLEXIDADE")</f>
        <v>Referência - ALTA COMPLEXIDADE</v>
      </c>
      <c r="S99" s="158"/>
      <c r="T99" s="117"/>
      <c r="U99" s="159"/>
      <c r="V99" s="75"/>
      <c r="W99" s="157"/>
      <c r="X99" s="67"/>
      <c r="Y99" s="157"/>
      <c r="Z99" s="157"/>
      <c r="AA99" s="67"/>
      <c r="AB99" s="75"/>
      <c r="AC99" s="75"/>
      <c r="AD99" s="75"/>
      <c r="AE99" s="75"/>
      <c r="AF99" s="121"/>
      <c r="AG99" s="134">
        <v>100.0</v>
      </c>
      <c r="AH99" s="123">
        <v>0.0</v>
      </c>
      <c r="AI99" s="123">
        <v>0.0</v>
      </c>
      <c r="AJ99" s="123">
        <v>0.0</v>
      </c>
      <c r="AK99" s="123">
        <v>0.0</v>
      </c>
      <c r="AL99" s="123"/>
      <c r="AM99" s="124" t="s">
        <v>1002</v>
      </c>
    </row>
    <row r="100" ht="21.0" customHeight="1">
      <c r="A100" s="150"/>
      <c r="B100" s="151"/>
      <c r="C100" s="59"/>
      <c r="D100" s="82" t="s">
        <v>596</v>
      </c>
      <c r="E100" s="102"/>
      <c r="F100" s="102"/>
      <c r="G100" s="152"/>
      <c r="H100" s="32"/>
      <c r="I100" s="32"/>
      <c r="J100" s="32"/>
      <c r="K100" s="32"/>
      <c r="L100" s="32"/>
      <c r="M100" s="104" t="str">
        <f>IFERROR(__xludf.DUMMYFUNCTION("QUERY(Hospitais_BD!D:I,""select E where D='""&amp;D100&amp;""'"",0)"),"ZONA NORTE")</f>
        <v>ZONA NORTE</v>
      </c>
      <c r="N100" s="102" t="str">
        <f>IFERROR(__xludf.DUMMYFUNCTION("QUERY(Hospitais_BD!D:I,""select F where D='""&amp;D100&amp;""'"")"),"rio de janeiro")</f>
        <v>rio de janeiro</v>
      </c>
      <c r="O100" s="105" t="str">
        <f>IFERROR(__xludf.DUMMYFUNCTION("QUERY(Hospitais_BD!D:I,""select G where D='""&amp;D100&amp;""'"")"),"Cidade Universitaria")</f>
        <v>Cidade Universitaria</v>
      </c>
      <c r="P100" s="102"/>
      <c r="Q100" s="105" t="str">
        <f>IFERROR(__xludf.DUMMYFUNCTION("QUERY(Hospitais_BD!D:I,""select I where D='""&amp;D100&amp;""'"")"),"Público")</f>
        <v>Público</v>
      </c>
      <c r="R100" s="105" t="str">
        <f>IFERROR(__xludf.DUMMYFUNCTION("QUERY(Hospitais_BD!D:I,""select H where D='""&amp;D100&amp;""'"")"),"Unidade básica - BAIXA COMPLEXIDADE")</f>
        <v>Unidade básica - BAIXA COMPLEXIDADE</v>
      </c>
      <c r="S100" s="153"/>
      <c r="T100" s="106"/>
      <c r="U100" s="154"/>
      <c r="V100" s="102"/>
      <c r="W100" s="152"/>
      <c r="X100" s="82"/>
      <c r="Y100" s="152"/>
      <c r="Z100" s="152"/>
      <c r="AA100" s="82"/>
      <c r="AB100" s="102"/>
      <c r="AC100" s="102"/>
      <c r="AD100" s="102"/>
      <c r="AE100" s="102"/>
      <c r="AF100" s="110"/>
      <c r="AG100" s="139">
        <v>100.0</v>
      </c>
      <c r="AH100" s="109">
        <v>0.0</v>
      </c>
      <c r="AI100" s="109">
        <v>0.0</v>
      </c>
      <c r="AJ100" s="109">
        <v>0.0</v>
      </c>
      <c r="AK100" s="109">
        <v>0.0</v>
      </c>
      <c r="AL100" s="109"/>
      <c r="AM100" s="111" t="s">
        <v>1002</v>
      </c>
    </row>
    <row r="101" ht="21.0" customHeight="1">
      <c r="A101" s="155"/>
      <c r="B101" s="156"/>
      <c r="C101" s="42"/>
      <c r="D101" s="67" t="s">
        <v>599</v>
      </c>
      <c r="E101" s="75"/>
      <c r="F101" s="75"/>
      <c r="G101" s="157"/>
      <c r="H101" s="25"/>
      <c r="I101" s="25"/>
      <c r="J101" s="25"/>
      <c r="K101" s="25"/>
      <c r="L101" s="25"/>
      <c r="M101" s="115" t="str">
        <f>IFERROR(__xludf.DUMMYFUNCTION("QUERY(Hospitais_BD!D:I,""select E where D='""&amp;D101&amp;""'"",0)"),"ZONA NORTE")</f>
        <v>ZONA NORTE</v>
      </c>
      <c r="N101" s="75" t="str">
        <f>IFERROR(__xludf.DUMMYFUNCTION("QUERY(Hospitais_BD!D:I,""select F where D='""&amp;D101&amp;""'"")"),"Rio de Janeiro")</f>
        <v>Rio de Janeiro</v>
      </c>
      <c r="O101" s="116" t="str">
        <f>IFERROR(__xludf.DUMMYFUNCTION("QUERY(Hospitais_BD!D:I,""select G where D='""&amp;D101&amp;""'"")"),"Manguinhos")</f>
        <v>Manguinhos</v>
      </c>
      <c r="P101" s="75"/>
      <c r="Q101" s="116" t="str">
        <f>IFERROR(__xludf.DUMMYFUNCTION("QUERY(Hospitais_BD!D:I,""select I where D='""&amp;D101&amp;""'"")"),"Público")</f>
        <v>Público</v>
      </c>
      <c r="R101" s="116" t="str">
        <f>IFERROR(__xludf.DUMMYFUNCTION("QUERY(Hospitais_BD!D:I,""select H where D='""&amp;D101&amp;""'"")"),"Intituição de pesquisa avançasda")</f>
        <v>Intituição de pesquisa avançasda</v>
      </c>
      <c r="S101" s="158"/>
      <c r="T101" s="117"/>
      <c r="U101" s="159"/>
      <c r="V101" s="75"/>
      <c r="W101" s="157"/>
      <c r="X101" s="67"/>
      <c r="Y101" s="157"/>
      <c r="Z101" s="157"/>
      <c r="AA101" s="67"/>
      <c r="AB101" s="75"/>
      <c r="AC101" s="75"/>
      <c r="AD101" s="75"/>
      <c r="AE101" s="75"/>
      <c r="AF101" s="121"/>
      <c r="AG101" s="134">
        <v>0.0</v>
      </c>
      <c r="AH101" s="123">
        <v>0.0</v>
      </c>
      <c r="AI101" s="123">
        <v>0.0</v>
      </c>
      <c r="AJ101" s="123">
        <v>100.0</v>
      </c>
      <c r="AK101" s="123">
        <v>0.0</v>
      </c>
      <c r="AL101" s="123"/>
      <c r="AM101" s="124" t="s">
        <v>1002</v>
      </c>
    </row>
    <row r="102" ht="21.0" customHeight="1">
      <c r="A102" s="150"/>
      <c r="B102" s="151"/>
      <c r="C102" s="59"/>
      <c r="D102" s="82" t="s">
        <v>602</v>
      </c>
      <c r="E102" s="102"/>
      <c r="F102" s="102"/>
      <c r="G102" s="152"/>
      <c r="H102" s="32"/>
      <c r="I102" s="32"/>
      <c r="J102" s="32"/>
      <c r="K102" s="32"/>
      <c r="L102" s="32"/>
      <c r="M102" s="104" t="str">
        <f>IFERROR(__xludf.DUMMYFUNCTION("QUERY(Hospitais_BD!D:I,""select E where D='""&amp;D102&amp;""'"",0)"),"CENTRO")</f>
        <v>CENTRO</v>
      </c>
      <c r="N102" s="102" t="str">
        <f>IFERROR(__xludf.DUMMYFUNCTION("QUERY(Hospitais_BD!D:I,""select F where D='""&amp;D102&amp;""'"")"),"Rio de Janeiro")</f>
        <v>Rio de Janeiro</v>
      </c>
      <c r="O102" s="105" t="str">
        <f>IFERROR(__xludf.DUMMYFUNCTION("QUERY(Hospitais_BD!D:I,""select G where D='""&amp;D102&amp;""'"")"),"Cidade Nova")</f>
        <v>Cidade Nova</v>
      </c>
      <c r="P102" s="102"/>
      <c r="Q102" s="105" t="str">
        <f>IFERROR(__xludf.DUMMYFUNCTION("QUERY(Hospitais_BD!D:I,""select I where D='""&amp;D102&amp;""'"")"),"Público")</f>
        <v>Público</v>
      </c>
      <c r="R102" s="105" t="str">
        <f>IFERROR(__xludf.DUMMYFUNCTION("QUERY(Hospitais_BD!D:I,""select H where D='""&amp;D102&amp;""'"")"),"Unidade básica - BAIXA COMPLEXIDADE")</f>
        <v>Unidade básica - BAIXA COMPLEXIDADE</v>
      </c>
      <c r="S102" s="153"/>
      <c r="T102" s="106"/>
      <c r="U102" s="154"/>
      <c r="V102" s="102"/>
      <c r="W102" s="152"/>
      <c r="X102" s="82"/>
      <c r="Y102" s="152"/>
      <c r="Z102" s="152"/>
      <c r="AA102" s="82"/>
      <c r="AB102" s="102"/>
      <c r="AC102" s="102"/>
      <c r="AD102" s="102"/>
      <c r="AE102" s="102"/>
      <c r="AF102" s="110"/>
      <c r="AG102" s="139">
        <v>50.0</v>
      </c>
      <c r="AH102" s="109"/>
      <c r="AI102" s="109"/>
      <c r="AJ102" s="109"/>
      <c r="AK102" s="109">
        <v>12.0</v>
      </c>
      <c r="AL102" s="109"/>
      <c r="AM102" s="111" t="s">
        <v>1002</v>
      </c>
    </row>
    <row r="103" ht="21.0" customHeight="1">
      <c r="A103" s="155"/>
      <c r="B103" s="156"/>
      <c r="C103" s="42"/>
      <c r="D103" s="67" t="s">
        <v>603</v>
      </c>
      <c r="E103" s="75"/>
      <c r="F103" s="75"/>
      <c r="G103" s="157"/>
      <c r="H103" s="25"/>
      <c r="I103" s="25"/>
      <c r="J103" s="25"/>
      <c r="K103" s="25"/>
      <c r="L103" s="25"/>
      <c r="M103" s="115" t="str">
        <f>IFERROR(__xludf.DUMMYFUNCTION("QUERY(Hospitais_BD!D:I,""select E where D='""&amp;D103&amp;""'"",0)"),"REGIAO METROPOLITANA")</f>
        <v>REGIAO METROPOLITANA</v>
      </c>
      <c r="N103" s="75" t="str">
        <f>IFERROR(__xludf.DUMMYFUNCTION("QUERY(Hospitais_BD!D:I,""select F where D='""&amp;D103&amp;""'"")"),"Rio de Janeiro")</f>
        <v>Rio de Janeiro</v>
      </c>
      <c r="O103" s="116" t="str">
        <f>IFERROR(__xludf.DUMMYFUNCTION("QUERY(Hospitais_BD!D:I,""select G where D='""&amp;D103&amp;""'"")"),"Laranjeiras")</f>
        <v>Laranjeiras</v>
      </c>
      <c r="P103" s="75"/>
      <c r="Q103" s="116" t="str">
        <f>IFERROR(__xludf.DUMMYFUNCTION("QUERY(Hospitais_BD!D:I,""select I where D='""&amp;D103&amp;""'"")"),"Público")</f>
        <v>Público</v>
      </c>
      <c r="R103" s="116" t="str">
        <f>IFERROR(__xludf.DUMMYFUNCTION("QUERY(Hospitais_BD!D:I,""select H where D='""&amp;D103&amp;""'"")"),"Referência - ALTA COMPLEXIDADE")</f>
        <v>Referência - ALTA COMPLEXIDADE</v>
      </c>
      <c r="S103" s="158"/>
      <c r="T103" s="117"/>
      <c r="U103" s="159"/>
      <c r="V103" s="75"/>
      <c r="W103" s="157"/>
      <c r="X103" s="67"/>
      <c r="Y103" s="157"/>
      <c r="Z103" s="157"/>
      <c r="AA103" s="67"/>
      <c r="AB103" s="75"/>
      <c r="AC103" s="75"/>
      <c r="AD103" s="75"/>
      <c r="AE103" s="75"/>
      <c r="AF103" s="121"/>
      <c r="AG103" s="134">
        <v>50.0</v>
      </c>
      <c r="AH103" s="123"/>
      <c r="AI103" s="123"/>
      <c r="AJ103" s="123"/>
      <c r="AK103" s="123">
        <v>12.0</v>
      </c>
      <c r="AL103" s="123"/>
      <c r="AM103" s="124" t="s">
        <v>1002</v>
      </c>
    </row>
    <row r="104" ht="21.0" customHeight="1">
      <c r="A104" s="150"/>
      <c r="B104" s="151"/>
      <c r="C104" s="59"/>
      <c r="D104" s="82" t="s">
        <v>604</v>
      </c>
      <c r="E104" s="102"/>
      <c r="F104" s="102"/>
      <c r="G104" s="152"/>
      <c r="H104" s="32"/>
      <c r="I104" s="32"/>
      <c r="J104" s="32"/>
      <c r="K104" s="32"/>
      <c r="L104" s="32"/>
      <c r="M104" s="104" t="str">
        <f>IFERROR(__xludf.DUMMYFUNCTION("QUERY(Hospitais_BD!D:I,""select E where D='""&amp;D104&amp;""'"",0)"),"ZONA SUL")</f>
        <v>ZONA SUL</v>
      </c>
      <c r="N104" s="102" t="str">
        <f>IFERROR(__xludf.DUMMYFUNCTION("QUERY(Hospitais_BD!D:I,""select F where D='""&amp;D104&amp;""'"")"),"Rio de Janeiro")</f>
        <v>Rio de Janeiro</v>
      </c>
      <c r="O104" s="105" t="str">
        <f>IFERROR(__xludf.DUMMYFUNCTION("QUERY(Hospitais_BD!D:I,""select G where D='""&amp;D104&amp;""'"")"),"Copacabana")</f>
        <v>Copacabana</v>
      </c>
      <c r="P104" s="102"/>
      <c r="Q104" s="105" t="str">
        <f>IFERROR(__xludf.DUMMYFUNCTION("QUERY(Hospitais_BD!D:I,""select I where D='""&amp;D104&amp;""'"")"),"Público")</f>
        <v>Público</v>
      </c>
      <c r="R104" s="105" t="str">
        <f>IFERROR(__xludf.DUMMYFUNCTION("QUERY(Hospitais_BD!D:I,""select H where D='""&amp;D104&amp;""'"")"),"Referência - ALTA COMPLEXIDADE")</f>
        <v>Referência - ALTA COMPLEXIDADE</v>
      </c>
      <c r="S104" s="153"/>
      <c r="T104" s="106"/>
      <c r="U104" s="161"/>
      <c r="V104" s="102"/>
      <c r="W104" s="133"/>
      <c r="X104" s="82"/>
      <c r="Y104" s="152"/>
      <c r="Z104" s="152"/>
      <c r="AA104" s="82"/>
      <c r="AB104" s="102"/>
      <c r="AC104" s="102"/>
      <c r="AD104" s="102"/>
      <c r="AE104" s="102"/>
      <c r="AF104" s="110"/>
      <c r="AG104" s="139"/>
      <c r="AH104" s="109"/>
      <c r="AI104" s="109"/>
      <c r="AJ104" s="109"/>
      <c r="AK104" s="109">
        <v>0.0</v>
      </c>
      <c r="AL104" s="109"/>
      <c r="AM104" s="111" t="s">
        <v>1006</v>
      </c>
    </row>
    <row r="105" ht="21.0" customHeight="1">
      <c r="A105" s="155"/>
      <c r="B105" s="156"/>
      <c r="C105" s="42"/>
      <c r="D105" s="67" t="s">
        <v>605</v>
      </c>
      <c r="E105" s="75"/>
      <c r="F105" s="75"/>
      <c r="G105" s="157"/>
      <c r="H105" s="25"/>
      <c r="I105" s="25"/>
      <c r="J105" s="25"/>
      <c r="K105" s="25"/>
      <c r="L105" s="25"/>
      <c r="M105" s="115" t="str">
        <f>IFERROR(__xludf.DUMMYFUNCTION("QUERY(Hospitais_BD!D:I,""select E where D='""&amp;D105&amp;""'"",0)"),"ZONA OESTE")</f>
        <v>ZONA OESTE</v>
      </c>
      <c r="N105" s="75" t="str">
        <f>IFERROR(__xludf.DUMMYFUNCTION("QUERY(Hospitais_BD!D:I,""select F where D='""&amp;D105&amp;""'"")"),"Inhoaiba")</f>
        <v>Inhoaiba</v>
      </c>
      <c r="O105" s="116" t="str">
        <f>IFERROR(__xludf.DUMMYFUNCTION("QUERY(Hospitais_BD!D:I,""select G where D='""&amp;D105&amp;""'"")"),"Campo Grande")</f>
        <v>Campo Grande</v>
      </c>
      <c r="P105" s="75"/>
      <c r="Q105" s="116" t="str">
        <f>IFERROR(__xludf.DUMMYFUNCTION("QUERY(Hospitais_BD!D:I,""select I where D='""&amp;D105&amp;""'"")"),"Público")</f>
        <v>Público</v>
      </c>
      <c r="R105" s="116" t="str">
        <f>IFERROR(__xludf.DUMMYFUNCTION("QUERY(Hospitais_BD!D:I,""select H where D='""&amp;D105&amp;""'"")"),"Unidade básica - BAIXA COMPLEXIDADE")</f>
        <v>Unidade básica - BAIXA COMPLEXIDADE</v>
      </c>
      <c r="S105" s="158"/>
      <c r="T105" s="117"/>
      <c r="U105" s="159"/>
      <c r="V105" s="75"/>
      <c r="W105" s="130"/>
      <c r="X105" s="67"/>
      <c r="Y105" s="157"/>
      <c r="Z105" s="157"/>
      <c r="AA105" s="67"/>
      <c r="AB105" s="75"/>
      <c r="AC105" s="75"/>
      <c r="AD105" s="75"/>
      <c r="AE105" s="75"/>
      <c r="AF105" s="121"/>
      <c r="AG105" s="134">
        <v>350.0</v>
      </c>
      <c r="AH105" s="123">
        <v>0.0</v>
      </c>
      <c r="AI105" s="123">
        <v>0.0</v>
      </c>
      <c r="AJ105" s="123">
        <v>0.0</v>
      </c>
      <c r="AK105" s="123">
        <v>0.0</v>
      </c>
      <c r="AL105" s="123"/>
      <c r="AM105" s="124" t="s">
        <v>1002</v>
      </c>
    </row>
    <row r="106" ht="21.0" customHeight="1">
      <c r="A106" s="150"/>
      <c r="B106" s="151"/>
      <c r="C106" s="59"/>
      <c r="D106" s="82" t="s">
        <v>607</v>
      </c>
      <c r="E106" s="102"/>
      <c r="F106" s="102"/>
      <c r="G106" s="152"/>
      <c r="H106" s="32"/>
      <c r="I106" s="32"/>
      <c r="J106" s="32"/>
      <c r="K106" s="32"/>
      <c r="L106" s="32"/>
      <c r="M106" s="104" t="str">
        <f>IFERROR(__xludf.DUMMYFUNCTION("QUERY(Hospitais_BD!D:I,""select E where D='""&amp;D106&amp;""'"",0)"),"REGIAO NORTE")</f>
        <v>REGIAO NORTE</v>
      </c>
      <c r="N106" s="102" t="str">
        <f>IFERROR(__xludf.DUMMYFUNCTION("QUERY(Hospitais_BD!D:I,""select F where D='""&amp;D106&amp;""'"")"),"Campos dos Goytacazes")</f>
        <v>Campos dos Goytacazes</v>
      </c>
      <c r="O106" s="105" t="str">
        <f>IFERROR(__xludf.DUMMYFUNCTION("QUERY(Hospitais_BD!D:I,""select G where D='""&amp;D106&amp;""'"")"),"Centro")</f>
        <v>Centro</v>
      </c>
      <c r="P106" s="102"/>
      <c r="Q106" s="105" t="str">
        <f>IFERROR(__xludf.DUMMYFUNCTION("QUERY(Hospitais_BD!D:I,""select I where D='""&amp;D106&amp;""'"")"),"Público")</f>
        <v>Público</v>
      </c>
      <c r="R106" s="105" t="str">
        <f>IFERROR(__xludf.DUMMYFUNCTION("QUERY(Hospitais_BD!D:I,""select H where D='""&amp;D106&amp;""'"")"),"Grande emergência - MÉDIA COMPLEXIDADE")</f>
        <v>Grande emergência - MÉDIA COMPLEXIDADE</v>
      </c>
      <c r="S106" s="153"/>
      <c r="T106" s="106"/>
      <c r="U106" s="154"/>
      <c r="V106" s="102"/>
      <c r="W106" s="152"/>
      <c r="X106" s="82"/>
      <c r="Y106" s="152"/>
      <c r="Z106" s="152"/>
      <c r="AA106" s="82"/>
      <c r="AB106" s="102"/>
      <c r="AC106" s="102"/>
      <c r="AD106" s="102"/>
      <c r="AE106" s="102"/>
      <c r="AF106" s="110"/>
      <c r="AG106" s="139"/>
      <c r="AH106" s="109"/>
      <c r="AI106" s="109"/>
      <c r="AJ106" s="109"/>
      <c r="AK106" s="109">
        <v>0.0</v>
      </c>
      <c r="AL106" s="109"/>
      <c r="AM106" s="111" t="s">
        <v>1006</v>
      </c>
    </row>
    <row r="107" ht="21.0" customHeight="1">
      <c r="A107" s="163"/>
      <c r="B107" s="164"/>
      <c r="C107" s="42"/>
      <c r="D107" s="67" t="s">
        <v>639</v>
      </c>
      <c r="E107" s="74"/>
      <c r="F107" s="74"/>
      <c r="G107" s="68"/>
      <c r="H107" s="68"/>
      <c r="I107" s="68"/>
      <c r="J107" s="68"/>
      <c r="K107" s="68"/>
      <c r="L107" s="68"/>
      <c r="M107" s="115" t="str">
        <f>IFERROR(__xludf.DUMMYFUNCTION("QUERY(Hospitais_BD!D:I,""select E where D='""&amp;D107&amp;""'"",0)"),"ZONA NORTE")</f>
        <v>ZONA NORTE</v>
      </c>
      <c r="N107" s="75" t="str">
        <f>IFERROR(__xludf.DUMMYFUNCTION("QUERY(Hospitais_BD!D:I,""select F where D='""&amp;D107&amp;""'"")"),"Rio de Janeiro")</f>
        <v>Rio de Janeiro</v>
      </c>
      <c r="O107" s="116" t="str">
        <f>IFERROR(__xludf.DUMMYFUNCTION("QUERY(Hospitais_BD!D:I,""select G where D='""&amp;D107&amp;""'"")"),"Ilha do Fundao - Cidade Universitaria")</f>
        <v>Ilha do Fundao - Cidade Universitaria</v>
      </c>
      <c r="P107" s="74" t="s">
        <v>1009</v>
      </c>
      <c r="Q107" s="116" t="str">
        <f>IFERROR(__xludf.DUMMYFUNCTION("QUERY(Hospitais_BD!D:I,""select I where D='""&amp;D107&amp;""'"")"),"Público")</f>
        <v>Público</v>
      </c>
      <c r="R107" s="116" t="str">
        <f>IFERROR(__xludf.DUMMYFUNCTION("QUERY(Hospitais_BD!D:I,""select H where D='""&amp;D107&amp;""'"")"),"Unidade de atendimento publico odontológico
")</f>
        <v>Unidade de atendimento publico odontológico
</v>
      </c>
      <c r="S107" s="165"/>
      <c r="T107" s="117"/>
      <c r="U107" s="159"/>
      <c r="V107" s="74"/>
      <c r="W107" s="67"/>
      <c r="X107" s="74"/>
      <c r="Y107" s="74"/>
      <c r="Z107" s="74"/>
      <c r="AA107" s="74"/>
      <c r="AB107" s="22"/>
      <c r="AC107" s="23"/>
      <c r="AD107" s="23"/>
      <c r="AE107" s="75"/>
      <c r="AF107" s="121"/>
      <c r="AG107" s="134">
        <v>50.0</v>
      </c>
      <c r="AH107" s="123"/>
      <c r="AI107" s="123"/>
      <c r="AJ107" s="123"/>
      <c r="AK107" s="123">
        <v>0.0</v>
      </c>
      <c r="AL107" s="123"/>
      <c r="AM107" s="124" t="s">
        <v>1002</v>
      </c>
    </row>
    <row r="108" ht="21.0" customHeight="1">
      <c r="A108" s="166"/>
      <c r="B108" s="66"/>
      <c r="C108" s="59"/>
      <c r="D108" s="82" t="s">
        <v>651</v>
      </c>
      <c r="E108" s="81"/>
      <c r="F108" s="81"/>
      <c r="G108" s="65"/>
      <c r="H108" s="65"/>
      <c r="I108" s="65"/>
      <c r="J108" s="65"/>
      <c r="K108" s="65"/>
      <c r="L108" s="65"/>
      <c r="M108" s="104" t="str">
        <f>IFERROR(__xludf.DUMMYFUNCTION("QUERY(Hospitais_BD!D:I,""select E where D='""&amp;D108&amp;""'"",0)"),"BAIXADA FLUMINENSE")</f>
        <v>BAIXADA FLUMINENSE</v>
      </c>
      <c r="N108" s="102" t="str">
        <f>IFERROR(__xludf.DUMMYFUNCTION("QUERY(Hospitais_BD!D:I,""select F where D='""&amp;D108&amp;""'"")"),"Duque de Caxias")</f>
        <v>Duque de Caxias</v>
      </c>
      <c r="O108" s="105" t="str">
        <f>IFERROR(__xludf.DUMMYFUNCTION("QUERY(Hospitais_BD!D:I,""select G where D='""&amp;D108&amp;""'"")"),"Santa Lucia")</f>
        <v>Santa Lucia</v>
      </c>
      <c r="P108" s="81" t="s">
        <v>1010</v>
      </c>
      <c r="Q108" s="105" t="str">
        <f>IFERROR(__xludf.DUMMYFUNCTION("QUERY(Hospitais_BD!D:I,""select I where D='""&amp;D108&amp;""'"")"),"Público")</f>
        <v>Público</v>
      </c>
      <c r="R108" s="105" t="str">
        <f>IFERROR(__xludf.DUMMYFUNCTION("QUERY(Hospitais_BD!D:I,""select H where D='""&amp;D108&amp;""'"")"),"Unidade básica de saúde - BAIXA COMPLEXIDADE
")</f>
        <v>Unidade básica de saúde - BAIXA COMPLEXIDADE
</v>
      </c>
      <c r="S108" s="167"/>
      <c r="T108" s="106"/>
      <c r="U108" s="154"/>
      <c r="V108" s="81"/>
      <c r="W108" s="82"/>
      <c r="X108" s="81"/>
      <c r="Y108" s="81"/>
      <c r="Z108" s="81"/>
      <c r="AA108" s="81"/>
      <c r="AB108" s="12"/>
      <c r="AC108" s="13"/>
      <c r="AD108" s="13"/>
      <c r="AE108" s="102"/>
      <c r="AF108" s="110"/>
      <c r="AG108" s="139">
        <v>25.0</v>
      </c>
      <c r="AH108" s="109">
        <v>0.0</v>
      </c>
      <c r="AI108" s="109">
        <v>0.0</v>
      </c>
      <c r="AJ108" s="109">
        <v>0.0</v>
      </c>
      <c r="AK108" s="109">
        <v>0.0</v>
      </c>
      <c r="AL108" s="109"/>
      <c r="AM108" s="111" t="s">
        <v>1002</v>
      </c>
    </row>
    <row r="109" ht="21.0" customHeight="1">
      <c r="A109" s="163"/>
      <c r="B109" s="164"/>
      <c r="C109" s="42"/>
      <c r="D109" s="67" t="s">
        <v>653</v>
      </c>
      <c r="E109" s="74"/>
      <c r="F109" s="74"/>
      <c r="G109" s="68"/>
      <c r="H109" s="68"/>
      <c r="I109" s="68"/>
      <c r="J109" s="68"/>
      <c r="K109" s="68"/>
      <c r="L109" s="68"/>
      <c r="M109" s="115" t="str">
        <f>IFERROR(__xludf.DUMMYFUNCTION("QUERY(Hospitais_BD!D:I,""select E where D='""&amp;D109&amp;""'"",0)"),"BAIXADA FLUMINENSE")</f>
        <v>BAIXADA FLUMINENSE</v>
      </c>
      <c r="N109" s="75" t="str">
        <f>IFERROR(__xludf.DUMMYFUNCTION("QUERY(Hospitais_BD!D:I,""select F where D='""&amp;D109&amp;""'"")"),"Duque de Caxias")</f>
        <v>Duque de Caxias</v>
      </c>
      <c r="O109" s="116" t="str">
        <f>IFERROR(__xludf.DUMMYFUNCTION("QUERY(Hospitais_BD!D:I,""select G where D='""&amp;D109&amp;""'"")"),"Centenario")</f>
        <v>Centenario</v>
      </c>
      <c r="P109" s="74" t="s">
        <v>1011</v>
      </c>
      <c r="Q109" s="116" t="str">
        <f>IFERROR(__xludf.DUMMYFUNCTION("QUERY(Hospitais_BD!D:I,""select I where D='""&amp;D109&amp;""'"")"),"Público")</f>
        <v>Público</v>
      </c>
      <c r="R109" s="116" t="str">
        <f>IFERROR(__xludf.DUMMYFUNCTION("QUERY(Hospitais_BD!D:I,""select H where D='""&amp;D109&amp;""'"")"),"Unidade básica de saúde - BAIXA COMPLEXIDADE
")</f>
        <v>Unidade básica de saúde - BAIXA COMPLEXIDADE
</v>
      </c>
      <c r="S109" s="165"/>
      <c r="T109" s="117"/>
      <c r="U109" s="159"/>
      <c r="V109" s="74"/>
      <c r="W109" s="67"/>
      <c r="X109" s="74"/>
      <c r="Y109" s="74"/>
      <c r="Z109" s="74"/>
      <c r="AA109" s="74"/>
      <c r="AB109" s="22"/>
      <c r="AC109" s="23"/>
      <c r="AD109" s="23"/>
      <c r="AE109" s="75"/>
      <c r="AF109" s="121"/>
      <c r="AG109" s="134">
        <v>25.0</v>
      </c>
      <c r="AH109" s="123">
        <v>0.0</v>
      </c>
      <c r="AI109" s="123">
        <v>0.0</v>
      </c>
      <c r="AJ109" s="123">
        <v>0.0</v>
      </c>
      <c r="AK109" s="123">
        <v>0.0</v>
      </c>
      <c r="AL109" s="123"/>
      <c r="AM109" s="124" t="s">
        <v>1002</v>
      </c>
    </row>
    <row r="110" ht="21.0" customHeight="1">
      <c r="A110" s="166"/>
      <c r="B110" s="66"/>
      <c r="C110" s="59"/>
      <c r="D110" s="82" t="s">
        <v>655</v>
      </c>
      <c r="E110" s="81"/>
      <c r="F110" s="81"/>
      <c r="G110" s="65"/>
      <c r="H110" s="65"/>
      <c r="I110" s="65"/>
      <c r="J110" s="65"/>
      <c r="K110" s="65"/>
      <c r="L110" s="65"/>
      <c r="M110" s="104" t="str">
        <f>IFERROR(__xludf.DUMMYFUNCTION("QUERY(Hospitais_BD!D:I,""select E where D='""&amp;D110&amp;""'"",0)"),"BAIXADA FLUMINENSE")</f>
        <v>BAIXADA FLUMINENSE</v>
      </c>
      <c r="N110" s="102" t="str">
        <f>IFERROR(__xludf.DUMMYFUNCTION("QUERY(Hospitais_BD!D:I,""select F where D='""&amp;D110&amp;""'"")"),"Duque de Caxias")</f>
        <v>Duque de Caxias</v>
      </c>
      <c r="O110" s="105" t="str">
        <f>IFERROR(__xludf.DUMMYFUNCTION("QUERY(Hospitais_BD!D:I,""select G where D='""&amp;D110&amp;""'"")"),"Copacabana")</f>
        <v>Copacabana</v>
      </c>
      <c r="P110" s="81" t="s">
        <v>1012</v>
      </c>
      <c r="Q110" s="105" t="str">
        <f>IFERROR(__xludf.DUMMYFUNCTION("QUERY(Hospitais_BD!D:I,""select I where D='""&amp;D110&amp;""'"")"),"Público")</f>
        <v>Público</v>
      </c>
      <c r="R110" s="105" t="str">
        <f>IFERROR(__xludf.DUMMYFUNCTION("QUERY(Hospitais_BD!D:I,""select H where D='""&amp;D110&amp;""'"")"),"Unidade básica de saúde - BAIXA COMPLEXIDADE
")</f>
        <v>Unidade básica de saúde - BAIXA COMPLEXIDADE
</v>
      </c>
      <c r="S110" s="167"/>
      <c r="T110" s="106"/>
      <c r="U110" s="154"/>
      <c r="V110" s="81"/>
      <c r="W110" s="82"/>
      <c r="X110" s="81"/>
      <c r="Y110" s="81"/>
      <c r="Z110" s="81"/>
      <c r="AA110" s="81"/>
      <c r="AB110" s="12"/>
      <c r="AC110" s="13"/>
      <c r="AD110" s="13"/>
      <c r="AE110" s="102"/>
      <c r="AF110" s="110"/>
      <c r="AG110" s="139"/>
      <c r="AH110" s="109">
        <v>0.0</v>
      </c>
      <c r="AI110" s="109">
        <v>0.0</v>
      </c>
      <c r="AJ110" s="109">
        <v>0.0</v>
      </c>
      <c r="AK110" s="109">
        <v>0.0</v>
      </c>
      <c r="AL110" s="109"/>
      <c r="AM110" s="111" t="s">
        <v>1007</v>
      </c>
    </row>
    <row r="111" ht="21.0" customHeight="1">
      <c r="A111" s="163"/>
      <c r="B111" s="164"/>
      <c r="C111" s="42"/>
      <c r="D111" s="67" t="s">
        <v>656</v>
      </c>
      <c r="E111" s="74"/>
      <c r="F111" s="74"/>
      <c r="G111" s="68"/>
      <c r="H111" s="68"/>
      <c r="I111" s="68"/>
      <c r="J111" s="68"/>
      <c r="K111" s="68"/>
      <c r="L111" s="68"/>
      <c r="M111" s="115" t="str">
        <f>IFERROR(__xludf.DUMMYFUNCTION("QUERY(Hospitais_BD!D:I,""select E where D='""&amp;D111&amp;""'"",0)"),"BAIXADA FLUMINENSE")</f>
        <v>BAIXADA FLUMINENSE</v>
      </c>
      <c r="N111" s="75" t="str">
        <f>IFERROR(__xludf.DUMMYFUNCTION("QUERY(Hospitais_BD!D:I,""select F where D='""&amp;D111&amp;""'"")"),"DUQUE DE CAXIAS")</f>
        <v>DUQUE DE CAXIAS</v>
      </c>
      <c r="O111" s="116" t="str">
        <f>IFERROR(__xludf.DUMMYFUNCTION("QUERY(Hospitais_BD!D:I,""select G where D='""&amp;D111&amp;""'"")"),"JARDIM GRAMACHO")</f>
        <v>JARDIM GRAMACHO</v>
      </c>
      <c r="P111" s="74" t="s">
        <v>1013</v>
      </c>
      <c r="Q111" s="116" t="str">
        <f>IFERROR(__xludf.DUMMYFUNCTION("QUERY(Hospitais_BD!D:I,""select I where D='""&amp;D111&amp;""'"")"),"Público")</f>
        <v>Público</v>
      </c>
      <c r="R111" s="116" t="str">
        <f>IFERROR(__xludf.DUMMYFUNCTION("QUERY(Hospitais_BD!D:I,""select H where D='""&amp;D111&amp;""'"")"),"Unidade básica de saúde - BAIXA COMPLEXIDADE
")</f>
        <v>Unidade básica de saúde - BAIXA COMPLEXIDADE
</v>
      </c>
      <c r="S111" s="165"/>
      <c r="T111" s="117"/>
      <c r="U111" s="159"/>
      <c r="V111" s="74"/>
      <c r="W111" s="67"/>
      <c r="X111" s="74"/>
      <c r="Y111" s="74"/>
      <c r="Z111" s="74"/>
      <c r="AA111" s="74"/>
      <c r="AB111" s="22"/>
      <c r="AC111" s="23"/>
      <c r="AD111" s="23"/>
      <c r="AE111" s="75"/>
      <c r="AF111" s="121"/>
      <c r="AG111" s="134">
        <v>100.0</v>
      </c>
      <c r="AH111" s="123"/>
      <c r="AI111" s="123"/>
      <c r="AJ111" s="123"/>
      <c r="AK111" s="123">
        <v>0.0</v>
      </c>
      <c r="AL111" s="123"/>
      <c r="AM111" s="124" t="s">
        <v>1002</v>
      </c>
    </row>
    <row r="112" ht="21.0" customHeight="1">
      <c r="A112" s="166"/>
      <c r="B112" s="66"/>
      <c r="C112" s="59"/>
      <c r="D112" s="82" t="s">
        <v>659</v>
      </c>
      <c r="E112" s="81"/>
      <c r="F112" s="81"/>
      <c r="G112" s="65"/>
      <c r="H112" s="65"/>
      <c r="I112" s="65"/>
      <c r="J112" s="65"/>
      <c r="K112" s="65"/>
      <c r="L112" s="65"/>
      <c r="M112" s="104" t="str">
        <f>IFERROR(__xludf.DUMMYFUNCTION("QUERY(Hospitais_BD!D:I,""select E where D='""&amp;D112&amp;""'"",0)"),"BAIXADA FLUMINENSE")</f>
        <v>BAIXADA FLUMINENSE</v>
      </c>
      <c r="N112" s="102" t="str">
        <f>IFERROR(__xludf.DUMMYFUNCTION("QUERY(Hospitais_BD!D:I,""select F where D='""&amp;D112&amp;""'"")"),"Duque de Caxias")</f>
        <v>Duque de Caxias</v>
      </c>
      <c r="O112" s="105" t="str">
        <f>IFERROR(__xludf.DUMMYFUNCTION("QUERY(Hospitais_BD!D:I,""select G where D='""&amp;D112&amp;""'"")"),"Jardim Gramacho")</f>
        <v>Jardim Gramacho</v>
      </c>
      <c r="P112" s="81" t="s">
        <v>1014</v>
      </c>
      <c r="Q112" s="105" t="str">
        <f>IFERROR(__xludf.DUMMYFUNCTION("QUERY(Hospitais_BD!D:I,""select I where D='""&amp;D112&amp;""'"")"),"Público")</f>
        <v>Público</v>
      </c>
      <c r="R112" s="105" t="str">
        <f>IFERROR(__xludf.DUMMYFUNCTION("QUERY(Hospitais_BD!D:I,""select H where D='""&amp;D112&amp;""'"")"),"Unidade básica de saúde - BAIXA COMPLEXIDADE
")</f>
        <v>Unidade básica de saúde - BAIXA COMPLEXIDADE
</v>
      </c>
      <c r="S112" s="167"/>
      <c r="T112" s="106"/>
      <c r="U112" s="154"/>
      <c r="V112" s="81"/>
      <c r="W112" s="82"/>
      <c r="X112" s="81"/>
      <c r="Y112" s="81"/>
      <c r="Z112" s="81"/>
      <c r="AA112" s="81"/>
      <c r="AB112" s="12"/>
      <c r="AC112" s="13"/>
      <c r="AD112" s="13"/>
      <c r="AE112" s="102"/>
      <c r="AF112" s="110"/>
      <c r="AG112" s="139">
        <v>25.0</v>
      </c>
      <c r="AH112" s="109">
        <v>0.0</v>
      </c>
      <c r="AI112" s="109">
        <v>0.0</v>
      </c>
      <c r="AJ112" s="109">
        <v>0.0</v>
      </c>
      <c r="AK112" s="109">
        <v>0.0</v>
      </c>
      <c r="AL112" s="109"/>
      <c r="AM112" s="111" t="s">
        <v>1002</v>
      </c>
    </row>
    <row r="113" ht="21.0" customHeight="1">
      <c r="A113" s="163"/>
      <c r="B113" s="164"/>
      <c r="C113" s="42"/>
      <c r="D113" s="67" t="s">
        <v>661</v>
      </c>
      <c r="E113" s="74"/>
      <c r="F113" s="74"/>
      <c r="G113" s="68"/>
      <c r="H113" s="68"/>
      <c r="I113" s="68"/>
      <c r="J113" s="68"/>
      <c r="K113" s="68"/>
      <c r="L113" s="68"/>
      <c r="M113" s="115" t="str">
        <f>IFERROR(__xludf.DUMMYFUNCTION("QUERY(Hospitais_BD!D:I,""select E where D='""&amp;D113&amp;""'"",0)"),"BAIXADA FLUMINENSE")</f>
        <v>BAIXADA FLUMINENSE</v>
      </c>
      <c r="N113" s="75" t="str">
        <f>IFERROR(__xludf.DUMMYFUNCTION("QUERY(Hospitais_BD!D:I,""select F where D='""&amp;D113&amp;""'"")"),"Duque de Caxias")</f>
        <v>Duque de Caxias</v>
      </c>
      <c r="O113" s="116" t="str">
        <f>IFERROR(__xludf.DUMMYFUNCTION("QUERY(Hospitais_BD!D:I,""select G where D='""&amp;D113&amp;""'"")"),"Trevo das Missoes")</f>
        <v>Trevo das Missoes</v>
      </c>
      <c r="P113" s="74" t="s">
        <v>1015</v>
      </c>
      <c r="Q113" s="116" t="str">
        <f>IFERROR(__xludf.DUMMYFUNCTION("QUERY(Hospitais_BD!D:I,""select I where D='""&amp;D113&amp;""'"")"),"Público")</f>
        <v>Público</v>
      </c>
      <c r="R113" s="116" t="str">
        <f>IFERROR(__xludf.DUMMYFUNCTION("QUERY(Hospitais_BD!D:I,""select H where D='""&amp;D113&amp;""'"")"),"Unidade básica de saúde - BAIXA COMPLEXIDADE
")</f>
        <v>Unidade básica de saúde - BAIXA COMPLEXIDADE
</v>
      </c>
      <c r="S113" s="165"/>
      <c r="T113" s="117"/>
      <c r="U113" s="159"/>
      <c r="V113" s="74"/>
      <c r="W113" s="67"/>
      <c r="X113" s="74"/>
      <c r="Y113" s="74"/>
      <c r="Z113" s="74"/>
      <c r="AA113" s="74"/>
      <c r="AB113" s="22"/>
      <c r="AC113" s="23"/>
      <c r="AD113" s="23"/>
      <c r="AE113" s="75"/>
      <c r="AF113" s="121"/>
      <c r="AG113" s="168">
        <v>25.0</v>
      </c>
      <c r="AH113" s="123">
        <v>0.0</v>
      </c>
      <c r="AI113" s="123">
        <v>0.0</v>
      </c>
      <c r="AJ113" s="123">
        <v>0.0</v>
      </c>
      <c r="AK113" s="123">
        <v>0.0</v>
      </c>
      <c r="AL113" s="123"/>
      <c r="AM113" s="124" t="s">
        <v>1002</v>
      </c>
    </row>
    <row r="114" ht="21.0" customHeight="1">
      <c r="A114" s="166"/>
      <c r="B114" s="66"/>
      <c r="C114" s="59"/>
      <c r="D114" s="82" t="s">
        <v>663</v>
      </c>
      <c r="E114" s="81"/>
      <c r="F114" s="81"/>
      <c r="G114" s="65"/>
      <c r="H114" s="65"/>
      <c r="I114" s="65"/>
      <c r="J114" s="65"/>
      <c r="K114" s="65"/>
      <c r="L114" s="65"/>
      <c r="M114" s="104" t="str">
        <f>IFERROR(__xludf.DUMMYFUNCTION("QUERY(Hospitais_BD!D:I,""select E where D='""&amp;D114&amp;""'"",0)"),"BAIXADA FLUMINENSE")</f>
        <v>BAIXADA FLUMINENSE</v>
      </c>
      <c r="N114" s="102" t="str">
        <f>IFERROR(__xludf.DUMMYFUNCTION("QUERY(Hospitais_BD!D:I,""select F where D='""&amp;D114&amp;""'"")"),"Duque de Caxias")</f>
        <v>Duque de Caxias</v>
      </c>
      <c r="O114" s="105" t="str">
        <f>IFERROR(__xludf.DUMMYFUNCTION("QUERY(Hospitais_BD!D:I,""select G where D='""&amp;D114&amp;""'"")"),"Parque Beira Mar")</f>
        <v>Parque Beira Mar</v>
      </c>
      <c r="P114" s="81" t="s">
        <v>1016</v>
      </c>
      <c r="Q114" s="105" t="str">
        <f>IFERROR(__xludf.DUMMYFUNCTION("QUERY(Hospitais_BD!D:I,""select I where D='""&amp;D114&amp;""'"")"),"Público")</f>
        <v>Público</v>
      </c>
      <c r="R114" s="105" t="str">
        <f>IFERROR(__xludf.DUMMYFUNCTION("QUERY(Hospitais_BD!D:I,""select H where D='""&amp;D114&amp;""'"")"),"Unidade básica de saúde - BAIXA COMPLEXIDADE
")</f>
        <v>Unidade básica de saúde - BAIXA COMPLEXIDADE
</v>
      </c>
      <c r="S114" s="167"/>
      <c r="T114" s="106"/>
      <c r="U114" s="154"/>
      <c r="V114" s="81"/>
      <c r="W114" s="82"/>
      <c r="X114" s="81"/>
      <c r="Y114" s="81"/>
      <c r="Z114" s="81"/>
      <c r="AA114" s="81"/>
      <c r="AB114" s="12"/>
      <c r="AC114" s="13"/>
      <c r="AD114" s="13"/>
      <c r="AE114" s="102"/>
      <c r="AF114" s="110"/>
      <c r="AG114" s="169">
        <v>25.0</v>
      </c>
      <c r="AH114" s="109">
        <v>0.0</v>
      </c>
      <c r="AI114" s="109">
        <v>0.0</v>
      </c>
      <c r="AJ114" s="109">
        <v>0.0</v>
      </c>
      <c r="AK114" s="109">
        <v>0.0</v>
      </c>
      <c r="AL114" s="109"/>
      <c r="AM114" s="111" t="s">
        <v>1002</v>
      </c>
    </row>
    <row r="115" ht="21.0" customHeight="1">
      <c r="A115" s="163"/>
      <c r="B115" s="164"/>
      <c r="C115" s="42"/>
      <c r="D115" s="67" t="s">
        <v>664</v>
      </c>
      <c r="E115" s="74"/>
      <c r="F115" s="74"/>
      <c r="G115" s="68"/>
      <c r="H115" s="68"/>
      <c r="I115" s="68"/>
      <c r="J115" s="68"/>
      <c r="K115" s="68"/>
      <c r="L115" s="68"/>
      <c r="M115" s="115" t="str">
        <f>IFERROR(__xludf.DUMMYFUNCTION("QUERY(Hospitais_BD!D:I,""select E where D='""&amp;D115&amp;""'"",0)"),"BAIXADA FLUMINENSE")</f>
        <v>BAIXADA FLUMINENSE</v>
      </c>
      <c r="N115" s="75" t="str">
        <f>IFERROR(__xludf.DUMMYFUNCTION("QUERY(Hospitais_BD!D:I,""select F where D='""&amp;D115&amp;""'"")"),"Duque de Caxias")</f>
        <v>Duque de Caxias</v>
      </c>
      <c r="O115" s="116" t="str">
        <f>IFERROR(__xludf.DUMMYFUNCTION("QUERY(Hospitais_BD!D:I,""select G where D='""&amp;D115&amp;""'"")"),"Parque Felicidade")</f>
        <v>Parque Felicidade</v>
      </c>
      <c r="P115" s="74" t="s">
        <v>1017</v>
      </c>
      <c r="Q115" s="116" t="str">
        <f>IFERROR(__xludf.DUMMYFUNCTION("QUERY(Hospitais_BD!D:I,""select I where D='""&amp;D115&amp;""'"")"),"Público")</f>
        <v>Público</v>
      </c>
      <c r="R115" s="116" t="str">
        <f>IFERROR(__xludf.DUMMYFUNCTION("QUERY(Hospitais_BD!D:I,""select H where D='""&amp;D115&amp;""'"")"),"Unidade básica de saúde - BAIXA COMPLEXIDADE
")</f>
        <v>Unidade básica de saúde - BAIXA COMPLEXIDADE
</v>
      </c>
      <c r="S115" s="165"/>
      <c r="T115" s="117"/>
      <c r="U115" s="159"/>
      <c r="V115" s="74"/>
      <c r="W115" s="67"/>
      <c r="X115" s="74"/>
      <c r="Y115" s="74"/>
      <c r="Z115" s="74"/>
      <c r="AA115" s="74"/>
      <c r="AB115" s="22"/>
      <c r="AC115" s="23"/>
      <c r="AD115" s="23"/>
      <c r="AE115" s="75"/>
      <c r="AF115" s="121"/>
      <c r="AG115" s="168">
        <v>25.0</v>
      </c>
      <c r="AH115" s="123">
        <v>0.0</v>
      </c>
      <c r="AI115" s="123">
        <v>0.0</v>
      </c>
      <c r="AJ115" s="123">
        <v>0.0</v>
      </c>
      <c r="AK115" s="123">
        <v>0.0</v>
      </c>
      <c r="AL115" s="123"/>
      <c r="AM115" s="124" t="s">
        <v>1002</v>
      </c>
    </row>
    <row r="116" ht="21.0" customHeight="1">
      <c r="A116" s="166"/>
      <c r="B116" s="66"/>
      <c r="C116" s="59"/>
      <c r="D116" s="82" t="s">
        <v>666</v>
      </c>
      <c r="E116" s="81"/>
      <c r="F116" s="81"/>
      <c r="G116" s="65"/>
      <c r="H116" s="65"/>
      <c r="I116" s="65"/>
      <c r="J116" s="65"/>
      <c r="K116" s="65"/>
      <c r="L116" s="65"/>
      <c r="M116" s="104" t="str">
        <f>IFERROR(__xludf.DUMMYFUNCTION("QUERY(Hospitais_BD!D:I,""select E where D='""&amp;D116&amp;""'"",0)"),"BAIXADA FLUMINENSE")</f>
        <v>BAIXADA FLUMINENSE</v>
      </c>
      <c r="N116" s="102" t="str">
        <f>IFERROR(__xludf.DUMMYFUNCTION("QUERY(Hospitais_BD!D:I,""select F where D='""&amp;D116&amp;""'"")"),"Duque de Caxias")</f>
        <v>Duque de Caxias</v>
      </c>
      <c r="O116" s="105" t="str">
        <f>IFERROR(__xludf.DUMMYFUNCTION("QUERY(Hospitais_BD!D:I,""select G where D='""&amp;D116&amp;""'"")"),"Gramacho")</f>
        <v>Gramacho</v>
      </c>
      <c r="P116" s="81" t="s">
        <v>1018</v>
      </c>
      <c r="Q116" s="105" t="str">
        <f>IFERROR(__xludf.DUMMYFUNCTION("QUERY(Hospitais_BD!D:I,""select I where D='""&amp;D116&amp;""'"")"),"Público")</f>
        <v>Público</v>
      </c>
      <c r="R116" s="105" t="str">
        <f>IFERROR(__xludf.DUMMYFUNCTION("QUERY(Hospitais_BD!D:I,""select H where D='""&amp;D116&amp;""'"")"),"Unidade básica de saúde - BAIXA COMPLEXIDADE
")</f>
        <v>Unidade básica de saúde - BAIXA COMPLEXIDADE
</v>
      </c>
      <c r="S116" s="167"/>
      <c r="T116" s="106"/>
      <c r="U116" s="154"/>
      <c r="V116" s="81"/>
      <c r="W116" s="82"/>
      <c r="X116" s="81"/>
      <c r="Y116" s="81"/>
      <c r="Z116" s="81"/>
      <c r="AA116" s="81"/>
      <c r="AB116" s="12"/>
      <c r="AC116" s="13"/>
      <c r="AD116" s="13"/>
      <c r="AE116" s="102"/>
      <c r="AF116" s="110"/>
      <c r="AG116" s="169">
        <v>25.0</v>
      </c>
      <c r="AH116" s="109">
        <v>0.0</v>
      </c>
      <c r="AI116" s="109">
        <v>0.0</v>
      </c>
      <c r="AJ116" s="109">
        <v>0.0</v>
      </c>
      <c r="AK116" s="109">
        <v>0.0</v>
      </c>
      <c r="AL116" s="109"/>
      <c r="AM116" s="111" t="s">
        <v>1002</v>
      </c>
    </row>
    <row r="117" ht="21.0" customHeight="1">
      <c r="A117" s="163"/>
      <c r="B117" s="164"/>
      <c r="C117" s="42"/>
      <c r="D117" s="67" t="s">
        <v>670</v>
      </c>
      <c r="E117" s="74"/>
      <c r="F117" s="74"/>
      <c r="G117" s="68"/>
      <c r="H117" s="68"/>
      <c r="I117" s="68"/>
      <c r="J117" s="68"/>
      <c r="K117" s="68"/>
      <c r="L117" s="68"/>
      <c r="M117" s="115" t="str">
        <f>IFERROR(__xludf.DUMMYFUNCTION("QUERY(Hospitais_BD!D:I,""select E where D='""&amp;D117&amp;""'"",0)"),"REGIAO METROPOLITANA")</f>
        <v>REGIAO METROPOLITANA</v>
      </c>
      <c r="N117" s="75" t="str">
        <f>IFERROR(__xludf.DUMMYFUNCTION("QUERY(Hospitais_BD!D:I,""select F where D='""&amp;D117&amp;""'"")"),"Duque de Caxias")</f>
        <v>Duque de Caxias</v>
      </c>
      <c r="O117" s="116" t="str">
        <f>IFERROR(__xludf.DUMMYFUNCTION("QUERY(Hospitais_BD!D:I,""select G where D='""&amp;D117&amp;""'"")"),"Parque Dois Irmaos")</f>
        <v>Parque Dois Irmaos</v>
      </c>
      <c r="P117" s="74" t="s">
        <v>1019</v>
      </c>
      <c r="Q117" s="116" t="str">
        <f>IFERROR(__xludf.DUMMYFUNCTION("QUERY(Hospitais_BD!D:I,""select I where D='""&amp;D117&amp;""'"")"),"Público")</f>
        <v>Público</v>
      </c>
      <c r="R117" s="116" t="str">
        <f>IFERROR(__xludf.DUMMYFUNCTION("QUERY(Hospitais_BD!D:I,""select H where D='""&amp;D117&amp;""'"")"),"Unidade básica de saúde - BAIXA COMPLEXIDADE
")</f>
        <v>Unidade básica de saúde - BAIXA COMPLEXIDADE
</v>
      </c>
      <c r="S117" s="165"/>
      <c r="T117" s="117"/>
      <c r="U117" s="159"/>
      <c r="V117" s="74"/>
      <c r="W117" s="67"/>
      <c r="X117" s="74"/>
      <c r="Y117" s="74"/>
      <c r="Z117" s="74"/>
      <c r="AA117" s="74"/>
      <c r="AB117" s="22"/>
      <c r="AC117" s="23"/>
      <c r="AD117" s="23"/>
      <c r="AE117" s="75"/>
      <c r="AF117" s="121"/>
      <c r="AG117" s="168">
        <v>25.0</v>
      </c>
      <c r="AH117" s="123">
        <v>0.0</v>
      </c>
      <c r="AI117" s="123">
        <v>0.0</v>
      </c>
      <c r="AJ117" s="123">
        <v>0.0</v>
      </c>
      <c r="AK117" s="123">
        <v>0.0</v>
      </c>
      <c r="AL117" s="123"/>
      <c r="AM117" s="124" t="s">
        <v>1002</v>
      </c>
    </row>
    <row r="118" ht="21.0" customHeight="1">
      <c r="A118" s="166"/>
      <c r="B118" s="66"/>
      <c r="C118" s="59"/>
      <c r="D118" s="82" t="s">
        <v>273</v>
      </c>
      <c r="E118" s="81"/>
      <c r="F118" s="81"/>
      <c r="G118" s="65"/>
      <c r="H118" s="65"/>
      <c r="I118" s="65"/>
      <c r="J118" s="65"/>
      <c r="K118" s="65"/>
      <c r="L118" s="65"/>
      <c r="M118" s="104" t="str">
        <f>IFERROR(__xludf.DUMMYFUNCTION("QUERY(Hospitais_BD!D:I,""select E where D='""&amp;D118&amp;""'"",0)"),"#REF!")</f>
        <v>#REF!</v>
      </c>
      <c r="N118" s="102" t="str">
        <f>IFERROR(__xludf.DUMMYFUNCTION("QUERY(Hospitais_BD!D:I,""select F where D='""&amp;D118&amp;""'"")"),"#REF!")</f>
        <v>#REF!</v>
      </c>
      <c r="O118" s="105" t="str">
        <f>IFERROR(__xludf.DUMMYFUNCTION("QUERY(Hospitais_BD!D:I,""select G where D='""&amp;D118&amp;""'"")"),"#REF!")</f>
        <v>#REF!</v>
      </c>
      <c r="P118" s="81" t="s">
        <v>1020</v>
      </c>
      <c r="Q118" s="105" t="str">
        <f>IFERROR(__xludf.DUMMYFUNCTION("QUERY(Hospitais_BD!D:I,""select I where D='""&amp;D118&amp;""'"")"),"#REF!")</f>
        <v>#REF!</v>
      </c>
      <c r="R118" s="105" t="str">
        <f>IFERROR(__xludf.DUMMYFUNCTION("QUERY(Hospitais_BD!D:I,""select H where D='""&amp;D118&amp;""'"")"),"#REF!")</f>
        <v>#REF!</v>
      </c>
      <c r="S118" s="167"/>
      <c r="T118" s="106"/>
      <c r="U118" s="154"/>
      <c r="V118" s="81"/>
      <c r="W118" s="82"/>
      <c r="X118" s="81"/>
      <c r="Y118" s="81"/>
      <c r="Z118" s="81"/>
      <c r="AA118" s="81"/>
      <c r="AB118" s="12"/>
      <c r="AC118" s="13"/>
      <c r="AD118" s="13"/>
      <c r="AE118" s="102"/>
      <c r="AF118" s="110"/>
      <c r="AG118" s="139"/>
      <c r="AH118" s="109">
        <v>0.0</v>
      </c>
      <c r="AI118" s="109">
        <v>0.0</v>
      </c>
      <c r="AJ118" s="109">
        <v>0.0</v>
      </c>
      <c r="AK118" s="109">
        <v>0.0</v>
      </c>
      <c r="AL118" s="109"/>
      <c r="AM118" s="111" t="s">
        <v>1006</v>
      </c>
    </row>
    <row r="119" ht="21.0" customHeight="1">
      <c r="A119" s="163"/>
      <c r="B119" s="164"/>
      <c r="C119" s="42"/>
      <c r="D119" s="67" t="s">
        <v>451</v>
      </c>
      <c r="E119" s="74"/>
      <c r="F119" s="74"/>
      <c r="G119" s="68"/>
      <c r="H119" s="68"/>
      <c r="I119" s="68"/>
      <c r="J119" s="68"/>
      <c r="K119" s="68"/>
      <c r="L119" s="68"/>
      <c r="M119" s="115" t="str">
        <f>IFERROR(__xludf.DUMMYFUNCTION("QUERY(Hospitais_BD!D:I,""select E where D='""&amp;D119&amp;""'"",0)"),"CENTRO")</f>
        <v>CENTRO</v>
      </c>
      <c r="N119" s="75" t="str">
        <f>IFERROR(__xludf.DUMMYFUNCTION("QUERY(Hospitais_BD!D:I,""select F where D='""&amp;D119&amp;""'"")"),"Rio de Janeiro")</f>
        <v>Rio de Janeiro</v>
      </c>
      <c r="O119" s="116" t="str">
        <f>IFERROR(__xludf.DUMMYFUNCTION("QUERY(Hospitais_BD!D:I,""select G where D='""&amp;D119&amp;""'"")"),"Central do Brasil")</f>
        <v>Central do Brasil</v>
      </c>
      <c r="P119" s="74" t="s">
        <v>1021</v>
      </c>
      <c r="Q119" s="116" t="str">
        <f>IFERROR(__xludf.DUMMYFUNCTION("QUERY(Hospitais_BD!D:I,""select I where D='""&amp;D119&amp;""'"")"),"Público")</f>
        <v>Público</v>
      </c>
      <c r="R119" s="116" t="str">
        <f>IFERROR(__xludf.DUMMYFUNCTION("QUERY(Hospitais_BD!D:I,""select H where D='""&amp;D119&amp;""'"")"),"Unidade básica - BAIXA COMPLEXIDADE")</f>
        <v>Unidade básica - BAIXA COMPLEXIDADE</v>
      </c>
      <c r="S119" s="165"/>
      <c r="T119" s="117"/>
      <c r="U119" s="159"/>
      <c r="V119" s="74"/>
      <c r="W119" s="67"/>
      <c r="X119" s="74"/>
      <c r="Y119" s="74"/>
      <c r="Z119" s="74"/>
      <c r="AA119" s="74"/>
      <c r="AB119" s="22"/>
      <c r="AC119" s="23"/>
      <c r="AD119" s="23"/>
      <c r="AE119" s="75"/>
      <c r="AF119" s="121"/>
      <c r="AG119" s="134"/>
      <c r="AH119" s="123">
        <v>0.0</v>
      </c>
      <c r="AI119" s="123">
        <v>0.0</v>
      </c>
      <c r="AJ119" s="123">
        <v>0.0</v>
      </c>
      <c r="AK119" s="123">
        <v>0.0</v>
      </c>
      <c r="AL119" s="123"/>
      <c r="AM119" s="124" t="s">
        <v>1006</v>
      </c>
    </row>
    <row r="120" ht="21.0" customHeight="1">
      <c r="A120" s="166"/>
      <c r="B120" s="66"/>
      <c r="C120" s="59"/>
      <c r="D120" s="82" t="s">
        <v>674</v>
      </c>
      <c r="E120" s="81"/>
      <c r="F120" s="81"/>
      <c r="G120" s="65"/>
      <c r="H120" s="65"/>
      <c r="I120" s="65"/>
      <c r="J120" s="65"/>
      <c r="K120" s="65"/>
      <c r="L120" s="65"/>
      <c r="M120" s="104" t="str">
        <f>IFERROR(__xludf.DUMMYFUNCTION("QUERY(Hospitais_BD!D:I,""select E where D='""&amp;D120&amp;""'"",0)"),"ZONA OESTE")</f>
        <v>ZONA OESTE</v>
      </c>
      <c r="N120" s="102" t="str">
        <f>IFERROR(__xludf.DUMMYFUNCTION("QUERY(Hospitais_BD!D:I,""select F where D='""&amp;D120&amp;""'"")"),"RIO DE JANEIRO")</f>
        <v>RIO DE JANEIRO</v>
      </c>
      <c r="O120" s="105" t="str">
        <f>IFERROR(__xludf.DUMMYFUNCTION("QUERY(Hospitais_BD!D:I,""select G where D='""&amp;D120&amp;""'"")"),"CAMPO GRANDE")</f>
        <v>CAMPO GRANDE</v>
      </c>
      <c r="P120" s="81" t="s">
        <v>1022</v>
      </c>
      <c r="Q120" s="105" t="str">
        <f>IFERROR(__xludf.DUMMYFUNCTION("QUERY(Hospitais_BD!D:I,""select I where D='""&amp;D120&amp;""'"")"),"Público")</f>
        <v>Público</v>
      </c>
      <c r="R120" s="105" t="str">
        <f>IFERROR(__xludf.DUMMYFUNCTION("QUERY(Hospitais_BD!D:I,""select H where D='""&amp;D120&amp;""'"")"),"Unidade básica de saúde - BAIXA COMPLEXIDADE
")</f>
        <v>Unidade básica de saúde - BAIXA COMPLEXIDADE
</v>
      </c>
      <c r="S120" s="167"/>
      <c r="T120" s="106"/>
      <c r="U120" s="154"/>
      <c r="V120" s="81"/>
      <c r="W120" s="82"/>
      <c r="X120" s="81"/>
      <c r="Y120" s="81"/>
      <c r="Z120" s="81"/>
      <c r="AA120" s="81"/>
      <c r="AB120" s="81"/>
      <c r="AC120" s="109"/>
      <c r="AD120" s="109"/>
      <c r="AE120" s="102"/>
      <c r="AF120" s="110"/>
      <c r="AG120" s="139">
        <v>25.0</v>
      </c>
      <c r="AH120" s="109">
        <v>0.0</v>
      </c>
      <c r="AI120" s="109">
        <v>0.0</v>
      </c>
      <c r="AJ120" s="109">
        <v>25.0</v>
      </c>
      <c r="AK120" s="109">
        <v>0.0</v>
      </c>
      <c r="AL120" s="109"/>
      <c r="AM120" s="111" t="s">
        <v>1002</v>
      </c>
    </row>
    <row r="121" ht="21.0" customHeight="1">
      <c r="A121" s="163"/>
      <c r="B121" s="164"/>
      <c r="C121" s="42"/>
      <c r="D121" s="67" t="s">
        <v>676</v>
      </c>
      <c r="E121" s="74"/>
      <c r="F121" s="74"/>
      <c r="G121" s="68"/>
      <c r="H121" s="68"/>
      <c r="I121" s="68"/>
      <c r="J121" s="68"/>
      <c r="K121" s="68"/>
      <c r="L121" s="68"/>
      <c r="M121" s="115" t="str">
        <f>IFERROR(__xludf.DUMMYFUNCTION("QUERY(Hospitais_BD!D:I,""select E where D='""&amp;D121&amp;""'"",0)"),"BAIXADA FLUMINENSE")</f>
        <v>BAIXADA FLUMINENSE</v>
      </c>
      <c r="N121" s="75" t="str">
        <f>IFERROR(__xludf.DUMMYFUNCTION("QUERY(Hospitais_BD!D:I,""select F where D='""&amp;D121&amp;""'"")"),"Duque de caxias")</f>
        <v>Duque de caxias</v>
      </c>
      <c r="O121" s="116" t="str">
        <f>IFERROR(__xludf.DUMMYFUNCTION("QUERY(Hospitais_BD!D:I,""select G where D='""&amp;D121&amp;""'"")"),"Imbarie")</f>
        <v>Imbarie</v>
      </c>
      <c r="P121" s="74" t="s">
        <v>1023</v>
      </c>
      <c r="Q121" s="116" t="str">
        <f>IFERROR(__xludf.DUMMYFUNCTION("QUERY(Hospitais_BD!D:I,""select I where D='""&amp;D121&amp;""'"")"),"Público")</f>
        <v>Público</v>
      </c>
      <c r="R121" s="116" t="str">
        <f>IFERROR(__xludf.DUMMYFUNCTION("QUERY(Hospitais_BD!D:I,""select H where D='""&amp;D121&amp;""'"")"),"Centro especialidade  odontológica media complexidade 
")</f>
        <v>Centro especialidade  odontológica media complexidade 
</v>
      </c>
      <c r="S121" s="165"/>
      <c r="T121" s="117"/>
      <c r="U121" s="159"/>
      <c r="V121" s="74"/>
      <c r="W121" s="67"/>
      <c r="X121" s="74"/>
      <c r="Y121" s="74"/>
      <c r="Z121" s="74"/>
      <c r="AA121" s="74"/>
      <c r="AB121" s="22"/>
      <c r="AC121" s="23"/>
      <c r="AD121" s="23"/>
      <c r="AE121" s="75"/>
      <c r="AF121" s="121"/>
      <c r="AG121" s="134">
        <v>50.0</v>
      </c>
      <c r="AH121" s="123"/>
      <c r="AI121" s="123"/>
      <c r="AJ121" s="123"/>
      <c r="AK121" s="123">
        <v>0.0</v>
      </c>
      <c r="AL121" s="123"/>
      <c r="AM121" s="124" t="s">
        <v>1002</v>
      </c>
    </row>
    <row r="122" ht="21.0" customHeight="1">
      <c r="A122" s="166"/>
      <c r="B122" s="66"/>
      <c r="C122" s="59"/>
      <c r="D122" s="82" t="s">
        <v>672</v>
      </c>
      <c r="E122" s="81"/>
      <c r="F122" s="81"/>
      <c r="G122" s="65"/>
      <c r="H122" s="65"/>
      <c r="I122" s="65"/>
      <c r="J122" s="65"/>
      <c r="K122" s="65"/>
      <c r="L122" s="65"/>
      <c r="M122" s="104" t="str">
        <f>IFERROR(__xludf.DUMMYFUNCTION("QUERY(Hospitais_BD!D:I,""select E where D='""&amp;D122&amp;""'"",0)"),"BAIXADA FLUMINENSE")</f>
        <v>BAIXADA FLUMINENSE</v>
      </c>
      <c r="N122" s="102" t="str">
        <f>IFERROR(__xludf.DUMMYFUNCTION("QUERY(Hospitais_BD!D:I,""select F where D='""&amp;D122&amp;""'"")"),"Duque de Caxias")</f>
        <v>Duque de Caxias</v>
      </c>
      <c r="O122" s="105" t="str">
        <f>IFERROR(__xludf.DUMMYFUNCTION("QUERY(Hospitais_BD!D:I,""select G where D='""&amp;D122&amp;""'"")"),"Parque Felicidade/ Vila Operaria")</f>
        <v>Parque Felicidade/ Vila Operaria</v>
      </c>
      <c r="P122" s="81" t="s">
        <v>1024</v>
      </c>
      <c r="Q122" s="105" t="str">
        <f>IFERROR(__xludf.DUMMYFUNCTION("QUERY(Hospitais_BD!D:I,""select I where D='""&amp;D122&amp;""'"")"),"Público")</f>
        <v>Público</v>
      </c>
      <c r="R122" s="105" t="str">
        <f>IFERROR(__xludf.DUMMYFUNCTION("QUERY(Hospitais_BD!D:I,""select H where D='""&amp;D122&amp;""'"")"),"Unidade básica de saúde - BAIXA COMPLEXIDADE
")</f>
        <v>Unidade básica de saúde - BAIXA COMPLEXIDADE
</v>
      </c>
      <c r="S122" s="167"/>
      <c r="T122" s="106"/>
      <c r="U122" s="154"/>
      <c r="V122" s="81"/>
      <c r="W122" s="82"/>
      <c r="X122" s="81"/>
      <c r="Y122" s="81"/>
      <c r="Z122" s="81"/>
      <c r="AA122" s="81"/>
      <c r="AB122" s="12"/>
      <c r="AC122" s="13"/>
      <c r="AD122" s="13"/>
      <c r="AE122" s="102"/>
      <c r="AF122" s="110"/>
      <c r="AG122" s="139">
        <v>50.0</v>
      </c>
      <c r="AH122" s="109"/>
      <c r="AI122" s="109"/>
      <c r="AJ122" s="109"/>
      <c r="AK122" s="109">
        <v>0.0</v>
      </c>
      <c r="AL122" s="109"/>
      <c r="AM122" s="111" t="s">
        <v>1002</v>
      </c>
    </row>
    <row r="123" ht="21.0" customHeight="1">
      <c r="A123" s="163"/>
      <c r="B123" s="164"/>
      <c r="C123" s="42"/>
      <c r="D123" s="67" t="s">
        <v>676</v>
      </c>
      <c r="E123" s="74"/>
      <c r="F123" s="74"/>
      <c r="G123" s="68"/>
      <c r="H123" s="68"/>
      <c r="I123" s="68"/>
      <c r="J123" s="68"/>
      <c r="K123" s="68"/>
      <c r="L123" s="68"/>
      <c r="M123" s="115" t="str">
        <f>IFERROR(__xludf.DUMMYFUNCTION("QUERY(Hospitais_BD!D:I,""select E where D='""&amp;D123&amp;""'"",0)"),"BAIXADA FLUMINENSE")</f>
        <v>BAIXADA FLUMINENSE</v>
      </c>
      <c r="N123" s="75" t="str">
        <f>IFERROR(__xludf.DUMMYFUNCTION("QUERY(Hospitais_BD!D:I,""select F where D='""&amp;D123&amp;""'"")"),"Duque de caxias")</f>
        <v>Duque de caxias</v>
      </c>
      <c r="O123" s="116" t="str">
        <f>IFERROR(__xludf.DUMMYFUNCTION("QUERY(Hospitais_BD!D:I,""select G where D='""&amp;D123&amp;""'"")"),"Imbarie")</f>
        <v>Imbarie</v>
      </c>
      <c r="P123" s="74" t="s">
        <v>1025</v>
      </c>
      <c r="Q123" s="116" t="str">
        <f>IFERROR(__xludf.DUMMYFUNCTION("QUERY(Hospitais_BD!D:I,""select I where D='""&amp;D123&amp;""'"")"),"Público")</f>
        <v>Público</v>
      </c>
      <c r="R123" s="116" t="str">
        <f>IFERROR(__xludf.DUMMYFUNCTION("QUERY(Hospitais_BD!D:I,""select H where D='""&amp;D123&amp;""'"")"),"Centro especialidade  odontológica media complexidade 
")</f>
        <v>Centro especialidade  odontológica media complexidade 
</v>
      </c>
      <c r="S123" s="165"/>
      <c r="T123" s="117"/>
      <c r="U123" s="159"/>
      <c r="V123" s="74"/>
      <c r="W123" s="67"/>
      <c r="X123" s="74"/>
      <c r="Y123" s="74"/>
      <c r="Z123" s="74"/>
      <c r="AA123" s="74"/>
      <c r="AB123" s="22"/>
      <c r="AC123" s="23"/>
      <c r="AD123" s="23"/>
      <c r="AE123" s="75"/>
      <c r="AF123" s="121"/>
      <c r="AG123" s="134"/>
      <c r="AH123" s="123"/>
      <c r="AI123" s="123"/>
      <c r="AJ123" s="123"/>
      <c r="AK123" s="123">
        <v>0.0</v>
      </c>
      <c r="AL123" s="123"/>
      <c r="AM123" s="124" t="s">
        <v>1026</v>
      </c>
    </row>
    <row r="124" ht="21.0" customHeight="1">
      <c r="A124" s="166"/>
      <c r="B124" s="66"/>
      <c r="C124" s="59"/>
      <c r="D124" s="82" t="s">
        <v>680</v>
      </c>
      <c r="E124" s="81"/>
      <c r="F124" s="81"/>
      <c r="G124" s="65"/>
      <c r="H124" s="65"/>
      <c r="I124" s="65"/>
      <c r="J124" s="65"/>
      <c r="K124" s="65"/>
      <c r="L124" s="65"/>
      <c r="M124" s="104" t="str">
        <f>IFERROR(__xludf.DUMMYFUNCTION("QUERY(Hospitais_BD!D:I,""select E where D='""&amp;D124&amp;""'"",0)"),"REGIAO METROPOLITANA")</f>
        <v>REGIAO METROPOLITANA</v>
      </c>
      <c r="N124" s="102" t="str">
        <f>IFERROR(__xludf.DUMMYFUNCTION("QUERY(Hospitais_BD!D:I,""select F where D='""&amp;D124&amp;""'"")"),"SaO GONÇALO")</f>
        <v>SaO GONÇALO</v>
      </c>
      <c r="O124" s="105" t="str">
        <f>IFERROR(__xludf.DUMMYFUNCTION("QUERY(Hospitais_BD!D:I,""select G where D='""&amp;D124&amp;""'"")"),"PACHECO")</f>
        <v>PACHECO</v>
      </c>
      <c r="P124" s="81" t="s">
        <v>1027</v>
      </c>
      <c r="Q124" s="105" t="str">
        <f>IFERROR(__xludf.DUMMYFUNCTION("QUERY(Hospitais_BD!D:I,""select I where D='""&amp;D124&amp;""'"")"),"Público")</f>
        <v>Público</v>
      </c>
      <c r="R124" s="105" t="str">
        <f>IFERROR(__xludf.DUMMYFUNCTION("QUERY(Hospitais_BD!D:I,""select H where D='""&amp;D124&amp;""'"")"),"UNIDADE MNICIPAL DE PRONTO ATENDIMENTO 24H
")</f>
        <v>UNIDADE MNICIPAL DE PRONTO ATENDIMENTO 24H
</v>
      </c>
      <c r="S124" s="167"/>
      <c r="T124" s="106"/>
      <c r="U124" s="154"/>
      <c r="V124" s="81"/>
      <c r="W124" s="82"/>
      <c r="X124" s="81"/>
      <c r="Y124" s="81"/>
      <c r="Z124" s="81"/>
      <c r="AA124" s="81"/>
      <c r="AB124" s="12"/>
      <c r="AC124" s="13"/>
      <c r="AD124" s="13"/>
      <c r="AE124" s="102"/>
      <c r="AF124" s="110"/>
      <c r="AG124" s="139">
        <v>50.0</v>
      </c>
      <c r="AH124" s="109">
        <v>0.0</v>
      </c>
      <c r="AI124" s="109">
        <v>0.0</v>
      </c>
      <c r="AJ124" s="109">
        <v>50.0</v>
      </c>
      <c r="AK124" s="109">
        <v>0.0</v>
      </c>
      <c r="AL124" s="109"/>
      <c r="AM124" s="111" t="s">
        <v>1002</v>
      </c>
    </row>
    <row r="125" ht="21.0" customHeight="1">
      <c r="A125" s="163"/>
      <c r="B125" s="164"/>
      <c r="C125" s="42"/>
      <c r="D125" s="67" t="s">
        <v>685</v>
      </c>
      <c r="E125" s="74"/>
      <c r="F125" s="74"/>
      <c r="G125" s="68"/>
      <c r="H125" s="68"/>
      <c r="I125" s="68"/>
      <c r="J125" s="68"/>
      <c r="K125" s="68"/>
      <c r="L125" s="68"/>
      <c r="M125" s="115" t="str">
        <f>IFERROR(__xludf.DUMMYFUNCTION("QUERY(Hospitais_BD!D:I,""select E where D='""&amp;D125&amp;""'"",0)"),"ZONA NORTE")</f>
        <v>ZONA NORTE</v>
      </c>
      <c r="N125" s="75" t="str">
        <f>IFERROR(__xludf.DUMMYFUNCTION("QUERY(Hospitais_BD!D:I,""select F where D='""&amp;D125&amp;""'"")"),"rio de janeiro")</f>
        <v>rio de janeiro</v>
      </c>
      <c r="O125" s="116" t="str">
        <f>IFERROR(__xludf.DUMMYFUNCTION("QUERY(Hospitais_BD!D:I,""select G where D='""&amp;D125&amp;""'"")"),"Penha Circular")</f>
        <v>Penha Circular</v>
      </c>
      <c r="P125" s="74" t="s">
        <v>1028</v>
      </c>
      <c r="Q125" s="116" t="str">
        <f>IFERROR(__xludf.DUMMYFUNCTION("QUERY(Hospitais_BD!D:I,""select I where D='""&amp;D125&amp;""'"")"),"Público")</f>
        <v>Público</v>
      </c>
      <c r="R125" s="116" t="str">
        <f>IFERROR(__xludf.DUMMYFUNCTION("QUERY(Hospitais_BD!D:I,""select H where D='""&amp;D125&amp;""'"")"),"Unidade básica de saúde - BAIXA COMPLEXIDADE
")</f>
        <v>Unidade básica de saúde - BAIXA COMPLEXIDADE
</v>
      </c>
      <c r="S125" s="165"/>
      <c r="T125" s="117"/>
      <c r="U125" s="159"/>
      <c r="V125" s="74"/>
      <c r="W125" s="67"/>
      <c r="X125" s="74"/>
      <c r="Y125" s="74"/>
      <c r="Z125" s="74"/>
      <c r="AA125" s="74"/>
      <c r="AB125" s="22"/>
      <c r="AC125" s="23"/>
      <c r="AD125" s="23"/>
      <c r="AE125" s="75"/>
      <c r="AF125" s="121"/>
      <c r="AG125" s="134">
        <v>25.0</v>
      </c>
      <c r="AH125" s="123">
        <v>0.0</v>
      </c>
      <c r="AI125" s="123">
        <v>0.0</v>
      </c>
      <c r="AJ125" s="123">
        <v>0.0</v>
      </c>
      <c r="AK125" s="123">
        <v>0.0</v>
      </c>
      <c r="AL125" s="123"/>
      <c r="AM125" s="124" t="s">
        <v>1002</v>
      </c>
    </row>
    <row r="126" ht="21.0" customHeight="1">
      <c r="A126" s="166"/>
      <c r="B126" s="66"/>
      <c r="C126" s="59"/>
      <c r="D126" s="82" t="s">
        <v>698</v>
      </c>
      <c r="E126" s="81"/>
      <c r="F126" s="81"/>
      <c r="G126" s="65"/>
      <c r="H126" s="65"/>
      <c r="I126" s="65"/>
      <c r="J126" s="65"/>
      <c r="K126" s="65"/>
      <c r="L126" s="65"/>
      <c r="M126" s="104" t="str">
        <f>IFERROR(__xludf.DUMMYFUNCTION("QUERY(Hospitais_BD!D:I,""select E where D='""&amp;D126&amp;""'"",0)"),"BAIXADA FLUMINENSE")</f>
        <v>BAIXADA FLUMINENSE</v>
      </c>
      <c r="N126" s="102" t="str">
        <f>IFERROR(__xludf.DUMMYFUNCTION("QUERY(Hospitais_BD!D:I,""select F where D='""&amp;D126&amp;""'"")"),"Duque de Caxias")</f>
        <v>Duque de Caxias</v>
      </c>
      <c r="O126" s="105" t="str">
        <f>IFERROR(__xludf.DUMMYFUNCTION("QUERY(Hospitais_BD!D:I,""select G where D='""&amp;D126&amp;""'"")"),"Sarapui")</f>
        <v>Sarapui</v>
      </c>
      <c r="P126" s="81" t="s">
        <v>1029</v>
      </c>
      <c r="Q126" s="105" t="str">
        <f>IFERROR(__xludf.DUMMYFUNCTION("QUERY(Hospitais_BD!D:I,""select I where D='""&amp;D126&amp;""'"")"),"Público")</f>
        <v>Público</v>
      </c>
      <c r="R126" s="105" t="str">
        <f>IFERROR(__xludf.DUMMYFUNCTION("QUERY(Hospitais_BD!D:I,""select H where D='""&amp;D126&amp;""'"")"),"Unidade básica de saúde - BAIXA COMPLEXIDADE
")</f>
        <v>Unidade básica de saúde - BAIXA COMPLEXIDADE
</v>
      </c>
      <c r="S126" s="167"/>
      <c r="T126" s="106"/>
      <c r="U126" s="154"/>
      <c r="V126" s="81"/>
      <c r="W126" s="82"/>
      <c r="X126" s="81"/>
      <c r="Y126" s="81"/>
      <c r="Z126" s="81"/>
      <c r="AA126" s="81"/>
      <c r="AB126" s="12"/>
      <c r="AC126" s="13"/>
      <c r="AD126" s="13"/>
      <c r="AE126" s="102"/>
      <c r="AF126" s="110"/>
      <c r="AG126" s="139"/>
      <c r="AH126" s="109"/>
      <c r="AI126" s="109"/>
      <c r="AJ126" s="109"/>
      <c r="AK126" s="109">
        <v>0.0</v>
      </c>
      <c r="AL126" s="109"/>
      <c r="AM126" s="111" t="s">
        <v>1026</v>
      </c>
    </row>
    <row r="127" ht="21.0" customHeight="1">
      <c r="A127" s="163"/>
      <c r="B127" s="164"/>
      <c r="C127" s="42"/>
      <c r="D127" s="67" t="s">
        <v>700</v>
      </c>
      <c r="E127" s="74"/>
      <c r="F127" s="74"/>
      <c r="G127" s="68"/>
      <c r="H127" s="68"/>
      <c r="I127" s="68"/>
      <c r="J127" s="68"/>
      <c r="K127" s="68"/>
      <c r="L127" s="68"/>
      <c r="M127" s="115" t="str">
        <f>IFERROR(__xludf.DUMMYFUNCTION("QUERY(Hospitais_BD!D:I,""select E where D='""&amp;D127&amp;""'"",0)"),"BAIXADA FLUMINENSE")</f>
        <v>BAIXADA FLUMINENSE</v>
      </c>
      <c r="N127" s="75" t="str">
        <f>IFERROR(__xludf.DUMMYFUNCTION("QUERY(Hospitais_BD!D:I,""select F where D='""&amp;D127&amp;""'"")"),"Duque de Caxias")</f>
        <v>Duque de Caxias</v>
      </c>
      <c r="O127" s="116" t="str">
        <f>IFERROR(__xludf.DUMMYFUNCTION("QUERY(Hospitais_BD!D:I,""select G where D='""&amp;D127&amp;""'"")"),"Vila Sao Luiz")</f>
        <v>Vila Sao Luiz</v>
      </c>
      <c r="P127" s="74" t="s">
        <v>1030</v>
      </c>
      <c r="Q127" s="116" t="str">
        <f>IFERROR(__xludf.DUMMYFUNCTION("QUERY(Hospitais_BD!D:I,""select I where D='""&amp;D127&amp;""'"")"),"Público")</f>
        <v>Público</v>
      </c>
      <c r="R127" s="116" t="str">
        <f>IFERROR(__xludf.DUMMYFUNCTION("QUERY(Hospitais_BD!D:I,""select H where D='""&amp;D127&amp;""'"")"),"Unidade básica de saúde - BAIXA COMPLEXIDADE
")</f>
        <v>Unidade básica de saúde - BAIXA COMPLEXIDADE
</v>
      </c>
      <c r="S127" s="165"/>
      <c r="T127" s="117"/>
      <c r="U127" s="159"/>
      <c r="V127" s="74"/>
      <c r="W127" s="67"/>
      <c r="X127" s="74"/>
      <c r="Y127" s="74"/>
      <c r="Z127" s="74"/>
      <c r="AA127" s="74"/>
      <c r="AB127" s="22"/>
      <c r="AC127" s="23"/>
      <c r="AD127" s="23"/>
      <c r="AE127" s="75"/>
      <c r="AF127" s="121"/>
      <c r="AG127" s="134"/>
      <c r="AH127" s="123"/>
      <c r="AI127" s="123"/>
      <c r="AJ127" s="123"/>
      <c r="AK127" s="123">
        <v>0.0</v>
      </c>
      <c r="AL127" s="123"/>
      <c r="AM127" s="124" t="s">
        <v>1026</v>
      </c>
    </row>
    <row r="128" ht="21.0" customHeight="1">
      <c r="A128" s="166"/>
      <c r="B128" s="66"/>
      <c r="C128" s="59"/>
      <c r="D128" s="82" t="s">
        <v>702</v>
      </c>
      <c r="E128" s="81"/>
      <c r="F128" s="81"/>
      <c r="G128" s="65"/>
      <c r="H128" s="65"/>
      <c r="I128" s="65"/>
      <c r="J128" s="65"/>
      <c r="K128" s="65"/>
      <c r="L128" s="65"/>
      <c r="M128" s="104" t="str">
        <f>IFERROR(__xludf.DUMMYFUNCTION("QUERY(Hospitais_BD!D:I,""select E where D='""&amp;D128&amp;""'"",0)"),"BAIXADA FLUMINENSE")</f>
        <v>BAIXADA FLUMINENSE</v>
      </c>
      <c r="N128" s="102" t="str">
        <f>IFERROR(__xludf.DUMMYFUNCTION("QUERY(Hospitais_BD!D:I,""select F where D='""&amp;D128&amp;""'"")"),"Duque de Caxias")</f>
        <v>Duque de Caxias</v>
      </c>
      <c r="O128" s="105" t="str">
        <f>IFERROR(__xludf.DUMMYFUNCTION("QUERY(Hospitais_BD!D:I,""select G where D='""&amp;D128&amp;""'"")"),"Pilar")</f>
        <v>Pilar</v>
      </c>
      <c r="P128" s="81" t="s">
        <v>1031</v>
      </c>
      <c r="Q128" s="105" t="str">
        <f>IFERROR(__xludf.DUMMYFUNCTION("QUERY(Hospitais_BD!D:I,""select I where D='""&amp;D128&amp;""'"")"),"Público")</f>
        <v>Público</v>
      </c>
      <c r="R128" s="105" t="str">
        <f>IFERROR(__xludf.DUMMYFUNCTION("QUERY(Hospitais_BD!D:I,""select H where D='""&amp;D128&amp;""'"")"),"Unidade básica de saúde - BAIXA COMPLEXIDADE
")</f>
        <v>Unidade básica de saúde - BAIXA COMPLEXIDADE
</v>
      </c>
      <c r="S128" s="167"/>
      <c r="T128" s="106"/>
      <c r="U128" s="154"/>
      <c r="V128" s="81"/>
      <c r="W128" s="82"/>
      <c r="X128" s="81"/>
      <c r="Y128" s="81"/>
      <c r="Z128" s="81"/>
      <c r="AA128" s="81"/>
      <c r="AB128" s="12"/>
      <c r="AC128" s="13"/>
      <c r="AD128" s="13"/>
      <c r="AE128" s="102"/>
      <c r="AF128" s="110"/>
      <c r="AG128" s="139"/>
      <c r="AH128" s="109"/>
      <c r="AI128" s="109"/>
      <c r="AJ128" s="109"/>
      <c r="AK128" s="109">
        <v>0.0</v>
      </c>
      <c r="AL128" s="109"/>
      <c r="AM128" s="111" t="s">
        <v>1026</v>
      </c>
    </row>
    <row r="129" ht="21.0" customHeight="1">
      <c r="A129" s="163"/>
      <c r="B129" s="164"/>
      <c r="C129" s="42"/>
      <c r="D129" s="67" t="s">
        <v>703</v>
      </c>
      <c r="E129" s="74"/>
      <c r="F129" s="74"/>
      <c r="G129" s="68"/>
      <c r="H129" s="68"/>
      <c r="I129" s="68"/>
      <c r="J129" s="68"/>
      <c r="K129" s="68"/>
      <c r="L129" s="68"/>
      <c r="M129" s="115" t="str">
        <f>IFERROR(__xludf.DUMMYFUNCTION("QUERY(Hospitais_BD!D:I,""select E where D='""&amp;D129&amp;""'"",0)"),"BAIXADA FLUMINENSE")</f>
        <v>BAIXADA FLUMINENSE</v>
      </c>
      <c r="N129" s="75" t="str">
        <f>IFERROR(__xludf.DUMMYFUNCTION("QUERY(Hospitais_BD!D:I,""select F where D='""&amp;D129&amp;""'"")"),"Duque de Caxias")</f>
        <v>Duque de Caxias</v>
      </c>
      <c r="O129" s="116" t="str">
        <f>IFERROR(__xludf.DUMMYFUNCTION("QUERY(Hospitais_BD!D:I,""select G where D='""&amp;D129&amp;""'"")"),"Pilar")</f>
        <v>Pilar</v>
      </c>
      <c r="P129" s="74" t="s">
        <v>1032</v>
      </c>
      <c r="Q129" s="116" t="str">
        <f>IFERROR(__xludf.DUMMYFUNCTION("QUERY(Hospitais_BD!D:I,""select I where D='""&amp;D129&amp;""'"")"),"Público")</f>
        <v>Público</v>
      </c>
      <c r="R129" s="116" t="str">
        <f>IFERROR(__xludf.DUMMYFUNCTION("QUERY(Hospitais_BD!D:I,""select H where D='""&amp;D129&amp;""'"")"),"Unidade básica de saúde - BAIXA COMPLEXIDADE
")</f>
        <v>Unidade básica de saúde - BAIXA COMPLEXIDADE
</v>
      </c>
      <c r="S129" s="165"/>
      <c r="T129" s="117"/>
      <c r="U129" s="159"/>
      <c r="V129" s="74"/>
      <c r="W129" s="67"/>
      <c r="X129" s="74"/>
      <c r="Y129" s="74"/>
      <c r="Z129" s="74"/>
      <c r="AA129" s="74"/>
      <c r="AB129" s="22"/>
      <c r="AC129" s="23"/>
      <c r="AD129" s="23"/>
      <c r="AE129" s="75"/>
      <c r="AF129" s="121"/>
      <c r="AG129" s="134"/>
      <c r="AH129" s="123"/>
      <c r="AI129" s="123"/>
      <c r="AJ129" s="123"/>
      <c r="AK129" s="123">
        <v>0.0</v>
      </c>
      <c r="AL129" s="123"/>
      <c r="AM129" s="124" t="s">
        <v>1026</v>
      </c>
    </row>
    <row r="130" ht="21.0" customHeight="1">
      <c r="A130" s="166"/>
      <c r="B130" s="66"/>
      <c r="C130" s="59"/>
      <c r="D130" s="82" t="s">
        <v>704</v>
      </c>
      <c r="E130" s="81"/>
      <c r="F130" s="81"/>
      <c r="G130" s="65"/>
      <c r="H130" s="65"/>
      <c r="I130" s="65"/>
      <c r="J130" s="65"/>
      <c r="K130" s="65"/>
      <c r="L130" s="65"/>
      <c r="M130" s="104" t="str">
        <f>IFERROR(__xludf.DUMMYFUNCTION("QUERY(Hospitais_BD!D:I,""select E where D='""&amp;D130&amp;""'"",0)"),"BAIXADA FLUMINENSE")</f>
        <v>BAIXADA FLUMINENSE</v>
      </c>
      <c r="N130" s="102" t="str">
        <f>IFERROR(__xludf.DUMMYFUNCTION("QUERY(Hospitais_BD!D:I,""select F where D='""&amp;D130&amp;""'"")"),"Duque de Caxias")</f>
        <v>Duque de Caxias</v>
      </c>
      <c r="O130" s="105" t="str">
        <f>IFERROR(__xludf.DUMMYFUNCTION("QUERY(Hospitais_BD!D:I,""select G where D='""&amp;D130&amp;""'"")"),"Jardim Primavera")</f>
        <v>Jardim Primavera</v>
      </c>
      <c r="P130" s="81" t="s">
        <v>1033</v>
      </c>
      <c r="Q130" s="105" t="str">
        <f>IFERROR(__xludf.DUMMYFUNCTION("QUERY(Hospitais_BD!D:I,""select I where D='""&amp;D130&amp;""'"")"),"Público")</f>
        <v>Público</v>
      </c>
      <c r="R130" s="105" t="str">
        <f>IFERROR(__xludf.DUMMYFUNCTION("QUERY(Hospitais_BD!D:I,""select H where D='""&amp;D130&amp;""'"")"),"Unidade básica de saúde - BAIXA COMPLEXIDADE
")</f>
        <v>Unidade básica de saúde - BAIXA COMPLEXIDADE
</v>
      </c>
      <c r="S130" s="167"/>
      <c r="T130" s="106"/>
      <c r="U130" s="154"/>
      <c r="V130" s="81"/>
      <c r="W130" s="82"/>
      <c r="X130" s="81"/>
      <c r="Y130" s="81"/>
      <c r="Z130" s="81"/>
      <c r="AA130" s="81"/>
      <c r="AB130" s="12"/>
      <c r="AC130" s="13"/>
      <c r="AD130" s="13"/>
      <c r="AE130" s="102"/>
      <c r="AF130" s="110"/>
      <c r="AG130" s="139"/>
      <c r="AH130" s="109"/>
      <c r="AI130" s="109"/>
      <c r="AJ130" s="109"/>
      <c r="AK130" s="109">
        <v>0.0</v>
      </c>
      <c r="AL130" s="109"/>
      <c r="AM130" s="111" t="s">
        <v>1026</v>
      </c>
    </row>
    <row r="131" ht="21.0" customHeight="1">
      <c r="A131" s="163"/>
      <c r="B131" s="164"/>
      <c r="C131" s="42"/>
      <c r="D131" s="67" t="s">
        <v>294</v>
      </c>
      <c r="E131" s="74"/>
      <c r="F131" s="74"/>
      <c r="G131" s="68"/>
      <c r="H131" s="68"/>
      <c r="I131" s="68"/>
      <c r="J131" s="68"/>
      <c r="K131" s="68"/>
      <c r="L131" s="68"/>
      <c r="M131" s="115" t="str">
        <f>IFERROR(__xludf.DUMMYFUNCTION("QUERY(Hospitais_BD!D:I,""select E where D='""&amp;D131&amp;""'"",0)"),"ZONA NORTE")</f>
        <v>ZONA NORTE</v>
      </c>
      <c r="N131" s="75" t="str">
        <f>IFERROR(__xludf.DUMMYFUNCTION("QUERY(Hospitais_BD!D:I,""select F where D='""&amp;D131&amp;""'"")"),"Rio de Janeiro")</f>
        <v>Rio de Janeiro</v>
      </c>
      <c r="O131" s="116" t="str">
        <f>IFERROR(__xludf.DUMMYFUNCTION("QUERY(Hospitais_BD!D:I,""select G where D='""&amp;D131&amp;""'"")"),"Penha")</f>
        <v>Penha</v>
      </c>
      <c r="P131" s="74" t="s">
        <v>1034</v>
      </c>
      <c r="Q131" s="116" t="str">
        <f>IFERROR(__xludf.DUMMYFUNCTION("QUERY(Hospitais_BD!D:I,""select I where D='""&amp;D131&amp;""'"")"),"Público")</f>
        <v>Público</v>
      </c>
      <c r="R131" s="116" t="str">
        <f>IFERROR(__xludf.DUMMYFUNCTION("QUERY(Hospitais_BD!D:I,""select H where D='""&amp;D131&amp;""'"")"),"Unidade básica - BAIXA COMPLEXIDADE")</f>
        <v>Unidade básica - BAIXA COMPLEXIDADE</v>
      </c>
      <c r="S131" s="165"/>
      <c r="T131" s="117"/>
      <c r="U131" s="159"/>
      <c r="V131" s="74"/>
      <c r="W131" s="67"/>
      <c r="X131" s="74"/>
      <c r="Y131" s="74"/>
      <c r="Z131" s="74"/>
      <c r="AA131" s="74"/>
      <c r="AB131" s="22"/>
      <c r="AC131" s="23"/>
      <c r="AD131" s="23"/>
      <c r="AE131" s="75"/>
      <c r="AF131" s="121"/>
      <c r="AG131" s="134"/>
      <c r="AH131" s="123"/>
      <c r="AI131" s="123"/>
      <c r="AJ131" s="123"/>
      <c r="AK131" s="123">
        <v>0.0</v>
      </c>
      <c r="AL131" s="123"/>
      <c r="AM131" s="124" t="s">
        <v>1026</v>
      </c>
    </row>
    <row r="132" ht="21.0" customHeight="1">
      <c r="A132" s="166"/>
      <c r="B132" s="66"/>
      <c r="C132" s="59"/>
      <c r="D132" s="82" t="s">
        <v>705</v>
      </c>
      <c r="E132" s="81"/>
      <c r="F132" s="81"/>
      <c r="G132" s="65"/>
      <c r="H132" s="65"/>
      <c r="I132" s="65"/>
      <c r="J132" s="65"/>
      <c r="K132" s="65"/>
      <c r="L132" s="65"/>
      <c r="M132" s="104" t="str">
        <f>IFERROR(__xludf.DUMMYFUNCTION("QUERY(Hospitais_BD!D:I,""select E where D='""&amp;D132&amp;""'"",0)"),"BAIXADA FLUMINENSE")</f>
        <v>BAIXADA FLUMINENSE</v>
      </c>
      <c r="N132" s="102" t="str">
        <f>IFERROR(__xludf.DUMMYFUNCTION("QUERY(Hospitais_BD!D:I,""select F where D='""&amp;D132&amp;""'"")"),"Duque de Caxias")</f>
        <v>Duque de Caxias</v>
      </c>
      <c r="O132" s="105" t="str">
        <f>IFERROR(__xludf.DUMMYFUNCTION("QUERY(Hospitais_BD!D:I,""select G where D='""&amp;D132&amp;""'"")"),"Sao Bento")</f>
        <v>Sao Bento</v>
      </c>
      <c r="P132" s="81" t="s">
        <v>1035</v>
      </c>
      <c r="Q132" s="105" t="str">
        <f>IFERROR(__xludf.DUMMYFUNCTION("QUERY(Hospitais_BD!D:I,""select I where D='""&amp;D132&amp;""'"")"),"Público")</f>
        <v>Público</v>
      </c>
      <c r="R132" s="105" t="str">
        <f>IFERROR(__xludf.DUMMYFUNCTION("QUERY(Hospitais_BD!D:I,""select H where D='""&amp;D132&amp;""'"")"),"Unidade básica de saúde - BAIXA COMPLEXIDADE
")</f>
        <v>Unidade básica de saúde - BAIXA COMPLEXIDADE
</v>
      </c>
      <c r="S132" s="167"/>
      <c r="T132" s="106"/>
      <c r="U132" s="154"/>
      <c r="V132" s="81"/>
      <c r="W132" s="82"/>
      <c r="X132" s="81"/>
      <c r="Y132" s="81"/>
      <c r="Z132" s="81"/>
      <c r="AA132" s="81"/>
      <c r="AB132" s="12"/>
      <c r="AC132" s="13"/>
      <c r="AD132" s="13"/>
      <c r="AE132" s="102"/>
      <c r="AF132" s="110"/>
      <c r="AG132" s="139">
        <v>0.0</v>
      </c>
      <c r="AH132" s="109">
        <v>0.0</v>
      </c>
      <c r="AI132" s="109">
        <v>0.0</v>
      </c>
      <c r="AJ132" s="109">
        <v>25.0</v>
      </c>
      <c r="AK132" s="109">
        <v>0.0</v>
      </c>
      <c r="AL132" s="109"/>
      <c r="AM132" s="111" t="s">
        <v>1002</v>
      </c>
    </row>
    <row r="133" ht="21.0" customHeight="1">
      <c r="A133" s="163"/>
      <c r="B133" s="164"/>
      <c r="C133" s="42"/>
      <c r="D133" s="67" t="s">
        <v>708</v>
      </c>
      <c r="E133" s="74"/>
      <c r="F133" s="74"/>
      <c r="G133" s="68"/>
      <c r="H133" s="68"/>
      <c r="I133" s="68"/>
      <c r="J133" s="68"/>
      <c r="K133" s="68"/>
      <c r="L133" s="68"/>
      <c r="M133" s="115" t="str">
        <f>IFERROR(__xludf.DUMMYFUNCTION("QUERY(Hospitais_BD!D:I,""select E where D='""&amp;D133&amp;""'"",0)"),"ZONA OESTE")</f>
        <v>ZONA OESTE</v>
      </c>
      <c r="N133" s="75" t="str">
        <f>IFERROR(__xludf.DUMMYFUNCTION("QUERY(Hospitais_BD!D:I,""select F where D='""&amp;D133&amp;""'"")"),"RIO DE JANEIRO")</f>
        <v>RIO DE JANEIRO</v>
      </c>
      <c r="O133" s="116" t="str">
        <f>IFERROR(__xludf.DUMMYFUNCTION("QUERY(Hospitais_BD!D:I,""select G where D='""&amp;D133&amp;""'"")"),"CIDADE DE DEUS")</f>
        <v>CIDADE DE DEUS</v>
      </c>
      <c r="P133" s="74" t="s">
        <v>1036</v>
      </c>
      <c r="Q133" s="116" t="str">
        <f>IFERROR(__xludf.DUMMYFUNCTION("QUERY(Hospitais_BD!D:I,""select I where D='""&amp;D133&amp;""'"")"),"Público")</f>
        <v>Público</v>
      </c>
      <c r="R133" s="116" t="str">
        <f>IFERROR(__xludf.DUMMYFUNCTION("QUERY(Hospitais_BD!D:I,""select H where D='""&amp;D133&amp;""'"")"),"UPA - UNIDADE DE PRONTO ATENDIMENTO - MEDIA COMPLEXIDADE
")</f>
        <v>UPA - UNIDADE DE PRONTO ATENDIMENTO - MEDIA COMPLEXIDADE
</v>
      </c>
      <c r="S133" s="165"/>
      <c r="T133" s="117"/>
      <c r="U133" s="159"/>
      <c r="V133" s="74"/>
      <c r="W133" s="67"/>
      <c r="X133" s="74"/>
      <c r="Y133" s="74"/>
      <c r="Z133" s="74"/>
      <c r="AA133" s="74"/>
      <c r="AB133" s="22"/>
      <c r="AC133" s="23"/>
      <c r="AD133" s="23"/>
      <c r="AE133" s="75"/>
      <c r="AF133" s="121"/>
      <c r="AG133" s="134">
        <v>50.0</v>
      </c>
      <c r="AH133" s="123">
        <v>0.0</v>
      </c>
      <c r="AI133" s="123">
        <v>0.0</v>
      </c>
      <c r="AJ133" s="123">
        <v>25.0</v>
      </c>
      <c r="AK133" s="123">
        <v>0.0</v>
      </c>
      <c r="AL133" s="123"/>
      <c r="AM133" s="124" t="s">
        <v>1002</v>
      </c>
    </row>
    <row r="134" ht="21.0" customHeight="1">
      <c r="A134" s="166"/>
      <c r="B134" s="66"/>
      <c r="C134" s="59"/>
      <c r="D134" s="82" t="s">
        <v>706</v>
      </c>
      <c r="E134" s="81"/>
      <c r="F134" s="81"/>
      <c r="G134" s="65"/>
      <c r="H134" s="65"/>
      <c r="I134" s="65"/>
      <c r="J134" s="65"/>
      <c r="K134" s="65"/>
      <c r="L134" s="65"/>
      <c r="M134" s="104" t="str">
        <f>IFERROR(__xludf.DUMMYFUNCTION("QUERY(Hospitais_BD!D:I,""select E where D='""&amp;D134&amp;""'"",0)"),"BAIXADA FLUMINENSE")</f>
        <v>BAIXADA FLUMINENSE</v>
      </c>
      <c r="N134" s="102" t="str">
        <f>IFERROR(__xludf.DUMMYFUNCTION("QUERY(Hospitais_BD!D:I,""select F where D='""&amp;D134&amp;""'"")"),"Duque de Caxias")</f>
        <v>Duque de Caxias</v>
      </c>
      <c r="O134" s="105" t="str">
        <f>IFERROR(__xludf.DUMMYFUNCTION("QUERY(Hospitais_BD!D:I,""select G where D='""&amp;D134&amp;""'"")"),"Jardim Vila Nova")</f>
        <v>Jardim Vila Nova</v>
      </c>
      <c r="P134" s="81" t="s">
        <v>1037</v>
      </c>
      <c r="Q134" s="105" t="str">
        <f>IFERROR(__xludf.DUMMYFUNCTION("QUERY(Hospitais_BD!D:I,""select I where D='""&amp;D134&amp;""'"")"),"Público")</f>
        <v>Público</v>
      </c>
      <c r="R134" s="105" t="str">
        <f>IFERROR(__xludf.DUMMYFUNCTION("QUERY(Hospitais_BD!D:I,""select H where D='""&amp;D134&amp;""'"")"),"Unidade básica de saúde - BAIXA COMPLEXIDADE
")</f>
        <v>Unidade básica de saúde - BAIXA COMPLEXIDADE
</v>
      </c>
      <c r="S134" s="167"/>
      <c r="T134" s="106"/>
      <c r="U134" s="154"/>
      <c r="V134" s="81"/>
      <c r="W134" s="82"/>
      <c r="X134" s="81"/>
      <c r="Y134" s="81"/>
      <c r="Z134" s="81"/>
      <c r="AA134" s="81"/>
      <c r="AB134" s="12"/>
      <c r="AC134" s="13"/>
      <c r="AD134" s="13"/>
      <c r="AE134" s="102"/>
      <c r="AF134" s="110"/>
      <c r="AG134" s="139">
        <v>25.0</v>
      </c>
      <c r="AH134" s="109">
        <v>0.0</v>
      </c>
      <c r="AI134" s="109">
        <v>0.0</v>
      </c>
      <c r="AJ134" s="109">
        <v>0.0</v>
      </c>
      <c r="AK134" s="109">
        <v>0.0</v>
      </c>
      <c r="AL134" s="109"/>
      <c r="AM134" s="111" t="s">
        <v>1002</v>
      </c>
    </row>
    <row r="135" ht="21.0" customHeight="1">
      <c r="A135" s="163"/>
      <c r="B135" s="164"/>
      <c r="C135" s="42"/>
      <c r="D135" s="67" t="s">
        <v>711</v>
      </c>
      <c r="E135" s="74"/>
      <c r="F135" s="74"/>
      <c r="G135" s="68"/>
      <c r="H135" s="68"/>
      <c r="I135" s="68"/>
      <c r="J135" s="68"/>
      <c r="K135" s="68"/>
      <c r="L135" s="68"/>
      <c r="M135" s="115" t="str">
        <f>IFERROR(__xludf.DUMMYFUNCTION("QUERY(Hospitais_BD!D:I,""select E where D='""&amp;D135&amp;""'"",0)"),"BAIXADA FLUMINENSE")</f>
        <v>BAIXADA FLUMINENSE</v>
      </c>
      <c r="N135" s="75" t="str">
        <f>IFERROR(__xludf.DUMMYFUNCTION("QUERY(Hospitais_BD!D:I,""select F where D='""&amp;D135&amp;""'"")"),"Duque de Caxias")</f>
        <v>Duque de Caxias</v>
      </c>
      <c r="O135" s="116" t="str">
        <f>IFERROR(__xludf.DUMMYFUNCTION("QUERY(Hospitais_BD!D:I,""select G where D='""&amp;D135&amp;""'"")"),"Nova Campinas")</f>
        <v>Nova Campinas</v>
      </c>
      <c r="P135" s="74" t="s">
        <v>1038</v>
      </c>
      <c r="Q135" s="116" t="str">
        <f>IFERROR(__xludf.DUMMYFUNCTION("QUERY(Hospitais_BD!D:I,""select I where D='""&amp;D135&amp;""'"")"),"Público")</f>
        <v>Público</v>
      </c>
      <c r="R135" s="116" t="str">
        <f>IFERROR(__xludf.DUMMYFUNCTION("QUERY(Hospitais_BD!D:I,""select H where D='""&amp;D135&amp;""'"")"),"Unidade básica de saúde - BAIXA COMPLEXIDADE
")</f>
        <v>Unidade básica de saúde - BAIXA COMPLEXIDADE
</v>
      </c>
      <c r="S135" s="165"/>
      <c r="T135" s="117"/>
      <c r="U135" s="159"/>
      <c r="V135" s="74"/>
      <c r="W135" s="67"/>
      <c r="X135" s="74"/>
      <c r="Y135" s="74"/>
      <c r="Z135" s="74"/>
      <c r="AA135" s="74"/>
      <c r="AB135" s="74"/>
      <c r="AC135" s="74"/>
      <c r="AD135" s="74"/>
      <c r="AE135" s="75"/>
      <c r="AF135" s="121"/>
      <c r="AG135" s="168">
        <v>25.0</v>
      </c>
      <c r="AH135" s="123">
        <v>0.0</v>
      </c>
      <c r="AI135" s="123">
        <v>0.0</v>
      </c>
      <c r="AJ135" s="123">
        <v>0.0</v>
      </c>
      <c r="AK135" s="123">
        <v>0.0</v>
      </c>
      <c r="AL135" s="123"/>
      <c r="AM135" s="124" t="s">
        <v>1002</v>
      </c>
    </row>
    <row r="136" ht="21.0" customHeight="1">
      <c r="A136" s="166"/>
      <c r="B136" s="66"/>
      <c r="C136" s="59"/>
      <c r="D136" s="82" t="s">
        <v>713</v>
      </c>
      <c r="E136" s="81"/>
      <c r="F136" s="81"/>
      <c r="G136" s="65"/>
      <c r="H136" s="65"/>
      <c r="I136" s="65"/>
      <c r="J136" s="65"/>
      <c r="K136" s="65"/>
      <c r="L136" s="65"/>
      <c r="M136" s="104" t="str">
        <f>IFERROR(__xludf.DUMMYFUNCTION("QUERY(Hospitais_BD!D:I,""select E where D='""&amp;D136&amp;""'"",0)"),"BAIXADA FLUMINENSE")</f>
        <v>BAIXADA FLUMINENSE</v>
      </c>
      <c r="N136" s="102" t="str">
        <f>IFERROR(__xludf.DUMMYFUNCTION("QUERY(Hospitais_BD!D:I,""select F where D='""&amp;D136&amp;""'"")"),"Duque de Caxias")</f>
        <v>Duque de Caxias</v>
      </c>
      <c r="O136" s="105" t="str">
        <f>IFERROR(__xludf.DUMMYFUNCTION("QUERY(Hospitais_BD!D:I,""select G where D='""&amp;D136&amp;""'"")"),"Parada Angelica")</f>
        <v>Parada Angelica</v>
      </c>
      <c r="P136" s="81" t="s">
        <v>1039</v>
      </c>
      <c r="Q136" s="105" t="str">
        <f>IFERROR(__xludf.DUMMYFUNCTION("QUERY(Hospitais_BD!D:I,""select I where D='""&amp;D136&amp;""'"")"),"Público")</f>
        <v>Público</v>
      </c>
      <c r="R136" s="105" t="str">
        <f>IFERROR(__xludf.DUMMYFUNCTION("QUERY(Hospitais_BD!D:I,""select H where D='""&amp;D136&amp;""'"")"),"Unidade básica de saúde - BAIXA COMPLEXIDADE
")</f>
        <v>Unidade básica de saúde - BAIXA COMPLEXIDADE
</v>
      </c>
      <c r="S136" s="167"/>
      <c r="T136" s="106"/>
      <c r="U136" s="154"/>
      <c r="V136" s="81"/>
      <c r="W136" s="82"/>
      <c r="X136" s="81"/>
      <c r="Y136" s="81"/>
      <c r="Z136" s="81"/>
      <c r="AA136" s="81"/>
      <c r="AB136" s="81"/>
      <c r="AC136" s="81"/>
      <c r="AD136" s="81"/>
      <c r="AE136" s="102"/>
      <c r="AF136" s="110"/>
      <c r="AG136" s="169">
        <v>25.0</v>
      </c>
      <c r="AH136" s="109">
        <v>0.0</v>
      </c>
      <c r="AI136" s="109">
        <v>0.0</v>
      </c>
      <c r="AJ136" s="109">
        <v>0.0</v>
      </c>
      <c r="AK136" s="109">
        <v>0.0</v>
      </c>
      <c r="AL136" s="109"/>
      <c r="AM136" s="111" t="s">
        <v>1002</v>
      </c>
    </row>
    <row r="137" ht="21.0" customHeight="1">
      <c r="A137" s="163"/>
      <c r="B137" s="164"/>
      <c r="C137" s="42"/>
      <c r="D137" s="67" t="s">
        <v>718</v>
      </c>
      <c r="E137" s="74"/>
      <c r="F137" s="74"/>
      <c r="G137" s="68"/>
      <c r="H137" s="68"/>
      <c r="I137" s="68"/>
      <c r="J137" s="68"/>
      <c r="K137" s="68"/>
      <c r="L137" s="68"/>
      <c r="M137" s="115" t="str">
        <f>IFERROR(__xludf.DUMMYFUNCTION("QUERY(Hospitais_BD!D:I,""select E where D='""&amp;D137&amp;""'"",0)"),"BAIXADA FLUMINENSE")</f>
        <v>BAIXADA FLUMINENSE</v>
      </c>
      <c r="N137" s="75" t="str">
        <f>IFERROR(__xludf.DUMMYFUNCTION("QUERY(Hospitais_BD!D:I,""select F where D='""&amp;D137&amp;""'"")"),"Duque de Caxias")</f>
        <v>Duque de Caxias</v>
      </c>
      <c r="O137" s="116" t="str">
        <f>IFERROR(__xludf.DUMMYFUNCTION("QUERY(Hospitais_BD!D:I,""select G where D='""&amp;D137&amp;""'"")"),"Parque Eldorado")</f>
        <v>Parque Eldorado</v>
      </c>
      <c r="P137" s="74" t="s">
        <v>1040</v>
      </c>
      <c r="Q137" s="116" t="str">
        <f>IFERROR(__xludf.DUMMYFUNCTION("QUERY(Hospitais_BD!D:I,""select I where D='""&amp;D137&amp;""'"")"),"Público")</f>
        <v>Público</v>
      </c>
      <c r="R137" s="116" t="str">
        <f>IFERROR(__xludf.DUMMYFUNCTION("QUERY(Hospitais_BD!D:I,""select H where D='""&amp;D137&amp;""'"")"),"Unidade básica de saúde - BAIXA COMPLEXIDADE
")</f>
        <v>Unidade básica de saúde - BAIXA COMPLEXIDADE
</v>
      </c>
      <c r="S137" s="165"/>
      <c r="T137" s="117"/>
      <c r="U137" s="159"/>
      <c r="V137" s="74"/>
      <c r="W137" s="67"/>
      <c r="X137" s="74"/>
      <c r="Y137" s="74"/>
      <c r="Z137" s="74"/>
      <c r="AA137" s="74"/>
      <c r="AB137" s="74"/>
      <c r="AC137" s="74"/>
      <c r="AD137" s="74"/>
      <c r="AE137" s="75"/>
      <c r="AF137" s="121"/>
      <c r="AG137" s="168">
        <v>25.0</v>
      </c>
      <c r="AH137" s="123">
        <v>0.0</v>
      </c>
      <c r="AI137" s="123">
        <v>0.0</v>
      </c>
      <c r="AJ137" s="123">
        <v>0.0</v>
      </c>
      <c r="AK137" s="123">
        <v>0.0</v>
      </c>
      <c r="AL137" s="123"/>
      <c r="AM137" s="124" t="s">
        <v>1002</v>
      </c>
    </row>
    <row r="138" ht="21.0" customHeight="1">
      <c r="A138" s="166"/>
      <c r="B138" s="66"/>
      <c r="C138" s="59"/>
      <c r="D138" s="82" t="s">
        <v>720</v>
      </c>
      <c r="E138" s="81"/>
      <c r="F138" s="81"/>
      <c r="G138" s="65"/>
      <c r="H138" s="65"/>
      <c r="I138" s="65"/>
      <c r="J138" s="65"/>
      <c r="K138" s="65"/>
      <c r="L138" s="65"/>
      <c r="M138" s="104" t="str">
        <f>IFERROR(__xludf.DUMMYFUNCTION("QUERY(Hospitais_BD!D:I,""select E where D='""&amp;D138&amp;""'"",0)"),"BAIXADA FLUMINENSE")</f>
        <v>BAIXADA FLUMINENSE</v>
      </c>
      <c r="N138" s="102" t="str">
        <f>IFERROR(__xludf.DUMMYFUNCTION("QUERY(Hospitais_BD!D:I,""select F where D='""&amp;D138&amp;""'"")"),"Duque de Caxias")</f>
        <v>Duque de Caxias</v>
      </c>
      <c r="O138" s="105" t="str">
        <f>IFERROR(__xludf.DUMMYFUNCTION("QUERY(Hospitais_BD!D:I,""select G where D='""&amp;D138&amp;""'"")"),"Centenario")</f>
        <v>Centenario</v>
      </c>
      <c r="P138" s="81" t="s">
        <v>1041</v>
      </c>
      <c r="Q138" s="105" t="str">
        <f>IFERROR(__xludf.DUMMYFUNCTION("QUERY(Hospitais_BD!D:I,""select I where D='""&amp;D138&amp;""'"")"),"Público")</f>
        <v>Público</v>
      </c>
      <c r="R138" s="105" t="str">
        <f>IFERROR(__xludf.DUMMYFUNCTION("QUERY(Hospitais_BD!D:I,""select H where D='""&amp;D138&amp;""'"")"),"Unidade básica de saúde - BAIXA COMPLEXIDADE
")</f>
        <v>Unidade básica de saúde - BAIXA COMPLEXIDADE
</v>
      </c>
      <c r="S138" s="167"/>
      <c r="T138" s="106"/>
      <c r="U138" s="154"/>
      <c r="V138" s="81"/>
      <c r="W138" s="82"/>
      <c r="X138" s="81"/>
      <c r="Y138" s="81"/>
      <c r="Z138" s="81"/>
      <c r="AA138" s="81"/>
      <c r="AB138" s="81"/>
      <c r="AC138" s="81"/>
      <c r="AD138" s="81"/>
      <c r="AE138" s="102"/>
      <c r="AF138" s="110"/>
      <c r="AG138" s="169">
        <v>25.0</v>
      </c>
      <c r="AH138" s="109">
        <v>0.0</v>
      </c>
      <c r="AI138" s="109">
        <v>0.0</v>
      </c>
      <c r="AJ138" s="109">
        <v>0.0</v>
      </c>
      <c r="AK138" s="109">
        <v>0.0</v>
      </c>
      <c r="AL138" s="109"/>
      <c r="AM138" s="111" t="s">
        <v>1002</v>
      </c>
    </row>
    <row r="139" ht="21.0" customHeight="1">
      <c r="A139" s="163"/>
      <c r="B139" s="164"/>
      <c r="C139" s="42"/>
      <c r="D139" s="67" t="s">
        <v>721</v>
      </c>
      <c r="E139" s="74"/>
      <c r="F139" s="74"/>
      <c r="G139" s="68"/>
      <c r="H139" s="68"/>
      <c r="I139" s="68"/>
      <c r="J139" s="68"/>
      <c r="K139" s="68"/>
      <c r="L139" s="68"/>
      <c r="M139" s="115" t="str">
        <f>IFERROR(__xludf.DUMMYFUNCTION("QUERY(Hospitais_BD!D:I,""select E where D='""&amp;D139&amp;""'"",0)"),"BAIXADA FLUMINENSE")</f>
        <v>BAIXADA FLUMINENSE</v>
      </c>
      <c r="N139" s="75" t="str">
        <f>IFERROR(__xludf.DUMMYFUNCTION("QUERY(Hospitais_BD!D:I,""select F where D='""&amp;D139&amp;""'"")"),"Duque de Caxias")</f>
        <v>Duque de Caxias</v>
      </c>
      <c r="O139" s="116" t="str">
        <f>IFERROR(__xludf.DUMMYFUNCTION("QUERY(Hospitais_BD!D:I,""select G where D='""&amp;D139&amp;""'"")"),"Parada Morabi")</f>
        <v>Parada Morabi</v>
      </c>
      <c r="P139" s="74" t="s">
        <v>1042</v>
      </c>
      <c r="Q139" s="116" t="str">
        <f>IFERROR(__xludf.DUMMYFUNCTION("QUERY(Hospitais_BD!D:I,""select I where D='""&amp;D139&amp;""'"")"),"Público")</f>
        <v>Público</v>
      </c>
      <c r="R139" s="116" t="str">
        <f>IFERROR(__xludf.DUMMYFUNCTION("QUERY(Hospitais_BD!D:I,""select H where D='""&amp;D139&amp;""'"")"),"Unidade básica de saúde - BAIXA COMPLEXIDADE
")</f>
        <v>Unidade básica de saúde - BAIXA COMPLEXIDADE
</v>
      </c>
      <c r="S139" s="165"/>
      <c r="T139" s="117"/>
      <c r="U139" s="159"/>
      <c r="V139" s="74"/>
      <c r="W139" s="67"/>
      <c r="X139" s="74"/>
      <c r="Y139" s="74"/>
      <c r="Z139" s="74"/>
      <c r="AA139" s="74"/>
      <c r="AB139" s="74"/>
      <c r="AC139" s="74"/>
      <c r="AD139" s="74"/>
      <c r="AE139" s="75"/>
      <c r="AF139" s="121"/>
      <c r="AG139" s="168">
        <v>25.0</v>
      </c>
      <c r="AH139" s="123">
        <v>0.0</v>
      </c>
      <c r="AI139" s="123">
        <v>0.0</v>
      </c>
      <c r="AJ139" s="123">
        <v>0.0</v>
      </c>
      <c r="AK139" s="123">
        <v>0.0</v>
      </c>
      <c r="AL139" s="123"/>
      <c r="AM139" s="124" t="s">
        <v>1002</v>
      </c>
    </row>
    <row r="140" ht="21.0" customHeight="1">
      <c r="A140" s="166"/>
      <c r="B140" s="66"/>
      <c r="C140" s="59"/>
      <c r="D140" s="25" t="s">
        <v>258</v>
      </c>
      <c r="E140" s="81"/>
      <c r="F140" s="81"/>
      <c r="G140" s="65"/>
      <c r="H140" s="65"/>
      <c r="I140" s="65"/>
      <c r="J140" s="65"/>
      <c r="K140" s="65"/>
      <c r="L140" s="65"/>
      <c r="M140" s="104" t="str">
        <f>IFERROR(__xludf.DUMMYFUNCTION("QUERY(Hospitais_BD!D:I,""select E where D='""&amp;D140&amp;""'"",0)"),"#REF!")</f>
        <v>#REF!</v>
      </c>
      <c r="N140" s="102" t="str">
        <f>IFERROR(__xludf.DUMMYFUNCTION("QUERY(Hospitais_BD!D:I,""select F where D='""&amp;D140&amp;""'"")"),"#REF!")</f>
        <v>#REF!</v>
      </c>
      <c r="O140" s="105" t="str">
        <f>IFERROR(__xludf.DUMMYFUNCTION("QUERY(Hospitais_BD!D:I,""select G where D='""&amp;D140&amp;""'"")"),"#REF!")</f>
        <v>#REF!</v>
      </c>
      <c r="P140" s="81" t="s">
        <v>1043</v>
      </c>
      <c r="Q140" s="105" t="str">
        <f>IFERROR(__xludf.DUMMYFUNCTION("QUERY(Hospitais_BD!D:I,""select I where D='""&amp;D140&amp;""'"")"),"#REF!")</f>
        <v>#REF!</v>
      </c>
      <c r="R140" s="105" t="str">
        <f>IFERROR(__xludf.DUMMYFUNCTION("QUERY(Hospitais_BD!D:I,""select H where D='""&amp;D140&amp;""'"")"),"#REF!")</f>
        <v>#REF!</v>
      </c>
      <c r="S140" s="167"/>
      <c r="T140" s="106"/>
      <c r="U140" s="154"/>
      <c r="V140" s="81"/>
      <c r="W140" s="82"/>
      <c r="X140" s="81"/>
      <c r="Y140" s="81"/>
      <c r="Z140" s="81"/>
      <c r="AA140" s="81"/>
      <c r="AB140" s="81"/>
      <c r="AC140" s="81"/>
      <c r="AD140" s="81"/>
      <c r="AE140" s="102"/>
      <c r="AF140" s="110"/>
      <c r="AG140" s="169"/>
      <c r="AH140" s="109">
        <v>0.0</v>
      </c>
      <c r="AI140" s="109">
        <v>0.0</v>
      </c>
      <c r="AJ140" s="109">
        <v>0.0</v>
      </c>
      <c r="AK140" s="109">
        <v>0.0</v>
      </c>
      <c r="AL140" s="109"/>
      <c r="AM140" s="111"/>
    </row>
    <row r="141" ht="21.0" customHeight="1">
      <c r="A141" s="163"/>
      <c r="B141" s="164"/>
      <c r="C141" s="42"/>
      <c r="D141" s="67" t="s">
        <v>732</v>
      </c>
      <c r="E141" s="74"/>
      <c r="F141" s="74"/>
      <c r="G141" s="68"/>
      <c r="H141" s="68"/>
      <c r="I141" s="68"/>
      <c r="J141" s="68"/>
      <c r="K141" s="68"/>
      <c r="L141" s="68"/>
      <c r="M141" s="115" t="str">
        <f>IFERROR(__xludf.DUMMYFUNCTION("QUERY(Hospitais_BD!D:I,""select E where D='""&amp;D141&amp;""'"",0)"),"REGIAO SERRANA")</f>
        <v>REGIAO SERRANA</v>
      </c>
      <c r="N141" s="75" t="str">
        <f>IFERROR(__xludf.DUMMYFUNCTION("QUERY(Hospitais_BD!D:I,""select F where D='""&amp;D141&amp;""'"")"),"Nova Friburgo")</f>
        <v>Nova Friburgo</v>
      </c>
      <c r="O141" s="116" t="str">
        <f>IFERROR(__xludf.DUMMYFUNCTION("QUERY(Hospitais_BD!D:I,""select G where D='""&amp;D141&amp;""'"")"),"Sao Pedro da Serra")</f>
        <v>Sao Pedro da Serra</v>
      </c>
      <c r="P141" s="74" t="s">
        <v>1044</v>
      </c>
      <c r="Q141" s="116" t="str">
        <f>IFERROR(__xludf.DUMMYFUNCTION("QUERY(Hospitais_BD!D:I,""select I where D='""&amp;D141&amp;""'"")"),"Público")</f>
        <v>Público</v>
      </c>
      <c r="R141" s="116" t="str">
        <f>IFERROR(__xludf.DUMMYFUNCTION("QUERY(Hospitais_BD!D:I,""select H where D='""&amp;D141&amp;""'"")"),"Unidade básica de saúde - BAIXA COMPLEXIDADE
")</f>
        <v>Unidade básica de saúde - BAIXA COMPLEXIDADE
</v>
      </c>
      <c r="S141" s="165"/>
      <c r="T141" s="117"/>
      <c r="U141" s="159"/>
      <c r="V141" s="74"/>
      <c r="W141" s="67"/>
      <c r="X141" s="74"/>
      <c r="Y141" s="74"/>
      <c r="Z141" s="74"/>
      <c r="AA141" s="74"/>
      <c r="AB141" s="74"/>
      <c r="AC141" s="74"/>
      <c r="AD141" s="74"/>
      <c r="AE141" s="75"/>
      <c r="AF141" s="121"/>
      <c r="AG141" s="134"/>
      <c r="AH141" s="123"/>
      <c r="AI141" s="123"/>
      <c r="AJ141" s="123"/>
      <c r="AK141" s="123">
        <v>0.0</v>
      </c>
      <c r="AL141" s="123"/>
      <c r="AM141" s="124" t="s">
        <v>1007</v>
      </c>
    </row>
    <row r="142" ht="21.0" customHeight="1">
      <c r="A142" s="166"/>
      <c r="B142" s="66"/>
      <c r="C142" s="59"/>
      <c r="D142" s="82" t="s">
        <v>740</v>
      </c>
      <c r="E142" s="81"/>
      <c r="F142" s="81"/>
      <c r="G142" s="65"/>
      <c r="H142" s="65"/>
      <c r="I142" s="65"/>
      <c r="J142" s="65"/>
      <c r="K142" s="65"/>
      <c r="L142" s="65"/>
      <c r="M142" s="104" t="str">
        <f>IFERROR(__xludf.DUMMYFUNCTION("QUERY(Hospitais_BD!D:I,""select E where D='""&amp;D142&amp;""'"",0)"),"ZONA OESTE")</f>
        <v>ZONA OESTE</v>
      </c>
      <c r="N142" s="102" t="str">
        <f>IFERROR(__xludf.DUMMYFUNCTION("QUERY(Hospitais_BD!D:I,""select F where D='""&amp;D142&amp;""'"")"),"RIO DE JANEIRO")</f>
        <v>RIO DE JANEIRO</v>
      </c>
      <c r="O142" s="105" t="str">
        <f>IFERROR(__xludf.DUMMYFUNCTION("QUERY(Hospitais_BD!D:I,""select G where D='""&amp;D142&amp;""'"")"),"SANTA CRUZ (ANTARES)")</f>
        <v>SANTA CRUZ (ANTARES)</v>
      </c>
      <c r="P142" s="81" t="s">
        <v>1045</v>
      </c>
      <c r="Q142" s="105" t="str">
        <f>IFERROR(__xludf.DUMMYFUNCTION("QUERY(Hospitais_BD!D:I,""select I where D='""&amp;D142&amp;""'"")"),"Público")</f>
        <v>Público</v>
      </c>
      <c r="R142" s="105" t="str">
        <f>IFERROR(__xludf.DUMMYFUNCTION("QUERY(Hospitais_BD!D:I,""select H where D='""&amp;D142&amp;""'"")"),"Unidade básica de saúde - BAIXA COMPLEXIDADE
")</f>
        <v>Unidade básica de saúde - BAIXA COMPLEXIDADE
</v>
      </c>
      <c r="S142" s="167"/>
      <c r="T142" s="106"/>
      <c r="U142" s="154"/>
      <c r="V142" s="81"/>
      <c r="W142" s="82"/>
      <c r="X142" s="81"/>
      <c r="Y142" s="81"/>
      <c r="Z142" s="81"/>
      <c r="AA142" s="81"/>
      <c r="AB142" s="81"/>
      <c r="AC142" s="81"/>
      <c r="AD142" s="81"/>
      <c r="AE142" s="102"/>
      <c r="AF142" s="110"/>
      <c r="AG142" s="139">
        <v>50.0</v>
      </c>
      <c r="AH142" s="109">
        <v>0.0</v>
      </c>
      <c r="AI142" s="109">
        <v>0.0</v>
      </c>
      <c r="AJ142" s="109">
        <v>25.0</v>
      </c>
      <c r="AK142" s="109">
        <v>0.0</v>
      </c>
      <c r="AL142" s="109"/>
      <c r="AM142" s="111" t="s">
        <v>1002</v>
      </c>
    </row>
    <row r="143" ht="21.0" customHeight="1">
      <c r="A143" s="163"/>
      <c r="B143" s="164"/>
      <c r="C143" s="42"/>
      <c r="D143" s="67" t="s">
        <v>451</v>
      </c>
      <c r="E143" s="74"/>
      <c r="F143" s="74"/>
      <c r="G143" s="68"/>
      <c r="H143" s="68"/>
      <c r="I143" s="68"/>
      <c r="J143" s="68"/>
      <c r="K143" s="68"/>
      <c r="L143" s="68"/>
      <c r="M143" s="60" t="str">
        <f>IFERROR(__xludf.DUMMYFUNCTION("QUERY(Hospitais_BD!D:I,""select E where D='""&amp;D143&amp;""'"",0)"),"CENTRO")</f>
        <v>CENTRO</v>
      </c>
      <c r="N143" s="25" t="str">
        <f>IFERROR(__xludf.DUMMYFUNCTION("QUERY(Hospitais_BD!D:I,""select F where D='""&amp;D143&amp;""'"")"),"Rio de Janeiro")</f>
        <v>Rio de Janeiro</v>
      </c>
      <c r="O143" s="60" t="str">
        <f>IFERROR(__xludf.DUMMYFUNCTION("QUERY(Hospitais_BD!D:I,""select G where D='""&amp;D143&amp;""'"")"),"Central do Brasil")</f>
        <v>Central do Brasil</v>
      </c>
      <c r="P143" s="74" t="s">
        <v>1046</v>
      </c>
      <c r="Q143" s="116" t="str">
        <f>IFERROR(__xludf.DUMMYFUNCTION("QUERY(Hospitais_BD!D:I,""select I where D='""&amp;D143&amp;""'"")"),"Público")</f>
        <v>Público</v>
      </c>
      <c r="R143" s="116" t="str">
        <f>IFERROR(__xludf.DUMMYFUNCTION("QUERY(Hospitais_BD!D:I,""select H where D='""&amp;D143&amp;""'"")"),"Unidade básica - BAIXA COMPLEXIDADE")</f>
        <v>Unidade básica - BAIXA COMPLEXIDADE</v>
      </c>
      <c r="S143" s="165"/>
      <c r="T143" s="117"/>
      <c r="U143" s="159"/>
      <c r="V143" s="74"/>
      <c r="W143" s="67"/>
      <c r="X143" s="74"/>
      <c r="Y143" s="74"/>
      <c r="Z143" s="74"/>
      <c r="AA143" s="74"/>
      <c r="AB143" s="74"/>
      <c r="AC143" s="74"/>
      <c r="AD143" s="74"/>
      <c r="AE143" s="75"/>
      <c r="AF143" s="121"/>
      <c r="AG143" s="134"/>
      <c r="AH143" s="123"/>
      <c r="AI143" s="123"/>
      <c r="AJ143" s="123"/>
      <c r="AK143" s="123">
        <v>0.0</v>
      </c>
      <c r="AL143" s="123"/>
      <c r="AM143" s="124" t="s">
        <v>1026</v>
      </c>
    </row>
    <row r="144" ht="21.0" customHeight="1">
      <c r="A144" s="166"/>
      <c r="B144" s="66"/>
      <c r="C144" s="59"/>
      <c r="D144" s="82" t="s">
        <v>742</v>
      </c>
      <c r="E144" s="81"/>
      <c r="F144" s="81"/>
      <c r="G144" s="65"/>
      <c r="H144" s="65"/>
      <c r="I144" s="65"/>
      <c r="J144" s="65"/>
      <c r="K144" s="65"/>
      <c r="L144" s="65"/>
      <c r="M144" s="43" t="str">
        <f>IFERROR(__xludf.DUMMYFUNCTION("QUERY(Hospitais_BD!D:I,""select E where D='""&amp;D144&amp;""'"",0)"),"BAIXADA FLUMINENSE")</f>
        <v>BAIXADA FLUMINENSE</v>
      </c>
      <c r="N144" s="32" t="str">
        <f>IFERROR(__xludf.DUMMYFUNCTION("QUERY(Hospitais_BD!D:I,""select F where D='""&amp;D144&amp;""'"")"),"Queimados")</f>
        <v>Queimados</v>
      </c>
      <c r="O144" s="43" t="str">
        <f>IFERROR(__xludf.DUMMYFUNCTION("QUERY(Hospitais_BD!D:I,""select G where D='""&amp;D144&amp;""'"")"),"Valdariosa")</f>
        <v>Valdariosa</v>
      </c>
      <c r="P144" s="81" t="s">
        <v>1047</v>
      </c>
      <c r="Q144" s="105" t="str">
        <f>IFERROR(__xludf.DUMMYFUNCTION("QUERY(Hospitais_BD!D:I,""select I where D='""&amp;D144&amp;""'"")"),"Público")</f>
        <v>Público</v>
      </c>
      <c r="R144" s="105" t="str">
        <f>IFERROR(__xludf.DUMMYFUNCTION("QUERY(Hospitais_BD!D:I,""select H where D='""&amp;D144&amp;""'"")"),"Unidade básica de saúde - BAIXA COMPLEXIDADE
")</f>
        <v>Unidade básica de saúde - BAIXA COMPLEXIDADE
</v>
      </c>
      <c r="S144" s="167"/>
      <c r="T144" s="106"/>
      <c r="U144" s="154"/>
      <c r="V144" s="81"/>
      <c r="W144" s="82"/>
      <c r="X144" s="81"/>
      <c r="Y144" s="81"/>
      <c r="Z144" s="81"/>
      <c r="AA144" s="81"/>
      <c r="AB144" s="81"/>
      <c r="AC144" s="81"/>
      <c r="AD144" s="81"/>
      <c r="AE144" s="102"/>
      <c r="AF144" s="110"/>
      <c r="AG144" s="139">
        <v>25.0</v>
      </c>
      <c r="AH144" s="109"/>
      <c r="AI144" s="109"/>
      <c r="AJ144" s="109"/>
      <c r="AK144" s="109">
        <v>6.0</v>
      </c>
      <c r="AL144" s="109"/>
      <c r="AM144" s="111" t="s">
        <v>1002</v>
      </c>
    </row>
    <row r="145" ht="21.0" customHeight="1">
      <c r="A145" s="163"/>
      <c r="B145" s="164"/>
      <c r="C145" s="42"/>
      <c r="D145" s="67" t="s">
        <v>653</v>
      </c>
      <c r="E145" s="74"/>
      <c r="F145" s="74"/>
      <c r="G145" s="68"/>
      <c r="H145" s="68"/>
      <c r="I145" s="68"/>
      <c r="J145" s="68"/>
      <c r="K145" s="68"/>
      <c r="L145" s="68"/>
      <c r="M145" s="60" t="str">
        <f>IFERROR(__xludf.DUMMYFUNCTION("QUERY(Hospitais_BD!D:I,""select E where D='""&amp;D145&amp;""'"",0)"),"BAIXADA FLUMINENSE")</f>
        <v>BAIXADA FLUMINENSE</v>
      </c>
      <c r="N145" s="25" t="str">
        <f>IFERROR(__xludf.DUMMYFUNCTION("QUERY(Hospitais_BD!D:I,""select F where D='""&amp;D145&amp;""'"")"),"Duque de Caxias")</f>
        <v>Duque de Caxias</v>
      </c>
      <c r="O145" s="60" t="str">
        <f>IFERROR(__xludf.DUMMYFUNCTION("QUERY(Hospitais_BD!D:I,""select G where D='""&amp;D145&amp;""'"")"),"Centenario")</f>
        <v>Centenario</v>
      </c>
      <c r="P145" s="74" t="s">
        <v>1048</v>
      </c>
      <c r="Q145" s="116" t="str">
        <f>IFERROR(__xludf.DUMMYFUNCTION("QUERY(Hospitais_BD!D:I,""select I where D='""&amp;D145&amp;""'"")"),"Público")</f>
        <v>Público</v>
      </c>
      <c r="R145" s="116" t="str">
        <f>IFERROR(__xludf.DUMMYFUNCTION("QUERY(Hospitais_BD!D:I,""select H where D='""&amp;D145&amp;""'"")"),"Unidade básica de saúde - BAIXA COMPLEXIDADE
")</f>
        <v>Unidade básica de saúde - BAIXA COMPLEXIDADE
</v>
      </c>
      <c r="S145" s="165"/>
      <c r="T145" s="117"/>
      <c r="U145" s="159"/>
      <c r="V145" s="74"/>
      <c r="W145" s="67"/>
      <c r="X145" s="74"/>
      <c r="Y145" s="74"/>
      <c r="Z145" s="74"/>
      <c r="AA145" s="74"/>
      <c r="AB145" s="74"/>
      <c r="AC145" s="74"/>
      <c r="AD145" s="74"/>
      <c r="AE145" s="75"/>
      <c r="AF145" s="121"/>
      <c r="AG145" s="134"/>
      <c r="AH145" s="123"/>
      <c r="AI145" s="123"/>
      <c r="AJ145" s="123"/>
      <c r="AK145" s="123">
        <v>0.0</v>
      </c>
      <c r="AL145" s="123"/>
      <c r="AM145" s="124" t="s">
        <v>1026</v>
      </c>
    </row>
    <row r="146" ht="21.0" customHeight="1">
      <c r="A146" s="166"/>
      <c r="B146" s="66"/>
      <c r="C146" s="59"/>
      <c r="D146" s="82" t="s">
        <v>419</v>
      </c>
      <c r="E146" s="81"/>
      <c r="F146" s="81"/>
      <c r="G146" s="65"/>
      <c r="H146" s="65"/>
      <c r="I146" s="65"/>
      <c r="J146" s="65"/>
      <c r="K146" s="65"/>
      <c r="L146" s="65"/>
      <c r="M146" s="43" t="str">
        <f>IFERROR(__xludf.DUMMYFUNCTION("QUERY(Hospitais_BD!D:I,""select E where D='""&amp;D146&amp;""'"",0)"),"ZONA NORTE")</f>
        <v>ZONA NORTE</v>
      </c>
      <c r="N146" s="32" t="str">
        <f>IFERROR(__xludf.DUMMYFUNCTION("QUERY(Hospitais_BD!D:I,""select F where D='""&amp;D146&amp;""'"")"),"Rio de Janeiro")</f>
        <v>Rio de Janeiro</v>
      </c>
      <c r="O146" s="43" t="str">
        <f>IFERROR(__xludf.DUMMYFUNCTION("QUERY(Hospitais_BD!D:I,""select G where D='""&amp;D146&amp;""'"")"),"Ilha do Fundão")</f>
        <v>Ilha do Fundão</v>
      </c>
      <c r="P146" s="81" t="s">
        <v>1049</v>
      </c>
      <c r="Q146" s="105" t="str">
        <f>IFERROR(__xludf.DUMMYFUNCTION("QUERY(Hospitais_BD!D:I,""select I where D='""&amp;D146&amp;""'"")"),"Público")</f>
        <v>Público</v>
      </c>
      <c r="R146" s="105" t="str">
        <f>IFERROR(__xludf.DUMMYFUNCTION("QUERY(Hospitais_BD!D:I,""select H where D='""&amp;D146&amp;""'"")"),"Referência - ALTA COMPLEXIDADE")</f>
        <v>Referência - ALTA COMPLEXIDADE</v>
      </c>
      <c r="S146" s="167"/>
      <c r="T146" s="106"/>
      <c r="U146" s="154"/>
      <c r="V146" s="81"/>
      <c r="W146" s="82"/>
      <c r="X146" s="81"/>
      <c r="Y146" s="81"/>
      <c r="Z146" s="81"/>
      <c r="AA146" s="81"/>
      <c r="AB146" s="81"/>
      <c r="AC146" s="81"/>
      <c r="AD146" s="81"/>
      <c r="AE146" s="102"/>
      <c r="AF146" s="110"/>
      <c r="AG146" s="139"/>
      <c r="AH146" s="109"/>
      <c r="AI146" s="109"/>
      <c r="AJ146" s="109"/>
      <c r="AK146" s="109">
        <v>0.0</v>
      </c>
      <c r="AL146" s="109"/>
      <c r="AM146" s="111" t="s">
        <v>1026</v>
      </c>
    </row>
    <row r="147" ht="21.0" customHeight="1">
      <c r="A147" s="163"/>
      <c r="B147" s="164"/>
      <c r="C147" s="42"/>
      <c r="D147" s="67" t="s">
        <v>740</v>
      </c>
      <c r="E147" s="74"/>
      <c r="F147" s="74"/>
      <c r="G147" s="68"/>
      <c r="H147" s="68"/>
      <c r="I147" s="68"/>
      <c r="J147" s="68"/>
      <c r="K147" s="68"/>
      <c r="L147" s="68"/>
      <c r="M147" s="60" t="str">
        <f>IFERROR(__xludf.DUMMYFUNCTION("QUERY(Hospitais_BD!D:I,""select E where D='""&amp;D147&amp;""'"",0)"),"ZONA OESTE")</f>
        <v>ZONA OESTE</v>
      </c>
      <c r="N147" s="25" t="str">
        <f>IFERROR(__xludf.DUMMYFUNCTION("QUERY(Hospitais_BD!D:I,""select F where D='""&amp;D147&amp;""'"")"),"RIO DE JANEIRO")</f>
        <v>RIO DE JANEIRO</v>
      </c>
      <c r="O147" s="60" t="str">
        <f>IFERROR(__xludf.DUMMYFUNCTION("QUERY(Hospitais_BD!D:I,""select G where D='""&amp;D147&amp;""'"")"),"SANTA CRUZ (ANTARES)")</f>
        <v>SANTA CRUZ (ANTARES)</v>
      </c>
      <c r="P147" s="74" t="s">
        <v>1050</v>
      </c>
      <c r="Q147" s="116" t="str">
        <f>IFERROR(__xludf.DUMMYFUNCTION("QUERY(Hospitais_BD!D:I,""select I where D='""&amp;D147&amp;""'"")"),"Público")</f>
        <v>Público</v>
      </c>
      <c r="R147" s="116" t="str">
        <f>IFERROR(__xludf.DUMMYFUNCTION("QUERY(Hospitais_BD!D:I,""select H where D='""&amp;D147&amp;""'"")"),"Unidade básica de saúde - BAIXA COMPLEXIDADE
")</f>
        <v>Unidade básica de saúde - BAIXA COMPLEXIDADE
</v>
      </c>
      <c r="S147" s="165"/>
      <c r="T147" s="117"/>
      <c r="U147" s="159"/>
      <c r="V147" s="74"/>
      <c r="W147" s="67"/>
      <c r="X147" s="74"/>
      <c r="Y147" s="74"/>
      <c r="Z147" s="74"/>
      <c r="AA147" s="74"/>
      <c r="AB147" s="74"/>
      <c r="AC147" s="74"/>
      <c r="AD147" s="74"/>
      <c r="AE147" s="75"/>
      <c r="AF147" s="121"/>
      <c r="AG147" s="134"/>
      <c r="AH147" s="123">
        <v>0.0</v>
      </c>
      <c r="AI147" s="123">
        <v>0.0</v>
      </c>
      <c r="AJ147" s="123"/>
      <c r="AK147" s="123">
        <v>0.0</v>
      </c>
      <c r="AL147" s="123"/>
      <c r="AM147" s="124" t="s">
        <v>1006</v>
      </c>
    </row>
    <row r="148" ht="21.0" customHeight="1">
      <c r="A148" s="166"/>
      <c r="B148" s="66"/>
      <c r="C148" s="59"/>
      <c r="D148" s="82" t="s">
        <v>87</v>
      </c>
      <c r="E148" s="81"/>
      <c r="F148" s="81"/>
      <c r="G148" s="65"/>
      <c r="H148" s="65"/>
      <c r="I148" s="65"/>
      <c r="J148" s="65"/>
      <c r="K148" s="65"/>
      <c r="L148" s="65"/>
      <c r="M148" s="43" t="str">
        <f>IFERROR(__xludf.DUMMYFUNCTION("QUERY(Hospitais_BD!D:I,""select E where D='""&amp;D148&amp;""'"",0)"),"ZONA NORTE")</f>
        <v>ZONA NORTE</v>
      </c>
      <c r="N148" s="32" t="str">
        <f>IFERROR(__xludf.DUMMYFUNCTION("QUERY(Hospitais_BD!D:I,""select F where D='""&amp;D148&amp;""'"")"),"Rio de Janeiro")</f>
        <v>Rio de Janeiro</v>
      </c>
      <c r="O148" s="43" t="str">
        <f>IFERROR(__xludf.DUMMYFUNCTION("QUERY(Hospitais_BD!D:I,""select G where D='""&amp;D148&amp;""'"")"),"Penha")</f>
        <v>Penha</v>
      </c>
      <c r="P148" s="81" t="s">
        <v>1051</v>
      </c>
      <c r="Q148" s="105" t="str">
        <f>IFERROR(__xludf.DUMMYFUNCTION("QUERY(Hospitais_BD!D:I,""select I where D='""&amp;D148&amp;""'"")"),"Público")</f>
        <v>Público</v>
      </c>
      <c r="R148" s="105" t="str">
        <f>IFERROR(__xludf.DUMMYFUNCTION("QUERY(Hospitais_BD!D:I,""select H where D='""&amp;D148&amp;""'"")"),"Unidade básica - BAIXA COMPLEXIDADE")</f>
        <v>Unidade básica - BAIXA COMPLEXIDADE</v>
      </c>
      <c r="S148" s="167"/>
      <c r="T148" s="106"/>
      <c r="U148" s="154"/>
      <c r="V148" s="81"/>
      <c r="W148" s="82"/>
      <c r="X148" s="81"/>
      <c r="Y148" s="81"/>
      <c r="Z148" s="81"/>
      <c r="AA148" s="81"/>
      <c r="AB148" s="81"/>
      <c r="AC148" s="81"/>
      <c r="AD148" s="81"/>
      <c r="AE148" s="102"/>
      <c r="AF148" s="110"/>
      <c r="AG148" s="139">
        <v>50.0</v>
      </c>
      <c r="AH148" s="109"/>
      <c r="AI148" s="109"/>
      <c r="AJ148" s="109"/>
      <c r="AK148" s="170"/>
      <c r="AL148" s="109">
        <v>30.0</v>
      </c>
      <c r="AM148" s="111" t="s">
        <v>1002</v>
      </c>
    </row>
    <row r="149" ht="21.0" customHeight="1">
      <c r="A149" s="163"/>
      <c r="B149" s="164"/>
      <c r="C149" s="42"/>
      <c r="D149" s="67" t="s">
        <v>638</v>
      </c>
      <c r="E149" s="74"/>
      <c r="F149" s="74"/>
      <c r="G149" s="68"/>
      <c r="H149" s="68"/>
      <c r="I149" s="68"/>
      <c r="J149" s="68"/>
      <c r="K149" s="68"/>
      <c r="L149" s="68"/>
      <c r="M149" s="60" t="str">
        <f>IFERROR(__xludf.DUMMYFUNCTION("QUERY(Hospitais_BD!D:I,""select E where D='""&amp;D149&amp;""'"",0)"),"ZONA NORTE")</f>
        <v>ZONA NORTE</v>
      </c>
      <c r="N149" s="25" t="str">
        <f>IFERROR(__xludf.DUMMYFUNCTION("QUERY(Hospitais_BD!D:I,""select F where D='""&amp;D149&amp;""'"")"),"rio de janeiro")</f>
        <v>rio de janeiro</v>
      </c>
      <c r="O149" s="60" t="str">
        <f>IFERROR(__xludf.DUMMYFUNCTION("QUERY(Hospitais_BD!D:I,""select G where D='""&amp;D149&amp;""'"")"),"Meier")</f>
        <v>Meier</v>
      </c>
      <c r="P149" s="74" t="s">
        <v>1052</v>
      </c>
      <c r="Q149" s="116" t="str">
        <f>IFERROR(__xludf.DUMMYFUNCTION("QUERY(Hospitais_BD!D:I,""select I where D='""&amp;D149&amp;""'"")"),"Público")</f>
        <v>Público</v>
      </c>
      <c r="R149" s="116" t="str">
        <f>IFERROR(__xludf.DUMMYFUNCTION("QUERY(Hospitais_BD!D:I,""select H where D='""&amp;D149&amp;""'"")"),"Unidade básica de saúde - BAIXA COMPLEXIDADE
")</f>
        <v>Unidade básica de saúde - BAIXA COMPLEXIDADE
</v>
      </c>
      <c r="S149" s="165"/>
      <c r="T149" s="117"/>
      <c r="U149" s="159"/>
      <c r="V149" s="74"/>
      <c r="W149" s="67"/>
      <c r="X149" s="74"/>
      <c r="Y149" s="74"/>
      <c r="Z149" s="74"/>
      <c r="AA149" s="74"/>
      <c r="AB149" s="74"/>
      <c r="AC149" s="74"/>
      <c r="AD149" s="74"/>
      <c r="AE149" s="75"/>
      <c r="AF149" s="121"/>
      <c r="AG149" s="134">
        <v>50.0</v>
      </c>
      <c r="AH149" s="134">
        <v>0.0</v>
      </c>
      <c r="AI149" s="134">
        <v>0.0</v>
      </c>
      <c r="AJ149" s="134">
        <v>25.0</v>
      </c>
      <c r="AK149" s="123">
        <v>0.0</v>
      </c>
      <c r="AL149" s="123"/>
      <c r="AM149" s="124" t="s">
        <v>1002</v>
      </c>
    </row>
    <row r="150" ht="21.0" customHeight="1">
      <c r="A150" s="166"/>
      <c r="B150" s="66"/>
      <c r="C150" s="59"/>
      <c r="D150" s="82" t="s">
        <v>747</v>
      </c>
      <c r="E150" s="81"/>
      <c r="F150" s="81"/>
      <c r="G150" s="65"/>
      <c r="H150" s="65"/>
      <c r="I150" s="65"/>
      <c r="J150" s="65"/>
      <c r="K150" s="65"/>
      <c r="L150" s="65"/>
      <c r="M150" s="43" t="str">
        <f>IFERROR(__xludf.DUMMYFUNCTION("QUERY(Hospitais_BD!D:I,""select E where D='""&amp;D150&amp;""'"",0)"),"ZONA OESTE")</f>
        <v>ZONA OESTE</v>
      </c>
      <c r="N150" s="32" t="str">
        <f>IFERROR(__xludf.DUMMYFUNCTION("QUERY(Hospitais_BD!D:I,""select F where D='""&amp;D150&amp;""'"")"),"Rio de Janeiro")</f>
        <v>Rio de Janeiro</v>
      </c>
      <c r="O150" s="43" t="str">
        <f>IFERROR(__xludf.DUMMYFUNCTION("QUERY(Hospitais_BD!D:I,""select G where D='""&amp;D150&amp;""'"")"),"Realengo")</f>
        <v>Realengo</v>
      </c>
      <c r="P150" s="81" t="s">
        <v>1053</v>
      </c>
      <c r="Q150" s="105" t="str">
        <f>IFERROR(__xludf.DUMMYFUNCTION("QUERY(Hospitais_BD!D:I,""select I where D='""&amp;D150&amp;""'"")"),"Público")</f>
        <v>Público</v>
      </c>
      <c r="R150" s="105" t="str">
        <f>IFERROR(__xludf.DUMMYFUNCTION("QUERY(Hospitais_BD!D:I,""select H where D='""&amp;D150&amp;""'"")"),"Unidade básica de saúde - BAIXA COMPLEXIDADE
")</f>
        <v>Unidade básica de saúde - BAIXA COMPLEXIDADE
</v>
      </c>
      <c r="S150" s="167"/>
      <c r="T150" s="106"/>
      <c r="U150" s="154"/>
      <c r="V150" s="81"/>
      <c r="W150" s="82"/>
      <c r="X150" s="81"/>
      <c r="Y150" s="81"/>
      <c r="Z150" s="81"/>
      <c r="AA150" s="81"/>
      <c r="AB150" s="81"/>
      <c r="AC150" s="81"/>
      <c r="AD150" s="81"/>
      <c r="AE150" s="102"/>
      <c r="AF150" s="110"/>
      <c r="AG150" s="139">
        <v>25.0</v>
      </c>
      <c r="AH150" s="139">
        <v>0.0</v>
      </c>
      <c r="AI150" s="139">
        <v>0.0</v>
      </c>
      <c r="AJ150" s="139">
        <v>25.0</v>
      </c>
      <c r="AK150" s="109">
        <v>0.0</v>
      </c>
      <c r="AL150" s="109"/>
      <c r="AM150" s="111" t="s">
        <v>1002</v>
      </c>
    </row>
    <row r="151" ht="21.0" customHeight="1">
      <c r="A151" s="163"/>
      <c r="B151" s="164"/>
      <c r="C151" s="42"/>
      <c r="D151" s="67" t="s">
        <v>620</v>
      </c>
      <c r="E151" s="74"/>
      <c r="F151" s="74"/>
      <c r="G151" s="68"/>
      <c r="H151" s="68"/>
      <c r="I151" s="68"/>
      <c r="J151" s="68"/>
      <c r="K151" s="68"/>
      <c r="L151" s="68"/>
      <c r="M151" s="60" t="str">
        <f>IFERROR(__xludf.DUMMYFUNCTION("QUERY(Hospitais_BD!D:I,""select E where D='""&amp;D151&amp;""'"",0)"),"ZONA OESTE")</f>
        <v>ZONA OESTE</v>
      </c>
      <c r="N151" s="25" t="str">
        <f>IFERROR(__xludf.DUMMYFUNCTION("QUERY(Hospitais_BD!D:I,""select F where D='""&amp;D151&amp;""'"")"),"Rio de Janeiro")</f>
        <v>Rio de Janeiro</v>
      </c>
      <c r="O151" s="60" t="str">
        <f>IFERROR(__xludf.DUMMYFUNCTION("QUERY(Hospitais_BD!D:I,""select G where D='""&amp;D151&amp;""'"")"),"Taquara -Jacarepagua")</f>
        <v>Taquara -Jacarepagua</v>
      </c>
      <c r="P151" s="74" t="s">
        <v>1054</v>
      </c>
      <c r="Q151" s="116" t="str">
        <f>IFERROR(__xludf.DUMMYFUNCTION("QUERY(Hospitais_BD!D:I,""select I where D='""&amp;D151&amp;""'"")"),"Público")</f>
        <v>Público</v>
      </c>
      <c r="R151" s="116" t="str">
        <f>IFERROR(__xludf.DUMMYFUNCTION("QUERY(Hospitais_BD!D:I,""select H where D='""&amp;D151&amp;""'"")"),"Grande emergência - MÉDIA COMPLEXIDADE
")</f>
        <v>Grande emergência - MÉDIA COMPLEXIDADE
</v>
      </c>
      <c r="S151" s="165"/>
      <c r="T151" s="117"/>
      <c r="U151" s="159"/>
      <c r="V151" s="74"/>
      <c r="W151" s="67"/>
      <c r="X151" s="74"/>
      <c r="Y151" s="74"/>
      <c r="Z151" s="74"/>
      <c r="AA151" s="74"/>
      <c r="AB151" s="74"/>
      <c r="AC151" s="74"/>
      <c r="AD151" s="74"/>
      <c r="AE151" s="75"/>
      <c r="AF151" s="121"/>
      <c r="AG151" s="134">
        <v>50.0</v>
      </c>
      <c r="AH151" s="134"/>
      <c r="AI151" s="134"/>
      <c r="AJ151" s="134">
        <v>50.0</v>
      </c>
      <c r="AK151" s="134">
        <v>6.0</v>
      </c>
      <c r="AL151" s="134"/>
      <c r="AM151" s="124" t="s">
        <v>1002</v>
      </c>
    </row>
    <row r="152" ht="21.0" customHeight="1">
      <c r="A152" s="166"/>
      <c r="B152" s="66"/>
      <c r="C152" s="59"/>
      <c r="D152" s="82" t="s">
        <v>270</v>
      </c>
      <c r="E152" s="81"/>
      <c r="F152" s="81"/>
      <c r="G152" s="65"/>
      <c r="H152" s="65"/>
      <c r="I152" s="65"/>
      <c r="J152" s="65"/>
      <c r="K152" s="65"/>
      <c r="L152" s="65"/>
      <c r="M152" s="43" t="str">
        <f>IFERROR(__xludf.DUMMYFUNCTION("QUERY(Hospitais_BD!D:I,""select E where D='""&amp;D152&amp;""'"",0)"),"ZONA SUL")</f>
        <v>ZONA SUL</v>
      </c>
      <c r="N152" s="32" t="str">
        <f>IFERROR(__xludf.DUMMYFUNCTION("QUERY(Hospitais_BD!D:I,""select F where D='""&amp;D152&amp;""'"")"),"Rio de Janeiro")</f>
        <v>Rio de Janeiro</v>
      </c>
      <c r="O152" s="43" t="str">
        <f>IFERROR(__xludf.DUMMYFUNCTION("QUERY(Hospitais_BD!D:I,""select G where D='""&amp;D152&amp;""'"")"),"Ipanema")</f>
        <v>Ipanema</v>
      </c>
      <c r="P152" s="81" t="s">
        <v>1055</v>
      </c>
      <c r="Q152" s="105" t="str">
        <f>IFERROR(__xludf.DUMMYFUNCTION("QUERY(Hospitais_BD!D:I,""select I where D='""&amp;D152&amp;""'"")"),"Público")</f>
        <v>Público</v>
      </c>
      <c r="R152" s="105" t="str">
        <f>IFERROR(__xludf.DUMMYFUNCTION("QUERY(Hospitais_BD!D:I,""select H where D='""&amp;D152&amp;""'"")"),"Grande emergência - MÉDIA COMPLEXIDADE")</f>
        <v>Grande emergência - MÉDIA COMPLEXIDADE</v>
      </c>
      <c r="S152" s="167"/>
      <c r="T152" s="106"/>
      <c r="U152" s="154"/>
      <c r="V152" s="81"/>
      <c r="W152" s="82"/>
      <c r="X152" s="81"/>
      <c r="Y152" s="81"/>
      <c r="Z152" s="81"/>
      <c r="AA152" s="81"/>
      <c r="AB152" s="81"/>
      <c r="AC152" s="81"/>
      <c r="AD152" s="81"/>
      <c r="AE152" s="102"/>
      <c r="AF152" s="110"/>
      <c r="AG152" s="139">
        <v>50.0</v>
      </c>
      <c r="AH152" s="139"/>
      <c r="AI152" s="139"/>
      <c r="AJ152" s="139"/>
      <c r="AK152" s="109">
        <v>0.0</v>
      </c>
      <c r="AL152" s="109"/>
      <c r="AM152" s="111" t="s">
        <v>1002</v>
      </c>
    </row>
    <row r="153" ht="21.0" customHeight="1">
      <c r="A153" s="163"/>
      <c r="B153" s="164"/>
      <c r="C153" s="42"/>
      <c r="D153" s="67" t="s">
        <v>765</v>
      </c>
      <c r="E153" s="74"/>
      <c r="F153" s="74"/>
      <c r="G153" s="68"/>
      <c r="H153" s="68"/>
      <c r="I153" s="68"/>
      <c r="J153" s="68"/>
      <c r="K153" s="68"/>
      <c r="L153" s="68"/>
      <c r="M153" s="60" t="str">
        <f>IFERROR(__xludf.DUMMYFUNCTION("QUERY(Hospitais_BD!D:I,""select E where D='""&amp;D153&amp;""'"",0)"),"REGIAO METROPOLITANA")</f>
        <v>REGIAO METROPOLITANA</v>
      </c>
      <c r="N153" s="25" t="str">
        <f>IFERROR(__xludf.DUMMYFUNCTION("QUERY(Hospitais_BD!D:I,""select F where D='""&amp;D153&amp;""'"")"),"Rio de Janeiro")</f>
        <v>Rio de Janeiro</v>
      </c>
      <c r="O153" s="60" t="str">
        <f>IFERROR(__xludf.DUMMYFUNCTION("QUERY(Hospitais_BD!D:I,""select G where D='""&amp;D153&amp;""'"")"),"Cidade Nova")</f>
        <v>Cidade Nova</v>
      </c>
      <c r="P153" s="74" t="s">
        <v>1056</v>
      </c>
      <c r="Q153" s="116" t="str">
        <f>IFERROR(__xludf.DUMMYFUNCTION("QUERY(Hospitais_BD!D:I,""select I where D='""&amp;D153&amp;""'"")"),"Público")</f>
        <v>Público</v>
      </c>
      <c r="R153" s="116" t="str">
        <f>IFERROR(__xludf.DUMMYFUNCTION("QUERY(Hospitais_BD!D:I,""select H where D='""&amp;D153&amp;""'"")"),"Unidade básica de saúde - BAIXA COMPLEXIDADE
")</f>
        <v>Unidade básica de saúde - BAIXA COMPLEXIDADE
</v>
      </c>
      <c r="S153" s="165"/>
      <c r="T153" s="117"/>
      <c r="U153" s="159"/>
      <c r="V153" s="74"/>
      <c r="W153" s="67"/>
      <c r="X153" s="74"/>
      <c r="Y153" s="74"/>
      <c r="Z153" s="74"/>
      <c r="AA153" s="74"/>
      <c r="AB153" s="74"/>
      <c r="AC153" s="74"/>
      <c r="AD153" s="74"/>
      <c r="AE153" s="75"/>
      <c r="AF153" s="121"/>
      <c r="AG153" s="134">
        <v>50.0</v>
      </c>
      <c r="AH153" s="134"/>
      <c r="AI153" s="134"/>
      <c r="AJ153" s="134"/>
      <c r="AK153" s="123">
        <v>0.0</v>
      </c>
      <c r="AL153" s="123"/>
      <c r="AM153" s="124" t="s">
        <v>1002</v>
      </c>
    </row>
    <row r="154" ht="21.0" customHeight="1">
      <c r="A154" s="166"/>
      <c r="B154" s="66"/>
      <c r="C154" s="59"/>
      <c r="D154" s="82" t="s">
        <v>768</v>
      </c>
      <c r="E154" s="81"/>
      <c r="F154" s="81"/>
      <c r="G154" s="65"/>
      <c r="H154" s="65"/>
      <c r="I154" s="65"/>
      <c r="J154" s="65"/>
      <c r="K154" s="65"/>
      <c r="L154" s="65"/>
      <c r="M154" s="43" t="str">
        <f>IFERROR(__xludf.DUMMYFUNCTION("QUERY(Hospitais_BD!D:I,""select E where D='""&amp;D154&amp;""'"",0)"),"BAIXADA FLUMINENSE")</f>
        <v>BAIXADA FLUMINENSE</v>
      </c>
      <c r="N154" s="32" t="str">
        <f>IFERROR(__xludf.DUMMYFUNCTION("QUERY(Hospitais_BD!D:I,""select F where D='""&amp;D154&amp;""'"")"),"Paracambi")</f>
        <v>Paracambi</v>
      </c>
      <c r="O154" s="43" t="str">
        <f>IFERROR(__xludf.DUMMYFUNCTION("QUERY(Hospitais_BD!D:I,""select G where D='""&amp;D154&amp;""'"")"),"Lages")</f>
        <v>Lages</v>
      </c>
      <c r="P154" s="81" t="s">
        <v>1057</v>
      </c>
      <c r="Q154" s="105" t="str">
        <f>IFERROR(__xludf.DUMMYFUNCTION("QUERY(Hospitais_BD!D:I,""select I where D='""&amp;D154&amp;""'"")"),"Público")</f>
        <v>Público</v>
      </c>
      <c r="R154" s="105" t="str">
        <f>IFERROR(__xludf.DUMMYFUNCTION("QUERY(Hospitais_BD!D:I,""select H where D='""&amp;D154&amp;""'"")"),"Unidade básica de saúde - BAIXA COMPLEXIDADE
")</f>
        <v>Unidade básica de saúde - BAIXA COMPLEXIDADE
</v>
      </c>
      <c r="S154" s="167"/>
      <c r="T154" s="106"/>
      <c r="U154" s="154"/>
      <c r="V154" s="81"/>
      <c r="W154" s="82"/>
      <c r="X154" s="81"/>
      <c r="Y154" s="81"/>
      <c r="Z154" s="81"/>
      <c r="AA154" s="81"/>
      <c r="AB154" s="81"/>
      <c r="AC154" s="81"/>
      <c r="AD154" s="81"/>
      <c r="AE154" s="102"/>
      <c r="AF154" s="110"/>
      <c r="AG154" s="139">
        <v>50.0</v>
      </c>
      <c r="AH154" s="139"/>
      <c r="AI154" s="139"/>
      <c r="AJ154" s="139">
        <v>25.0</v>
      </c>
      <c r="AK154" s="109">
        <v>0.0</v>
      </c>
      <c r="AL154" s="109"/>
      <c r="AM154" s="111" t="s">
        <v>1002</v>
      </c>
    </row>
    <row r="155" ht="21.0" customHeight="1">
      <c r="A155" s="163"/>
      <c r="B155" s="164"/>
      <c r="C155" s="42"/>
      <c r="D155" s="55" t="s">
        <v>769</v>
      </c>
      <c r="E155" s="74"/>
      <c r="F155" s="74"/>
      <c r="G155" s="74"/>
      <c r="H155" s="68"/>
      <c r="I155" s="68"/>
      <c r="J155" s="68"/>
      <c r="K155" s="68"/>
      <c r="L155" s="68"/>
      <c r="M155" s="60" t="str">
        <f>IFERROR(__xludf.DUMMYFUNCTION("QUERY(Hospitais_BD!D:I,""select E where D='""&amp;D155&amp;""'"",0)"),"ZONA NORTE")</f>
        <v>ZONA NORTE</v>
      </c>
      <c r="N155" s="25" t="str">
        <f>IFERROR(__xludf.DUMMYFUNCTION("QUERY(Hospitais_BD!D:I,""select F where D='""&amp;D155&amp;""'"")"),"Rio de Janeiro")</f>
        <v>Rio de Janeiro</v>
      </c>
      <c r="O155" s="60" t="str">
        <f>IFERROR(__xludf.DUMMYFUNCTION("QUERY(Hospitais_BD!D:I,""select G where D='""&amp;D155&amp;""'"")"),"Bonsucesso")</f>
        <v>Bonsucesso</v>
      </c>
      <c r="P155" s="74"/>
      <c r="Q155" s="116" t="str">
        <f>IFERROR(__xludf.DUMMYFUNCTION("QUERY(Hospitais_BD!D:I,""select I where D='""&amp;D155&amp;""'"")"),"Público")</f>
        <v>Público</v>
      </c>
      <c r="R155" s="116" t="str">
        <f>IFERROR(__xludf.DUMMYFUNCTION("QUERY(Hospitais_BD!D:I,""select H where D='""&amp;D155&amp;""'"")"),"Outra Instituição")</f>
        <v>Outra Instituição</v>
      </c>
      <c r="S155" s="165"/>
      <c r="T155" s="117"/>
      <c r="U155" s="159"/>
      <c r="V155" s="74"/>
      <c r="W155" s="67"/>
      <c r="X155" s="74"/>
      <c r="Y155" s="74"/>
      <c r="Z155" s="74"/>
      <c r="AA155" s="74"/>
      <c r="AB155" s="74"/>
      <c r="AC155" s="74"/>
      <c r="AD155" s="74"/>
      <c r="AE155" s="75"/>
      <c r="AF155" s="121"/>
      <c r="AG155" s="68">
        <v>17.0</v>
      </c>
      <c r="AH155" s="134">
        <v>0.0</v>
      </c>
      <c r="AI155" s="134">
        <v>0.0</v>
      </c>
      <c r="AJ155" s="134">
        <v>0.0</v>
      </c>
      <c r="AK155" s="123">
        <v>0.0</v>
      </c>
      <c r="AL155" s="123"/>
      <c r="AM155" s="124" t="s">
        <v>1002</v>
      </c>
    </row>
    <row r="156" ht="21.0" customHeight="1">
      <c r="A156" s="166"/>
      <c r="B156" s="66"/>
      <c r="C156" s="59"/>
      <c r="D156" s="44" t="s">
        <v>771</v>
      </c>
      <c r="E156" s="81"/>
      <c r="F156" s="81"/>
      <c r="G156" s="102"/>
      <c r="H156" s="65"/>
      <c r="I156" s="65"/>
      <c r="J156" s="65"/>
      <c r="K156" s="65"/>
      <c r="L156" s="65"/>
      <c r="M156" s="43" t="str">
        <f>IFERROR(__xludf.DUMMYFUNCTION("QUERY(Hospitais_BD!D:I,""select E where D='""&amp;D156&amp;""'"",0)"),"ZONA NORTE")</f>
        <v>ZONA NORTE</v>
      </c>
      <c r="N156" s="32" t="str">
        <f>IFERROR(__xludf.DUMMYFUNCTION("QUERY(Hospitais_BD!D:I,""select F where D='""&amp;D156&amp;""'"")"),"Rio de Janeiro")</f>
        <v>Rio de Janeiro</v>
      </c>
      <c r="O156" s="43" t="str">
        <f>IFERROR(__xludf.DUMMYFUNCTION("QUERY(Hospitais_BD!D:I,""select G where D='""&amp;D156&amp;""'"")"),"Grajau")</f>
        <v>Grajau</v>
      </c>
      <c r="P156" s="81"/>
      <c r="Q156" s="105" t="str">
        <f>IFERROR(__xludf.DUMMYFUNCTION("QUERY(Hospitais_BD!D:I,""select I where D='""&amp;D156&amp;""'"")"),"Público")</f>
        <v>Público</v>
      </c>
      <c r="R156" s="105" t="str">
        <f>IFERROR(__xludf.DUMMYFUNCTION("QUERY(Hospitais_BD!D:I,""select H where D='""&amp;D156&amp;""'"")"),"Outra Instituição")</f>
        <v>Outra Instituição</v>
      </c>
      <c r="S156" s="167"/>
      <c r="T156" s="106"/>
      <c r="U156" s="154"/>
      <c r="V156" s="81"/>
      <c r="W156" s="82"/>
      <c r="X156" s="81"/>
      <c r="Y156" s="81"/>
      <c r="Z156" s="81"/>
      <c r="AA156" s="81"/>
      <c r="AB156" s="81"/>
      <c r="AC156" s="81"/>
      <c r="AD156" s="81"/>
      <c r="AE156" s="102"/>
      <c r="AF156" s="110"/>
      <c r="AG156" s="65">
        <v>10.0</v>
      </c>
      <c r="AH156" s="139">
        <v>0.0</v>
      </c>
      <c r="AI156" s="139">
        <v>0.0</v>
      </c>
      <c r="AJ156" s="139">
        <v>0.0</v>
      </c>
      <c r="AK156" s="109">
        <v>0.0</v>
      </c>
      <c r="AL156" s="109"/>
      <c r="AM156" s="111" t="s">
        <v>1002</v>
      </c>
    </row>
    <row r="157" ht="21.0" customHeight="1">
      <c r="A157" s="163"/>
      <c r="B157" s="164"/>
      <c r="C157" s="42"/>
      <c r="D157" s="55" t="s">
        <v>623</v>
      </c>
      <c r="E157" s="74"/>
      <c r="F157" s="74"/>
      <c r="G157" s="75"/>
      <c r="H157" s="68"/>
      <c r="I157" s="68"/>
      <c r="J157" s="68"/>
      <c r="K157" s="68"/>
      <c r="L157" s="68"/>
      <c r="M157" s="60" t="str">
        <f>IFERROR(__xludf.DUMMYFUNCTION("QUERY(Hospitais_BD!D:I,""select E where D='""&amp;D157&amp;""'"",0)"),"REGIAO MEDIO PARAIBA")</f>
        <v>REGIAO MEDIO PARAIBA</v>
      </c>
      <c r="N157" s="25" t="str">
        <f>IFERROR(__xludf.DUMMYFUNCTION("QUERY(Hospitais_BD!D:I,""select F where D='""&amp;D157&amp;""'"")"),"Volta Redonda")</f>
        <v>Volta Redonda</v>
      </c>
      <c r="O157" s="60" t="str">
        <f>IFERROR(__xludf.DUMMYFUNCTION("QUERY(Hospitais_BD!D:I,""select G where D='""&amp;D157&amp;""'"")"),"Retiro")</f>
        <v>Retiro</v>
      </c>
      <c r="P157" s="74"/>
      <c r="Q157" s="116" t="str">
        <f>IFERROR(__xludf.DUMMYFUNCTION("QUERY(Hospitais_BD!D:I,""select I where D='""&amp;D157&amp;""'"")"),"Público")</f>
        <v>Público</v>
      </c>
      <c r="R157" s="116" t="str">
        <f>IFERROR(__xludf.DUMMYFUNCTION("QUERY(Hospitais_BD!D:I,""select H where D='""&amp;D157&amp;""'"")"),"Hospital de Apoio - MÉDIA COMPLEXIDADE
")</f>
        <v>Hospital de Apoio - MÉDIA COMPLEXIDADE
</v>
      </c>
      <c r="S157" s="165"/>
      <c r="T157" s="117"/>
      <c r="U157" s="159"/>
      <c r="V157" s="74"/>
      <c r="W157" s="67"/>
      <c r="X157" s="74"/>
      <c r="Y157" s="74"/>
      <c r="Z157" s="74"/>
      <c r="AA157" s="74"/>
      <c r="AB157" s="74"/>
      <c r="AC157" s="74"/>
      <c r="AD157" s="74"/>
      <c r="AE157" s="75"/>
      <c r="AF157" s="121"/>
      <c r="AG157" s="68">
        <v>100.0</v>
      </c>
      <c r="AH157" s="134">
        <v>0.0</v>
      </c>
      <c r="AI157" s="134">
        <v>0.0</v>
      </c>
      <c r="AJ157" s="134">
        <v>100.0</v>
      </c>
      <c r="AK157" s="123">
        <v>0.0</v>
      </c>
      <c r="AL157" s="123"/>
      <c r="AM157" s="124" t="s">
        <v>1002</v>
      </c>
    </row>
    <row r="158" ht="21.0" customHeight="1">
      <c r="A158" s="166"/>
      <c r="B158" s="66"/>
      <c r="C158" s="59"/>
      <c r="D158" s="44" t="s">
        <v>773</v>
      </c>
      <c r="E158" s="81"/>
      <c r="F158" s="81"/>
      <c r="G158" s="102"/>
      <c r="H158" s="65"/>
      <c r="I158" s="65"/>
      <c r="J158" s="65"/>
      <c r="K158" s="65"/>
      <c r="L158" s="65"/>
      <c r="M158" s="43" t="str">
        <f>IFERROR(__xludf.DUMMYFUNCTION("QUERY(Hospitais_BD!D:I,""select E where D='""&amp;D158&amp;""'"",0)"),"ZONA SUL")</f>
        <v>ZONA SUL</v>
      </c>
      <c r="N158" s="32" t="str">
        <f>IFERROR(__xludf.DUMMYFUNCTION("QUERY(Hospitais_BD!D:I,""select F where D='""&amp;D158&amp;""'"")"),"Rio de Janeiro")</f>
        <v>Rio de Janeiro</v>
      </c>
      <c r="O158" s="43" t="str">
        <f>IFERROR(__xludf.DUMMYFUNCTION("QUERY(Hospitais_BD!D:I,""select G where D='""&amp;D158&amp;""'"")"),"Botafogo")</f>
        <v>Botafogo</v>
      </c>
      <c r="P158" s="81"/>
      <c r="Q158" s="105" t="str">
        <f>IFERROR(__xludf.DUMMYFUNCTION("QUERY(Hospitais_BD!D:I,""select I where D='""&amp;D158&amp;""'"")"),"Público")</f>
        <v>Público</v>
      </c>
      <c r="R158" s="105" t="str">
        <f>IFERROR(__xludf.DUMMYFUNCTION("QUERY(Hospitais_BD!D:I,""select H where D='""&amp;D158&amp;""'"")"),"Referência - ALTA COMPLEXIDADE")</f>
        <v>Referência - ALTA COMPLEXIDADE</v>
      </c>
      <c r="S158" s="167"/>
      <c r="T158" s="106"/>
      <c r="U158" s="154"/>
      <c r="V158" s="81"/>
      <c r="W158" s="82"/>
      <c r="X158" s="81"/>
      <c r="Y158" s="81"/>
      <c r="Z158" s="81"/>
      <c r="AA158" s="81"/>
      <c r="AB158" s="81"/>
      <c r="AC158" s="81"/>
      <c r="AD158" s="81"/>
      <c r="AE158" s="102"/>
      <c r="AF158" s="110"/>
      <c r="AG158" s="65">
        <v>75.0</v>
      </c>
      <c r="AH158" s="139">
        <v>0.0</v>
      </c>
      <c r="AI158" s="139">
        <v>0.0</v>
      </c>
      <c r="AJ158" s="139">
        <v>0.0</v>
      </c>
      <c r="AK158" s="109">
        <v>0.0</v>
      </c>
      <c r="AL158" s="109"/>
      <c r="AM158" s="111" t="s">
        <v>1002</v>
      </c>
    </row>
    <row r="159" ht="21.0" customHeight="1">
      <c r="A159" s="163"/>
      <c r="B159" s="164"/>
      <c r="C159" s="42"/>
      <c r="D159" s="55" t="s">
        <v>774</v>
      </c>
      <c r="E159" s="74"/>
      <c r="F159" s="74"/>
      <c r="G159" s="75"/>
      <c r="H159" s="68"/>
      <c r="I159" s="68"/>
      <c r="J159" s="68"/>
      <c r="K159" s="68"/>
      <c r="L159" s="68"/>
      <c r="M159" s="60" t="str">
        <f>IFERROR(__xludf.DUMMYFUNCTION("QUERY(Hospitais_BD!D:I,""select E where D='""&amp;D159&amp;""'"",0)"),"ZONA SUL")</f>
        <v>ZONA SUL</v>
      </c>
      <c r="N159" s="25" t="str">
        <f>IFERROR(__xludf.DUMMYFUNCTION("QUERY(Hospitais_BD!D:I,""select F where D='""&amp;D159&amp;""'"")"),"Rio de Janeiro")</f>
        <v>Rio de Janeiro</v>
      </c>
      <c r="O159" s="60" t="str">
        <f>IFERROR(__xludf.DUMMYFUNCTION("QUERY(Hospitais_BD!D:I,""select G where D='""&amp;D159&amp;""'"")"),"Botafogo")</f>
        <v>Botafogo</v>
      </c>
      <c r="P159" s="74"/>
      <c r="Q159" s="116" t="str">
        <f>IFERROR(__xludf.DUMMYFUNCTION("QUERY(Hospitais_BD!D:I,""select I where D='""&amp;D159&amp;""'"")"),"Público")</f>
        <v>Público</v>
      </c>
      <c r="R159" s="116" t="str">
        <f>IFERROR(__xludf.DUMMYFUNCTION("QUERY(Hospitais_BD!D:I,""select H where D='""&amp;D159&amp;""'"")"),"REferência - ALTA COMPLEXIDADE")</f>
        <v>REferência - ALTA COMPLEXIDADE</v>
      </c>
      <c r="S159" s="165"/>
      <c r="T159" s="117"/>
      <c r="U159" s="159"/>
      <c r="V159" s="74"/>
      <c r="W159" s="67"/>
      <c r="X159" s="74"/>
      <c r="Y159" s="74"/>
      <c r="Z159" s="74"/>
      <c r="AA159" s="74"/>
      <c r="AB159" s="74"/>
      <c r="AC159" s="74"/>
      <c r="AD159" s="74"/>
      <c r="AE159" s="75"/>
      <c r="AF159" s="121"/>
      <c r="AG159" s="68">
        <v>75.0</v>
      </c>
      <c r="AH159" s="134">
        <v>0.0</v>
      </c>
      <c r="AI159" s="134">
        <v>0.0</v>
      </c>
      <c r="AJ159" s="134">
        <v>0.0</v>
      </c>
      <c r="AK159" s="123">
        <v>0.0</v>
      </c>
      <c r="AL159" s="123"/>
      <c r="AM159" s="124" t="s">
        <v>1002</v>
      </c>
    </row>
    <row r="160" ht="21.0" customHeight="1">
      <c r="A160" s="166"/>
      <c r="B160" s="66"/>
      <c r="C160" s="59"/>
      <c r="D160" s="142" t="s">
        <v>776</v>
      </c>
      <c r="E160" s="81"/>
      <c r="F160" s="81"/>
      <c r="G160" s="102"/>
      <c r="H160" s="65"/>
      <c r="I160" s="65"/>
      <c r="J160" s="65"/>
      <c r="K160" s="65"/>
      <c r="L160" s="65"/>
      <c r="M160" s="43" t="str">
        <f>IFERROR(__xludf.DUMMYFUNCTION("QUERY(Hospitais_BD!D:I,""select E where D='""&amp;D160&amp;""'"",0)"),"ZONA NORTE")</f>
        <v>ZONA NORTE</v>
      </c>
      <c r="N160" s="32" t="str">
        <f>IFERROR(__xludf.DUMMYFUNCTION("QUERY(Hospitais_BD!D:I,""select F where D='""&amp;D160&amp;""'"")"),"Rio de Janeiro")</f>
        <v>Rio de Janeiro</v>
      </c>
      <c r="O160" s="43" t="str">
        <f>IFERROR(__xludf.DUMMYFUNCTION("QUERY(Hospitais_BD!D:I,""select G where D='""&amp;D160&amp;""'"")"),"Cidade Universitaria")</f>
        <v>Cidade Universitaria</v>
      </c>
      <c r="P160" s="81"/>
      <c r="Q160" s="105" t="str">
        <f>IFERROR(__xludf.DUMMYFUNCTION("QUERY(Hospitais_BD!D:I,""select I where D='""&amp;D160&amp;""'"")"),"Público")</f>
        <v>Público</v>
      </c>
      <c r="R160" s="105" t="str">
        <f>IFERROR(__xludf.DUMMYFUNCTION("QUERY(Hospitais_BD!D:I,""select H where D='""&amp;D160&amp;""'"")"),"Referência - ALTA COMPLEXIDADE")</f>
        <v>Referência - ALTA COMPLEXIDADE</v>
      </c>
      <c r="S160" s="167"/>
      <c r="T160" s="106"/>
      <c r="U160" s="154"/>
      <c r="V160" s="81"/>
      <c r="W160" s="82"/>
      <c r="X160" s="81"/>
      <c r="Y160" s="81"/>
      <c r="Z160" s="81"/>
      <c r="AA160" s="81"/>
      <c r="AB160" s="81"/>
      <c r="AC160" s="81"/>
      <c r="AD160" s="81"/>
      <c r="AE160" s="102"/>
      <c r="AF160" s="110"/>
      <c r="AG160" s="65">
        <v>14.0</v>
      </c>
      <c r="AH160" s="139">
        <v>0.0</v>
      </c>
      <c r="AI160" s="139">
        <v>0.0</v>
      </c>
      <c r="AJ160" s="139">
        <v>0.0</v>
      </c>
      <c r="AK160" s="109">
        <v>0.0</v>
      </c>
      <c r="AL160" s="109"/>
      <c r="AM160" s="111" t="s">
        <v>1002</v>
      </c>
    </row>
    <row r="161" ht="21.0" customHeight="1">
      <c r="A161" s="163"/>
      <c r="B161" s="164"/>
      <c r="C161" s="42"/>
      <c r="D161" s="55" t="s">
        <v>777</v>
      </c>
      <c r="E161" s="74"/>
      <c r="F161" s="74"/>
      <c r="G161" s="75"/>
      <c r="H161" s="68"/>
      <c r="I161" s="68"/>
      <c r="J161" s="68"/>
      <c r="K161" s="68"/>
      <c r="L161" s="68"/>
      <c r="M161" s="60" t="str">
        <f>IFERROR(__xludf.DUMMYFUNCTION("QUERY(Hospitais_BD!D:I,""select E where D='""&amp;D161&amp;""'"",0)"),"ZONA NORTE")</f>
        <v>ZONA NORTE</v>
      </c>
      <c r="N161" s="25" t="str">
        <f>IFERROR(__xludf.DUMMYFUNCTION("QUERY(Hospitais_BD!D:I,""select F where D='""&amp;D161&amp;""'"")"),"Rio de Janeiro")</f>
        <v>Rio de Janeiro</v>
      </c>
      <c r="O161" s="60" t="str">
        <f>IFERROR(__xludf.DUMMYFUNCTION("QUERY(Hospitais_BD!D:I,""select G where D='""&amp;D161&amp;""'"")"),"Jacarezinho")</f>
        <v>Jacarezinho</v>
      </c>
      <c r="P161" s="74"/>
      <c r="Q161" s="116" t="str">
        <f>IFERROR(__xludf.DUMMYFUNCTION("QUERY(Hospitais_BD!D:I,""select I where D='""&amp;D161&amp;""'"")"),"Público")</f>
        <v>Público</v>
      </c>
      <c r="R161" s="116" t="str">
        <f>IFERROR(__xludf.DUMMYFUNCTION("QUERY(Hospitais_BD!D:I,""select H where D='""&amp;D161&amp;""'"")"),"Outra Instituição")</f>
        <v>Outra Instituição</v>
      </c>
      <c r="S161" s="165"/>
      <c r="T161" s="117"/>
      <c r="U161" s="159"/>
      <c r="V161" s="74"/>
      <c r="W161" s="67"/>
      <c r="X161" s="74"/>
      <c r="Y161" s="74"/>
      <c r="Z161" s="74"/>
      <c r="AA161" s="74"/>
      <c r="AB161" s="74"/>
      <c r="AC161" s="74"/>
      <c r="AD161" s="74"/>
      <c r="AE161" s="75"/>
      <c r="AF161" s="121"/>
      <c r="AG161" s="68">
        <v>15.0</v>
      </c>
      <c r="AH161" s="134">
        <v>0.0</v>
      </c>
      <c r="AI161" s="134">
        <v>0.0</v>
      </c>
      <c r="AJ161" s="134">
        <v>0.0</v>
      </c>
      <c r="AK161" s="123">
        <v>0.0</v>
      </c>
      <c r="AL161" s="123"/>
      <c r="AM161" s="124" t="s">
        <v>1002</v>
      </c>
    </row>
    <row r="162" ht="21.0" customHeight="1">
      <c r="A162" s="166"/>
      <c r="B162" s="66"/>
      <c r="C162" s="59"/>
      <c r="D162" s="44" t="s">
        <v>779</v>
      </c>
      <c r="E162" s="81"/>
      <c r="F162" s="81"/>
      <c r="G162" s="102"/>
      <c r="H162" s="65"/>
      <c r="I162" s="65"/>
      <c r="J162" s="65"/>
      <c r="K162" s="65"/>
      <c r="L162" s="65"/>
      <c r="M162" s="43" t="str">
        <f>IFERROR(__xludf.DUMMYFUNCTION("QUERY(Hospitais_BD!D:I,""select E where D='""&amp;D162&amp;""'"",0)"),"ZONA NORTE")</f>
        <v>ZONA NORTE</v>
      </c>
      <c r="N162" s="32" t="str">
        <f>IFERROR(__xludf.DUMMYFUNCTION("QUERY(Hospitais_BD!D:I,""select F where D='""&amp;D162&amp;""'"")"),"Rio de Janeiro")</f>
        <v>Rio de Janeiro</v>
      </c>
      <c r="O162" s="43" t="str">
        <f>IFERROR(__xludf.DUMMYFUNCTION("QUERY(Hospitais_BD!D:I,""select G where D='""&amp;D162&amp;""'"")"),"TIJUCA")</f>
        <v>TIJUCA</v>
      </c>
      <c r="P162" s="81" t="str">
        <f>IFERROR(__xludf.DUMMYFUNCTION("QUERY(Hospitais_BD!D:I,""select H where D='""&amp;D162&amp;""'"")"),"Outra Instituição")</f>
        <v>Outra Instituição</v>
      </c>
      <c r="Q162" s="105" t="str">
        <f>IFERROR(__xludf.DUMMYFUNCTION("QUERY(Hospitais_BD!D:I,""select I where D='""&amp;D162&amp;""'"")"),"Público")</f>
        <v>Público</v>
      </c>
      <c r="R162" s="105" t="str">
        <f>IFERROR(__xludf.DUMMYFUNCTION("QUERY(Hospitais_BD!D:I,""select H where D='""&amp;D162&amp;""'"")"),"Outra Instituição")</f>
        <v>Outra Instituição</v>
      </c>
      <c r="S162" s="167"/>
      <c r="T162" s="106"/>
      <c r="U162" s="154"/>
      <c r="V162" s="81"/>
      <c r="W162" s="82"/>
      <c r="X162" s="81"/>
      <c r="Y162" s="81"/>
      <c r="Z162" s="81"/>
      <c r="AA162" s="81"/>
      <c r="AB162" s="81"/>
      <c r="AC162" s="81"/>
      <c r="AD162" s="81"/>
      <c r="AE162" s="102"/>
      <c r="AF162" s="110"/>
      <c r="AG162" s="65">
        <v>50.0</v>
      </c>
      <c r="AH162" s="139">
        <v>0.0</v>
      </c>
      <c r="AI162" s="139">
        <v>0.0</v>
      </c>
      <c r="AJ162" s="139">
        <v>0.0</v>
      </c>
      <c r="AK162" s="109">
        <v>0.0</v>
      </c>
      <c r="AL162" s="109"/>
      <c r="AM162" s="111" t="s">
        <v>1002</v>
      </c>
    </row>
    <row r="163" ht="21.0" customHeight="1">
      <c r="A163" s="163"/>
      <c r="B163" s="164"/>
      <c r="C163" s="42"/>
      <c r="D163" s="55" t="s">
        <v>780</v>
      </c>
      <c r="E163" s="74"/>
      <c r="F163" s="74"/>
      <c r="G163" s="75"/>
      <c r="H163" s="68"/>
      <c r="I163" s="68"/>
      <c r="J163" s="68"/>
      <c r="K163" s="68"/>
      <c r="L163" s="68"/>
      <c r="M163" s="60" t="str">
        <f>IFERROR(__xludf.DUMMYFUNCTION("QUERY(Hospitais_BD!D:I,""select E where D='""&amp;D163&amp;""'"",0)"),"ZONA OESTE")</f>
        <v>ZONA OESTE</v>
      </c>
      <c r="N163" s="25" t="str">
        <f>IFERROR(__xludf.DUMMYFUNCTION("QUERY(Hospitais_BD!D:I,""select F where D='""&amp;D163&amp;""'"")"),"Rio de Janeiro")</f>
        <v>Rio de Janeiro</v>
      </c>
      <c r="O163" s="60" t="str">
        <f>IFERROR(__xludf.DUMMYFUNCTION("QUERY(Hospitais_BD!D:I,""select G where D='""&amp;D163&amp;""'"")"),"Barra da Tijuca")</f>
        <v>Barra da Tijuca</v>
      </c>
      <c r="P163" s="74"/>
      <c r="Q163" s="116" t="str">
        <f>IFERROR(__xludf.DUMMYFUNCTION("QUERY(Hospitais_BD!D:I,""select I where D='""&amp;D163&amp;""'"")"),"Público")</f>
        <v>Público</v>
      </c>
      <c r="R163" s="116" t="str">
        <f>IFERROR(__xludf.DUMMYFUNCTION("QUERY(Hospitais_BD!D:I,""select H where D='""&amp;D163&amp;""'"")"),"Grande emergência - MÉDIA COMPLEXIDADE
")</f>
        <v>Grande emergência - MÉDIA COMPLEXIDADE
</v>
      </c>
      <c r="S163" s="165"/>
      <c r="T163" s="117"/>
      <c r="U163" s="159"/>
      <c r="V163" s="74"/>
      <c r="W163" s="67"/>
      <c r="X163" s="74"/>
      <c r="Y163" s="74"/>
      <c r="Z163" s="74"/>
      <c r="AA163" s="74"/>
      <c r="AB163" s="74"/>
      <c r="AC163" s="74"/>
      <c r="AD163" s="74"/>
      <c r="AE163" s="75"/>
      <c r="AF163" s="121"/>
      <c r="AG163" s="68">
        <v>50.0</v>
      </c>
      <c r="AH163" s="134">
        <v>0.0</v>
      </c>
      <c r="AI163" s="134">
        <v>0.0</v>
      </c>
      <c r="AJ163" s="134">
        <v>0.0</v>
      </c>
      <c r="AK163" s="123">
        <v>0.0</v>
      </c>
      <c r="AL163" s="123"/>
      <c r="AM163" s="124" t="s">
        <v>1002</v>
      </c>
    </row>
    <row r="164" ht="21.0" customHeight="1">
      <c r="A164" s="166"/>
      <c r="B164" s="66"/>
      <c r="C164" s="59"/>
      <c r="D164" s="44" t="s">
        <v>781</v>
      </c>
      <c r="E164" s="81"/>
      <c r="F164" s="81"/>
      <c r="G164" s="102"/>
      <c r="H164" s="65"/>
      <c r="I164" s="65"/>
      <c r="J164" s="65"/>
      <c r="K164" s="65"/>
      <c r="L164" s="65"/>
      <c r="M164" s="43" t="str">
        <f>IFERROR(__xludf.DUMMYFUNCTION("QUERY(Hospitais_BD!D:I,""select E where D='""&amp;D164&amp;""'"",0)"),"CENTRO")</f>
        <v>CENTRO</v>
      </c>
      <c r="N164" s="32" t="str">
        <f>IFERROR(__xludf.DUMMYFUNCTION("QUERY(Hospitais_BD!D:I,""select F where D='""&amp;D164&amp;""'"")"),"Rio de Janeiro")</f>
        <v>Rio de Janeiro</v>
      </c>
      <c r="O164" s="43" t="str">
        <f>IFERROR(__xludf.DUMMYFUNCTION("QUERY(Hospitais_BD!D:I,""select G where D='""&amp;D164&amp;""'"")"),"")</f>
        <v/>
      </c>
      <c r="P164" s="81"/>
      <c r="Q164" s="105" t="str">
        <f>IFERROR(__xludf.DUMMYFUNCTION("QUERY(Hospitais_BD!D:I,""select I where D='""&amp;D164&amp;""'"")"),"Público")</f>
        <v>Público</v>
      </c>
      <c r="R164" s="105" t="str">
        <f>IFERROR(__xludf.DUMMYFUNCTION("QUERY(Hospitais_BD!D:I,""select H where D='""&amp;D164&amp;""'"")"),"Outra Instituição")</f>
        <v>Outra Instituição</v>
      </c>
      <c r="S164" s="167"/>
      <c r="T164" s="106"/>
      <c r="U164" s="154"/>
      <c r="V164" s="81"/>
      <c r="W164" s="82"/>
      <c r="X164" s="81"/>
      <c r="Y164" s="81"/>
      <c r="Z164" s="81"/>
      <c r="AA164" s="81"/>
      <c r="AB164" s="81"/>
      <c r="AC164" s="81"/>
      <c r="AD164" s="81"/>
      <c r="AE164" s="102"/>
      <c r="AF164" s="110"/>
      <c r="AG164" s="65">
        <v>10.0</v>
      </c>
      <c r="AH164" s="139">
        <v>0.0</v>
      </c>
      <c r="AI164" s="139">
        <v>0.0</v>
      </c>
      <c r="AJ164" s="139">
        <v>0.0</v>
      </c>
      <c r="AK164" s="109">
        <v>0.0</v>
      </c>
      <c r="AL164" s="109"/>
      <c r="AM164" s="111" t="s">
        <v>1002</v>
      </c>
    </row>
    <row r="165" ht="21.0" customHeight="1">
      <c r="A165" s="163"/>
      <c r="B165" s="164"/>
      <c r="C165" s="42"/>
      <c r="D165" s="55" t="s">
        <v>503</v>
      </c>
      <c r="E165" s="74"/>
      <c r="F165" s="74"/>
      <c r="G165" s="75"/>
      <c r="H165" s="68"/>
      <c r="I165" s="68"/>
      <c r="J165" s="68"/>
      <c r="K165" s="68"/>
      <c r="L165" s="68"/>
      <c r="M165" s="60" t="str">
        <f>IFERROR(__xludf.DUMMYFUNCTION("QUERY(Hospitais_BD!D:I,""select E where D='""&amp;D165&amp;""'"",0)"),"REGIAO METROPOLITANA")</f>
        <v>REGIAO METROPOLITANA</v>
      </c>
      <c r="N165" s="25" t="str">
        <f>IFERROR(__xludf.DUMMYFUNCTION("QUERY(Hospitais_BD!D:I,""select F where D='""&amp;D165&amp;""'"")"),"São Gonçalo")</f>
        <v>São Gonçalo</v>
      </c>
      <c r="O165" s="60" t="str">
        <f>IFERROR(__xludf.DUMMYFUNCTION("QUERY(Hospitais_BD!D:I,""select G where D='""&amp;D165&amp;""'"")"),"Tribobó")</f>
        <v>Tribobó</v>
      </c>
      <c r="P165" s="74"/>
      <c r="Q165" s="116" t="str">
        <f>IFERROR(__xludf.DUMMYFUNCTION("QUERY(Hospitais_BD!D:I,""select I where D='""&amp;D165&amp;""'"")"),"Público")</f>
        <v>Público</v>
      </c>
      <c r="R165" s="116" t="str">
        <f>IFERROR(__xludf.DUMMYFUNCTION("QUERY(Hospitais_BD!D:I,""select H where D='""&amp;D165&amp;""'"")"),"Unidade básica - BAIXA COMPLEXIDADE")</f>
        <v>Unidade básica - BAIXA COMPLEXIDADE</v>
      </c>
      <c r="S165" s="165"/>
      <c r="T165" s="117"/>
      <c r="U165" s="159"/>
      <c r="V165" s="74"/>
      <c r="W165" s="67"/>
      <c r="X165" s="74"/>
      <c r="Y165" s="74"/>
      <c r="Z165" s="74"/>
      <c r="AA165" s="74"/>
      <c r="AB165" s="74"/>
      <c r="AC165" s="74"/>
      <c r="AD165" s="74"/>
      <c r="AE165" s="75"/>
      <c r="AF165" s="121"/>
      <c r="AG165" s="68">
        <v>100.0</v>
      </c>
      <c r="AH165" s="134">
        <v>0.0</v>
      </c>
      <c r="AI165" s="134">
        <v>0.0</v>
      </c>
      <c r="AJ165" s="134">
        <v>50.0</v>
      </c>
      <c r="AK165" s="123">
        <v>0.0</v>
      </c>
      <c r="AL165" s="123"/>
      <c r="AM165" s="124" t="s">
        <v>1002</v>
      </c>
    </row>
    <row r="166" ht="21.0" customHeight="1">
      <c r="A166" s="166"/>
      <c r="B166" s="66"/>
      <c r="C166" s="59"/>
      <c r="D166" s="44" t="s">
        <v>782</v>
      </c>
      <c r="E166" s="81"/>
      <c r="F166" s="81"/>
      <c r="G166" s="102"/>
      <c r="H166" s="65"/>
      <c r="I166" s="65"/>
      <c r="J166" s="65"/>
      <c r="K166" s="65"/>
      <c r="L166" s="65"/>
      <c r="M166" s="43" t="str">
        <f>IFERROR(__xludf.DUMMYFUNCTION("QUERY(Hospitais_BD!D:I,""select E where D='""&amp;D166&amp;""'"",0)"),"REGIAO METROPOLITANA")</f>
        <v>REGIAO METROPOLITANA</v>
      </c>
      <c r="N166" s="32" t="str">
        <f>IFERROR(__xludf.DUMMYFUNCTION("QUERY(Hospitais_BD!D:I,""select F where D='""&amp;D166&amp;""'"")"),"Niterói")</f>
        <v>Niterói</v>
      </c>
      <c r="O166" s="43" t="str">
        <f>IFERROR(__xludf.DUMMYFUNCTION("QUERY(Hospitais_BD!D:I,""select G where D='""&amp;D166&amp;""'"")"),"Pita")</f>
        <v>Pita</v>
      </c>
      <c r="P166" s="81"/>
      <c r="Q166" s="105" t="str">
        <f>IFERROR(__xludf.DUMMYFUNCTION("QUERY(Hospitais_BD!D:I,""select I where D='""&amp;D166&amp;""'"")"),"Público")</f>
        <v>Público</v>
      </c>
      <c r="R166" s="105" t="str">
        <f>IFERROR(__xludf.DUMMYFUNCTION("QUERY(Hospitais_BD!D:I,""select H where D='""&amp;D166&amp;""'"")"),"Outra Instituição")</f>
        <v>Outra Instituição</v>
      </c>
      <c r="S166" s="167"/>
      <c r="T166" s="106"/>
      <c r="U166" s="154"/>
      <c r="V166" s="81"/>
      <c r="W166" s="82"/>
      <c r="X166" s="81"/>
      <c r="Y166" s="81"/>
      <c r="Z166" s="81"/>
      <c r="AA166" s="81"/>
      <c r="AB166" s="81"/>
      <c r="AC166" s="81"/>
      <c r="AD166" s="81"/>
      <c r="AE166" s="102"/>
      <c r="AF166" s="110"/>
      <c r="AG166" s="65">
        <v>15.0</v>
      </c>
      <c r="AH166" s="139">
        <v>0.0</v>
      </c>
      <c r="AI166" s="139">
        <v>0.0</v>
      </c>
      <c r="AJ166" s="139">
        <v>0.0</v>
      </c>
      <c r="AK166" s="109">
        <v>0.0</v>
      </c>
      <c r="AL166" s="109"/>
      <c r="AM166" s="111" t="s">
        <v>1002</v>
      </c>
    </row>
    <row r="167" ht="21.0" customHeight="1">
      <c r="A167" s="163"/>
      <c r="B167" s="164"/>
      <c r="C167" s="42"/>
      <c r="D167" s="55" t="s">
        <v>532</v>
      </c>
      <c r="E167" s="74"/>
      <c r="F167" s="74"/>
      <c r="G167" s="75"/>
      <c r="H167" s="68"/>
      <c r="I167" s="68"/>
      <c r="J167" s="68"/>
      <c r="K167" s="68"/>
      <c r="L167" s="68"/>
      <c r="M167" s="60" t="str">
        <f>IFERROR(__xludf.DUMMYFUNCTION("QUERY(Hospitais_BD!D:I,""select E where D='""&amp;D167&amp;""'"",0)"),"BAIXADA FLUMINENSE")</f>
        <v>BAIXADA FLUMINENSE</v>
      </c>
      <c r="N167" s="25" t="str">
        <f>IFERROR(__xludf.DUMMYFUNCTION("QUERY(Hospitais_BD!D:I,""select F where D='""&amp;D167&amp;""'"")"),"Duque de Caxias")</f>
        <v>Duque de Caxias</v>
      </c>
      <c r="O167" s="60" t="str">
        <f>IFERROR(__xludf.DUMMYFUNCTION("QUERY(Hospitais_BD!D:I,""select G where D='""&amp;D167&amp;""'"")"),"Olavo Bilac")</f>
        <v>Olavo Bilac</v>
      </c>
      <c r="P167" s="74"/>
      <c r="Q167" s="116" t="str">
        <f>IFERROR(__xludf.DUMMYFUNCTION("QUERY(Hospitais_BD!D:I,""select I where D='""&amp;D167&amp;""'"")"),"Público")</f>
        <v>Público</v>
      </c>
      <c r="R167" s="116" t="str">
        <f>IFERROR(__xludf.DUMMYFUNCTION("QUERY(Hospitais_BD!D:I,""select H where D='""&amp;D167&amp;""'"")"),"Unidade básica - BAIXA COMPLEXIDADE")</f>
        <v>Unidade básica - BAIXA COMPLEXIDADE</v>
      </c>
      <c r="S167" s="165"/>
      <c r="T167" s="117"/>
      <c r="U167" s="159"/>
      <c r="V167" s="74"/>
      <c r="W167" s="67"/>
      <c r="X167" s="74"/>
      <c r="Y167" s="74"/>
      <c r="Z167" s="74"/>
      <c r="AA167" s="74"/>
      <c r="AB167" s="74"/>
      <c r="AC167" s="74"/>
      <c r="AD167" s="74"/>
      <c r="AE167" s="75"/>
      <c r="AF167" s="121"/>
      <c r="AG167" s="68">
        <v>25.0</v>
      </c>
      <c r="AH167" s="134">
        <v>0.0</v>
      </c>
      <c r="AI167" s="134">
        <v>0.0</v>
      </c>
      <c r="AJ167" s="134">
        <v>0.0</v>
      </c>
      <c r="AK167" s="123">
        <v>0.0</v>
      </c>
      <c r="AL167" s="123"/>
      <c r="AM167" s="124" t="s">
        <v>1002</v>
      </c>
    </row>
    <row r="168" ht="21.0" customHeight="1">
      <c r="A168" s="166"/>
      <c r="B168" s="66"/>
      <c r="C168" s="59"/>
      <c r="D168" s="142" t="s">
        <v>785</v>
      </c>
      <c r="E168" s="81"/>
      <c r="F168" s="81"/>
      <c r="G168" s="102"/>
      <c r="H168" s="65"/>
      <c r="I168" s="65"/>
      <c r="J168" s="65"/>
      <c r="K168" s="65"/>
      <c r="L168" s="65"/>
      <c r="M168" s="43" t="str">
        <f>IFERROR(__xludf.DUMMYFUNCTION("QUERY(Hospitais_BD!D:I,""select E where D='""&amp;D168&amp;""'"",0)"),"ZONA OESTE")</f>
        <v>ZONA OESTE</v>
      </c>
      <c r="N168" s="32" t="str">
        <f>IFERROR(__xludf.DUMMYFUNCTION("QUERY(Hospitais_BD!D:I,""select F where D='""&amp;D168&amp;""'"")"),"Rio de Janeiro")</f>
        <v>Rio de Janeiro</v>
      </c>
      <c r="O168" s="43" t="str">
        <f>IFERROR(__xludf.DUMMYFUNCTION("QUERY(Hospitais_BD!D:I,""select G where D='""&amp;D168&amp;""'"")"),"Bangu")</f>
        <v>Bangu</v>
      </c>
      <c r="P168" s="81"/>
      <c r="Q168" s="105" t="str">
        <f>IFERROR(__xludf.DUMMYFUNCTION("QUERY(Hospitais_BD!D:I,""select I where D='""&amp;D168&amp;""'"")"),"Público")</f>
        <v>Público</v>
      </c>
      <c r="R168" s="105" t="str">
        <f>IFERROR(__xludf.DUMMYFUNCTION("QUERY(Hospitais_BD!D:I,""select H where D='""&amp;D168&amp;""'"")"),"Grande emergência - MÉDIA COMPLEXIDADE
")</f>
        <v>Grande emergência - MÉDIA COMPLEXIDADE
</v>
      </c>
      <c r="S168" s="167"/>
      <c r="T168" s="106"/>
      <c r="U168" s="154"/>
      <c r="V168" s="81"/>
      <c r="W168" s="82"/>
      <c r="X168" s="81"/>
      <c r="Y168" s="81"/>
      <c r="Z168" s="81"/>
      <c r="AA168" s="81"/>
      <c r="AB168" s="81"/>
      <c r="AC168" s="81"/>
      <c r="AD168" s="81"/>
      <c r="AE168" s="102"/>
      <c r="AF168" s="110"/>
      <c r="AG168" s="65">
        <v>50.0</v>
      </c>
      <c r="AH168" s="139">
        <v>0.0</v>
      </c>
      <c r="AI168" s="139">
        <v>0.0</v>
      </c>
      <c r="AJ168" s="139">
        <v>0.0</v>
      </c>
      <c r="AK168" s="139"/>
      <c r="AL168" s="139">
        <v>50.0</v>
      </c>
      <c r="AM168" s="111" t="s">
        <v>1002</v>
      </c>
    </row>
    <row r="169" ht="21.0" customHeight="1">
      <c r="A169" s="163"/>
      <c r="B169" s="164"/>
      <c r="C169" s="42"/>
      <c r="D169" s="55" t="s">
        <v>786</v>
      </c>
      <c r="E169" s="74"/>
      <c r="F169" s="74"/>
      <c r="G169" s="75"/>
      <c r="H169" s="68"/>
      <c r="I169" s="68"/>
      <c r="J169" s="68"/>
      <c r="K169" s="68"/>
      <c r="L169" s="68"/>
      <c r="M169" s="60"/>
      <c r="N169" s="25"/>
      <c r="O169" s="60"/>
      <c r="P169" s="74"/>
      <c r="Q169" s="116"/>
      <c r="R169" s="116"/>
      <c r="S169" s="165"/>
      <c r="T169" s="117"/>
      <c r="U169" s="159"/>
      <c r="V169" s="74"/>
      <c r="W169" s="67"/>
      <c r="X169" s="74"/>
      <c r="Y169" s="74"/>
      <c r="Z169" s="74"/>
      <c r="AA169" s="74"/>
      <c r="AB169" s="74"/>
      <c r="AC169" s="74"/>
      <c r="AD169" s="74"/>
      <c r="AE169" s="75"/>
      <c r="AF169" s="121"/>
      <c r="AG169" s="68">
        <v>100.0</v>
      </c>
      <c r="AH169" s="134">
        <v>0.0</v>
      </c>
      <c r="AI169" s="134">
        <v>0.0</v>
      </c>
      <c r="AJ169" s="134">
        <v>0.0</v>
      </c>
      <c r="AK169" s="134"/>
      <c r="AL169" s="134">
        <v>10.0</v>
      </c>
      <c r="AM169" s="124" t="s">
        <v>1002</v>
      </c>
    </row>
    <row r="170" ht="21.0" customHeight="1">
      <c r="A170" s="166"/>
      <c r="B170" s="66"/>
      <c r="C170" s="59"/>
      <c r="D170" s="44" t="s">
        <v>786</v>
      </c>
      <c r="E170" s="81"/>
      <c r="F170" s="81"/>
      <c r="G170" s="102"/>
      <c r="H170" s="65"/>
      <c r="I170" s="65"/>
      <c r="J170" s="65"/>
      <c r="K170" s="65"/>
      <c r="L170" s="65"/>
      <c r="M170" s="43"/>
      <c r="N170" s="32"/>
      <c r="O170" s="43"/>
      <c r="P170" s="81"/>
      <c r="Q170" s="105"/>
      <c r="R170" s="105"/>
      <c r="S170" s="167"/>
      <c r="T170" s="106"/>
      <c r="U170" s="154"/>
      <c r="V170" s="81"/>
      <c r="W170" s="82"/>
      <c r="X170" s="81"/>
      <c r="Y170" s="81"/>
      <c r="Z170" s="81"/>
      <c r="AA170" s="81"/>
      <c r="AB170" s="81"/>
      <c r="AC170" s="81"/>
      <c r="AD170" s="81"/>
      <c r="AE170" s="102"/>
      <c r="AF170" s="110"/>
      <c r="AG170" s="65">
        <v>30.0</v>
      </c>
      <c r="AH170" s="139">
        <v>0.0</v>
      </c>
      <c r="AI170" s="139">
        <v>0.0</v>
      </c>
      <c r="AJ170" s="139">
        <v>0.0</v>
      </c>
      <c r="AK170" s="109">
        <v>0.0</v>
      </c>
      <c r="AL170" s="109"/>
      <c r="AM170" s="111" t="s">
        <v>1002</v>
      </c>
    </row>
    <row r="171" ht="21.0" customHeight="1">
      <c r="A171" s="163"/>
      <c r="B171" s="164"/>
      <c r="C171" s="42"/>
      <c r="D171" s="46" t="s">
        <v>787</v>
      </c>
      <c r="E171" s="74"/>
      <c r="F171" s="74"/>
      <c r="G171" s="75"/>
      <c r="H171" s="68"/>
      <c r="I171" s="68"/>
      <c r="J171" s="68"/>
      <c r="K171" s="68"/>
      <c r="L171" s="68"/>
      <c r="M171" s="60" t="str">
        <f>IFERROR(__xludf.DUMMYFUNCTION("QUERY(Hospitais_BD!D:I,""select E where D='""&amp;D171&amp;""'"",0)"),"ZONA SUL")</f>
        <v>ZONA SUL</v>
      </c>
      <c r="N171" s="25" t="str">
        <f>IFERROR(__xludf.DUMMYFUNCTION("QUERY(Hospitais_BD!D:I,""select F where D='""&amp;D171&amp;""'"")"),"Rio de Janeiro")</f>
        <v>Rio de Janeiro</v>
      </c>
      <c r="O171" s="60" t="str">
        <f>IFERROR(__xludf.DUMMYFUNCTION("QUERY(Hospitais_BD!D:I,""select G where D='""&amp;D171&amp;""'"")"),"Rocinha")</f>
        <v>Rocinha</v>
      </c>
      <c r="P171" s="74"/>
      <c r="Q171" s="116" t="str">
        <f>IFERROR(__xludf.DUMMYFUNCTION("QUERY(Hospitais_BD!D:I,""select I where D='""&amp;D171&amp;""'"")"),"Público")</f>
        <v>Público</v>
      </c>
      <c r="R171" s="116" t="str">
        <f>IFERROR(__xludf.DUMMYFUNCTION("QUERY(Hospitais_BD!D:I,""select H where D='""&amp;D171&amp;""'"")"),"Grande emergência - MÉDIA COMPLEXIDADE
")</f>
        <v>Grande emergência - MÉDIA COMPLEXIDADE
</v>
      </c>
      <c r="S171" s="165"/>
      <c r="T171" s="117"/>
      <c r="U171" s="159"/>
      <c r="V171" s="74"/>
      <c r="W171" s="67"/>
      <c r="X171" s="74"/>
      <c r="Y171" s="74"/>
      <c r="Z171" s="74"/>
      <c r="AA171" s="74"/>
      <c r="AB171" s="74"/>
      <c r="AC171" s="74"/>
      <c r="AD171" s="74"/>
      <c r="AE171" s="75"/>
      <c r="AF171" s="121"/>
      <c r="AG171" s="68">
        <v>50.0</v>
      </c>
      <c r="AH171" s="134">
        <v>0.0</v>
      </c>
      <c r="AI171" s="134">
        <v>0.0</v>
      </c>
      <c r="AJ171" s="134">
        <v>0.0</v>
      </c>
      <c r="AK171" s="134">
        <v>6.0</v>
      </c>
      <c r="AL171" s="134"/>
      <c r="AM171" s="124" t="s">
        <v>1002</v>
      </c>
    </row>
    <row r="172" ht="21.0" customHeight="1">
      <c r="A172" s="166"/>
      <c r="B172" s="66"/>
      <c r="C172" s="59"/>
      <c r="D172" s="32" t="s">
        <v>788</v>
      </c>
      <c r="E172" s="81"/>
      <c r="F172" s="81"/>
      <c r="G172" s="102"/>
      <c r="H172" s="65"/>
      <c r="I172" s="65"/>
      <c r="J172" s="65"/>
      <c r="K172" s="65"/>
      <c r="L172" s="65"/>
      <c r="M172" s="43" t="str">
        <f>IFERROR(__xludf.DUMMYFUNCTION("QUERY(Hospitais_BD!D:I,""select E where D='""&amp;D172&amp;""'"",0)"),"ZONA NORTE")</f>
        <v>ZONA NORTE</v>
      </c>
      <c r="N172" s="32" t="str">
        <f>IFERROR(__xludf.DUMMYFUNCTION("QUERY(Hospitais_BD!D:I,""select F where D='""&amp;D172&amp;""'"")"),"Rio de Janeiro")</f>
        <v>Rio de Janeiro</v>
      </c>
      <c r="O172" s="43" t="str">
        <f>IFERROR(__xludf.DUMMYFUNCTION("QUERY(Hospitais_BD!D:I,""select G where D='""&amp;D172&amp;""'"")"),"Complexo do Alemao")</f>
        <v>Complexo do Alemao</v>
      </c>
      <c r="P172" s="81"/>
      <c r="Q172" s="105" t="str">
        <f>IFERROR(__xludf.DUMMYFUNCTION("QUERY(Hospitais_BD!D:I,""select I where D='""&amp;D172&amp;""'"")"),"Público")</f>
        <v>Público</v>
      </c>
      <c r="R172" s="105" t="str">
        <f>IFERROR(__xludf.DUMMYFUNCTION("QUERY(Hospitais_BD!D:I,""select H where D='""&amp;D172&amp;""'"")"),"Outra Instituição")</f>
        <v>Outra Instituição</v>
      </c>
      <c r="S172" s="167"/>
      <c r="T172" s="106"/>
      <c r="U172" s="154"/>
      <c r="V172" s="81"/>
      <c r="W172" s="82"/>
      <c r="X172" s="81"/>
      <c r="Y172" s="81"/>
      <c r="Z172" s="81"/>
      <c r="AA172" s="81"/>
      <c r="AB172" s="81"/>
      <c r="AC172" s="81"/>
      <c r="AD172" s="81"/>
      <c r="AE172" s="102"/>
      <c r="AF172" s="110"/>
      <c r="AG172" s="65">
        <v>12.0</v>
      </c>
      <c r="AH172" s="139">
        <v>0.0</v>
      </c>
      <c r="AI172" s="139">
        <v>0.0</v>
      </c>
      <c r="AJ172" s="139">
        <v>0.0</v>
      </c>
      <c r="AK172" s="109">
        <v>0.0</v>
      </c>
      <c r="AL172" s="109"/>
      <c r="AM172" s="111" t="s">
        <v>1002</v>
      </c>
    </row>
    <row r="173" ht="21.0" customHeight="1">
      <c r="A173" s="163"/>
      <c r="B173" s="164"/>
      <c r="C173" s="42"/>
      <c r="D173" s="22" t="s">
        <v>789</v>
      </c>
      <c r="E173" s="74"/>
      <c r="F173" s="74"/>
      <c r="G173" s="75"/>
      <c r="H173" s="75"/>
      <c r="I173" s="75"/>
      <c r="J173" s="75"/>
      <c r="K173" s="75"/>
      <c r="L173" s="75"/>
      <c r="M173" s="60" t="str">
        <f>IFERROR(__xludf.DUMMYFUNCTION("QUERY(Hospitais_BD!D:I,""select E where D='""&amp;D173&amp;""'"",0)"),"ZONA NORTE")</f>
        <v>ZONA NORTE</v>
      </c>
      <c r="N173" s="25" t="str">
        <f>IFERROR(__xludf.DUMMYFUNCTION("QUERY(Hospitais_BD!D:I,""select F where D='""&amp;D173&amp;""'"")"),"Rio de Janeiro")</f>
        <v>Rio de Janeiro</v>
      </c>
      <c r="O173" s="60" t="str">
        <f>IFERROR(__xludf.DUMMYFUNCTION("QUERY(Hospitais_BD!D:I,""select G where D='""&amp;D173&amp;""'"")"),"Jacarezinho")</f>
        <v>Jacarezinho</v>
      </c>
      <c r="P173" s="74"/>
      <c r="Q173" s="116" t="str">
        <f>IFERROR(__xludf.DUMMYFUNCTION("QUERY(Hospitais_BD!D:I,""select I where D='""&amp;D173&amp;""'"")"),"Público")</f>
        <v>Público</v>
      </c>
      <c r="R173" s="116" t="str">
        <f>IFERROR(__xludf.DUMMYFUNCTION("QUERY(Hospitais_BD!D:I,""select H where D='""&amp;D173&amp;""'"")"),"Unidade básica de saúde - BAIXA COMPLEXIDADE
")</f>
        <v>Unidade básica de saúde - BAIXA COMPLEXIDADE
</v>
      </c>
      <c r="S173" s="165"/>
      <c r="T173" s="165"/>
      <c r="U173" s="159"/>
      <c r="V173" s="74"/>
      <c r="W173" s="67"/>
      <c r="X173" s="74"/>
      <c r="Y173" s="74"/>
      <c r="Z173" s="74"/>
      <c r="AA173" s="74"/>
      <c r="AB173" s="74"/>
      <c r="AC173" s="74"/>
      <c r="AD173" s="74"/>
      <c r="AE173" s="75"/>
      <c r="AF173" s="121"/>
      <c r="AG173" s="74">
        <v>10.0</v>
      </c>
      <c r="AH173" s="68">
        <v>0.0</v>
      </c>
      <c r="AI173" s="68">
        <v>0.0</v>
      </c>
      <c r="AJ173" s="68">
        <v>0.0</v>
      </c>
      <c r="AK173" s="123">
        <v>0.0</v>
      </c>
      <c r="AL173" s="123"/>
      <c r="AM173" s="124" t="s">
        <v>1002</v>
      </c>
    </row>
    <row r="174" ht="21.0" customHeight="1">
      <c r="A174" s="166"/>
      <c r="B174" s="66"/>
      <c r="C174" s="59"/>
      <c r="D174" s="12" t="s">
        <v>790</v>
      </c>
      <c r="E174" s="81"/>
      <c r="F174" s="81"/>
      <c r="G174" s="102"/>
      <c r="H174" s="102"/>
      <c r="I174" s="102"/>
      <c r="J174" s="102"/>
      <c r="K174" s="102"/>
      <c r="L174" s="102"/>
      <c r="M174" s="43" t="str">
        <f>IFERROR(__xludf.DUMMYFUNCTION("QUERY(Hospitais_BD!D:I,""select E where D='""&amp;D174&amp;""'"",0)"),"OUTROS ESTADOS")</f>
        <v>OUTROS ESTADOS</v>
      </c>
      <c r="N174" s="32" t="str">
        <f>IFERROR(__xludf.DUMMYFUNCTION("QUERY(Hospitais_BD!D:I,""select F where D='""&amp;D174&amp;""'"")"),"Minas Gerais")</f>
        <v>Minas Gerais</v>
      </c>
      <c r="O174" s="43" t="str">
        <f>IFERROR(__xludf.DUMMYFUNCTION("QUERY(Hospitais_BD!D:I,""select G where D='""&amp;D174&amp;""'"")"),"")</f>
        <v/>
      </c>
      <c r="P174" s="81"/>
      <c r="Q174" s="105" t="str">
        <f>IFERROR(__xludf.DUMMYFUNCTION("QUERY(Hospitais_BD!D:I,""select I where D='""&amp;D174&amp;""'"")"),"Público")</f>
        <v>Público</v>
      </c>
      <c r="R174" s="105" t="str">
        <f>IFERROR(__xludf.DUMMYFUNCTION("QUERY(Hospitais_BD!D:I,""select H where D='""&amp;D174&amp;""'"")"),"Outra Instituição")</f>
        <v>Outra Instituição</v>
      </c>
      <c r="S174" s="167"/>
      <c r="T174" s="167"/>
      <c r="U174" s="154"/>
      <c r="V174" s="81"/>
      <c r="W174" s="82"/>
      <c r="X174" s="81"/>
      <c r="Y174" s="81"/>
      <c r="Z174" s="81"/>
      <c r="AA174" s="81"/>
      <c r="AB174" s="81"/>
      <c r="AC174" s="81"/>
      <c r="AD174" s="81"/>
      <c r="AE174" s="102"/>
      <c r="AF174" s="110"/>
      <c r="AG174" s="81">
        <v>5.0</v>
      </c>
      <c r="AH174" s="65">
        <v>0.0</v>
      </c>
      <c r="AI174" s="65">
        <v>0.0</v>
      </c>
      <c r="AJ174" s="65">
        <v>0.0</v>
      </c>
      <c r="AK174" s="109">
        <v>0.0</v>
      </c>
      <c r="AL174" s="109"/>
      <c r="AM174" s="111" t="s">
        <v>1002</v>
      </c>
    </row>
    <row r="175" ht="21.0" customHeight="1">
      <c r="A175" s="171"/>
      <c r="B175" s="164"/>
      <c r="C175" s="42"/>
      <c r="D175" s="25" t="s">
        <v>858</v>
      </c>
      <c r="E175" s="74"/>
      <c r="F175" s="74"/>
      <c r="G175" s="74"/>
      <c r="H175" s="74"/>
      <c r="I175" s="74"/>
      <c r="J175" s="74"/>
      <c r="K175" s="74">
        <v>100.0</v>
      </c>
      <c r="L175" s="74">
        <v>100.0</v>
      </c>
      <c r="M175" s="60" t="str">
        <f>IFERROR(__xludf.DUMMYFUNCTION("QUERY(Hospitais_BD!D:I,""select E where D='""&amp;D175&amp;""'"",0)"),"REGIAO SERRANA")</f>
        <v>REGIAO SERRANA</v>
      </c>
      <c r="N175" s="25" t="str">
        <f>IFERROR(__xludf.DUMMYFUNCTION("QUERY(Hospitais_BD!D:I,""select F where D='""&amp;D175&amp;""'"")"),"Teresopolis")</f>
        <v>Teresopolis</v>
      </c>
      <c r="O175" s="60" t="str">
        <f>IFERROR(__xludf.DUMMYFUNCTION("QUERY(Hospitais_BD!D:I,""select G where D='""&amp;D175&amp;""'"")"),"Meudom")</f>
        <v>Meudom</v>
      </c>
      <c r="P175" s="74" t="s">
        <v>859</v>
      </c>
      <c r="Q175" s="116" t="str">
        <f>IFERROR(__xludf.DUMMYFUNCTION("QUERY(Hospitais_BD!D:I,""select I where D='""&amp;D175&amp;""'"")"),"Público")</f>
        <v>Público</v>
      </c>
      <c r="R175" s="116" t="str">
        <f>IFERROR(__xludf.DUMMYFUNCTION("QUERY(Hospitais_BD!D:I,""select H where D='""&amp;D175&amp;""'"")"),"Unidade básica de saúde - BAIXA COMPLEXIDADE")</f>
        <v>Unidade básica de saúde - BAIXA COMPLEXIDADE</v>
      </c>
      <c r="S175" s="165"/>
      <c r="T175" s="165"/>
      <c r="U175" s="159"/>
      <c r="V175" s="74"/>
      <c r="W175" s="67"/>
      <c r="X175" s="74"/>
      <c r="Y175" s="74"/>
      <c r="Z175" s="74"/>
      <c r="AA175" s="74"/>
      <c r="AB175" s="74"/>
      <c r="AC175" s="74"/>
      <c r="AD175" s="74"/>
      <c r="AE175" s="75"/>
      <c r="AF175" s="121"/>
      <c r="AG175" s="74">
        <v>20.0</v>
      </c>
      <c r="AH175" s="68"/>
      <c r="AI175" s="68"/>
      <c r="AJ175" s="68"/>
      <c r="AK175" s="123"/>
      <c r="AL175" s="123"/>
      <c r="AM175" s="124" t="s">
        <v>1002</v>
      </c>
    </row>
    <row r="176" ht="21.0" customHeight="1">
      <c r="A176" s="172"/>
      <c r="B176" s="66"/>
      <c r="C176" s="59"/>
      <c r="D176" s="32" t="s">
        <v>858</v>
      </c>
      <c r="E176" s="81"/>
      <c r="F176" s="81"/>
      <c r="G176" s="81"/>
      <c r="H176" s="81"/>
      <c r="I176" s="81"/>
      <c r="J176" s="81"/>
      <c r="K176" s="81">
        <v>100.0</v>
      </c>
      <c r="L176" s="81">
        <v>100.0</v>
      </c>
      <c r="M176" s="43" t="str">
        <f>IFERROR(__xludf.DUMMYFUNCTION("QUERY(Hospitais_BD!D:I,""select E where D='""&amp;D176&amp;""'"",0)"),"REGIAO SERRANA")</f>
        <v>REGIAO SERRANA</v>
      </c>
      <c r="N176" s="32" t="str">
        <f>IFERROR(__xludf.DUMMYFUNCTION("QUERY(Hospitais_BD!D:I,""select F where D='""&amp;D176&amp;""'"")"),"Teresopolis")</f>
        <v>Teresopolis</v>
      </c>
      <c r="O176" s="43" t="str">
        <f>IFERROR(__xludf.DUMMYFUNCTION("QUERY(Hospitais_BD!D:I,""select G where D='""&amp;D176&amp;""'"")"),"Meudom")</f>
        <v>Meudom</v>
      </c>
      <c r="P176" s="81" t="s">
        <v>859</v>
      </c>
      <c r="Q176" s="105" t="str">
        <f>IFERROR(__xludf.DUMMYFUNCTION("QUERY(Hospitais_BD!D:I,""select I where D='""&amp;D176&amp;""'"")"),"Público")</f>
        <v>Público</v>
      </c>
      <c r="R176" s="105" t="str">
        <f>IFERROR(__xludf.DUMMYFUNCTION("QUERY(Hospitais_BD!D:I,""select H where D='""&amp;D176&amp;""'"")"),"Unidade básica de saúde - BAIXA COMPLEXIDADE")</f>
        <v>Unidade básica de saúde - BAIXA COMPLEXIDADE</v>
      </c>
      <c r="S176" s="167"/>
      <c r="T176" s="167"/>
      <c r="U176" s="154"/>
      <c r="V176" s="81"/>
      <c r="W176" s="82"/>
      <c r="X176" s="81"/>
      <c r="Y176" s="81"/>
      <c r="Z176" s="81"/>
      <c r="AA176" s="81"/>
      <c r="AB176" s="81"/>
      <c r="AC176" s="81"/>
      <c r="AD176" s="81"/>
      <c r="AE176" s="102"/>
      <c r="AF176" s="110"/>
      <c r="AG176" s="81"/>
      <c r="AH176" s="65"/>
      <c r="AI176" s="65"/>
      <c r="AJ176" s="65"/>
      <c r="AK176" s="109"/>
      <c r="AL176" s="109"/>
      <c r="AM176" s="111"/>
    </row>
    <row r="177" ht="21.0" customHeight="1">
      <c r="A177" s="171"/>
      <c r="B177" s="164"/>
      <c r="C177" s="42"/>
      <c r="D177" s="25" t="s">
        <v>858</v>
      </c>
      <c r="E177" s="74"/>
      <c r="F177" s="74"/>
      <c r="G177" s="74"/>
      <c r="H177" s="74"/>
      <c r="I177" s="74"/>
      <c r="J177" s="74"/>
      <c r="K177" s="74">
        <v>100.0</v>
      </c>
      <c r="L177" s="74">
        <v>100.0</v>
      </c>
      <c r="M177" s="60" t="str">
        <f>IFERROR(__xludf.DUMMYFUNCTION("QUERY(Hospitais_BD!D:I,""select E where D='""&amp;D177&amp;""'"",0)"),"REGIAO SERRANA")</f>
        <v>REGIAO SERRANA</v>
      </c>
      <c r="N177" s="25" t="str">
        <f>IFERROR(__xludf.DUMMYFUNCTION("QUERY(Hospitais_BD!D:I,""select F where D='""&amp;D177&amp;""'"")"),"Teresopolis")</f>
        <v>Teresopolis</v>
      </c>
      <c r="O177" s="60" t="str">
        <f>IFERROR(__xludf.DUMMYFUNCTION("QUERY(Hospitais_BD!D:I,""select G where D='""&amp;D177&amp;""'"")"),"Meudom")</f>
        <v>Meudom</v>
      </c>
      <c r="P177" s="74" t="s">
        <v>859</v>
      </c>
      <c r="Q177" s="116" t="str">
        <f>IFERROR(__xludf.DUMMYFUNCTION("QUERY(Hospitais_BD!D:I,""select I where D='""&amp;D177&amp;""'"")"),"Público")</f>
        <v>Público</v>
      </c>
      <c r="R177" s="116" t="str">
        <f>IFERROR(__xludf.DUMMYFUNCTION("QUERY(Hospitais_BD!D:I,""select H where D='""&amp;D177&amp;""'"")"),"Unidade básica de saúde - BAIXA COMPLEXIDADE")</f>
        <v>Unidade básica de saúde - BAIXA COMPLEXIDADE</v>
      </c>
      <c r="S177" s="165"/>
      <c r="T177" s="165"/>
      <c r="U177" s="159"/>
      <c r="V177" s="74"/>
      <c r="W177" s="67"/>
      <c r="X177" s="74"/>
      <c r="Y177" s="74"/>
      <c r="Z177" s="74"/>
      <c r="AA177" s="74"/>
      <c r="AB177" s="74"/>
      <c r="AC177" s="74"/>
      <c r="AD177" s="74"/>
      <c r="AE177" s="75"/>
      <c r="AF177" s="121"/>
      <c r="AG177" s="74"/>
      <c r="AH177" s="68"/>
      <c r="AI177" s="68"/>
      <c r="AJ177" s="68"/>
      <c r="AK177" s="123"/>
      <c r="AL177" s="123"/>
      <c r="AM177" s="124"/>
    </row>
    <row r="178" ht="21.0" customHeight="1">
      <c r="A178" s="172"/>
      <c r="B178" s="66"/>
      <c r="C178" s="59"/>
      <c r="D178" s="32" t="s">
        <v>858</v>
      </c>
      <c r="E178" s="81"/>
      <c r="F178" s="81"/>
      <c r="G178" s="81"/>
      <c r="H178" s="81"/>
      <c r="I178" s="81"/>
      <c r="J178" s="81"/>
      <c r="K178" s="81">
        <v>100.0</v>
      </c>
      <c r="L178" s="81">
        <v>100.0</v>
      </c>
      <c r="M178" s="43" t="str">
        <f>IFERROR(__xludf.DUMMYFUNCTION("QUERY(Hospitais_BD!D:I,""select E where D='""&amp;D178&amp;""'"",0)"),"REGIAO SERRANA")</f>
        <v>REGIAO SERRANA</v>
      </c>
      <c r="N178" s="32" t="str">
        <f>IFERROR(__xludf.DUMMYFUNCTION("QUERY(Hospitais_BD!D:I,""select F where D='""&amp;D178&amp;""'"")"),"Teresopolis")</f>
        <v>Teresopolis</v>
      </c>
      <c r="O178" s="43" t="str">
        <f>IFERROR(__xludf.DUMMYFUNCTION("QUERY(Hospitais_BD!D:I,""select G where D='""&amp;D178&amp;""'"")"),"Meudom")</f>
        <v>Meudom</v>
      </c>
      <c r="P178" s="81" t="s">
        <v>859</v>
      </c>
      <c r="Q178" s="105" t="str">
        <f>IFERROR(__xludf.DUMMYFUNCTION("QUERY(Hospitais_BD!D:I,""select I where D='""&amp;D178&amp;""'"")"),"Público")</f>
        <v>Público</v>
      </c>
      <c r="R178" s="105" t="str">
        <f>IFERROR(__xludf.DUMMYFUNCTION("QUERY(Hospitais_BD!D:I,""select H where D='""&amp;D178&amp;""'"")"),"Unidade básica de saúde - BAIXA COMPLEXIDADE")</f>
        <v>Unidade básica de saúde - BAIXA COMPLEXIDADE</v>
      </c>
      <c r="S178" s="167"/>
      <c r="T178" s="167"/>
      <c r="U178" s="154"/>
      <c r="V178" s="81"/>
      <c r="W178" s="82"/>
      <c r="X178" s="81"/>
      <c r="Y178" s="81"/>
      <c r="Z178" s="81"/>
      <c r="AA178" s="81"/>
      <c r="AB178" s="81"/>
      <c r="AC178" s="81"/>
      <c r="AD178" s="81"/>
      <c r="AE178" s="102"/>
      <c r="AF178" s="110"/>
      <c r="AG178" s="81"/>
      <c r="AH178" s="65"/>
      <c r="AI178" s="65"/>
      <c r="AJ178" s="65"/>
      <c r="AK178" s="109"/>
      <c r="AL178" s="109"/>
      <c r="AM178" s="111"/>
    </row>
    <row r="179" ht="21.0" customHeight="1">
      <c r="A179" s="171"/>
      <c r="B179" s="164"/>
      <c r="C179" s="42"/>
      <c r="D179" s="25" t="s">
        <v>858</v>
      </c>
      <c r="E179" s="74"/>
      <c r="F179" s="74"/>
      <c r="G179" s="74"/>
      <c r="H179" s="74"/>
      <c r="I179" s="74"/>
      <c r="J179" s="74"/>
      <c r="K179" s="74">
        <v>100.0</v>
      </c>
      <c r="L179" s="74">
        <v>100.0</v>
      </c>
      <c r="M179" s="60" t="str">
        <f>IFERROR(__xludf.DUMMYFUNCTION("QUERY(Hospitais_BD!D:I,""select E where D='""&amp;D179&amp;""'"",0)"),"REGIAO SERRANA")</f>
        <v>REGIAO SERRANA</v>
      </c>
      <c r="N179" s="25" t="str">
        <f>IFERROR(__xludf.DUMMYFUNCTION("QUERY(Hospitais_BD!D:I,""select F where D='""&amp;D179&amp;""'"")"),"Teresopolis")</f>
        <v>Teresopolis</v>
      </c>
      <c r="O179" s="60" t="str">
        <f>IFERROR(__xludf.DUMMYFUNCTION("QUERY(Hospitais_BD!D:I,""select G where D='""&amp;D179&amp;""'"")"),"Meudom")</f>
        <v>Meudom</v>
      </c>
      <c r="P179" s="74" t="s">
        <v>859</v>
      </c>
      <c r="Q179" s="116" t="str">
        <f>IFERROR(__xludf.DUMMYFUNCTION("QUERY(Hospitais_BD!D:I,""select I where D='""&amp;D179&amp;""'"")"),"Público")</f>
        <v>Público</v>
      </c>
      <c r="R179" s="116" t="str">
        <f>IFERROR(__xludf.DUMMYFUNCTION("QUERY(Hospitais_BD!D:I,""select H where D='""&amp;D179&amp;""'"")"),"Unidade básica de saúde - BAIXA COMPLEXIDADE")</f>
        <v>Unidade básica de saúde - BAIXA COMPLEXIDADE</v>
      </c>
      <c r="S179" s="165"/>
      <c r="T179" s="165"/>
      <c r="U179" s="159"/>
      <c r="V179" s="74"/>
      <c r="W179" s="67"/>
      <c r="X179" s="74"/>
      <c r="Y179" s="74"/>
      <c r="Z179" s="74"/>
      <c r="AA179" s="74"/>
      <c r="AB179" s="74"/>
      <c r="AC179" s="74"/>
      <c r="AD179" s="74"/>
      <c r="AE179" s="75"/>
      <c r="AF179" s="121"/>
      <c r="AG179" s="74"/>
      <c r="AH179" s="68"/>
      <c r="AI179" s="68"/>
      <c r="AJ179" s="68"/>
      <c r="AK179" s="123"/>
      <c r="AL179" s="123"/>
      <c r="AM179" s="124"/>
    </row>
    <row r="180" ht="21.0" customHeight="1">
      <c r="A180" s="166"/>
      <c r="B180" s="66"/>
      <c r="C180" s="59"/>
      <c r="D180" s="12" t="s">
        <v>801</v>
      </c>
      <c r="E180" s="81"/>
      <c r="F180" s="81"/>
      <c r="G180" s="102"/>
      <c r="H180" s="102"/>
      <c r="I180" s="102"/>
      <c r="J180" s="102"/>
      <c r="K180" s="102"/>
      <c r="L180" s="102"/>
      <c r="M180" s="43" t="str">
        <f>IFERROR(__xludf.DUMMYFUNCTION("QUERY(Hospitais_BD!D:I,""select E where D='""&amp;D180&amp;""'"",0)"),"ZONA NORTE")</f>
        <v>ZONA NORTE</v>
      </c>
      <c r="N180" s="32" t="str">
        <f>IFERROR(__xludf.DUMMYFUNCTION("QUERY(Hospitais_BD!D:I,""select F where D='""&amp;D180&amp;""'"")"),"Rio de Janeiro")</f>
        <v>Rio de Janeiro</v>
      </c>
      <c r="O180" s="43" t="str">
        <f>IFERROR(__xludf.DUMMYFUNCTION("QUERY(Hospitais_BD!D:I,""select G where D='""&amp;D180&amp;""'"")"),"Andaraí")</f>
        <v>Andaraí</v>
      </c>
      <c r="P180" s="81"/>
      <c r="Q180" s="105" t="str">
        <f>IFERROR(__xludf.DUMMYFUNCTION("QUERY(Hospitais_BD!D:I,""select I where D='""&amp;D180&amp;""'"")"),"Público")</f>
        <v>Público</v>
      </c>
      <c r="R180" s="105" t="str">
        <f>IFERROR(__xludf.DUMMYFUNCTION("QUERY(Hospitais_BD!D:I,""select H where D='""&amp;D180&amp;""'"")"),"Hospital de Referência - ALTA COMPLEXIDADE
")</f>
        <v>Hospital de Referência - ALTA COMPLEXIDADE
</v>
      </c>
      <c r="S180" s="167"/>
      <c r="T180" s="167"/>
      <c r="U180" s="154"/>
      <c r="V180" s="81"/>
      <c r="W180" s="82"/>
      <c r="X180" s="81"/>
      <c r="Y180" s="81"/>
      <c r="Z180" s="81"/>
      <c r="AA180" s="81"/>
      <c r="AB180" s="81"/>
      <c r="AC180" s="81"/>
      <c r="AD180" s="81"/>
      <c r="AE180" s="102"/>
      <c r="AF180" s="110"/>
      <c r="AG180" s="81">
        <v>98.0</v>
      </c>
      <c r="AH180" s="65">
        <v>0.0</v>
      </c>
      <c r="AI180" s="65">
        <v>0.0</v>
      </c>
      <c r="AJ180" s="65">
        <v>0.0</v>
      </c>
      <c r="AK180" s="109">
        <v>0.0</v>
      </c>
      <c r="AL180" s="109"/>
      <c r="AM180" s="111" t="s">
        <v>1002</v>
      </c>
    </row>
    <row r="181" ht="21.0" customHeight="1">
      <c r="A181" s="163"/>
      <c r="B181" s="164"/>
      <c r="C181" s="42"/>
      <c r="D181" s="22" t="s">
        <v>792</v>
      </c>
      <c r="E181" s="74"/>
      <c r="F181" s="74"/>
      <c r="G181" s="75"/>
      <c r="H181" s="75"/>
      <c r="I181" s="75"/>
      <c r="J181" s="75"/>
      <c r="K181" s="75"/>
      <c r="L181" s="75"/>
      <c r="M181" s="60" t="str">
        <f>IFERROR(__xludf.DUMMYFUNCTION("QUERY(Hospitais_BD!D:I,""select E where D='""&amp;D181&amp;""'"",0)"),"CENTRO")</f>
        <v>CENTRO</v>
      </c>
      <c r="N181" s="25" t="str">
        <f>IFERROR(__xludf.DUMMYFUNCTION("QUERY(Hospitais_BD!D:I,""select F where D='""&amp;D181&amp;""'"")"),"Rio de Janeiro")</f>
        <v>Rio de Janeiro</v>
      </c>
      <c r="O181" s="60" t="str">
        <f>IFERROR(__xludf.DUMMYFUNCTION("QUERY(Hospitais_BD!D:I,""select G where D='""&amp;D181&amp;""'"")"),"Estacio")</f>
        <v>Estacio</v>
      </c>
      <c r="P181" s="74"/>
      <c r="Q181" s="116" t="str">
        <f>IFERROR(__xludf.DUMMYFUNCTION("QUERY(Hospitais_BD!D:I,""select I where D='""&amp;D181&amp;""'"")"),"Público")</f>
        <v>Público</v>
      </c>
      <c r="R181" s="116" t="str">
        <f>IFERROR(__xludf.DUMMYFUNCTION("QUERY(Hospitais_BD!D:I,""select H where D='""&amp;D181&amp;""'"")"),"Referência - ALTA COMPLEXIDADE")</f>
        <v>Referência - ALTA COMPLEXIDADE</v>
      </c>
      <c r="S181" s="165"/>
      <c r="T181" s="165"/>
      <c r="U181" s="159"/>
      <c r="V181" s="74"/>
      <c r="W181" s="67"/>
      <c r="X181" s="74"/>
      <c r="Y181" s="74"/>
      <c r="Z181" s="74"/>
      <c r="AA181" s="74"/>
      <c r="AB181" s="74"/>
      <c r="AC181" s="74"/>
      <c r="AD181" s="74"/>
      <c r="AE181" s="75"/>
      <c r="AF181" s="121"/>
      <c r="AG181" s="74">
        <v>100.0</v>
      </c>
      <c r="AH181" s="68">
        <v>0.0</v>
      </c>
      <c r="AI181" s="68">
        <v>0.0</v>
      </c>
      <c r="AJ181" s="68">
        <v>0.0</v>
      </c>
      <c r="AK181" s="123">
        <v>0.0</v>
      </c>
      <c r="AL181" s="123"/>
      <c r="AM181" s="124" t="s">
        <v>1002</v>
      </c>
    </row>
    <row r="182" ht="21.0" customHeight="1">
      <c r="A182" s="166"/>
      <c r="B182" s="66"/>
      <c r="C182" s="59"/>
      <c r="D182" s="12" t="s">
        <v>793</v>
      </c>
      <c r="E182" s="81"/>
      <c r="F182" s="81"/>
      <c r="G182" s="102"/>
      <c r="H182" s="102"/>
      <c r="I182" s="102"/>
      <c r="J182" s="102"/>
      <c r="K182" s="102"/>
      <c r="L182" s="102"/>
      <c r="M182" s="43" t="str">
        <f>IFERROR(__xludf.DUMMYFUNCTION("QUERY(Hospitais_BD!D:I,""select E where D='""&amp;D182&amp;""'"",0)"),"ZONA NORTE")</f>
        <v>ZONA NORTE</v>
      </c>
      <c r="N182" s="32" t="str">
        <f>IFERROR(__xludf.DUMMYFUNCTION("QUERY(Hospitais_BD!D:I,""select F where D='""&amp;D182&amp;""'"")"),"Rio de Janeiro")</f>
        <v>Rio de Janeiro</v>
      </c>
      <c r="O182" s="43" t="str">
        <f>IFERROR(__xludf.DUMMYFUNCTION("QUERY(Hospitais_BD!D:I,""select G where D='""&amp;D182&amp;""'"")"),"Cidade Universitaria")</f>
        <v>Cidade Universitaria</v>
      </c>
      <c r="P182" s="81"/>
      <c r="Q182" s="105" t="str">
        <f>IFERROR(__xludf.DUMMYFUNCTION("QUERY(Hospitais_BD!D:I,""select I where D='""&amp;D182&amp;""'"")"),"Público")</f>
        <v>Público</v>
      </c>
      <c r="R182" s="105" t="str">
        <f>IFERROR(__xludf.DUMMYFUNCTION("QUERY(Hospitais_BD!D:I,""select H where D='""&amp;D182&amp;""'"")"),"Unidade básica de saúde - BAIXA COMPLEXIDADE
")</f>
        <v>Unidade básica de saúde - BAIXA COMPLEXIDADE
</v>
      </c>
      <c r="S182" s="167"/>
      <c r="T182" s="167"/>
      <c r="U182" s="154"/>
      <c r="V182" s="81"/>
      <c r="W182" s="82"/>
      <c r="X182" s="81"/>
      <c r="Y182" s="81"/>
      <c r="Z182" s="81"/>
      <c r="AA182" s="81"/>
      <c r="AB182" s="81"/>
      <c r="AC182" s="81"/>
      <c r="AD182" s="81"/>
      <c r="AE182" s="102"/>
      <c r="AF182" s="110"/>
      <c r="AG182" s="81">
        <v>0.0</v>
      </c>
      <c r="AH182" s="65">
        <v>0.0</v>
      </c>
      <c r="AI182" s="65">
        <v>0.0</v>
      </c>
      <c r="AJ182" s="65">
        <v>25.0</v>
      </c>
      <c r="AK182" s="109">
        <v>0.0</v>
      </c>
      <c r="AL182" s="109"/>
      <c r="AM182" s="111" t="s">
        <v>1002</v>
      </c>
    </row>
    <row r="183" ht="21.0" customHeight="1">
      <c r="A183" s="163"/>
      <c r="B183" s="164"/>
      <c r="C183" s="42"/>
      <c r="D183" s="25" t="s">
        <v>173</v>
      </c>
      <c r="E183" s="74"/>
      <c r="F183" s="74"/>
      <c r="G183" s="74"/>
      <c r="H183" s="68"/>
      <c r="I183" s="68"/>
      <c r="J183" s="68"/>
      <c r="K183" s="68"/>
      <c r="L183" s="68"/>
      <c r="M183" s="60" t="str">
        <f>IFERROR(__xludf.DUMMYFUNCTION("QUERY(Hospitais_BD!D:I,""select E where D='""&amp;D183&amp;""'"",0)"),"ZONA NORTE")</f>
        <v>ZONA NORTE</v>
      </c>
      <c r="N183" s="25" t="str">
        <f>IFERROR(__xludf.DUMMYFUNCTION("QUERY(Hospitais_BD!D:I,""select F where D='""&amp;D183&amp;""'"")"),"Rio de Janeiro")</f>
        <v>Rio de Janeiro</v>
      </c>
      <c r="O183" s="60" t="str">
        <f>IFERROR(__xludf.DUMMYFUNCTION("QUERY(Hospitais_BD!D:I,""select G where D='""&amp;D183&amp;""'"")"),"Bonsucesso")</f>
        <v>Bonsucesso</v>
      </c>
      <c r="P183" s="74"/>
      <c r="Q183" s="116" t="str">
        <f>IFERROR(__xludf.DUMMYFUNCTION("QUERY(Hospitais_BD!D:I,""select I where D='""&amp;D183&amp;""'"")"),"Público")</f>
        <v>Público</v>
      </c>
      <c r="R183" s="116" t="str">
        <f>IFERROR(__xludf.DUMMYFUNCTION("QUERY(Hospitais_BD!D:I,""select H where D='""&amp;D183&amp;""'"")"),"Referência - ALTA COMPLEXIDADE")</f>
        <v>Referência - ALTA COMPLEXIDADE</v>
      </c>
      <c r="S183" s="165"/>
      <c r="T183" s="165"/>
      <c r="U183" s="159"/>
      <c r="V183" s="74"/>
      <c r="W183" s="67"/>
      <c r="X183" s="74"/>
      <c r="Y183" s="74"/>
      <c r="Z183" s="74"/>
      <c r="AA183" s="74"/>
      <c r="AB183" s="74"/>
      <c r="AC183" s="74"/>
      <c r="AD183" s="74"/>
      <c r="AE183" s="75"/>
      <c r="AF183" s="121"/>
      <c r="AG183" s="68">
        <v>125.0</v>
      </c>
      <c r="AH183" s="68">
        <v>0.0</v>
      </c>
      <c r="AI183" s="68">
        <v>0.0</v>
      </c>
      <c r="AJ183" s="68">
        <v>100.0</v>
      </c>
      <c r="AK183" s="123">
        <v>0.0</v>
      </c>
      <c r="AL183" s="123"/>
      <c r="AM183" s="124" t="s">
        <v>1002</v>
      </c>
    </row>
    <row r="184" ht="21.0" customHeight="1">
      <c r="A184" s="166"/>
      <c r="B184" s="66"/>
      <c r="C184" s="59"/>
      <c r="D184" s="9" t="s">
        <v>895</v>
      </c>
      <c r="E184" s="81"/>
      <c r="F184" s="81"/>
      <c r="G184" s="81"/>
      <c r="H184" s="65"/>
      <c r="I184" s="65"/>
      <c r="J184" s="65"/>
      <c r="K184" s="65"/>
      <c r="L184" s="65"/>
      <c r="M184" s="43" t="str">
        <f>IFERROR(__xludf.DUMMYFUNCTION("QUERY(Hospitais_BD!D:I,""select E where D='""&amp;D184&amp;""'"",0)"),"ZONA NORTE")</f>
        <v>ZONA NORTE</v>
      </c>
      <c r="N184" s="32" t="str">
        <f>IFERROR(__xludf.DUMMYFUNCTION("QUERY(Hospitais_BD!D:I,""select F where D='""&amp;D184&amp;""'"")"),"Rio de Janeiro")</f>
        <v>Rio de Janeiro</v>
      </c>
      <c r="O184" s="43" t="str">
        <f>IFERROR(__xludf.DUMMYFUNCTION("QUERY(Hospitais_BD!D:I,""select G where D='""&amp;D184&amp;""'"")"),"Benfica")</f>
        <v>Benfica</v>
      </c>
      <c r="P184" s="81"/>
      <c r="Q184" s="105" t="str">
        <f>IFERROR(__xludf.DUMMYFUNCTION("QUERY(Hospitais_BD!D:I,""select I where D='""&amp;D184&amp;""'"")"),"Público")</f>
        <v>Público</v>
      </c>
      <c r="R184" s="105" t="str">
        <f>IFERROR(__xludf.DUMMYFUNCTION("QUERY(Hospitais_BD!D:I,""select H where D='""&amp;D184&amp;""'"")"),"Unidade básica de saúde - BAIXA COMPLEXIDADE")</f>
        <v>Unidade básica de saúde - BAIXA COMPLEXIDADE</v>
      </c>
      <c r="S184" s="167"/>
      <c r="T184" s="106"/>
      <c r="U184" s="154"/>
      <c r="V184" s="81"/>
      <c r="W184" s="82"/>
      <c r="X184" s="81"/>
      <c r="Y184" s="81"/>
      <c r="Z184" s="81"/>
      <c r="AA184" s="81"/>
      <c r="AB184" s="81"/>
      <c r="AC184" s="81"/>
      <c r="AD184" s="81"/>
      <c r="AE184" s="102"/>
      <c r="AF184" s="110"/>
      <c r="AG184" s="65"/>
      <c r="AH184" s="65">
        <v>0.0</v>
      </c>
      <c r="AI184" s="65">
        <v>0.0</v>
      </c>
      <c r="AJ184" s="65"/>
      <c r="AK184" s="109">
        <v>0.0</v>
      </c>
      <c r="AL184" s="109"/>
      <c r="AM184" s="111" t="s">
        <v>1006</v>
      </c>
    </row>
    <row r="185" ht="21.0" customHeight="1">
      <c r="A185" s="163"/>
      <c r="B185" s="164"/>
      <c r="C185" s="42"/>
      <c r="D185" s="25" t="s">
        <v>795</v>
      </c>
      <c r="E185" s="74"/>
      <c r="F185" s="74"/>
      <c r="G185" s="74"/>
      <c r="H185" s="68"/>
      <c r="I185" s="68"/>
      <c r="J185" s="68"/>
      <c r="K185" s="68"/>
      <c r="L185" s="68"/>
      <c r="M185" s="60" t="str">
        <f>IFERROR(__xludf.DUMMYFUNCTION("QUERY(Hospitais_BD!D:I,""select E where D='""&amp;D185&amp;""'"",0)"),"ZONA NORTE")</f>
        <v>ZONA NORTE</v>
      </c>
      <c r="N185" s="25" t="str">
        <f>IFERROR(__xludf.DUMMYFUNCTION("QUERY(Hospitais_BD!D:I,""select F where D='""&amp;D185&amp;""'"")"),"Rio de Janeiro")</f>
        <v>Rio de Janeiro</v>
      </c>
      <c r="O185" s="60" t="str">
        <f>IFERROR(__xludf.DUMMYFUNCTION("QUERY(Hospitais_BD!D:I,""select G where D='""&amp;D185&amp;""'"")"),"Manguinhos")</f>
        <v>Manguinhos</v>
      </c>
      <c r="P185" s="74" t="s">
        <v>1058</v>
      </c>
      <c r="Q185" s="116" t="str">
        <f>IFERROR(__xludf.DUMMYFUNCTION("QUERY(Hospitais_BD!D:I,""select I where D='""&amp;D185&amp;""'"")"),"Público")</f>
        <v>Público</v>
      </c>
      <c r="R185" s="116" t="str">
        <f>IFERROR(__xludf.DUMMYFUNCTION("QUERY(Hospitais_BD!D:I,""select H where D='""&amp;D185&amp;""'"")"),"Unidade básica de saúde - BAIXA COMPLEXIDADE
")</f>
        <v>Unidade básica de saúde - BAIXA COMPLEXIDADE
</v>
      </c>
      <c r="S185" s="165"/>
      <c r="T185" s="117"/>
      <c r="U185" s="159"/>
      <c r="V185" s="74"/>
      <c r="W185" s="67"/>
      <c r="X185" s="74"/>
      <c r="Y185" s="74"/>
      <c r="Z185" s="74"/>
      <c r="AA185" s="74"/>
      <c r="AB185" s="74"/>
      <c r="AC185" s="74"/>
      <c r="AD185" s="74"/>
      <c r="AE185" s="75"/>
      <c r="AF185" s="121"/>
      <c r="AG185" s="68">
        <v>25.0</v>
      </c>
      <c r="AH185" s="68"/>
      <c r="AI185" s="68"/>
      <c r="AJ185" s="68">
        <v>25.0</v>
      </c>
      <c r="AK185" s="68"/>
      <c r="AL185" s="68">
        <v>50.0</v>
      </c>
      <c r="AM185" s="124" t="s">
        <v>1002</v>
      </c>
    </row>
    <row r="186" ht="21.0" customHeight="1">
      <c r="A186" s="166"/>
      <c r="B186" s="66"/>
      <c r="C186" s="59"/>
      <c r="D186" s="9" t="s">
        <v>194</v>
      </c>
      <c r="E186" s="81"/>
      <c r="F186" s="81"/>
      <c r="G186" s="81"/>
      <c r="H186" s="65"/>
      <c r="I186" s="65"/>
      <c r="J186" s="65"/>
      <c r="K186" s="65"/>
      <c r="L186" s="65"/>
      <c r="M186" s="43" t="str">
        <f>IFERROR(__xludf.DUMMYFUNCTION("QUERY(Hospitais_BD!D:I,""select E where D='""&amp;D186&amp;""'"",0)"),"CENTRO")</f>
        <v>CENTRO</v>
      </c>
      <c r="N186" s="32" t="str">
        <f>IFERROR(__xludf.DUMMYFUNCTION("QUERY(Hospitais_BD!D:I,""select F where D='""&amp;D186&amp;""'"")"),"Rio de Janeiro")</f>
        <v>Rio de Janeiro</v>
      </c>
      <c r="O186" s="43" t="str">
        <f>IFERROR(__xludf.DUMMYFUNCTION("QUERY(Hospitais_BD!D:I,""select G where D='""&amp;D186&amp;""'"")"),"Gamboa")</f>
        <v>Gamboa</v>
      </c>
      <c r="P186" s="81"/>
      <c r="Q186" s="105" t="str">
        <f>IFERROR(__xludf.DUMMYFUNCTION("QUERY(Hospitais_BD!D:I,""select I where D='""&amp;D186&amp;""'"")"),"Privado")</f>
        <v>Privado</v>
      </c>
      <c r="R186" s="105" t="str">
        <f>IFERROR(__xludf.DUMMYFUNCTION("QUERY(Hospitais_BD!D:I,""select H where D='""&amp;D186&amp;""'"")"),"Unidade básica - BAIXA COMPLEXIDADE")</f>
        <v>Unidade básica - BAIXA COMPLEXIDADE</v>
      </c>
      <c r="S186" s="167"/>
      <c r="T186" s="106"/>
      <c r="U186" s="154"/>
      <c r="V186" s="81"/>
      <c r="W186" s="82"/>
      <c r="X186" s="81"/>
      <c r="Y186" s="81"/>
      <c r="Z186" s="81"/>
      <c r="AA186" s="81"/>
      <c r="AB186" s="81"/>
      <c r="AC186" s="81"/>
      <c r="AD186" s="81"/>
      <c r="AE186" s="102"/>
      <c r="AF186" s="110"/>
      <c r="AG186" s="65">
        <v>100.0</v>
      </c>
      <c r="AH186" s="65">
        <v>0.0</v>
      </c>
      <c r="AI186" s="65">
        <v>0.0</v>
      </c>
      <c r="AJ186" s="65">
        <v>50.0</v>
      </c>
      <c r="AK186" s="109">
        <v>0.0</v>
      </c>
      <c r="AL186" s="109"/>
      <c r="AM186" s="111" t="s">
        <v>1002</v>
      </c>
    </row>
    <row r="187" ht="21.0" customHeight="1">
      <c r="A187" s="163"/>
      <c r="B187" s="164"/>
      <c r="C187" s="42"/>
      <c r="D187" s="25" t="s">
        <v>796</v>
      </c>
      <c r="E187" s="74"/>
      <c r="F187" s="74"/>
      <c r="G187" s="74"/>
      <c r="H187" s="68"/>
      <c r="I187" s="68"/>
      <c r="J187" s="68"/>
      <c r="K187" s="68"/>
      <c r="L187" s="68"/>
      <c r="M187" s="60" t="str">
        <f>IFERROR(__xludf.DUMMYFUNCTION("QUERY(Hospitais_BD!D:I,""select E where D='""&amp;D187&amp;""'"",0)"),"REGIAO METROPOLITANA")</f>
        <v>REGIAO METROPOLITANA</v>
      </c>
      <c r="N187" s="25" t="str">
        <f>IFERROR(__xludf.DUMMYFUNCTION("QUERY(Hospitais_BD!D:I,""select F where D='""&amp;D187&amp;""'"")"),"Sao Gonçalo")</f>
        <v>Sao Gonçalo</v>
      </c>
      <c r="O187" s="60" t="str">
        <f>IFERROR(__xludf.DUMMYFUNCTION("QUERY(Hospitais_BD!D:I,""select G where D='""&amp;D187&amp;""'"")"),"Alcantara")</f>
        <v>Alcantara</v>
      </c>
      <c r="P187" s="74"/>
      <c r="Q187" s="116" t="str">
        <f>IFERROR(__xludf.DUMMYFUNCTION("QUERY(Hospitais_BD!D:I,""select I where D='""&amp;D187&amp;""'"")"),"Público")</f>
        <v>Público</v>
      </c>
      <c r="R187" s="116" t="str">
        <f>IFERROR(__xludf.DUMMYFUNCTION("QUERY(Hospitais_BD!D:I,""select H where D='""&amp;D187&amp;""'"")"),"Referência - ALTA COMPLEXIDADE")</f>
        <v>Referência - ALTA COMPLEXIDADE</v>
      </c>
      <c r="S187" s="165"/>
      <c r="T187" s="117"/>
      <c r="U187" s="159"/>
      <c r="V187" s="74"/>
      <c r="W187" s="67"/>
      <c r="X187" s="74"/>
      <c r="Y187" s="74"/>
      <c r="Z187" s="74"/>
      <c r="AA187" s="74"/>
      <c r="AB187" s="74"/>
      <c r="AC187" s="74"/>
      <c r="AD187" s="74"/>
      <c r="AE187" s="75"/>
      <c r="AF187" s="121"/>
      <c r="AG187" s="68">
        <v>100.0</v>
      </c>
      <c r="AH187" s="68">
        <v>0.0</v>
      </c>
      <c r="AI187" s="68">
        <v>0.0</v>
      </c>
      <c r="AJ187" s="68">
        <v>50.0</v>
      </c>
      <c r="AK187" s="123">
        <v>0.0</v>
      </c>
      <c r="AL187" s="123"/>
      <c r="AM187" s="124" t="s">
        <v>1002</v>
      </c>
    </row>
    <row r="188" ht="21.0" customHeight="1">
      <c r="A188" s="166"/>
      <c r="B188" s="66"/>
      <c r="C188" s="59"/>
      <c r="D188" s="32" t="s">
        <v>797</v>
      </c>
      <c r="E188" s="81"/>
      <c r="F188" s="81"/>
      <c r="G188" s="81"/>
      <c r="H188" s="65"/>
      <c r="I188" s="65"/>
      <c r="J188" s="65"/>
      <c r="K188" s="65"/>
      <c r="L188" s="65"/>
      <c r="M188" s="43" t="str">
        <f>IFERROR(__xludf.DUMMYFUNCTION("QUERY(Hospitais_BD!D:I,""select E where D='""&amp;D188&amp;""'"",0)"),"REGIAO METROPOLITANA")</f>
        <v>REGIAO METROPOLITANA</v>
      </c>
      <c r="N188" s="32" t="str">
        <f>IFERROR(__xludf.DUMMYFUNCTION("QUERY(Hospitais_BD!D:I,""select F where D='""&amp;D188&amp;""'"")"),"Niteroi")</f>
        <v>Niteroi</v>
      </c>
      <c r="O188" s="43" t="str">
        <f>IFERROR(__xludf.DUMMYFUNCTION("QUERY(Hospitais_BD!D:I,""select G where D='""&amp;D188&amp;""'"")"),"Centro")</f>
        <v>Centro</v>
      </c>
      <c r="P188" s="81"/>
      <c r="Q188" s="105" t="str">
        <f>IFERROR(__xludf.DUMMYFUNCTION("QUERY(Hospitais_BD!D:I,""select I where D='""&amp;D188&amp;""'"")"),"Público")</f>
        <v>Público</v>
      </c>
      <c r="R188" s="105" t="str">
        <f>IFERROR(__xludf.DUMMYFUNCTION("QUERY(Hospitais_BD!D:I,""select H where D='""&amp;D188&amp;""'"")"),"Unidade básica de saúde - BAIXA COMPLEXIDADE
")</f>
        <v>Unidade básica de saúde - BAIXA COMPLEXIDADE
</v>
      </c>
      <c r="S188" s="167"/>
      <c r="T188" s="106"/>
      <c r="U188" s="154"/>
      <c r="V188" s="81"/>
      <c r="W188" s="82"/>
      <c r="X188" s="81"/>
      <c r="Y188" s="81"/>
      <c r="Z188" s="81"/>
      <c r="AA188" s="81"/>
      <c r="AB188" s="81"/>
      <c r="AC188" s="81"/>
      <c r="AD188" s="81"/>
      <c r="AE188" s="102"/>
      <c r="AF188" s="110"/>
      <c r="AG188" s="65"/>
      <c r="AH188" s="65">
        <v>0.0</v>
      </c>
      <c r="AI188" s="65">
        <v>0.0</v>
      </c>
      <c r="AJ188" s="65">
        <v>0.0</v>
      </c>
      <c r="AK188" s="109">
        <v>0.0</v>
      </c>
      <c r="AL188" s="109"/>
      <c r="AM188" s="111" t="s">
        <v>1007</v>
      </c>
    </row>
    <row r="189" ht="21.0" customHeight="1">
      <c r="A189" s="163"/>
      <c r="B189" s="164"/>
      <c r="C189" s="42"/>
      <c r="D189" s="38" t="s">
        <v>355</v>
      </c>
      <c r="E189" s="74"/>
      <c r="F189" s="74"/>
      <c r="G189" s="74"/>
      <c r="H189" s="68"/>
      <c r="I189" s="68"/>
      <c r="J189" s="68"/>
      <c r="K189" s="68"/>
      <c r="L189" s="68"/>
      <c r="M189" s="60" t="str">
        <f>IFERROR(__xludf.DUMMYFUNCTION("QUERY(Hospitais_BD!D:I,""select E where D='""&amp;D189&amp;""'"",0)"),"ZONA OESTE")</f>
        <v>ZONA OESTE</v>
      </c>
      <c r="N189" s="25" t="str">
        <f>IFERROR(__xludf.DUMMYFUNCTION("QUERY(Hospitais_BD!D:I,""select F where D='""&amp;D189&amp;""'"")"),"Rio de Janeiro")</f>
        <v>Rio de Janeiro</v>
      </c>
      <c r="O189" s="60" t="str">
        <f>IFERROR(__xludf.DUMMYFUNCTION("QUERY(Hospitais_BD!D:I,""select G where D='""&amp;D189&amp;""'"")"),"Santa Cruz")</f>
        <v>Santa Cruz</v>
      </c>
      <c r="P189" s="74"/>
      <c r="Q189" s="116" t="str">
        <f>IFERROR(__xludf.DUMMYFUNCTION("QUERY(Hospitais_BD!D:I,""select I where D='""&amp;D189&amp;""'"")"),"Público")</f>
        <v>Público</v>
      </c>
      <c r="R189" s="116" t="str">
        <f>IFERROR(__xludf.DUMMYFUNCTION("QUERY(Hospitais_BD!D:I,""select H where D='""&amp;D189&amp;""'"")"),"Grande emergência - MÉDIA COMPLEXIDADE")</f>
        <v>Grande emergência - MÉDIA COMPLEXIDADE</v>
      </c>
      <c r="S189" s="165"/>
      <c r="T189" s="117"/>
      <c r="U189" s="159"/>
      <c r="V189" s="74"/>
      <c r="W189" s="67"/>
      <c r="X189" s="74"/>
      <c r="Y189" s="74"/>
      <c r="Z189" s="74"/>
      <c r="AA189" s="74"/>
      <c r="AB189" s="74"/>
      <c r="AC189" s="74"/>
      <c r="AD189" s="74"/>
      <c r="AE189" s="75"/>
      <c r="AF189" s="121"/>
      <c r="AG189" s="68">
        <v>200.0</v>
      </c>
      <c r="AH189" s="68">
        <v>0.0</v>
      </c>
      <c r="AI189" s="68">
        <v>0.0</v>
      </c>
      <c r="AJ189" s="68">
        <v>0.0</v>
      </c>
      <c r="AK189" s="123">
        <v>0.0</v>
      </c>
      <c r="AL189" s="123"/>
      <c r="AM189" s="124" t="s">
        <v>1002</v>
      </c>
    </row>
    <row r="190" ht="21.0" customHeight="1">
      <c r="A190" s="166"/>
      <c r="B190" s="66"/>
      <c r="C190" s="59"/>
      <c r="D190" s="43" t="s">
        <v>798</v>
      </c>
      <c r="E190" s="81"/>
      <c r="F190" s="81"/>
      <c r="G190" s="81"/>
      <c r="H190" s="65"/>
      <c r="I190" s="65"/>
      <c r="J190" s="65"/>
      <c r="K190" s="65"/>
      <c r="L190" s="65"/>
      <c r="M190" s="43" t="str">
        <f>IFERROR(__xludf.DUMMYFUNCTION("QUERY(Hospitais_BD!D:I,""select E where D='""&amp;D190&amp;""'"",0)"),"ZONA NORTE")</f>
        <v>ZONA NORTE</v>
      </c>
      <c r="N190" s="32" t="str">
        <f>IFERROR(__xludf.DUMMYFUNCTION("QUERY(Hospitais_BD!D:I,""select F where D='""&amp;D190&amp;""'"")"),"Rio de Janeiro")</f>
        <v>Rio de Janeiro</v>
      </c>
      <c r="O190" s="43" t="str">
        <f>IFERROR(__xludf.DUMMYFUNCTION("QUERY(Hospitais_BD!D:I,""select G where D='""&amp;D190&amp;""'"")"),"Caju")</f>
        <v>Caju</v>
      </c>
      <c r="P190" s="81"/>
      <c r="Q190" s="105" t="str">
        <f>IFERROR(__xludf.DUMMYFUNCTION("QUERY(Hospitais_BD!D:I,""select I where D='""&amp;D190&amp;""'"")"),"Público")</f>
        <v>Público</v>
      </c>
      <c r="R190" s="105" t="str">
        <f>IFERROR(__xludf.DUMMYFUNCTION("QUERY(Hospitais_BD!D:I,""select H where D='""&amp;D190&amp;""'"")"),"Unidade básica de saúde - BAIXA COMPLEXIDADE
")</f>
        <v>Unidade básica de saúde - BAIXA COMPLEXIDADE
</v>
      </c>
      <c r="S190" s="167"/>
      <c r="T190" s="106"/>
      <c r="U190" s="154"/>
      <c r="V190" s="81"/>
      <c r="W190" s="82"/>
      <c r="X190" s="81"/>
      <c r="Y190" s="81"/>
      <c r="Z190" s="81"/>
      <c r="AA190" s="81"/>
      <c r="AB190" s="81"/>
      <c r="AC190" s="81"/>
      <c r="AD190" s="81"/>
      <c r="AE190" s="102"/>
      <c r="AF190" s="110"/>
      <c r="AG190" s="65">
        <v>0.0</v>
      </c>
      <c r="AH190" s="65">
        <v>0.0</v>
      </c>
      <c r="AI190" s="65">
        <v>0.0</v>
      </c>
      <c r="AJ190" s="65">
        <v>0.0</v>
      </c>
      <c r="AK190" s="109">
        <v>0.0</v>
      </c>
      <c r="AL190" s="109"/>
      <c r="AM190" s="111" t="s">
        <v>1007</v>
      </c>
    </row>
    <row r="191" ht="21.0" customHeight="1">
      <c r="A191" s="163"/>
      <c r="B191" s="164"/>
      <c r="C191" s="42"/>
      <c r="D191" s="25" t="s">
        <v>799</v>
      </c>
      <c r="E191" s="74"/>
      <c r="F191" s="74"/>
      <c r="G191" s="74"/>
      <c r="H191" s="68"/>
      <c r="I191" s="68"/>
      <c r="J191" s="68"/>
      <c r="K191" s="68"/>
      <c r="L191" s="68"/>
      <c r="M191" s="60" t="str">
        <f>IFERROR(__xludf.DUMMYFUNCTION("QUERY(Hospitais_BD!D:I,""select E where D='""&amp;D191&amp;""'"",0)"),"REGIAO NORTE")</f>
        <v>REGIAO NORTE</v>
      </c>
      <c r="N191" s="25" t="str">
        <f>IFERROR(__xludf.DUMMYFUNCTION("QUERY(Hospitais_BD!D:I,""select F where D='""&amp;D191&amp;""'"")"),"Macae")</f>
        <v>Macae</v>
      </c>
      <c r="O191" s="60" t="str">
        <f>IFERROR(__xludf.DUMMYFUNCTION("QUERY(Hospitais_BD!D:I,""select G where D='""&amp;D191&amp;""'"")"),"Arrial do Sana")</f>
        <v>Arrial do Sana</v>
      </c>
      <c r="P191" s="74"/>
      <c r="Q191" s="116" t="str">
        <f>IFERROR(__xludf.DUMMYFUNCTION("QUERY(Hospitais_BD!D:I,""select I where D='""&amp;D191&amp;""'"")"),"Público")</f>
        <v>Público</v>
      </c>
      <c r="R191" s="116" t="str">
        <f>IFERROR(__xludf.DUMMYFUNCTION("QUERY(Hospitais_BD!D:I,""select H where D='""&amp;D191&amp;""'"")"),"Grande emergência - MÉDIA COMPLEXIDADE
")</f>
        <v>Grande emergência - MÉDIA COMPLEXIDADE
</v>
      </c>
      <c r="S191" s="165"/>
      <c r="T191" s="117"/>
      <c r="U191" s="159"/>
      <c r="V191" s="74"/>
      <c r="W191" s="67"/>
      <c r="X191" s="74"/>
      <c r="Y191" s="74"/>
      <c r="Z191" s="74"/>
      <c r="AA191" s="74"/>
      <c r="AB191" s="74"/>
      <c r="AC191" s="74"/>
      <c r="AD191" s="74"/>
      <c r="AE191" s="75"/>
      <c r="AF191" s="121"/>
      <c r="AG191" s="68">
        <v>0.0</v>
      </c>
      <c r="AH191" s="68">
        <v>0.0</v>
      </c>
      <c r="AI191" s="68">
        <v>0.0</v>
      </c>
      <c r="AJ191" s="68">
        <v>0.0</v>
      </c>
      <c r="AK191" s="123">
        <v>0.0</v>
      </c>
      <c r="AL191" s="123"/>
      <c r="AM191" s="124" t="s">
        <v>1007</v>
      </c>
    </row>
    <row r="192" ht="21.0" customHeight="1">
      <c r="A192" s="166"/>
      <c r="B192" s="66"/>
      <c r="C192" s="59"/>
      <c r="D192" s="32" t="s">
        <v>557</v>
      </c>
      <c r="E192" s="81"/>
      <c r="F192" s="81"/>
      <c r="G192" s="81"/>
      <c r="H192" s="65"/>
      <c r="I192" s="65"/>
      <c r="J192" s="65"/>
      <c r="K192" s="65"/>
      <c r="L192" s="65"/>
      <c r="M192" s="43" t="str">
        <f>IFERROR(__xludf.DUMMYFUNCTION("QUERY(Hospitais_BD!D:I,""select E where D='""&amp;D192&amp;""'"",0)"),"ZONA NORTE")</f>
        <v>ZONA NORTE</v>
      </c>
      <c r="N192" s="32" t="str">
        <f>IFERROR(__xludf.DUMMYFUNCTION("QUERY(Hospitais_BD!D:I,""select F where D='""&amp;D192&amp;""'"")"),"Rio de Janeiro")</f>
        <v>Rio de Janeiro</v>
      </c>
      <c r="O192" s="43" t="str">
        <f>IFERROR(__xludf.DUMMYFUNCTION("QUERY(Hospitais_BD!D:I,""select G where D='""&amp;D192&amp;""'"")"),"Tijuca")</f>
        <v>Tijuca</v>
      </c>
      <c r="P192" s="81"/>
      <c r="Q192" s="105" t="str">
        <f>IFERROR(__xludf.DUMMYFUNCTION("QUERY(Hospitais_BD!D:I,""select I where D='""&amp;D192&amp;""'"")"),"Público")</f>
        <v>Público</v>
      </c>
      <c r="R192" s="105" t="str">
        <f>IFERROR(__xludf.DUMMYFUNCTION("QUERY(Hospitais_BD!D:I,""select H where D='""&amp;D192&amp;""'"")"),"Grande emergência - MÉDIA COMPLEXIDADE")</f>
        <v>Grande emergência - MÉDIA COMPLEXIDADE</v>
      </c>
      <c r="S192" s="167"/>
      <c r="T192" s="106"/>
      <c r="U192" s="154"/>
      <c r="V192" s="81"/>
      <c r="W192" s="82"/>
      <c r="X192" s="81"/>
      <c r="Y192" s="81"/>
      <c r="Z192" s="81"/>
      <c r="AA192" s="81"/>
      <c r="AB192" s="81"/>
      <c r="AC192" s="81"/>
      <c r="AD192" s="81"/>
      <c r="AE192" s="102"/>
      <c r="AF192" s="110"/>
      <c r="AG192" s="65">
        <v>0.0</v>
      </c>
      <c r="AH192" s="65">
        <v>0.0</v>
      </c>
      <c r="AI192" s="65">
        <v>0.0</v>
      </c>
      <c r="AJ192" s="65">
        <v>0.0</v>
      </c>
      <c r="AK192" s="109">
        <v>0.0</v>
      </c>
      <c r="AL192" s="109"/>
      <c r="AM192" s="111" t="s">
        <v>1007</v>
      </c>
    </row>
    <row r="193" ht="21.0" customHeight="1">
      <c r="A193" s="163"/>
      <c r="B193" s="164"/>
      <c r="C193" s="42"/>
      <c r="D193" s="25" t="s">
        <v>803</v>
      </c>
      <c r="E193" s="74"/>
      <c r="F193" s="74"/>
      <c r="G193" s="74"/>
      <c r="H193" s="68"/>
      <c r="I193" s="68"/>
      <c r="J193" s="68"/>
      <c r="K193" s="68"/>
      <c r="L193" s="68"/>
      <c r="M193" s="60" t="str">
        <f>IFERROR(__xludf.DUMMYFUNCTION("QUERY(Hospitais_BD!D:I,""select E where D='""&amp;D193&amp;""'"",0)"),"BAIXADA FLUMINENSE")</f>
        <v>BAIXADA FLUMINENSE</v>
      </c>
      <c r="N193" s="25" t="str">
        <f>IFERROR(__xludf.DUMMYFUNCTION("QUERY(Hospitais_BD!D:I,""select F where D='""&amp;D193&amp;""'"")"),"Duque de Caxias")</f>
        <v>Duque de Caxias</v>
      </c>
      <c r="O193" s="60" t="str">
        <f>IFERROR(__xludf.DUMMYFUNCTION("QUERY(Hospitais_BD!D:I,""select G where D='""&amp;D193&amp;""'"")"),"Centenario")</f>
        <v>Centenario</v>
      </c>
      <c r="P193" s="74" t="s">
        <v>1059</v>
      </c>
      <c r="Q193" s="116" t="str">
        <f>IFERROR(__xludf.DUMMYFUNCTION("QUERY(Hospitais_BD!D:I,""select I where D='""&amp;D193&amp;""'"")"),"Público")</f>
        <v>Público</v>
      </c>
      <c r="R193" s="116" t="str">
        <f>IFERROR(__xludf.DUMMYFUNCTION("QUERY(Hospitais_BD!D:I,""select H where D='""&amp;D193&amp;""'"")"),"Unidade básica de saúde - BAIXA COMPLEXIDADE
")</f>
        <v>Unidade básica de saúde - BAIXA COMPLEXIDADE
</v>
      </c>
      <c r="S193" s="165"/>
      <c r="T193" s="117"/>
      <c r="U193" s="159"/>
      <c r="V193" s="74"/>
      <c r="W193" s="67"/>
      <c r="X193" s="74"/>
      <c r="Y193" s="74"/>
      <c r="Z193" s="74"/>
      <c r="AA193" s="74"/>
      <c r="AB193" s="74"/>
      <c r="AC193" s="74"/>
      <c r="AD193" s="74"/>
      <c r="AE193" s="75"/>
      <c r="AF193" s="121"/>
      <c r="AG193" s="68"/>
      <c r="AH193" s="68"/>
      <c r="AI193" s="68"/>
      <c r="AJ193" s="68"/>
      <c r="AK193" s="123"/>
      <c r="AL193" s="123"/>
      <c r="AM193" s="124" t="s">
        <v>1026</v>
      </c>
    </row>
    <row r="194" ht="21.0" customHeight="1">
      <c r="A194" s="166"/>
      <c r="B194" s="66"/>
      <c r="C194" s="59"/>
      <c r="D194" s="32" t="s">
        <v>804</v>
      </c>
      <c r="E194" s="81"/>
      <c r="F194" s="81"/>
      <c r="G194" s="81"/>
      <c r="H194" s="65"/>
      <c r="I194" s="65"/>
      <c r="J194" s="65"/>
      <c r="K194" s="65"/>
      <c r="L194" s="65"/>
      <c r="M194" s="43" t="str">
        <f>IFERROR(__xludf.DUMMYFUNCTION("QUERY(Hospitais_BD!D:I,""select E where D='""&amp;D194&amp;""'"",0)"),"BAIXADA FLUMINENSE")</f>
        <v>BAIXADA FLUMINENSE</v>
      </c>
      <c r="N194" s="32" t="str">
        <f>IFERROR(__xludf.DUMMYFUNCTION("QUERY(Hospitais_BD!D:I,""select F where D='""&amp;D194&amp;""'"")"),"Duque de Caxias")</f>
        <v>Duque de Caxias</v>
      </c>
      <c r="O194" s="43" t="str">
        <f>IFERROR(__xludf.DUMMYFUNCTION("QUERY(Hospitais_BD!D:I,""select G where D='""&amp;D194&amp;""'"")"),"Barro Branco")</f>
        <v>Barro Branco</v>
      </c>
      <c r="P194" s="81" t="s">
        <v>1060</v>
      </c>
      <c r="Q194" s="105" t="str">
        <f>IFERROR(__xludf.DUMMYFUNCTION("QUERY(Hospitais_BD!D:I,""select I where D='""&amp;D194&amp;""'"")"),"Público")</f>
        <v>Público</v>
      </c>
      <c r="R194" s="105" t="str">
        <f>IFERROR(__xludf.DUMMYFUNCTION("QUERY(Hospitais_BD!D:I,""select H where D='""&amp;D194&amp;""'"")"),"Unidade básica de saúde - BAIXA COMPLEXIDADE
")</f>
        <v>Unidade básica de saúde - BAIXA COMPLEXIDADE
</v>
      </c>
      <c r="S194" s="167"/>
      <c r="T194" s="106"/>
      <c r="U194" s="154"/>
      <c r="V194" s="81"/>
      <c r="W194" s="82"/>
      <c r="X194" s="81"/>
      <c r="Y194" s="81"/>
      <c r="Z194" s="81"/>
      <c r="AA194" s="81"/>
      <c r="AB194" s="81"/>
      <c r="AC194" s="81"/>
      <c r="AD194" s="81"/>
      <c r="AE194" s="102"/>
      <c r="AF194" s="110"/>
      <c r="AG194" s="65"/>
      <c r="AH194" s="65"/>
      <c r="AI194" s="65"/>
      <c r="AJ194" s="65"/>
      <c r="AK194" s="109"/>
      <c r="AL194" s="109"/>
      <c r="AM194" s="111" t="s">
        <v>1006</v>
      </c>
    </row>
    <row r="195" ht="21.0" customHeight="1">
      <c r="A195" s="163"/>
      <c r="B195" s="164"/>
      <c r="C195" s="42"/>
      <c r="D195" s="25" t="s">
        <v>806</v>
      </c>
      <c r="E195" s="74"/>
      <c r="F195" s="74"/>
      <c r="G195" s="74"/>
      <c r="H195" s="68"/>
      <c r="I195" s="68"/>
      <c r="J195" s="68"/>
      <c r="K195" s="68"/>
      <c r="L195" s="68"/>
      <c r="M195" s="60" t="str">
        <f>IFERROR(__xludf.DUMMYFUNCTION("QUERY(Hospitais_BD!D:I,""select E where D='""&amp;D195&amp;""'"",0)"),"BAIXADA FLUMINENSE")</f>
        <v>BAIXADA FLUMINENSE</v>
      </c>
      <c r="N195" s="25" t="str">
        <f>IFERROR(__xludf.DUMMYFUNCTION("QUERY(Hospitais_BD!D:I,""select F where D='""&amp;D195&amp;""'"")"),"Duque de Caxias")</f>
        <v>Duque de Caxias</v>
      </c>
      <c r="O195" s="60" t="str">
        <f>IFERROR(__xludf.DUMMYFUNCTION("QUERY(Hospitais_BD!D:I,""select G where D='""&amp;D195&amp;""'"")"),"Imbarie")</f>
        <v>Imbarie</v>
      </c>
      <c r="P195" s="74" t="s">
        <v>1061</v>
      </c>
      <c r="Q195" s="116" t="str">
        <f>IFERROR(__xludf.DUMMYFUNCTION("QUERY(Hospitais_BD!D:I,""select I where D='""&amp;D195&amp;""'"")"),"Público")</f>
        <v>Público</v>
      </c>
      <c r="R195" s="116" t="str">
        <f>IFERROR(__xludf.DUMMYFUNCTION("QUERY(Hospitais_BD!D:I,""select H where D='""&amp;D195&amp;""'"")"),"Unidade básica de saúde - BAIXA COMPLEXIDADE
")</f>
        <v>Unidade básica de saúde - BAIXA COMPLEXIDADE
</v>
      </c>
      <c r="S195" s="165"/>
      <c r="T195" s="117"/>
      <c r="U195" s="159"/>
      <c r="V195" s="74"/>
      <c r="W195" s="67"/>
      <c r="X195" s="74"/>
      <c r="Y195" s="74"/>
      <c r="Z195" s="74"/>
      <c r="AA195" s="74"/>
      <c r="AB195" s="74"/>
      <c r="AC195" s="74"/>
      <c r="AD195" s="74"/>
      <c r="AE195" s="75"/>
      <c r="AF195" s="121"/>
      <c r="AG195" s="68"/>
      <c r="AH195" s="68"/>
      <c r="AI195" s="68"/>
      <c r="AJ195" s="68"/>
      <c r="AK195" s="123"/>
      <c r="AL195" s="123"/>
      <c r="AM195" s="124" t="s">
        <v>1006</v>
      </c>
    </row>
    <row r="196" ht="21.0" customHeight="1">
      <c r="A196" s="166"/>
      <c r="B196" s="66"/>
      <c r="C196" s="59"/>
      <c r="D196" s="32" t="s">
        <v>807</v>
      </c>
      <c r="E196" s="81"/>
      <c r="F196" s="81"/>
      <c r="G196" s="81"/>
      <c r="H196" s="65"/>
      <c r="I196" s="65"/>
      <c r="J196" s="65"/>
      <c r="K196" s="65"/>
      <c r="L196" s="65"/>
      <c r="M196" s="43" t="str">
        <f>IFERROR(__xludf.DUMMYFUNCTION("QUERY(Hospitais_BD!D:I,""select E where D='""&amp;D196&amp;""'"",0)"),"REGIAO METROPOLITANA")</f>
        <v>REGIAO METROPOLITANA</v>
      </c>
      <c r="N196" s="32" t="str">
        <f>IFERROR(__xludf.DUMMYFUNCTION("QUERY(Hospitais_BD!D:I,""select F where D='""&amp;D196&amp;""'"")"),"Duque de Caxias")</f>
        <v>Duque de Caxias</v>
      </c>
      <c r="O196" s="43" t="str">
        <f>IFERROR(__xludf.DUMMYFUNCTION("QUERY(Hospitais_BD!D:I,""select G where D='""&amp;D196&amp;""'"")"),"Jardim Anhanga")</f>
        <v>Jardim Anhanga</v>
      </c>
      <c r="P196" s="81" t="s">
        <v>1062</v>
      </c>
      <c r="Q196" s="105" t="str">
        <f>IFERROR(__xludf.DUMMYFUNCTION("QUERY(Hospitais_BD!D:I,""select I where D='""&amp;D196&amp;""'"")"),"Público")</f>
        <v>Público</v>
      </c>
      <c r="R196" s="105" t="str">
        <f>IFERROR(__xludf.DUMMYFUNCTION("QUERY(Hospitais_BD!D:I,""select H where D='""&amp;D196&amp;""'"")"),"Unidade básica de saúde - BAIXA COMPLEXIDADE
")</f>
        <v>Unidade básica de saúde - BAIXA COMPLEXIDADE
</v>
      </c>
      <c r="S196" s="167"/>
      <c r="T196" s="106"/>
      <c r="U196" s="154"/>
      <c r="V196" s="81"/>
      <c r="W196" s="82"/>
      <c r="X196" s="81"/>
      <c r="Y196" s="81"/>
      <c r="Z196" s="81"/>
      <c r="AA196" s="81"/>
      <c r="AB196" s="81"/>
      <c r="AC196" s="81"/>
      <c r="AD196" s="81"/>
      <c r="AE196" s="102"/>
      <c r="AF196" s="110"/>
      <c r="AG196" s="65"/>
      <c r="AH196" s="65"/>
      <c r="AI196" s="65"/>
      <c r="AJ196" s="65"/>
      <c r="AK196" s="109"/>
      <c r="AL196" s="109"/>
      <c r="AM196" s="111" t="s">
        <v>1006</v>
      </c>
    </row>
    <row r="197" ht="21.0" customHeight="1">
      <c r="A197" s="163"/>
      <c r="B197" s="164"/>
      <c r="C197" s="42"/>
      <c r="D197" s="25" t="s">
        <v>809</v>
      </c>
      <c r="E197" s="74"/>
      <c r="F197" s="74"/>
      <c r="G197" s="74"/>
      <c r="H197" s="68"/>
      <c r="I197" s="68"/>
      <c r="J197" s="68"/>
      <c r="K197" s="68"/>
      <c r="L197" s="68"/>
      <c r="M197" s="60" t="str">
        <f>IFERROR(__xludf.DUMMYFUNCTION("QUERY(Hospitais_BD!D:I,""select E where D='""&amp;D197&amp;""'"",0)"),"BAIXADA FLUMINENSE")</f>
        <v>BAIXADA FLUMINENSE</v>
      </c>
      <c r="N197" s="25" t="str">
        <f>IFERROR(__xludf.DUMMYFUNCTION("QUERY(Hospitais_BD!D:I,""select F where D='""&amp;D197&amp;""'"")"),"Duque de Caxias")</f>
        <v>Duque de Caxias</v>
      </c>
      <c r="O197" s="60" t="str">
        <f>IFERROR(__xludf.DUMMYFUNCTION("QUERY(Hospitais_BD!D:I,""select G where D='""&amp;D197&amp;""'"")"),"Taquara")</f>
        <v>Taquara</v>
      </c>
      <c r="P197" s="74" t="s">
        <v>1063</v>
      </c>
      <c r="Q197" s="116" t="str">
        <f>IFERROR(__xludf.DUMMYFUNCTION("QUERY(Hospitais_BD!D:I,""select I where D='""&amp;D197&amp;""'"")"),"Público")</f>
        <v>Público</v>
      </c>
      <c r="R197" s="116" t="str">
        <f>IFERROR(__xludf.DUMMYFUNCTION("QUERY(Hospitais_BD!D:I,""select H where D='""&amp;D197&amp;""'"")"),"Unidade básica de saúde - BAIXA COMPLEXIDADE
")</f>
        <v>Unidade básica de saúde - BAIXA COMPLEXIDADE
</v>
      </c>
      <c r="S197" s="165"/>
      <c r="T197" s="117"/>
      <c r="U197" s="159"/>
      <c r="V197" s="74"/>
      <c r="W197" s="67"/>
      <c r="X197" s="74"/>
      <c r="Y197" s="74"/>
      <c r="Z197" s="74"/>
      <c r="AA197" s="74"/>
      <c r="AB197" s="74"/>
      <c r="AC197" s="74"/>
      <c r="AD197" s="74"/>
      <c r="AE197" s="75"/>
      <c r="AF197" s="121"/>
      <c r="AG197" s="68"/>
      <c r="AH197" s="68"/>
      <c r="AI197" s="68"/>
      <c r="AJ197" s="68"/>
      <c r="AK197" s="123"/>
      <c r="AL197" s="123"/>
      <c r="AM197" s="124" t="s">
        <v>1006</v>
      </c>
    </row>
    <row r="198" ht="21.0" customHeight="1">
      <c r="A198" s="166"/>
      <c r="B198" s="66"/>
      <c r="C198" s="59"/>
      <c r="D198" s="32" t="s">
        <v>810</v>
      </c>
      <c r="E198" s="81"/>
      <c r="F198" s="81"/>
      <c r="G198" s="81"/>
      <c r="H198" s="65"/>
      <c r="I198" s="65"/>
      <c r="J198" s="65"/>
      <c r="K198" s="65"/>
      <c r="L198" s="65"/>
      <c r="M198" s="43" t="str">
        <f>IFERROR(__xludf.DUMMYFUNCTION("QUERY(Hospitais_BD!D:I,""select E where D='""&amp;D198&amp;""'"",0)"),"BAIXADA FLUMINENSE")</f>
        <v>BAIXADA FLUMINENSE</v>
      </c>
      <c r="N198" s="32" t="str">
        <f>IFERROR(__xludf.DUMMYFUNCTION("QUERY(Hospitais_BD!D:I,""select F where D='""&amp;D198&amp;""'"")"),"Duque de Caxias")</f>
        <v>Duque de Caxias</v>
      </c>
      <c r="O198" s="43" t="str">
        <f>IFERROR(__xludf.DUMMYFUNCTION("QUERY(Hospitais_BD!D:I,""select G where D='""&amp;D198&amp;""'"")"),"Jardim Olimpo")</f>
        <v>Jardim Olimpo</v>
      </c>
      <c r="P198" s="81" t="s">
        <v>1064</v>
      </c>
      <c r="Q198" s="105" t="str">
        <f>IFERROR(__xludf.DUMMYFUNCTION("QUERY(Hospitais_BD!D:I,""select I where D='""&amp;D198&amp;""'"")"),"Público")</f>
        <v>Público</v>
      </c>
      <c r="R198" s="105" t="str">
        <f>IFERROR(__xludf.DUMMYFUNCTION("QUERY(Hospitais_BD!D:I,""select H where D='""&amp;D198&amp;""'"")"),"Unidade básica de saúde - BAIXA COMPLEXIDADE
")</f>
        <v>Unidade básica de saúde - BAIXA COMPLEXIDADE
</v>
      </c>
      <c r="S198" s="167"/>
      <c r="T198" s="106"/>
      <c r="U198" s="154"/>
      <c r="V198" s="81"/>
      <c r="W198" s="82"/>
      <c r="X198" s="81"/>
      <c r="Y198" s="81"/>
      <c r="Z198" s="81"/>
      <c r="AA198" s="81"/>
      <c r="AB198" s="81"/>
      <c r="AC198" s="81"/>
      <c r="AD198" s="81"/>
      <c r="AE198" s="102"/>
      <c r="AF198" s="110"/>
      <c r="AG198" s="65"/>
      <c r="AH198" s="65"/>
      <c r="AI198" s="65"/>
      <c r="AJ198" s="65"/>
      <c r="AK198" s="109"/>
      <c r="AL198" s="109"/>
      <c r="AM198" s="111" t="s">
        <v>1006</v>
      </c>
    </row>
    <row r="199" ht="21.0" customHeight="1">
      <c r="A199" s="163"/>
      <c r="B199" s="164"/>
      <c r="C199" s="42"/>
      <c r="D199" s="25" t="s">
        <v>812</v>
      </c>
      <c r="E199" s="74"/>
      <c r="F199" s="74"/>
      <c r="G199" s="74"/>
      <c r="H199" s="68"/>
      <c r="I199" s="68"/>
      <c r="J199" s="68"/>
      <c r="K199" s="68"/>
      <c r="L199" s="68"/>
      <c r="M199" s="60" t="str">
        <f>IFERROR(__xludf.DUMMYFUNCTION("QUERY(Hospitais_BD!D:I,""select E where D='""&amp;D199&amp;""'"",0)"),"BAIXADA FLUMINENSE")</f>
        <v>BAIXADA FLUMINENSE</v>
      </c>
      <c r="N199" s="25" t="str">
        <f>IFERROR(__xludf.DUMMYFUNCTION("QUERY(Hospitais_BD!D:I,""select F where D='""&amp;D199&amp;""'"")"),"Duque de Caxias")</f>
        <v>Duque de Caxias</v>
      </c>
      <c r="O199" s="60" t="str">
        <f>IFERROR(__xludf.DUMMYFUNCTION("QUERY(Hospitais_BD!D:I,""select G where D='""&amp;D199&amp;""'"")"),"Santo Antonio da Serra")</f>
        <v>Santo Antonio da Serra</v>
      </c>
      <c r="P199" s="74" t="s">
        <v>1065</v>
      </c>
      <c r="Q199" s="116" t="str">
        <f>IFERROR(__xludf.DUMMYFUNCTION("QUERY(Hospitais_BD!D:I,""select I where D='""&amp;D199&amp;""'"")"),"Público")</f>
        <v>Público</v>
      </c>
      <c r="R199" s="116" t="str">
        <f>IFERROR(__xludf.DUMMYFUNCTION("QUERY(Hospitais_BD!D:I,""select H where D='""&amp;D199&amp;""'"")"),"Unidade básica de saúde - BAIXA COMPLEXIDADE
")</f>
        <v>Unidade básica de saúde - BAIXA COMPLEXIDADE
</v>
      </c>
      <c r="S199" s="165"/>
      <c r="T199" s="117"/>
      <c r="U199" s="159"/>
      <c r="V199" s="74"/>
      <c r="W199" s="67"/>
      <c r="X199" s="74"/>
      <c r="Y199" s="74"/>
      <c r="Z199" s="74"/>
      <c r="AA199" s="74"/>
      <c r="AB199" s="74"/>
      <c r="AC199" s="74"/>
      <c r="AD199" s="74"/>
      <c r="AE199" s="75"/>
      <c r="AF199" s="121"/>
      <c r="AG199" s="68"/>
      <c r="AH199" s="68"/>
      <c r="AI199" s="68"/>
      <c r="AJ199" s="68"/>
      <c r="AK199" s="123"/>
      <c r="AL199" s="123"/>
      <c r="AM199" s="124" t="s">
        <v>1006</v>
      </c>
    </row>
    <row r="200" ht="21.0" customHeight="1">
      <c r="A200" s="166"/>
      <c r="B200" s="66"/>
      <c r="C200" s="59"/>
      <c r="D200" s="32" t="s">
        <v>814</v>
      </c>
      <c r="E200" s="81"/>
      <c r="F200" s="81"/>
      <c r="G200" s="81"/>
      <c r="H200" s="65"/>
      <c r="I200" s="65"/>
      <c r="J200" s="65"/>
      <c r="K200" s="65"/>
      <c r="L200" s="65"/>
      <c r="M200" s="43" t="str">
        <f>IFERROR(__xludf.DUMMYFUNCTION("QUERY(Hospitais_BD!D:I,""select E where D='""&amp;D200&amp;""'"",0)"),"BAIXADA FLUMINENSE")</f>
        <v>BAIXADA FLUMINENSE</v>
      </c>
      <c r="N200" s="32" t="str">
        <f>IFERROR(__xludf.DUMMYFUNCTION("QUERY(Hospitais_BD!D:I,""select F where D='""&amp;D200&amp;""'"")"),"Duque de Caxias")</f>
        <v>Duque de Caxias</v>
      </c>
      <c r="O200" s="43" t="str">
        <f>IFERROR(__xludf.DUMMYFUNCTION("QUERY(Hospitais_BD!D:I,""select G where D='""&amp;D200&amp;""'"")"),"Santa Rosa")</f>
        <v>Santa Rosa</v>
      </c>
      <c r="P200" s="81" t="s">
        <v>1066</v>
      </c>
      <c r="Q200" s="105" t="str">
        <f>IFERROR(__xludf.DUMMYFUNCTION("QUERY(Hospitais_BD!D:I,""select I where D='""&amp;D200&amp;""'"")"),"Público")</f>
        <v>Público</v>
      </c>
      <c r="R200" s="105" t="str">
        <f>IFERROR(__xludf.DUMMYFUNCTION("QUERY(Hospitais_BD!D:I,""select H where D='""&amp;D200&amp;""'"")"),"Unidade básica de saúde - BAIXA COMPLEXIDADE
")</f>
        <v>Unidade básica de saúde - BAIXA COMPLEXIDADE
</v>
      </c>
      <c r="S200" s="167"/>
      <c r="T200" s="106"/>
      <c r="U200" s="154"/>
      <c r="V200" s="81"/>
      <c r="W200" s="82"/>
      <c r="X200" s="81"/>
      <c r="Y200" s="81"/>
      <c r="Z200" s="81"/>
      <c r="AA200" s="81"/>
      <c r="AB200" s="81"/>
      <c r="AC200" s="81"/>
      <c r="AD200" s="81"/>
      <c r="AE200" s="102"/>
      <c r="AF200" s="110"/>
      <c r="AG200" s="65"/>
      <c r="AH200" s="65"/>
      <c r="AI200" s="65"/>
      <c r="AJ200" s="65"/>
      <c r="AK200" s="109"/>
      <c r="AL200" s="109"/>
      <c r="AM200" s="111" t="s">
        <v>1006</v>
      </c>
    </row>
    <row r="201" ht="21.0" customHeight="1">
      <c r="A201" s="163"/>
      <c r="B201" s="164"/>
      <c r="C201" s="42"/>
      <c r="D201" s="25" t="s">
        <v>815</v>
      </c>
      <c r="E201" s="74"/>
      <c r="F201" s="74"/>
      <c r="G201" s="74"/>
      <c r="H201" s="68"/>
      <c r="I201" s="68"/>
      <c r="J201" s="68"/>
      <c r="K201" s="68"/>
      <c r="L201" s="68"/>
      <c r="M201" s="60" t="str">
        <f>IFERROR(__xludf.DUMMYFUNCTION("QUERY(Hospitais_BD!D:I,""select E where D='""&amp;D201&amp;""'"",0)"),"REGIAO METROPOLITANA")</f>
        <v>REGIAO METROPOLITANA</v>
      </c>
      <c r="N201" s="25" t="str">
        <f>IFERROR(__xludf.DUMMYFUNCTION("QUERY(Hospitais_BD!D:I,""select F where D='""&amp;D201&amp;""'"")"),"Duque de Caxias")</f>
        <v>Duque de Caxias</v>
      </c>
      <c r="O201" s="60" t="str">
        <f>IFERROR(__xludf.DUMMYFUNCTION("QUERY(Hospitais_BD!D:I,""select G where D='""&amp;D201&amp;""'"")"),"Vila Operaria")</f>
        <v>Vila Operaria</v>
      </c>
      <c r="P201" s="74" t="s">
        <v>1067</v>
      </c>
      <c r="Q201" s="116" t="str">
        <f>IFERROR(__xludf.DUMMYFUNCTION("QUERY(Hospitais_BD!D:I,""select I where D='""&amp;D201&amp;""'"")"),"Público")</f>
        <v>Público</v>
      </c>
      <c r="R201" s="116" t="str">
        <f>IFERROR(__xludf.DUMMYFUNCTION("QUERY(Hospitais_BD!D:I,""select H where D='""&amp;D201&amp;""'"")"),"Unidade básica de saúde - BAIXA COMPLEXIDADE
")</f>
        <v>Unidade básica de saúde - BAIXA COMPLEXIDADE
</v>
      </c>
      <c r="S201" s="165"/>
      <c r="T201" s="117"/>
      <c r="U201" s="159"/>
      <c r="V201" s="74"/>
      <c r="W201" s="67"/>
      <c r="X201" s="74"/>
      <c r="Y201" s="74"/>
      <c r="Z201" s="74"/>
      <c r="AA201" s="74"/>
      <c r="AB201" s="74"/>
      <c r="AC201" s="74"/>
      <c r="AD201" s="74"/>
      <c r="AE201" s="75"/>
      <c r="AF201" s="121"/>
      <c r="AG201" s="68"/>
      <c r="AH201" s="68"/>
      <c r="AI201" s="68"/>
      <c r="AJ201" s="68"/>
      <c r="AK201" s="123"/>
      <c r="AL201" s="123"/>
      <c r="AM201" s="124" t="s">
        <v>1006</v>
      </c>
    </row>
    <row r="202" ht="21.0" customHeight="1">
      <c r="A202" s="166"/>
      <c r="B202" s="66"/>
      <c r="C202" s="59"/>
      <c r="D202" s="32" t="s">
        <v>817</v>
      </c>
      <c r="E202" s="81"/>
      <c r="F202" s="81"/>
      <c r="G202" s="81"/>
      <c r="H202" s="65"/>
      <c r="I202" s="65"/>
      <c r="J202" s="65"/>
      <c r="K202" s="65"/>
      <c r="L202" s="65"/>
      <c r="M202" s="43" t="str">
        <f>IFERROR(__xludf.DUMMYFUNCTION("QUERY(Hospitais_BD!D:I,""select E where D='""&amp;D202&amp;""'"",0)"),"BAIXADA FLUMINENSE")</f>
        <v>BAIXADA FLUMINENSE</v>
      </c>
      <c r="N202" s="32" t="str">
        <f>IFERROR(__xludf.DUMMYFUNCTION("QUERY(Hospitais_BD!D:I,""select F where D='""&amp;D202&amp;""'"")"),"Duque de Caxias")</f>
        <v>Duque de Caxias</v>
      </c>
      <c r="O202" s="43" t="str">
        <f>IFERROR(__xludf.DUMMYFUNCTION("QUERY(Hospitais_BD!D:I,""select G where D='""&amp;D202&amp;""'"")"),"Parque Felicidade")</f>
        <v>Parque Felicidade</v>
      </c>
      <c r="P202" s="81" t="s">
        <v>1068</v>
      </c>
      <c r="Q202" s="105" t="str">
        <f>IFERROR(__xludf.DUMMYFUNCTION("QUERY(Hospitais_BD!D:I,""select I where D='""&amp;D202&amp;""'"")"),"Público")</f>
        <v>Público</v>
      </c>
      <c r="R202" s="105" t="str">
        <f>IFERROR(__xludf.DUMMYFUNCTION("QUERY(Hospitais_BD!D:I,""select H where D='""&amp;D202&amp;""'"")"),"Unidade básica de saúde - BAIXA COMPLEXIDADE
")</f>
        <v>Unidade básica de saúde - BAIXA COMPLEXIDADE
</v>
      </c>
      <c r="S202" s="167"/>
      <c r="T202" s="106"/>
      <c r="U202" s="154"/>
      <c r="V202" s="81"/>
      <c r="W202" s="82"/>
      <c r="X202" s="81"/>
      <c r="Y202" s="81"/>
      <c r="Z202" s="81"/>
      <c r="AA202" s="81"/>
      <c r="AB202" s="81"/>
      <c r="AC202" s="81"/>
      <c r="AD202" s="81"/>
      <c r="AE202" s="102"/>
      <c r="AF202" s="110"/>
      <c r="AG202" s="65"/>
      <c r="AH202" s="65"/>
      <c r="AI202" s="65"/>
      <c r="AJ202" s="65"/>
      <c r="AK202" s="109"/>
      <c r="AL202" s="109"/>
      <c r="AM202" s="111" t="s">
        <v>1006</v>
      </c>
    </row>
    <row r="203" ht="21.0" customHeight="1">
      <c r="A203" s="163"/>
      <c r="B203" s="164"/>
      <c r="C203" s="42"/>
      <c r="D203" s="25" t="s">
        <v>78</v>
      </c>
      <c r="E203" s="74"/>
      <c r="F203" s="74"/>
      <c r="G203" s="74"/>
      <c r="H203" s="68"/>
      <c r="I203" s="68"/>
      <c r="J203" s="68"/>
      <c r="K203" s="68"/>
      <c r="L203" s="68"/>
      <c r="M203" s="60" t="str">
        <f>IFERROR(__xludf.DUMMYFUNCTION("QUERY(Hospitais_BD!D:I,""select E where D='""&amp;D203&amp;""'"",0)"),"CENTRO")</f>
        <v>CENTRO</v>
      </c>
      <c r="N203" s="25" t="str">
        <f>IFERROR(__xludf.DUMMYFUNCTION("QUERY(Hospitais_BD!D:I,""select F where D='""&amp;D203&amp;""'"")"),"Rio de Janeiro")</f>
        <v>Rio de Janeiro</v>
      </c>
      <c r="O203" s="60" t="str">
        <f>IFERROR(__xludf.DUMMYFUNCTION("QUERY(Hospitais_BD!D:I,""select G where D='""&amp;D203&amp;""'"")"),"Caju")</f>
        <v>Caju</v>
      </c>
      <c r="P203" s="74" t="s">
        <v>1069</v>
      </c>
      <c r="Q203" s="116" t="str">
        <f>IFERROR(__xludf.DUMMYFUNCTION("QUERY(Hospitais_BD!D:I,""select I where D='""&amp;D203&amp;""'"")"),"Público")</f>
        <v>Público</v>
      </c>
      <c r="R203" s="116" t="str">
        <f>IFERROR(__xludf.DUMMYFUNCTION("QUERY(Hospitais_BD!D:I,""select H where D='""&amp;D203&amp;""'"")"),"Unidade básica - BAIXA COMPLEXIDADE")</f>
        <v>Unidade básica - BAIXA COMPLEXIDADE</v>
      </c>
      <c r="S203" s="165"/>
      <c r="T203" s="165"/>
      <c r="U203" s="159"/>
      <c r="V203" s="74"/>
      <c r="W203" s="67"/>
      <c r="X203" s="74"/>
      <c r="Y203" s="74"/>
      <c r="Z203" s="74"/>
      <c r="AA203" s="74"/>
      <c r="AB203" s="74"/>
      <c r="AC203" s="74"/>
      <c r="AD203" s="74"/>
      <c r="AE203" s="75"/>
      <c r="AF203" s="121"/>
      <c r="AG203" s="68"/>
      <c r="AH203" s="68"/>
      <c r="AI203" s="68"/>
      <c r="AJ203" s="68"/>
      <c r="AK203" s="123"/>
      <c r="AL203" s="123"/>
      <c r="AM203" s="124" t="s">
        <v>1006</v>
      </c>
    </row>
    <row r="204" ht="21.0" customHeight="1">
      <c r="A204" s="166"/>
      <c r="B204" s="66"/>
      <c r="C204" s="59"/>
      <c r="D204" s="32" t="s">
        <v>273</v>
      </c>
      <c r="E204" s="81"/>
      <c r="F204" s="81"/>
      <c r="G204" s="81"/>
      <c r="H204" s="65"/>
      <c r="I204" s="65"/>
      <c r="J204" s="65"/>
      <c r="K204" s="65"/>
      <c r="L204" s="65"/>
      <c r="M204" s="43" t="str">
        <f>IFERROR(__xludf.DUMMYFUNCTION("QUERY(Hospitais_BD!D:I,""select E where D='""&amp;D204&amp;""'"",0)"),"#REF!")</f>
        <v>#REF!</v>
      </c>
      <c r="N204" s="32" t="str">
        <f>IFERROR(__xludf.DUMMYFUNCTION("QUERY(Hospitais_BD!D:I,""select F where D='""&amp;D204&amp;""'"")"),"#REF!")</f>
        <v>#REF!</v>
      </c>
      <c r="O204" s="43" t="str">
        <f>IFERROR(__xludf.DUMMYFUNCTION("QUERY(Hospitais_BD!D:I,""select G where D='""&amp;D204&amp;""'"")"),"#REF!")</f>
        <v>#REF!</v>
      </c>
      <c r="P204" s="81" t="s">
        <v>1070</v>
      </c>
      <c r="Q204" s="105" t="str">
        <f>IFERROR(__xludf.DUMMYFUNCTION("QUERY(Hospitais_BD!D:I,""select I where D='""&amp;D204&amp;""'"")"),"#REF!")</f>
        <v>#REF!</v>
      </c>
      <c r="R204" s="105" t="str">
        <f>IFERROR(__xludf.DUMMYFUNCTION("QUERY(Hospitais_BD!D:I,""select H where D='""&amp;D204&amp;""'"")"),"#REF!")</f>
        <v>#REF!</v>
      </c>
      <c r="S204" s="167"/>
      <c r="T204" s="167"/>
      <c r="U204" s="154"/>
      <c r="V204" s="81"/>
      <c r="W204" s="82"/>
      <c r="X204" s="81"/>
      <c r="Y204" s="81"/>
      <c r="Z204" s="81"/>
      <c r="AA204" s="81"/>
      <c r="AB204" s="81"/>
      <c r="AC204" s="81"/>
      <c r="AD204" s="81"/>
      <c r="AE204" s="102"/>
      <c r="AF204" s="110"/>
      <c r="AG204" s="65">
        <v>100.0</v>
      </c>
      <c r="AH204" s="65"/>
      <c r="AI204" s="65"/>
      <c r="AJ204" s="65"/>
      <c r="AK204" s="109"/>
      <c r="AL204" s="109"/>
      <c r="AM204" s="111" t="s">
        <v>1002</v>
      </c>
    </row>
    <row r="205" ht="21.0" customHeight="1">
      <c r="A205" s="163"/>
      <c r="B205" s="164"/>
      <c r="C205" s="42"/>
      <c r="D205" s="25" t="s">
        <v>730</v>
      </c>
      <c r="E205" s="74"/>
      <c r="F205" s="74"/>
      <c r="G205" s="74"/>
      <c r="H205" s="68"/>
      <c r="I205" s="68"/>
      <c r="J205" s="68"/>
      <c r="K205" s="68"/>
      <c r="L205" s="68"/>
      <c r="M205" s="60" t="str">
        <f>IFERROR(__xludf.DUMMYFUNCTION("QUERY(Hospitais_BD!D:I,""select E where D='""&amp;D205&amp;""'"",0)"),"REGIAO METROPOLITANA")</f>
        <v>REGIAO METROPOLITANA</v>
      </c>
      <c r="N205" s="25" t="str">
        <f>IFERROR(__xludf.DUMMYFUNCTION("QUERY(Hospitais_BD!D:I,""select F where D='""&amp;D205&amp;""'"")"),"Rio de Janeiro")</f>
        <v>Rio de Janeiro</v>
      </c>
      <c r="O205" s="60" t="str">
        <f>IFERROR(__xludf.DUMMYFUNCTION("QUERY(Hospitais_BD!D:I,""select G where D='""&amp;D205&amp;""'"")"),"Anchieta")</f>
        <v>Anchieta</v>
      </c>
      <c r="P205" s="74" t="s">
        <v>1071</v>
      </c>
      <c r="Q205" s="116" t="str">
        <f>IFERROR(__xludf.DUMMYFUNCTION("QUERY(Hospitais_BD!D:I,""select I where D='""&amp;D205&amp;""'"")"),"Público")</f>
        <v>Público</v>
      </c>
      <c r="R205" s="116" t="str">
        <f>IFERROR(__xludf.DUMMYFUNCTION("QUERY(Hospitais_BD!D:I,""select H where D='""&amp;D205&amp;""'"")"),"Unidade básica de saúde - BAIXA COMPLEXIDADE
")</f>
        <v>Unidade básica de saúde - BAIXA COMPLEXIDADE
</v>
      </c>
      <c r="S205" s="165"/>
      <c r="T205" s="165"/>
      <c r="U205" s="159"/>
      <c r="V205" s="74"/>
      <c r="W205" s="67"/>
      <c r="X205" s="74"/>
      <c r="Y205" s="74"/>
      <c r="Z205" s="74"/>
      <c r="AA205" s="74"/>
      <c r="AB205" s="74"/>
      <c r="AC205" s="74"/>
      <c r="AD205" s="74"/>
      <c r="AE205" s="75"/>
      <c r="AF205" s="121"/>
      <c r="AG205" s="68">
        <v>25.0</v>
      </c>
      <c r="AH205" s="68"/>
      <c r="AI205" s="68"/>
      <c r="AJ205" s="68"/>
      <c r="AK205" s="123">
        <v>6.0</v>
      </c>
      <c r="AL205" s="123"/>
      <c r="AM205" s="124" t="s">
        <v>1002</v>
      </c>
    </row>
    <row r="206" ht="21.0" customHeight="1">
      <c r="A206" s="166"/>
      <c r="B206" s="66"/>
      <c r="C206" s="59"/>
      <c r="D206" s="32" t="s">
        <v>639</v>
      </c>
      <c r="E206" s="81"/>
      <c r="F206" s="81"/>
      <c r="G206" s="81"/>
      <c r="H206" s="65"/>
      <c r="I206" s="65"/>
      <c r="J206" s="65"/>
      <c r="K206" s="65"/>
      <c r="L206" s="65"/>
      <c r="M206" s="43" t="str">
        <f>IFERROR(__xludf.DUMMYFUNCTION("QUERY(Hospitais_BD!D:I,""select E where D='""&amp;D206&amp;""'"",0)"),"ZONA NORTE")</f>
        <v>ZONA NORTE</v>
      </c>
      <c r="N206" s="32" t="str">
        <f>IFERROR(__xludf.DUMMYFUNCTION("QUERY(Hospitais_BD!D:I,""select F where D='""&amp;D206&amp;""'"")"),"Rio de Janeiro")</f>
        <v>Rio de Janeiro</v>
      </c>
      <c r="O206" s="43" t="str">
        <f>IFERROR(__xludf.DUMMYFUNCTION("QUERY(Hospitais_BD!D:I,""select G where D='""&amp;D206&amp;""'"")"),"Ilha do Fundao - Cidade Universitaria")</f>
        <v>Ilha do Fundao - Cidade Universitaria</v>
      </c>
      <c r="P206" s="81" t="s">
        <v>1072</v>
      </c>
      <c r="Q206" s="105" t="str">
        <f>IFERROR(__xludf.DUMMYFUNCTION("QUERY(Hospitais_BD!D:I,""select I where D='""&amp;D206&amp;""'"")"),"Público")</f>
        <v>Público</v>
      </c>
      <c r="R206" s="105" t="str">
        <f>IFERROR(__xludf.DUMMYFUNCTION("QUERY(Hospitais_BD!D:I,""select H where D='""&amp;D206&amp;""'"")"),"Unidade de atendimento publico odontológico
")</f>
        <v>Unidade de atendimento publico odontológico
</v>
      </c>
      <c r="S206" s="167"/>
      <c r="T206" s="167"/>
      <c r="U206" s="154"/>
      <c r="V206" s="81"/>
      <c r="W206" s="82"/>
      <c r="X206" s="81"/>
      <c r="Y206" s="81"/>
      <c r="Z206" s="81"/>
      <c r="AA206" s="81"/>
      <c r="AB206" s="81"/>
      <c r="AC206" s="81"/>
      <c r="AD206" s="81"/>
      <c r="AE206" s="102"/>
      <c r="AF206" s="110"/>
      <c r="AG206" s="65"/>
      <c r="AH206" s="65"/>
      <c r="AI206" s="65"/>
      <c r="AJ206" s="65"/>
      <c r="AK206" s="109"/>
      <c r="AL206" s="109"/>
      <c r="AM206" s="111" t="s">
        <v>1006</v>
      </c>
    </row>
    <row r="207" ht="21.0" customHeight="1">
      <c r="A207" s="163"/>
      <c r="B207" s="164"/>
      <c r="C207" s="42"/>
      <c r="D207" s="20" t="s">
        <v>635</v>
      </c>
      <c r="E207" s="74"/>
      <c r="F207" s="74"/>
      <c r="G207" s="74"/>
      <c r="H207" s="68"/>
      <c r="I207" s="68"/>
      <c r="J207" s="68"/>
      <c r="K207" s="68"/>
      <c r="L207" s="68"/>
      <c r="M207" s="60" t="str">
        <f>IFERROR(__xludf.DUMMYFUNCTION("QUERY(Hospitais_BD!D:I,""select E where D='""&amp;D207&amp;""'"",0)"),"REGIAO DOS LAGOS")</f>
        <v>REGIAO DOS LAGOS</v>
      </c>
      <c r="N207" s="25" t="str">
        <f>IFERROR(__xludf.DUMMYFUNCTION("QUERY(Hospitais_BD!D:I,""select F where D='""&amp;D207&amp;""'"")"),"Cabo frio")</f>
        <v>Cabo frio</v>
      </c>
      <c r="O207" s="60" t="str">
        <f>IFERROR(__xludf.DUMMYFUNCTION("QUERY(Hospitais_BD!D:I,""select G where D='""&amp;D207&amp;""'"")"),"Sao Cristovao")</f>
        <v>Sao Cristovao</v>
      </c>
      <c r="P207" s="74" t="s">
        <v>1073</v>
      </c>
      <c r="Q207" s="116" t="str">
        <f>IFERROR(__xludf.DUMMYFUNCTION("QUERY(Hospitais_BD!D:I,""select I where D='""&amp;D207&amp;""'"")"),"Público")</f>
        <v>Público</v>
      </c>
      <c r="R207" s="116" t="str">
        <f>IFERROR(__xludf.DUMMYFUNCTION("QUERY(Hospitais_BD!D:I,""select H where D='""&amp;D207&amp;""'"")"),"Grande emergência - MÉDIA COMPLEXIDADE
")</f>
        <v>Grande emergência - MÉDIA COMPLEXIDADE
</v>
      </c>
      <c r="S207" s="165"/>
      <c r="T207" s="165"/>
      <c r="U207" s="159"/>
      <c r="V207" s="74"/>
      <c r="W207" s="67"/>
      <c r="X207" s="74"/>
      <c r="Y207" s="173"/>
      <c r="Z207" s="74"/>
      <c r="AA207" s="74"/>
      <c r="AB207" s="74"/>
      <c r="AC207" s="74"/>
      <c r="AD207" s="74"/>
      <c r="AE207" s="75"/>
      <c r="AF207" s="121"/>
      <c r="AG207" s="68">
        <v>150.0</v>
      </c>
      <c r="AH207" s="68"/>
      <c r="AI207" s="68"/>
      <c r="AJ207" s="68"/>
      <c r="AK207" s="123"/>
      <c r="AL207" s="123"/>
      <c r="AM207" s="124" t="s">
        <v>1002</v>
      </c>
    </row>
    <row r="208" ht="21.0" customHeight="1">
      <c r="A208" s="166"/>
      <c r="B208" s="66"/>
      <c r="C208" s="59"/>
      <c r="D208" s="32" t="s">
        <v>629</v>
      </c>
      <c r="E208" s="81"/>
      <c r="F208" s="81"/>
      <c r="G208" s="81"/>
      <c r="H208" s="65"/>
      <c r="I208" s="65"/>
      <c r="J208" s="65"/>
      <c r="K208" s="65"/>
      <c r="L208" s="65"/>
      <c r="M208" s="43" t="str">
        <f>IFERROR(__xludf.DUMMYFUNCTION("QUERY(Hospitais_BD!D:I,""select E where D='""&amp;D208&amp;""'"",0)"),"ZONA SUL")</f>
        <v>ZONA SUL</v>
      </c>
      <c r="N208" s="32" t="str">
        <f>IFERROR(__xludf.DUMMYFUNCTION("QUERY(Hospitais_BD!D:I,""select F where D='""&amp;D208&amp;""'"")"),"Rio de Janeiro")</f>
        <v>Rio de Janeiro</v>
      </c>
      <c r="O208" s="43" t="str">
        <f>IFERROR(__xludf.DUMMYFUNCTION("QUERY(Hospitais_BD!D:I,""select G where D='""&amp;D208&amp;""'"")"),"Botafogo")</f>
        <v>Botafogo</v>
      </c>
      <c r="P208" s="81" t="s">
        <v>1074</v>
      </c>
      <c r="Q208" s="105" t="str">
        <f>IFERROR(__xludf.DUMMYFUNCTION("QUERY(Hospitais_BD!D:I,""select I where D='""&amp;D208&amp;""'"")"),"Público")</f>
        <v>Público</v>
      </c>
      <c r="R208" s="105" t="str">
        <f>IFERROR(__xludf.DUMMYFUNCTION("QUERY(Hospitais_BD!D:I,""select H where D='""&amp;D208&amp;""'"")"),"Hospital de Apoio - MÉDIA COMPLEXIDADE
")</f>
        <v>Hospital de Apoio - MÉDIA COMPLEXIDADE
</v>
      </c>
      <c r="S208" s="167"/>
      <c r="T208" s="167"/>
      <c r="U208" s="154"/>
      <c r="V208" s="81"/>
      <c r="W208" s="82"/>
      <c r="X208" s="81"/>
      <c r="Y208" s="81"/>
      <c r="Z208" s="81"/>
      <c r="AA208" s="81"/>
      <c r="AB208" s="81"/>
      <c r="AC208" s="81"/>
      <c r="AD208" s="81"/>
      <c r="AE208" s="102"/>
      <c r="AF208" s="110"/>
      <c r="AG208" s="65">
        <v>100.0</v>
      </c>
      <c r="AH208" s="65"/>
      <c r="AI208" s="65"/>
      <c r="AJ208" s="65"/>
      <c r="AK208" s="109"/>
      <c r="AL208" s="109"/>
      <c r="AM208" s="111" t="s">
        <v>1002</v>
      </c>
    </row>
    <row r="209" ht="21.0" customHeight="1">
      <c r="A209" s="163"/>
      <c r="B209" s="164"/>
      <c r="C209" s="42"/>
      <c r="D209" s="25" t="s">
        <v>1075</v>
      </c>
      <c r="E209" s="74"/>
      <c r="F209" s="74"/>
      <c r="G209" s="74"/>
      <c r="H209" s="68"/>
      <c r="I209" s="68"/>
      <c r="J209" s="68"/>
      <c r="K209" s="68"/>
      <c r="L209" s="68"/>
      <c r="M209" s="60" t="str">
        <f>IFERROR(__xludf.DUMMYFUNCTION("QUERY(Hospitais_BD!D:I,""select E where D='""&amp;D209&amp;""'"",0)"),"#N/A")</f>
        <v>#N/A</v>
      </c>
      <c r="N209" s="25" t="str">
        <f>IFERROR(__xludf.DUMMYFUNCTION("QUERY(Hospitais_BD!D:I,""select F where D='""&amp;D209&amp;""'"")"),"#N/A")</f>
        <v>#N/A</v>
      </c>
      <c r="O209" s="60" t="str">
        <f>IFERROR(__xludf.DUMMYFUNCTION("QUERY(Hospitais_BD!D:I,""select G where D='""&amp;D209&amp;""'"")"),"#N/A")</f>
        <v>#N/A</v>
      </c>
      <c r="P209" s="74" t="s">
        <v>1076</v>
      </c>
      <c r="Q209" s="116" t="str">
        <f>IFERROR(__xludf.DUMMYFUNCTION("QUERY(Hospitais_BD!D:I,""select I where D='""&amp;D209&amp;""'"")"),"#N/A")</f>
        <v>#N/A</v>
      </c>
      <c r="R209" s="116" t="str">
        <f>IFERROR(__xludf.DUMMYFUNCTION("QUERY(Hospitais_BD!D:I,""select H where D='""&amp;D209&amp;""'"")"),"#N/A")</f>
        <v>#N/A</v>
      </c>
      <c r="S209" s="165"/>
      <c r="T209" s="165"/>
      <c r="U209" s="159"/>
      <c r="V209" s="74"/>
      <c r="W209" s="67"/>
      <c r="X209" s="74"/>
      <c r="Y209" s="74"/>
      <c r="Z209" s="74"/>
      <c r="AA209" s="74"/>
      <c r="AB209" s="74"/>
      <c r="AC209" s="74"/>
      <c r="AD209" s="74"/>
      <c r="AE209" s="75"/>
      <c r="AF209" s="121"/>
      <c r="AG209" s="68"/>
      <c r="AH209" s="68"/>
      <c r="AI209" s="68"/>
      <c r="AJ209" s="68"/>
      <c r="AK209" s="123"/>
      <c r="AL209" s="123"/>
      <c r="AM209" s="124" t="s">
        <v>1006</v>
      </c>
    </row>
    <row r="210" ht="21.0" customHeight="1">
      <c r="A210" s="174"/>
      <c r="B210" s="27"/>
      <c r="C210" s="59"/>
      <c r="D210" s="12" t="s">
        <v>211</v>
      </c>
      <c r="E210" s="13"/>
      <c r="F210" s="13"/>
      <c r="G210" s="13"/>
      <c r="H210" s="13"/>
      <c r="I210" s="13"/>
      <c r="J210" s="13"/>
      <c r="K210" s="13"/>
      <c r="L210" s="13"/>
      <c r="M210" s="43" t="str">
        <f>IFERROR(__xludf.DUMMYFUNCTION("QUERY(Hospitais_BD!D:I,""select E where D='""&amp;D210&amp;""'"",0)"),"CENTRO")</f>
        <v>CENTRO</v>
      </c>
      <c r="N210" s="32" t="str">
        <f>IFERROR(__xludf.DUMMYFUNCTION("QUERY(Hospitais_BD!D:I,""select F where D='""&amp;D210&amp;""'"")"),"Rio de Janeiro")</f>
        <v>Rio de Janeiro</v>
      </c>
      <c r="O210" s="43" t="str">
        <f>IFERROR(__xludf.DUMMYFUNCTION("QUERY(Hospitais_BD!D:I,""select G where D='""&amp;D210&amp;""'"")"),"centro")</f>
        <v>centro</v>
      </c>
      <c r="P210" s="12" t="s">
        <v>1077</v>
      </c>
      <c r="Q210" s="105" t="str">
        <f>IFERROR(__xludf.DUMMYFUNCTION("QUERY(Hospitais_BD!D:I,""select I where D='""&amp;D210&amp;""'"")"),"Público")</f>
        <v>Público</v>
      </c>
      <c r="R210" s="105" t="str">
        <f>IFERROR(__xludf.DUMMYFUNCTION("QUERY(Hospitais_BD!D:I,""select H where D='""&amp;D210&amp;""'"")"),"Unidade básica - BAIXA COMPLEXIDADE")</f>
        <v>Unidade básica - BAIXA COMPLEXIDADE</v>
      </c>
      <c r="S210" s="167"/>
      <c r="T210" s="175"/>
      <c r="U210" s="176"/>
      <c r="V210" s="149"/>
      <c r="W210" s="13"/>
      <c r="X210" s="12"/>
      <c r="Y210" s="13"/>
      <c r="Z210" s="13"/>
      <c r="AA210" s="12"/>
      <c r="AB210" s="50"/>
      <c r="AC210" s="12"/>
      <c r="AD210" s="13"/>
      <c r="AE210" s="102"/>
      <c r="AF210" s="110"/>
      <c r="AG210" s="65"/>
      <c r="AH210" s="65"/>
      <c r="AI210" s="65"/>
      <c r="AJ210" s="65"/>
      <c r="AK210" s="109"/>
      <c r="AL210" s="109"/>
      <c r="AM210" s="111" t="s">
        <v>1006</v>
      </c>
    </row>
    <row r="211" ht="21.0" customHeight="1">
      <c r="A211" s="177"/>
      <c r="B211" s="18"/>
      <c r="C211" s="42"/>
      <c r="D211" s="25" t="s">
        <v>837</v>
      </c>
      <c r="E211" s="23"/>
      <c r="F211" s="23"/>
      <c r="G211" s="23"/>
      <c r="H211" s="23"/>
      <c r="I211" s="23"/>
      <c r="J211" s="23"/>
      <c r="K211" s="23"/>
      <c r="L211" s="23"/>
      <c r="M211" s="60" t="str">
        <f>IFERROR(__xludf.DUMMYFUNCTION("QUERY(Hospitais_BD!D:I,""select E where D='""&amp;D211&amp;""'"",0)"),"REGIAO CENTRO SUL")</f>
        <v>REGIAO CENTRO SUL</v>
      </c>
      <c r="N211" s="25" t="str">
        <f>IFERROR(__xludf.DUMMYFUNCTION("QUERY(Hospitais_BD!D:I,""select F where D='""&amp;D211&amp;""'"")"),"Angra Dos Reis")</f>
        <v>Angra Dos Reis</v>
      </c>
      <c r="O211" s="60" t="str">
        <f>IFERROR(__xludf.DUMMYFUNCTION("QUERY(Hospitais_BD!D:I,""select G where D='""&amp;D211&amp;""'"")"),"Japuiba")</f>
        <v>Japuiba</v>
      </c>
      <c r="P211" s="22" t="s">
        <v>1078</v>
      </c>
      <c r="Q211" s="116" t="str">
        <f>IFERROR(__xludf.DUMMYFUNCTION("QUERY(Hospitais_BD!D:I,""select I where D='""&amp;D211&amp;""'"")"),"Público")</f>
        <v>Público</v>
      </c>
      <c r="R211" s="116" t="str">
        <f>IFERROR(__xludf.DUMMYFUNCTION("QUERY(Hospitais_BD!D:I,""select H where D='""&amp;D211&amp;""'"")"),"Serviço de hemoterapia")</f>
        <v>Serviço de hemoterapia</v>
      </c>
      <c r="S211" s="165"/>
      <c r="T211" s="178"/>
      <c r="U211" s="179"/>
      <c r="V211" s="180"/>
      <c r="W211" s="23"/>
      <c r="X211" s="22"/>
      <c r="Y211" s="23"/>
      <c r="Z211" s="23"/>
      <c r="AA211" s="22"/>
      <c r="AB211" s="22"/>
      <c r="AC211" s="22"/>
      <c r="AD211" s="23"/>
      <c r="AE211" s="75"/>
      <c r="AF211" s="121"/>
      <c r="AG211" s="68">
        <v>50.0</v>
      </c>
      <c r="AH211" s="68"/>
      <c r="AI211" s="68"/>
      <c r="AJ211" s="68"/>
      <c r="AK211" s="123"/>
      <c r="AL211" s="123"/>
      <c r="AM211" s="124" t="s">
        <v>1002</v>
      </c>
    </row>
    <row r="212" ht="21.0" customHeight="1">
      <c r="A212" s="166"/>
      <c r="B212" s="66"/>
      <c r="C212" s="59"/>
      <c r="D212" s="32" t="s">
        <v>825</v>
      </c>
      <c r="E212" s="65"/>
      <c r="F212" s="65"/>
      <c r="G212" s="65"/>
      <c r="H212" s="65"/>
      <c r="I212" s="65"/>
      <c r="J212" s="65"/>
      <c r="K212" s="65"/>
      <c r="L212" s="65"/>
      <c r="M212" s="43" t="str">
        <f>IFERROR(__xludf.DUMMYFUNCTION("QUERY(Hospitais_BD!D:I,""select E where D='""&amp;D212&amp;""'"",0)"),"ZONA NORTE")</f>
        <v>ZONA NORTE</v>
      </c>
      <c r="N212" s="32" t="str">
        <f>IFERROR(__xludf.DUMMYFUNCTION("QUERY(Hospitais_BD!D:I,""select F where D='""&amp;D212&amp;""'"")"),"Rio de Janeiro")</f>
        <v>Rio de Janeiro</v>
      </c>
      <c r="O212" s="43" t="str">
        <f>IFERROR(__xludf.DUMMYFUNCTION("QUERY(Hospitais_BD!D:I,""select G where D='""&amp;D212&amp;""'"")"),"Engenho de Dentro")</f>
        <v>Engenho de Dentro</v>
      </c>
      <c r="P212" s="32" t="s">
        <v>1079</v>
      </c>
      <c r="Q212" s="105" t="str">
        <f>IFERROR(__xludf.DUMMYFUNCTION("QUERY(Hospitais_BD!D:I,""select I where D='""&amp;D212&amp;""'"")"),"Privado")</f>
        <v>Privado</v>
      </c>
      <c r="R212" s="105" t="str">
        <f>IFERROR(__xludf.DUMMYFUNCTION("QUERY(Hospitais_BD!D:I,""select H where D='""&amp;D212&amp;""'"")"),"Clínica Veterinária
")</f>
        <v>Clínica Veterinária
</v>
      </c>
      <c r="S212" s="167"/>
      <c r="T212" s="175"/>
      <c r="U212" s="172"/>
      <c r="V212" s="65"/>
      <c r="W212" s="65"/>
      <c r="X212" s="32"/>
      <c r="Y212" s="65"/>
      <c r="Z212" s="65"/>
      <c r="AA212" s="32"/>
      <c r="AB212" s="32"/>
      <c r="AC212" s="32"/>
      <c r="AD212" s="65"/>
      <c r="AE212" s="102"/>
      <c r="AF212" s="110"/>
      <c r="AG212" s="65"/>
      <c r="AH212" s="65"/>
      <c r="AI212" s="65"/>
      <c r="AJ212" s="65"/>
      <c r="AK212" s="109"/>
      <c r="AL212" s="109"/>
      <c r="AM212" s="111" t="s">
        <v>1006</v>
      </c>
    </row>
    <row r="213" ht="21.0" customHeight="1">
      <c r="A213" s="163"/>
      <c r="B213" s="164"/>
      <c r="C213" s="42"/>
      <c r="D213" s="25" t="s">
        <v>834</v>
      </c>
      <c r="E213" s="68"/>
      <c r="F213" s="68"/>
      <c r="G213" s="68"/>
      <c r="H213" s="68"/>
      <c r="I213" s="68"/>
      <c r="J213" s="68"/>
      <c r="K213" s="68"/>
      <c r="L213" s="68"/>
      <c r="M213" s="60" t="str">
        <f>IFERROR(__xludf.DUMMYFUNCTION("QUERY(Hospitais_BD!D:I,""select E where D='""&amp;D213&amp;""'"",0)"),"ZONA NORTE")</f>
        <v>ZONA NORTE</v>
      </c>
      <c r="N213" s="25" t="str">
        <f>IFERROR(__xludf.DUMMYFUNCTION("QUERY(Hospitais_BD!D:I,""select F where D='""&amp;D213&amp;""'"")"),"Rio de Janeiro")</f>
        <v>Rio de Janeiro</v>
      </c>
      <c r="O213" s="60" t="str">
        <f>IFERROR(__xludf.DUMMYFUNCTION("QUERY(Hospitais_BD!D:I,""select G where D='""&amp;D213&amp;""'"")"),"Portuguesa")</f>
        <v>Portuguesa</v>
      </c>
      <c r="P213" s="25" t="s">
        <v>1080</v>
      </c>
      <c r="Q213" s="116" t="str">
        <f>IFERROR(__xludf.DUMMYFUNCTION("QUERY(Hospitais_BD!D:I,""select I where D='""&amp;D213&amp;""'"")"),"Público")</f>
        <v>Público</v>
      </c>
      <c r="R213" s="116" t="str">
        <f>IFERROR(__xludf.DUMMYFUNCTION("QUERY(Hospitais_BD!D:I,""select H where D='""&amp;D213&amp;""'"")"),"Hospital de Referência - ALTA COMPLEXIDADE
")</f>
        <v>Hospital de Referência - ALTA COMPLEXIDADE
</v>
      </c>
      <c r="S213" s="165"/>
      <c r="T213" s="181"/>
      <c r="U213" s="171"/>
      <c r="V213" s="68"/>
      <c r="W213" s="68"/>
      <c r="X213" s="25"/>
      <c r="Y213" s="68"/>
      <c r="Z213" s="68"/>
      <c r="AA213" s="25"/>
      <c r="AB213" s="25"/>
      <c r="AC213" s="25"/>
      <c r="AD213" s="68"/>
      <c r="AE213" s="75"/>
      <c r="AF213" s="121"/>
      <c r="AG213" s="68"/>
      <c r="AH213" s="68"/>
      <c r="AI213" s="68"/>
      <c r="AJ213" s="68"/>
      <c r="AK213" s="123"/>
      <c r="AL213" s="123"/>
      <c r="AM213" s="124" t="s">
        <v>1006</v>
      </c>
    </row>
    <row r="214" ht="21.0" customHeight="1">
      <c r="A214" s="166"/>
      <c r="B214" s="66"/>
      <c r="C214" s="59"/>
      <c r="D214" s="32" t="s">
        <v>270</v>
      </c>
      <c r="E214" s="65"/>
      <c r="F214" s="65"/>
      <c r="G214" s="65"/>
      <c r="H214" s="65"/>
      <c r="I214" s="65"/>
      <c r="J214" s="65"/>
      <c r="K214" s="65"/>
      <c r="L214" s="65"/>
      <c r="M214" s="43" t="str">
        <f>IFERROR(__xludf.DUMMYFUNCTION("QUERY(Hospitais_BD!D:I,""select E where D='""&amp;D214&amp;""'"",0)"),"ZONA SUL")</f>
        <v>ZONA SUL</v>
      </c>
      <c r="N214" s="32" t="str">
        <f>IFERROR(__xludf.DUMMYFUNCTION("QUERY(Hospitais_BD!D:I,""select F where D='""&amp;D214&amp;""'"")"),"Rio de Janeiro")</f>
        <v>Rio de Janeiro</v>
      </c>
      <c r="O214" s="43" t="str">
        <f>IFERROR(__xludf.DUMMYFUNCTION("QUERY(Hospitais_BD!D:I,""select G where D='""&amp;D214&amp;""'"")"),"Ipanema")</f>
        <v>Ipanema</v>
      </c>
      <c r="P214" s="32" t="s">
        <v>1081</v>
      </c>
      <c r="Q214" s="105" t="str">
        <f>IFERROR(__xludf.DUMMYFUNCTION("QUERY(Hospitais_BD!D:I,""select I where D='""&amp;D214&amp;""'"")"),"Público")</f>
        <v>Público</v>
      </c>
      <c r="R214" s="105" t="str">
        <f>IFERROR(__xludf.DUMMYFUNCTION("QUERY(Hospitais_BD!D:I,""select H where D='""&amp;D214&amp;""'"")"),"Grande emergência - MÉDIA COMPLEXIDADE")</f>
        <v>Grande emergência - MÉDIA COMPLEXIDADE</v>
      </c>
      <c r="S214" s="167"/>
      <c r="T214" s="182"/>
      <c r="U214" s="172"/>
      <c r="V214" s="65"/>
      <c r="W214" s="65"/>
      <c r="X214" s="32"/>
      <c r="Y214" s="65"/>
      <c r="Z214" s="65"/>
      <c r="AA214" s="32"/>
      <c r="AB214" s="32"/>
      <c r="AC214" s="32"/>
      <c r="AD214" s="65"/>
      <c r="AE214" s="102"/>
      <c r="AF214" s="110"/>
      <c r="AG214" s="65"/>
      <c r="AH214" s="65"/>
      <c r="AI214" s="65"/>
      <c r="AJ214" s="65"/>
      <c r="AK214" s="109"/>
      <c r="AL214" s="109"/>
      <c r="AM214" s="111" t="s">
        <v>1006</v>
      </c>
    </row>
    <row r="215" ht="21.0" customHeight="1">
      <c r="A215" s="163"/>
      <c r="B215" s="164"/>
      <c r="C215" s="42"/>
      <c r="D215" s="25" t="s">
        <v>831</v>
      </c>
      <c r="E215" s="68"/>
      <c r="F215" s="68"/>
      <c r="G215" s="68"/>
      <c r="H215" s="68"/>
      <c r="I215" s="68"/>
      <c r="J215" s="68"/>
      <c r="K215" s="68"/>
      <c r="L215" s="68"/>
      <c r="M215" s="60" t="str">
        <f>IFERROR(__xludf.DUMMYFUNCTION("QUERY(Hospitais_BD!D:I,""select E where D='""&amp;D215&amp;""'"",0)"),"BAIXADA FLUMINENSE")</f>
        <v>BAIXADA FLUMINENSE</v>
      </c>
      <c r="N215" s="25" t="str">
        <f>IFERROR(__xludf.DUMMYFUNCTION("QUERY(Hospitais_BD!D:I,""select F where D='""&amp;D215&amp;""'"")"),"Nova Iguaçu")</f>
        <v>Nova Iguaçu</v>
      </c>
      <c r="O215" s="60" t="str">
        <f>IFERROR(__xludf.DUMMYFUNCTION("QUERY(Hospitais_BD!D:I,""select G where D='""&amp;D215&amp;""'"")"),"Austin")</f>
        <v>Austin</v>
      </c>
      <c r="P215" s="25" t="s">
        <v>1082</v>
      </c>
      <c r="Q215" s="116" t="str">
        <f>IFERROR(__xludf.DUMMYFUNCTION("QUERY(Hospitais_BD!D:I,""select I where D='""&amp;D215&amp;""'"")"),"Público")</f>
        <v>Público</v>
      </c>
      <c r="R215" s="116" t="str">
        <f>IFERROR(__xludf.DUMMYFUNCTION("QUERY(Hospitais_BD!D:I,""select H where D='""&amp;D215&amp;""'"")"),"Grande emergência - MÉDIA COMPLEXIDADE
")</f>
        <v>Grande emergência - MÉDIA COMPLEXIDADE
</v>
      </c>
      <c r="S215" s="165"/>
      <c r="T215" s="181"/>
      <c r="U215" s="171"/>
      <c r="V215" s="68"/>
      <c r="W215" s="68"/>
      <c r="X215" s="25"/>
      <c r="Y215" s="68"/>
      <c r="Z215" s="68"/>
      <c r="AA215" s="25"/>
      <c r="AB215" s="25"/>
      <c r="AC215" s="25"/>
      <c r="AD215" s="68"/>
      <c r="AE215" s="75"/>
      <c r="AF215" s="121"/>
      <c r="AG215" s="68">
        <v>50.0</v>
      </c>
      <c r="AH215" s="68"/>
      <c r="AI215" s="68"/>
      <c r="AJ215" s="68"/>
      <c r="AK215" s="123"/>
      <c r="AL215" s="123"/>
      <c r="AM215" s="124" t="s">
        <v>1002</v>
      </c>
    </row>
    <row r="216" ht="21.0" customHeight="1">
      <c r="A216" s="166"/>
      <c r="B216" s="66"/>
      <c r="C216" s="59"/>
      <c r="D216" s="32" t="s">
        <v>608</v>
      </c>
      <c r="E216" s="65"/>
      <c r="F216" s="65"/>
      <c r="G216" s="65"/>
      <c r="H216" s="65"/>
      <c r="I216" s="65"/>
      <c r="J216" s="65"/>
      <c r="K216" s="65"/>
      <c r="L216" s="65"/>
      <c r="M216" s="43" t="str">
        <f>IFERROR(__xludf.DUMMYFUNCTION("QUERY(Hospitais_BD!D:I,""select E where D='""&amp;D216&amp;""'"",0)"),"CENTRO")</f>
        <v>CENTRO</v>
      </c>
      <c r="N216" s="32" t="str">
        <f>IFERROR(__xludf.DUMMYFUNCTION("QUERY(Hospitais_BD!D:I,""select F where D='""&amp;D216&amp;""'"")"),"SaO GONÇALO")</f>
        <v>SaO GONÇALO</v>
      </c>
      <c r="O216" s="43" t="str">
        <f>IFERROR(__xludf.DUMMYFUNCTION("QUERY(Hospitais_BD!D:I,""select G where D='""&amp;D216&amp;""'"")"),"TRIBBOBo")</f>
        <v>TRIBBOBo</v>
      </c>
      <c r="P216" s="32" t="s">
        <v>1083</v>
      </c>
      <c r="Q216" s="105" t="str">
        <f>IFERROR(__xludf.DUMMYFUNCTION("QUERY(Hospitais_BD!D:I,""select I where D='""&amp;D216&amp;""'"")"),"Público")</f>
        <v>Público</v>
      </c>
      <c r="R216" s="105" t="str">
        <f>IFERROR(__xludf.DUMMYFUNCTION("QUERY(Hospitais_BD!D:I,""select H where D='""&amp;D216&amp;""'"")"),"MEDICINA LEGAL E PERÍCIA CRIMINAL")</f>
        <v>MEDICINA LEGAL E PERÍCIA CRIMINAL</v>
      </c>
      <c r="S216" s="167"/>
      <c r="T216" s="182"/>
      <c r="U216" s="172"/>
      <c r="V216" s="65"/>
      <c r="W216" s="65"/>
      <c r="X216" s="32"/>
      <c r="Y216" s="65"/>
      <c r="Z216" s="65"/>
      <c r="AA216" s="32"/>
      <c r="AB216" s="32"/>
      <c r="AC216" s="32"/>
      <c r="AD216" s="65"/>
      <c r="AE216" s="102"/>
      <c r="AF216" s="110"/>
      <c r="AG216" s="65"/>
      <c r="AH216" s="65"/>
      <c r="AI216" s="65"/>
      <c r="AJ216" s="65"/>
      <c r="AK216" s="109"/>
      <c r="AL216" s="109"/>
      <c r="AM216" s="111" t="s">
        <v>1006</v>
      </c>
    </row>
    <row r="217" ht="21.0" customHeight="1">
      <c r="A217" s="163"/>
      <c r="B217" s="164"/>
      <c r="C217" s="42"/>
      <c r="D217" s="25" t="s">
        <v>819</v>
      </c>
      <c r="E217" s="68"/>
      <c r="F217" s="68"/>
      <c r="G217" s="68"/>
      <c r="H217" s="68"/>
      <c r="I217" s="68"/>
      <c r="J217" s="68"/>
      <c r="K217" s="68"/>
      <c r="L217" s="68"/>
      <c r="M217" s="60" t="str">
        <f>IFERROR(__xludf.DUMMYFUNCTION("QUERY(Hospitais_BD!D:I,""select E where D='""&amp;D217&amp;""'"",0)"),"BAIXADA FLUMINENSE")</f>
        <v>BAIXADA FLUMINENSE</v>
      </c>
      <c r="N217" s="25" t="str">
        <f>IFERROR(__xludf.DUMMYFUNCTION("QUERY(Hospitais_BD!D:I,""select F where D='""&amp;D217&amp;""'"")"),"Nova Iguaçu")</f>
        <v>Nova Iguaçu</v>
      </c>
      <c r="O217" s="60" t="str">
        <f>IFERROR(__xludf.DUMMYFUNCTION("QUERY(Hospitais_BD!D:I,""select G where D='""&amp;D217&amp;""'"")"),"Posse")</f>
        <v>Posse</v>
      </c>
      <c r="P217" s="25" t="s">
        <v>1084</v>
      </c>
      <c r="Q217" s="116" t="str">
        <f>IFERROR(__xludf.DUMMYFUNCTION("QUERY(Hospitais_BD!D:I,""select I where D='""&amp;D217&amp;""'"")"),"Público")</f>
        <v>Público</v>
      </c>
      <c r="R217" s="116" t="str">
        <f>IFERROR(__xludf.DUMMYFUNCTION("QUERY(Hospitais_BD!D:I,""select H where D='""&amp;D217&amp;""'"")"),"Hospital de Referência - ALTA COMPLEXIDADE
")</f>
        <v>Hospital de Referência - ALTA COMPLEXIDADE
</v>
      </c>
      <c r="S217" s="165"/>
      <c r="T217" s="181"/>
      <c r="U217" s="171"/>
      <c r="V217" s="68"/>
      <c r="W217" s="68"/>
      <c r="X217" s="25"/>
      <c r="Y217" s="68"/>
      <c r="Z217" s="68"/>
      <c r="AA217" s="25"/>
      <c r="AB217" s="25"/>
      <c r="AC217" s="25"/>
      <c r="AD217" s="68"/>
      <c r="AE217" s="75"/>
      <c r="AF217" s="121"/>
      <c r="AG217" s="68"/>
      <c r="AH217" s="68"/>
      <c r="AI217" s="68"/>
      <c r="AJ217" s="68"/>
      <c r="AK217" s="123"/>
      <c r="AL217" s="123"/>
      <c r="AM217" s="124" t="s">
        <v>1006</v>
      </c>
    </row>
    <row r="218" ht="21.0" customHeight="1">
      <c r="A218" s="166"/>
      <c r="B218" s="66"/>
      <c r="C218" s="59"/>
      <c r="D218" s="32" t="s">
        <v>748</v>
      </c>
      <c r="E218" s="65"/>
      <c r="F218" s="65"/>
      <c r="G218" s="65"/>
      <c r="H218" s="65"/>
      <c r="I218" s="65"/>
      <c r="J218" s="65"/>
      <c r="K218" s="65"/>
      <c r="L218" s="65"/>
      <c r="M218" s="43" t="str">
        <f>IFERROR(__xludf.DUMMYFUNCTION("QUERY(Hospitais_BD!D:I,""select E where D='""&amp;D218&amp;""'"",0)"),"REGIAO METROPOLITANA")</f>
        <v>REGIAO METROPOLITANA</v>
      </c>
      <c r="N218" s="32" t="str">
        <f>IFERROR(__xludf.DUMMYFUNCTION("QUERY(Hospitais_BD!D:I,""select F where D='""&amp;D218&amp;""'"")"),"Maricá")</f>
        <v>Maricá</v>
      </c>
      <c r="O218" s="43" t="str">
        <f>IFERROR(__xludf.DUMMYFUNCTION("QUERY(Hospitais_BD!D:I,""select G where D='""&amp;D218&amp;""'"")"),"Centro")</f>
        <v>Centro</v>
      </c>
      <c r="P218" s="32" t="s">
        <v>1085</v>
      </c>
      <c r="Q218" s="105" t="str">
        <f>IFERROR(__xludf.DUMMYFUNCTION("QUERY(Hospitais_BD!D:I,""select I where D='""&amp;D218&amp;""'"")"),"Público")</f>
        <v>Público</v>
      </c>
      <c r="R218" s="105" t="str">
        <f>IFERROR(__xludf.DUMMYFUNCTION("QUERY(Hospitais_BD!D:I,""select H where D='""&amp;D218&amp;""'"")"),"Estamos em atendimento na rua e hospital 
")</f>
        <v>Estamos em atendimento na rua e hospital 
</v>
      </c>
      <c r="S218" s="167"/>
      <c r="T218" s="182"/>
      <c r="U218" s="172"/>
      <c r="V218" s="65"/>
      <c r="W218" s="65"/>
      <c r="X218" s="32"/>
      <c r="Y218" s="65"/>
      <c r="Z218" s="65"/>
      <c r="AA218" s="32"/>
      <c r="AB218" s="32"/>
      <c r="AC218" s="32"/>
      <c r="AD218" s="65"/>
      <c r="AE218" s="102"/>
      <c r="AF218" s="110"/>
      <c r="AG218" s="65">
        <v>50.0</v>
      </c>
      <c r="AH218" s="65"/>
      <c r="AI218" s="65"/>
      <c r="AJ218" s="65"/>
      <c r="AK218" s="109"/>
      <c r="AL218" s="109"/>
      <c r="AM218" s="111" t="s">
        <v>1002</v>
      </c>
    </row>
    <row r="219" ht="21.0" customHeight="1">
      <c r="A219" s="163"/>
      <c r="B219" s="164"/>
      <c r="C219" s="42"/>
      <c r="D219" s="25" t="s">
        <v>273</v>
      </c>
      <c r="E219" s="68"/>
      <c r="F219" s="68"/>
      <c r="G219" s="68"/>
      <c r="H219" s="68"/>
      <c r="I219" s="68"/>
      <c r="J219" s="68"/>
      <c r="K219" s="68"/>
      <c r="L219" s="68"/>
      <c r="M219" s="60" t="str">
        <f>IFERROR(__xludf.DUMMYFUNCTION("QUERY(Hospitais_BD!D:I,""select E where D='""&amp;D219&amp;""'"",0)"),"#REF!")</f>
        <v>#REF!</v>
      </c>
      <c r="N219" s="25" t="str">
        <f>IFERROR(__xludf.DUMMYFUNCTION("QUERY(Hospitais_BD!D:I,""select F where D='""&amp;D219&amp;""'"")"),"#REF!")</f>
        <v>#REF!</v>
      </c>
      <c r="O219" s="60" t="str">
        <f>IFERROR(__xludf.DUMMYFUNCTION("QUERY(Hospitais_BD!D:I,""select G where D='""&amp;D219&amp;""'"")"),"#REF!")</f>
        <v>#REF!</v>
      </c>
      <c r="P219" s="25" t="s">
        <v>1086</v>
      </c>
      <c r="Q219" s="116" t="str">
        <f>IFERROR(__xludf.DUMMYFUNCTION("QUERY(Hospitais_BD!D:I,""select I where D='""&amp;D219&amp;""'"")"),"#REF!")</f>
        <v>#REF!</v>
      </c>
      <c r="R219" s="116" t="str">
        <f>IFERROR(__xludf.DUMMYFUNCTION("QUERY(Hospitais_BD!D:I,""select H where D='""&amp;D219&amp;""'"")"),"#REF!")</f>
        <v>#REF!</v>
      </c>
      <c r="S219" s="165"/>
      <c r="T219" s="181"/>
      <c r="U219" s="171"/>
      <c r="V219" s="68"/>
      <c r="W219" s="68"/>
      <c r="X219" s="25"/>
      <c r="Y219" s="68"/>
      <c r="Z219" s="68"/>
      <c r="AA219" s="25"/>
      <c r="AB219" s="25"/>
      <c r="AC219" s="25"/>
      <c r="AD219" s="68"/>
      <c r="AE219" s="75"/>
      <c r="AF219" s="121"/>
      <c r="AG219" s="68"/>
      <c r="AH219" s="68"/>
      <c r="AI219" s="68"/>
      <c r="AJ219" s="68"/>
      <c r="AK219" s="123"/>
      <c r="AL219" s="123"/>
      <c r="AM219" s="124" t="s">
        <v>1006</v>
      </c>
    </row>
    <row r="220" ht="21.0" customHeight="1">
      <c r="A220" s="183"/>
      <c r="B220" s="184"/>
      <c r="C220" s="59"/>
      <c r="D220" s="90" t="s">
        <v>842</v>
      </c>
      <c r="E220" s="185"/>
      <c r="F220" s="185"/>
      <c r="G220" s="185"/>
      <c r="H220" s="185"/>
      <c r="I220" s="185"/>
      <c r="J220" s="185"/>
      <c r="K220" s="185"/>
      <c r="L220" s="185"/>
      <c r="M220" s="43" t="str">
        <f>IFERROR(__xludf.DUMMYFUNCTION("QUERY(Hospitais_BD!D:I,""select E where D='""&amp;D220&amp;""'"",0)"),"ZONA NORTE")</f>
        <v>ZONA NORTE</v>
      </c>
      <c r="N220" s="90" t="str">
        <f>IFERROR(__xludf.DUMMYFUNCTION("QUERY(Hospitais_BD!D:I,""select F where D='""&amp;D220&amp;""'"")"),"Mesquita")</f>
        <v>Mesquita</v>
      </c>
      <c r="O220" s="43" t="str">
        <f>IFERROR(__xludf.DUMMYFUNCTION("QUERY(Hospitais_BD!D:I,""select G where D='""&amp;D220&amp;""'"")"),"Edson Passos")</f>
        <v>Edson Passos</v>
      </c>
      <c r="P220" s="90" t="s">
        <v>1087</v>
      </c>
      <c r="Q220" s="105" t="str">
        <f>IFERROR(__xludf.DUMMYFUNCTION("QUERY(Hospitais_BD!D:I,""select I where D='""&amp;D220&amp;""'"")"),"Público")</f>
        <v>Público</v>
      </c>
      <c r="R220" s="105" t="str">
        <f>IFERROR(__xludf.DUMMYFUNCTION("QUERY(Hospitais_BD!D:I,""select H where D='""&amp;D220&amp;""'"")"),"Grande emergência - MÉDIA COMPLEXIDADE
")</f>
        <v>Grande emergência - MÉDIA COMPLEXIDADE
</v>
      </c>
      <c r="S220" s="43"/>
      <c r="T220" s="186"/>
      <c r="U220" s="187"/>
      <c r="V220" s="185"/>
      <c r="W220" s="185"/>
      <c r="X220" s="90"/>
      <c r="Y220" s="185"/>
      <c r="Z220" s="185"/>
      <c r="AA220" s="90"/>
      <c r="AB220" s="90"/>
      <c r="AC220" s="90"/>
      <c r="AD220" s="185"/>
      <c r="AE220" s="35"/>
      <c r="AF220" s="110"/>
      <c r="AG220" s="185">
        <v>50.0</v>
      </c>
      <c r="AH220" s="185"/>
      <c r="AI220" s="185"/>
      <c r="AJ220" s="185"/>
      <c r="AK220" s="146"/>
      <c r="AL220" s="146"/>
      <c r="AM220" s="147" t="s">
        <v>1002</v>
      </c>
    </row>
    <row r="221" ht="21.0" customHeight="1">
      <c r="A221" s="163"/>
      <c r="B221" s="164"/>
      <c r="C221" s="42"/>
      <c r="D221" s="25" t="s">
        <v>551</v>
      </c>
      <c r="E221" s="68"/>
      <c r="F221" s="68"/>
      <c r="G221" s="68"/>
      <c r="H221" s="68"/>
      <c r="I221" s="68"/>
      <c r="J221" s="68"/>
      <c r="K221" s="68"/>
      <c r="L221" s="68"/>
      <c r="M221" s="60" t="str">
        <f>IFERROR(__xludf.DUMMYFUNCTION("QUERY(Hospitais_BD!D:I,""select E where D='""&amp;D221&amp;""'"",0)"),"ZONA NORTE")</f>
        <v>ZONA NORTE</v>
      </c>
      <c r="N221" s="25" t="str">
        <f>IFERROR(__xludf.DUMMYFUNCTION("QUERY(Hospitais_BD!D:I,""select F where D='""&amp;D221&amp;""'"")"),"Rio de Janeiro")</f>
        <v>Rio de Janeiro</v>
      </c>
      <c r="O221" s="60" t="str">
        <f>IFERROR(__xludf.DUMMYFUNCTION("QUERY(Hospitais_BD!D:I,""select G where D='""&amp;D221&amp;""'"")"),"Engenho de dentro")</f>
        <v>Engenho de dentro</v>
      </c>
      <c r="P221" s="25" t="s">
        <v>1088</v>
      </c>
      <c r="Q221" s="116" t="str">
        <f>IFERROR(__xludf.DUMMYFUNCTION("QUERY(Hospitais_BD!D:I,""select I where D='""&amp;D221&amp;""'"")"),"Público")</f>
        <v>Público</v>
      </c>
      <c r="R221" s="116" t="str">
        <f>IFERROR(__xludf.DUMMYFUNCTION("QUERY(Hospitais_BD!D:I,""select H where D='""&amp;D221&amp;""'"")"),"Grande emergência - MÉDIA COMPLEXIDADE")</f>
        <v>Grande emergência - MÉDIA COMPLEXIDADE</v>
      </c>
      <c r="S221" s="165"/>
      <c r="T221" s="181"/>
      <c r="U221" s="171"/>
      <c r="V221" s="68"/>
      <c r="W221" s="68"/>
      <c r="X221" s="25"/>
      <c r="Y221" s="68"/>
      <c r="Z221" s="68"/>
      <c r="AA221" s="25"/>
      <c r="AB221" s="25"/>
      <c r="AC221" s="25"/>
      <c r="AD221" s="68"/>
      <c r="AE221" s="75"/>
      <c r="AF221" s="121"/>
      <c r="AG221" s="68"/>
      <c r="AH221" s="68"/>
      <c r="AI221" s="68"/>
      <c r="AJ221" s="68"/>
      <c r="AK221" s="68">
        <v>5.0</v>
      </c>
      <c r="AL221" s="68">
        <v>25.0</v>
      </c>
      <c r="AM221" s="124" t="s">
        <v>1006</v>
      </c>
    </row>
    <row r="222" ht="21.0" customHeight="1">
      <c r="A222" s="166"/>
      <c r="B222" s="66"/>
      <c r="C222" s="59"/>
      <c r="D222" s="32" t="s">
        <v>668</v>
      </c>
      <c r="E222" s="65"/>
      <c r="F222" s="65"/>
      <c r="G222" s="65"/>
      <c r="H222" s="65"/>
      <c r="I222" s="65"/>
      <c r="J222" s="65"/>
      <c r="K222" s="65"/>
      <c r="L222" s="65"/>
      <c r="M222" s="43" t="str">
        <f>IFERROR(__xludf.DUMMYFUNCTION("QUERY(Hospitais_BD!D:I,""select E where D='""&amp;D222&amp;""'"",0)"),"REGIAO METROPOLITANA")</f>
        <v>REGIAO METROPOLITANA</v>
      </c>
      <c r="N222" s="32" t="str">
        <f>IFERROR(__xludf.DUMMYFUNCTION("QUERY(Hospitais_BD!D:I,""select F where D='""&amp;D222&amp;""'"")"),"São Gonçalo")</f>
        <v>São Gonçalo</v>
      </c>
      <c r="O222" s="43" t="str">
        <f>IFERROR(__xludf.DUMMYFUNCTION("QUERY(Hospitais_BD!D:I,""select G where D='""&amp;D222&amp;""'"")"),"CENTRO")</f>
        <v>CENTRO</v>
      </c>
      <c r="P222" s="32" t="s">
        <v>1089</v>
      </c>
      <c r="Q222" s="105" t="str">
        <f>IFERROR(__xludf.DUMMYFUNCTION("QUERY(Hospitais_BD!D:I,""select I where D='""&amp;D222&amp;""'"")"),"Público")</f>
        <v>Público</v>
      </c>
      <c r="R222" s="105" t="str">
        <f>IFERROR(__xludf.DUMMYFUNCTION("QUERY(Hospitais_BD!D:I,""select H where D='""&amp;D222&amp;""'"")"),"SERVIÇO DE ATENÇÃO DOMICILIAR - ATENÇÃO ESPECIALIZADA
")</f>
        <v>SERVIÇO DE ATENÇÃO DOMICILIAR - ATENÇÃO ESPECIALIZADA
</v>
      </c>
      <c r="S222" s="167"/>
      <c r="T222" s="182"/>
      <c r="U222" s="172"/>
      <c r="V222" s="65"/>
      <c r="W222" s="65"/>
      <c r="X222" s="32"/>
      <c r="Y222" s="65"/>
      <c r="Z222" s="65"/>
      <c r="AA222" s="32"/>
      <c r="AB222" s="32"/>
      <c r="AC222" s="32"/>
      <c r="AD222" s="65"/>
      <c r="AE222" s="102"/>
      <c r="AF222" s="110"/>
      <c r="AG222" s="65">
        <v>50.0</v>
      </c>
      <c r="AH222" s="65"/>
      <c r="AI222" s="65"/>
      <c r="AJ222" s="65"/>
      <c r="AK222" s="109"/>
      <c r="AL222" s="109"/>
      <c r="AM222" s="111" t="s">
        <v>1002</v>
      </c>
    </row>
    <row r="223" ht="21.0" customHeight="1">
      <c r="A223" s="163"/>
      <c r="B223" s="164"/>
      <c r="C223" s="42"/>
      <c r="D223" s="25" t="s">
        <v>836</v>
      </c>
      <c r="E223" s="68"/>
      <c r="F223" s="68"/>
      <c r="G223" s="68"/>
      <c r="H223" s="68"/>
      <c r="I223" s="68"/>
      <c r="J223" s="68"/>
      <c r="K223" s="68"/>
      <c r="L223" s="68"/>
      <c r="M223" s="60" t="str">
        <f>IFERROR(__xludf.DUMMYFUNCTION("QUERY(Hospitais_BD!D:I,""select E where D='""&amp;D223&amp;""'"",0)"),"ZONA SUL")</f>
        <v>ZONA SUL</v>
      </c>
      <c r="N223" s="25" t="str">
        <f>IFERROR(__xludf.DUMMYFUNCTION("QUERY(Hospitais_BD!D:I,""select F where D='""&amp;D223&amp;""'"")"),"Rio de Janeiro")</f>
        <v>Rio de Janeiro</v>
      </c>
      <c r="O223" s="60" t="str">
        <f>IFERROR(__xludf.DUMMYFUNCTION("QUERY(Hospitais_BD!D:I,""select G where D='""&amp;D223&amp;""'"")"),"Botafogo")</f>
        <v>Botafogo</v>
      </c>
      <c r="P223" s="25" t="s">
        <v>1090</v>
      </c>
      <c r="Q223" s="116" t="str">
        <f>IFERROR(__xludf.DUMMYFUNCTION("QUERY(Hospitais_BD!D:I,""select I where D='""&amp;D223&amp;""'"")"),"Público")</f>
        <v>Público</v>
      </c>
      <c r="R223" s="116" t="str">
        <f>IFERROR(__xludf.DUMMYFUNCTION("QUERY(Hospitais_BD!D:I,""select H where D='""&amp;D223&amp;""'"")"),"Grande emergência - MÉDIA COMPLEXIDADE")</f>
        <v>Grande emergência - MÉDIA COMPLEXIDADE</v>
      </c>
      <c r="S223" s="165"/>
      <c r="T223" s="181"/>
      <c r="U223" s="171"/>
      <c r="V223" s="68"/>
      <c r="W223" s="68"/>
      <c r="X223" s="25"/>
      <c r="Y223" s="68"/>
      <c r="Z223" s="68"/>
      <c r="AA223" s="25"/>
      <c r="AB223" s="25"/>
      <c r="AC223" s="25"/>
      <c r="AD223" s="68"/>
      <c r="AE223" s="75"/>
      <c r="AF223" s="121"/>
      <c r="AG223" s="68">
        <v>50.0</v>
      </c>
      <c r="AH223" s="68"/>
      <c r="AI223" s="68"/>
      <c r="AJ223" s="68"/>
      <c r="AK223" s="123"/>
      <c r="AL223" s="123"/>
      <c r="AM223" s="124" t="s">
        <v>1002</v>
      </c>
    </row>
    <row r="224" ht="21.0" customHeight="1">
      <c r="A224" s="166"/>
      <c r="B224" s="66"/>
      <c r="C224" s="59"/>
      <c r="D224" s="32" t="s">
        <v>605</v>
      </c>
      <c r="E224" s="65"/>
      <c r="F224" s="65"/>
      <c r="G224" s="65"/>
      <c r="H224" s="65"/>
      <c r="I224" s="65"/>
      <c r="J224" s="65"/>
      <c r="K224" s="65"/>
      <c r="L224" s="65"/>
      <c r="M224" s="43" t="str">
        <f>IFERROR(__xludf.DUMMYFUNCTION("QUERY(Hospitais_BD!D:I,""select E where D='""&amp;D224&amp;""'"",0)"),"ZONA OESTE")</f>
        <v>ZONA OESTE</v>
      </c>
      <c r="N224" s="32" t="str">
        <f>IFERROR(__xludf.DUMMYFUNCTION("QUERY(Hospitais_BD!D:I,""select F where D='""&amp;D224&amp;""'"")"),"Inhoaiba")</f>
        <v>Inhoaiba</v>
      </c>
      <c r="O224" s="43" t="str">
        <f>IFERROR(__xludf.DUMMYFUNCTION("QUERY(Hospitais_BD!D:I,""select G where D='""&amp;D224&amp;""'"")"),"Campo Grande")</f>
        <v>Campo Grande</v>
      </c>
      <c r="P224" s="32" t="s">
        <v>1091</v>
      </c>
      <c r="Q224" s="105" t="str">
        <f>IFERROR(__xludf.DUMMYFUNCTION("QUERY(Hospitais_BD!D:I,""select I where D='""&amp;D224&amp;""'"")"),"Público")</f>
        <v>Público</v>
      </c>
      <c r="R224" s="105" t="str">
        <f>IFERROR(__xludf.DUMMYFUNCTION("QUERY(Hospitais_BD!D:I,""select H where D='""&amp;D224&amp;""'"")"),"Unidade básica - BAIXA COMPLEXIDADE")</f>
        <v>Unidade básica - BAIXA COMPLEXIDADE</v>
      </c>
      <c r="S224" s="167"/>
      <c r="T224" s="182"/>
      <c r="U224" s="172"/>
      <c r="V224" s="65"/>
      <c r="W224" s="65"/>
      <c r="X224" s="32"/>
      <c r="Y224" s="65"/>
      <c r="Z224" s="65"/>
      <c r="AA224" s="32"/>
      <c r="AB224" s="32"/>
      <c r="AC224" s="32"/>
      <c r="AD224" s="65"/>
      <c r="AE224" s="102"/>
      <c r="AF224" s="110"/>
      <c r="AG224" s="65">
        <v>50.0</v>
      </c>
      <c r="AH224" s="65"/>
      <c r="AI224" s="65"/>
      <c r="AJ224" s="65"/>
      <c r="AK224" s="109"/>
      <c r="AL224" s="109"/>
      <c r="AM224" s="111" t="s">
        <v>1002</v>
      </c>
    </row>
    <row r="225" ht="21.0" customHeight="1">
      <c r="A225" s="163"/>
      <c r="B225" s="164"/>
      <c r="C225" s="42"/>
      <c r="D225" s="25" t="s">
        <v>766</v>
      </c>
      <c r="E225" s="68"/>
      <c r="F225" s="68"/>
      <c r="G225" s="68"/>
      <c r="H225" s="68"/>
      <c r="I225" s="68"/>
      <c r="J225" s="68"/>
      <c r="K225" s="68"/>
      <c r="L225" s="68"/>
      <c r="M225" s="60" t="str">
        <f>IFERROR(__xludf.DUMMYFUNCTION("QUERY(Hospitais_BD!D:I,""select E where D='""&amp;D225&amp;""'"",0)"),"REGIAO METROPOLITANA")</f>
        <v>REGIAO METROPOLITANA</v>
      </c>
      <c r="N225" s="25" t="str">
        <f>IFERROR(__xludf.DUMMYFUNCTION("QUERY(Hospitais_BD!D:I,""select F where D='""&amp;D225&amp;""'"")"),"RIO DE JANEIRO")</f>
        <v>RIO DE JANEIRO</v>
      </c>
      <c r="O225" s="60" t="str">
        <f>IFERROR(__xludf.DUMMYFUNCTION("QUERY(Hospitais_BD!D:I,""select G where D='""&amp;D225&amp;""'"")"),"BONSUCESSO")</f>
        <v>BONSUCESSO</v>
      </c>
      <c r="P225" s="25" t="s">
        <v>1092</v>
      </c>
      <c r="Q225" s="116" t="str">
        <f>IFERROR(__xludf.DUMMYFUNCTION("QUERY(Hospitais_BD!D:I,""select I where D='""&amp;D225&amp;""'"")"),"Público")</f>
        <v>Público</v>
      </c>
      <c r="R225" s="116" t="str">
        <f>IFERROR(__xludf.DUMMYFUNCTION("QUERY(Hospitais_BD!D:I,""select H where D='""&amp;D225&amp;""'"")"),"Unidade básica de saúde - BAIXA COMPLEXIDADE
")</f>
        <v>Unidade básica de saúde - BAIXA COMPLEXIDADE
</v>
      </c>
      <c r="S225" s="165"/>
      <c r="T225" s="181"/>
      <c r="U225" s="171"/>
      <c r="V225" s="68"/>
      <c r="W225" s="68"/>
      <c r="X225" s="25"/>
      <c r="Y225" s="68"/>
      <c r="Z225" s="68"/>
      <c r="AA225" s="25"/>
      <c r="AB225" s="25"/>
      <c r="AC225" s="25"/>
      <c r="AD225" s="68"/>
      <c r="AE225" s="75"/>
      <c r="AF225" s="121"/>
      <c r="AG225" s="68">
        <v>50.0</v>
      </c>
      <c r="AH225" s="68"/>
      <c r="AI225" s="68"/>
      <c r="AJ225" s="68"/>
      <c r="AK225" s="68"/>
      <c r="AL225" s="68">
        <v>50.0</v>
      </c>
      <c r="AM225" s="124" t="s">
        <v>1002</v>
      </c>
    </row>
    <row r="226" ht="21.0" customHeight="1">
      <c r="A226" s="166"/>
      <c r="B226" s="66"/>
      <c r="C226" s="59"/>
      <c r="D226" s="32" t="s">
        <v>377</v>
      </c>
      <c r="E226" s="65"/>
      <c r="F226" s="65"/>
      <c r="G226" s="65"/>
      <c r="H226" s="65"/>
      <c r="I226" s="65"/>
      <c r="J226" s="65"/>
      <c r="K226" s="65"/>
      <c r="L226" s="65"/>
      <c r="M226" s="43" t="str">
        <f>IFERROR(__xludf.DUMMYFUNCTION("QUERY(Hospitais_BD!D:I,""select E where D='""&amp;D226&amp;""'"",0)"),"ZONA NORTE")</f>
        <v>ZONA NORTE</v>
      </c>
      <c r="N226" s="32" t="str">
        <f>IFERROR(__xludf.DUMMYFUNCTION("QUERY(Hospitais_BD!D:I,""select F where D='""&amp;D226&amp;""'"")"),"Rio de Janeiro")</f>
        <v>Rio de Janeiro</v>
      </c>
      <c r="O226" s="43" t="str">
        <f>IFERROR(__xludf.DUMMYFUNCTION("QUERY(Hospitais_BD!D:I,""select G where D='""&amp;D226&amp;""'"")"),"Lins de Vasconcelos")</f>
        <v>Lins de Vasconcelos</v>
      </c>
      <c r="P226" s="32" t="s">
        <v>1093</v>
      </c>
      <c r="Q226" s="105" t="str">
        <f>IFERROR(__xludf.DUMMYFUNCTION("QUERY(Hospitais_BD!D:I,""select I where D='""&amp;D226&amp;""'"")"),"Público")</f>
        <v>Público</v>
      </c>
      <c r="R226" s="105" t="str">
        <f>IFERROR(__xludf.DUMMYFUNCTION("QUERY(Hospitais_BD!D:I,""select H where D='""&amp;D226&amp;""'"")"),"Unidade básica - BAIXA COMPLEXIDADE")</f>
        <v>Unidade básica - BAIXA COMPLEXIDADE</v>
      </c>
      <c r="S226" s="167"/>
      <c r="T226" s="182"/>
      <c r="U226" s="172"/>
      <c r="V226" s="65"/>
      <c r="W226" s="65"/>
      <c r="X226" s="32"/>
      <c r="Y226" s="65"/>
      <c r="Z226" s="65"/>
      <c r="AA226" s="32"/>
      <c r="AB226" s="32"/>
      <c r="AC226" s="32"/>
      <c r="AD226" s="65"/>
      <c r="AE226" s="102"/>
      <c r="AF226" s="110"/>
      <c r="AG226" s="65">
        <v>100.0</v>
      </c>
      <c r="AH226" s="65"/>
      <c r="AI226" s="65"/>
      <c r="AJ226" s="65"/>
      <c r="AK226" s="109"/>
      <c r="AL226" s="109"/>
      <c r="AM226" s="111" t="s">
        <v>1002</v>
      </c>
    </row>
    <row r="227" ht="21.0" customHeight="1">
      <c r="A227" s="163"/>
      <c r="B227" s="164"/>
      <c r="C227" s="42"/>
      <c r="D227" s="25" t="s">
        <v>821</v>
      </c>
      <c r="E227" s="68"/>
      <c r="F227" s="68"/>
      <c r="G227" s="68"/>
      <c r="H227" s="68"/>
      <c r="I227" s="68"/>
      <c r="J227" s="68"/>
      <c r="K227" s="68"/>
      <c r="L227" s="68"/>
      <c r="M227" s="60" t="str">
        <f>IFERROR(__xludf.DUMMYFUNCTION("QUERY(Hospitais_BD!D:I,""select E where D='""&amp;D227&amp;""'"",0)"),"CENTRO")</f>
        <v>CENTRO</v>
      </c>
      <c r="N227" s="25" t="str">
        <f>IFERROR(__xludf.DUMMYFUNCTION("QUERY(Hospitais_BD!D:I,""select F where D='""&amp;D227&amp;""'"")"),"Rio de Janeiro")</f>
        <v>Rio de Janeiro</v>
      </c>
      <c r="O227" s="60" t="str">
        <f>IFERROR(__xludf.DUMMYFUNCTION("QUERY(Hospitais_BD!D:I,""select G where D='""&amp;D227&amp;""'"")"),"Centro")</f>
        <v>Centro</v>
      </c>
      <c r="P227" s="25" t="s">
        <v>1094</v>
      </c>
      <c r="Q227" s="116" t="str">
        <f>IFERROR(__xludf.DUMMYFUNCTION("QUERY(Hospitais_BD!D:I,""select I where D='""&amp;D227&amp;""'"")"),"Público")</f>
        <v>Público</v>
      </c>
      <c r="R227" s="116" t="str">
        <f>IFERROR(__xludf.DUMMYFUNCTION("QUERY(Hospitais_BD!D:I,""select H where D='""&amp;D227&amp;""'"")"),"Unidade básica de saúde - BAIXA COMPLEXIDADE
")</f>
        <v>Unidade básica de saúde - BAIXA COMPLEXIDADE
</v>
      </c>
      <c r="S227" s="165"/>
      <c r="T227" s="181"/>
      <c r="U227" s="171"/>
      <c r="V227" s="68"/>
      <c r="W227" s="68"/>
      <c r="X227" s="25"/>
      <c r="Y227" s="68"/>
      <c r="Z227" s="68"/>
      <c r="AA227" s="25"/>
      <c r="AB227" s="25"/>
      <c r="AC227" s="25"/>
      <c r="AD227" s="68"/>
      <c r="AE227" s="75"/>
      <c r="AF227" s="121"/>
      <c r="AG227" s="68">
        <v>50.0</v>
      </c>
      <c r="AH227" s="68"/>
      <c r="AI227" s="68"/>
      <c r="AJ227" s="68"/>
      <c r="AK227" s="123"/>
      <c r="AL227" s="123"/>
      <c r="AM227" s="124" t="s">
        <v>1002</v>
      </c>
    </row>
    <row r="228" ht="21.0" customHeight="1">
      <c r="A228" s="166"/>
      <c r="B228" s="66"/>
      <c r="C228" s="59"/>
      <c r="D228" s="32" t="s">
        <v>896</v>
      </c>
      <c r="E228" s="65"/>
      <c r="F228" s="65"/>
      <c r="G228" s="65"/>
      <c r="H228" s="65"/>
      <c r="I228" s="65"/>
      <c r="J228" s="65"/>
      <c r="K228" s="65"/>
      <c r="L228" s="65"/>
      <c r="M228" s="43" t="str">
        <f>IFERROR(__xludf.DUMMYFUNCTION("QUERY(Hospitais_BD!D:I,""select E where D='""&amp;D228&amp;""'"",0)"),"BAIXADA FLUMINENSE")</f>
        <v>BAIXADA FLUMINENSE</v>
      </c>
      <c r="N228" s="32" t="str">
        <f>IFERROR(__xludf.DUMMYFUNCTION("QUERY(Hospitais_BD!D:I,""select F where D='""&amp;D228&amp;""'"")"),"Mesquita")</f>
        <v>Mesquita</v>
      </c>
      <c r="O228" s="43" t="str">
        <f>IFERROR(__xludf.DUMMYFUNCTION("QUERY(Hospitais_BD!D:I,""select G where D='""&amp;D228&amp;""'"")"),"Santa Terezinha")</f>
        <v>Santa Terezinha</v>
      </c>
      <c r="P228" s="32" t="s">
        <v>1095</v>
      </c>
      <c r="Q228" s="105" t="str">
        <f>IFERROR(__xludf.DUMMYFUNCTION("QUERY(Hospitais_BD!D:I,""select I where D='""&amp;D228&amp;""'"")"),"Público")</f>
        <v>Público</v>
      </c>
      <c r="R228" s="105" t="str">
        <f>IFERROR(__xludf.DUMMYFUNCTION("QUERY(Hospitais_BD!D:I,""select H where D='""&amp;D228&amp;""'"")"),"Unidade básica de saúde - BAIXA COMPLEXIDADE")</f>
        <v>Unidade básica de saúde - BAIXA COMPLEXIDADE</v>
      </c>
      <c r="S228" s="167"/>
      <c r="T228" s="182"/>
      <c r="U228" s="172"/>
      <c r="V228" s="65"/>
      <c r="W228" s="65"/>
      <c r="X228" s="32"/>
      <c r="Y228" s="65"/>
      <c r="Z228" s="65"/>
      <c r="AA228" s="32"/>
      <c r="AB228" s="32"/>
      <c r="AC228" s="32"/>
      <c r="AD228" s="65"/>
      <c r="AE228" s="102"/>
      <c r="AF228" s="110"/>
      <c r="AG228" s="65">
        <v>50.0</v>
      </c>
      <c r="AH228" s="65"/>
      <c r="AI228" s="65"/>
      <c r="AJ228" s="65"/>
      <c r="AK228" s="109"/>
      <c r="AL228" s="109"/>
      <c r="AM228" s="111" t="s">
        <v>1002</v>
      </c>
    </row>
    <row r="229" ht="21.0" customHeight="1">
      <c r="A229" s="163"/>
      <c r="B229" s="164"/>
      <c r="C229" s="42"/>
      <c r="D229" s="25" t="s">
        <v>758</v>
      </c>
      <c r="E229" s="68"/>
      <c r="F229" s="68"/>
      <c r="G229" s="68"/>
      <c r="H229" s="68"/>
      <c r="I229" s="68"/>
      <c r="J229" s="68"/>
      <c r="K229" s="68"/>
      <c r="L229" s="68"/>
      <c r="M229" s="60" t="str">
        <f>IFERROR(__xludf.DUMMYFUNCTION("QUERY(Hospitais_BD!D:I,""select E where D='""&amp;D229&amp;""'"",0)"),"ZONA NORTE")</f>
        <v>ZONA NORTE</v>
      </c>
      <c r="N229" s="25" t="str">
        <f>IFERROR(__xludf.DUMMYFUNCTION("QUERY(Hospitais_BD!D:I,""select F where D='""&amp;D229&amp;""'"")"),"Rio de Janeiro")</f>
        <v>Rio de Janeiro</v>
      </c>
      <c r="O229" s="60" t="str">
        <f>IFERROR(__xludf.DUMMYFUNCTION("QUERY(Hospitais_BD!D:I,""select G where D='""&amp;D229&amp;""'"")"),"Vigario Geral")</f>
        <v>Vigario Geral</v>
      </c>
      <c r="P229" s="25" t="s">
        <v>1096</v>
      </c>
      <c r="Q229" s="116" t="str">
        <f>IFERROR(__xludf.DUMMYFUNCTION("QUERY(Hospitais_BD!D:I,""select I where D='""&amp;D229&amp;""'"")"),"Público")</f>
        <v>Público</v>
      </c>
      <c r="R229" s="116" t="str">
        <f>IFERROR(__xludf.DUMMYFUNCTION("QUERY(Hospitais_BD!D:I,""select H where D='""&amp;D229&amp;""'"")"),"Unidade básica de saúde - BAIXA COMPLEXIDADE
")</f>
        <v>Unidade básica de saúde - BAIXA COMPLEXIDADE
</v>
      </c>
      <c r="S229" s="165"/>
      <c r="T229" s="181"/>
      <c r="U229" s="171"/>
      <c r="V229" s="68"/>
      <c r="W229" s="68"/>
      <c r="X229" s="25"/>
      <c r="Y229" s="68"/>
      <c r="Z229" s="68"/>
      <c r="AA229" s="25"/>
      <c r="AB229" s="25"/>
      <c r="AC229" s="25"/>
      <c r="AD229" s="68"/>
      <c r="AE229" s="75"/>
      <c r="AF229" s="121"/>
      <c r="AG229" s="68">
        <v>50.0</v>
      </c>
      <c r="AH229" s="68"/>
      <c r="AI229" s="68"/>
      <c r="AJ229" s="68"/>
      <c r="AK229" s="123"/>
      <c r="AL229" s="123"/>
      <c r="AM229" s="124" t="s">
        <v>1002</v>
      </c>
    </row>
    <row r="230" ht="21.0" customHeight="1">
      <c r="A230" s="166"/>
      <c r="B230" s="66"/>
      <c r="C230" s="59"/>
      <c r="D230" s="32" t="s">
        <v>762</v>
      </c>
      <c r="E230" s="65"/>
      <c r="F230" s="65"/>
      <c r="G230" s="65"/>
      <c r="H230" s="65"/>
      <c r="I230" s="65"/>
      <c r="J230" s="65"/>
      <c r="K230" s="65"/>
      <c r="L230" s="65"/>
      <c r="M230" s="43" t="str">
        <f>IFERROR(__xludf.DUMMYFUNCTION("QUERY(Hospitais_BD!D:I,""select E where D='""&amp;D230&amp;""'"",0)"),"BAIXADA FLUMINENSE")</f>
        <v>BAIXADA FLUMINENSE</v>
      </c>
      <c r="N230" s="32" t="str">
        <f>IFERROR(__xludf.DUMMYFUNCTION("QUERY(Hospitais_BD!D:I,""select F where D='""&amp;D230&amp;""'"")"),"Nilópolis")</f>
        <v>Nilópolis</v>
      </c>
      <c r="O230" s="43" t="str">
        <f>IFERROR(__xludf.DUMMYFUNCTION("QUERY(Hospitais_BD!D:I,""select G where D='""&amp;D230&amp;""'"")"),"CABUIS")</f>
        <v>CABUIS</v>
      </c>
      <c r="P230" s="32" t="s">
        <v>1097</v>
      </c>
      <c r="Q230" s="105" t="str">
        <f>IFERROR(__xludf.DUMMYFUNCTION("QUERY(Hospitais_BD!D:I,""select I where D='""&amp;D230&amp;""'"")"),"Público")</f>
        <v>Público</v>
      </c>
      <c r="R230" s="105" t="str">
        <f>IFERROR(__xludf.DUMMYFUNCTION("QUERY(Hospitais_BD!D:I,""select H where D='""&amp;D230&amp;""'"")"),"Hospital de Apoio - MÉDIA COMPLEXIDADE
")</f>
        <v>Hospital de Apoio - MÉDIA COMPLEXIDADE
</v>
      </c>
      <c r="S230" s="167"/>
      <c r="T230" s="182"/>
      <c r="U230" s="172"/>
      <c r="V230" s="65"/>
      <c r="W230" s="65"/>
      <c r="X230" s="32"/>
      <c r="Y230" s="65"/>
      <c r="Z230" s="65"/>
      <c r="AA230" s="32"/>
      <c r="AB230" s="32"/>
      <c r="AC230" s="32"/>
      <c r="AD230" s="65"/>
      <c r="AE230" s="102"/>
      <c r="AF230" s="110"/>
      <c r="AG230" s="65">
        <v>100.0</v>
      </c>
      <c r="AH230" s="65"/>
      <c r="AI230" s="65"/>
      <c r="AJ230" s="65"/>
      <c r="AK230" s="109"/>
      <c r="AL230" s="109"/>
      <c r="AM230" s="111" t="s">
        <v>1002</v>
      </c>
    </row>
    <row r="231" ht="21.0" customHeight="1">
      <c r="A231" s="171"/>
      <c r="B231" s="69"/>
      <c r="C231" s="42"/>
      <c r="D231" s="25" t="s">
        <v>858</v>
      </c>
      <c r="E231" s="68"/>
      <c r="F231" s="68"/>
      <c r="G231" s="68"/>
      <c r="H231" s="68"/>
      <c r="I231" s="68"/>
      <c r="J231" s="68"/>
      <c r="K231" s="68">
        <v>100.0</v>
      </c>
      <c r="L231" s="68">
        <v>100.0</v>
      </c>
      <c r="M231" s="60" t="str">
        <f>IFERROR(__xludf.DUMMYFUNCTION("QUERY(Hospitais_BD!D:I,""select E where D='""&amp;D231&amp;""'"",0)"),"REGIAO SERRANA")</f>
        <v>REGIAO SERRANA</v>
      </c>
      <c r="N231" s="25" t="str">
        <f>IFERROR(__xludf.DUMMYFUNCTION("QUERY(Hospitais_BD!D:I,""select F where D='""&amp;D231&amp;""'"")"),"Teresopolis")</f>
        <v>Teresopolis</v>
      </c>
      <c r="O231" s="60" t="str">
        <f>IFERROR(__xludf.DUMMYFUNCTION("QUERY(Hospitais_BD!D:I,""select G where D='""&amp;D231&amp;""'"")"),"Meudom")</f>
        <v>Meudom</v>
      </c>
      <c r="P231" s="25" t="s">
        <v>859</v>
      </c>
      <c r="Q231" s="116" t="str">
        <f>IFERROR(__xludf.DUMMYFUNCTION("QUERY(Hospitais_BD!D:I,""select I where D='""&amp;D231&amp;""'"")"),"Público")</f>
        <v>Público</v>
      </c>
      <c r="R231" s="116" t="str">
        <f>IFERROR(__xludf.DUMMYFUNCTION("QUERY(Hospitais_BD!D:I,""select H where D='""&amp;D231&amp;""'"")"),"Unidade básica de saúde - BAIXA COMPLEXIDADE")</f>
        <v>Unidade básica de saúde - BAIXA COMPLEXIDADE</v>
      </c>
      <c r="S231" s="165"/>
      <c r="T231" s="181"/>
      <c r="U231" s="171"/>
      <c r="V231" s="68"/>
      <c r="W231" s="68"/>
      <c r="X231" s="25"/>
      <c r="Y231" s="68"/>
      <c r="Z231" s="68"/>
      <c r="AA231" s="25"/>
      <c r="AB231" s="25"/>
      <c r="AC231" s="25"/>
      <c r="AD231" s="68"/>
      <c r="AE231" s="75"/>
      <c r="AF231" s="121"/>
      <c r="AG231" s="68"/>
      <c r="AH231" s="68"/>
      <c r="AI231" s="68"/>
      <c r="AJ231" s="68"/>
      <c r="AK231" s="123"/>
      <c r="AL231" s="123"/>
      <c r="AM231" s="124" t="s">
        <v>1006</v>
      </c>
    </row>
    <row r="232" ht="21.0" customHeight="1">
      <c r="A232" s="172"/>
      <c r="B232" s="70"/>
      <c r="C232" s="59"/>
      <c r="D232" s="32" t="s">
        <v>858</v>
      </c>
      <c r="E232" s="65"/>
      <c r="F232" s="65"/>
      <c r="G232" s="65"/>
      <c r="H232" s="65"/>
      <c r="I232" s="65"/>
      <c r="J232" s="65"/>
      <c r="K232" s="65">
        <v>100.0</v>
      </c>
      <c r="L232" s="65">
        <v>100.0</v>
      </c>
      <c r="M232" s="43" t="str">
        <f>IFERROR(__xludf.DUMMYFUNCTION("QUERY(Hospitais_BD!D:I,""select E where D='""&amp;D232&amp;""'"",0)"),"REGIAO SERRANA")</f>
        <v>REGIAO SERRANA</v>
      </c>
      <c r="N232" s="32" t="str">
        <f>IFERROR(__xludf.DUMMYFUNCTION("QUERY(Hospitais_BD!D:I,""select F where D='""&amp;D232&amp;""'"")"),"Teresopolis")</f>
        <v>Teresopolis</v>
      </c>
      <c r="O232" s="43" t="str">
        <f>IFERROR(__xludf.DUMMYFUNCTION("QUERY(Hospitais_BD!D:I,""select G where D='""&amp;D232&amp;""'"")"),"Meudom")</f>
        <v>Meudom</v>
      </c>
      <c r="P232" s="32" t="s">
        <v>859</v>
      </c>
      <c r="Q232" s="105" t="str">
        <f>IFERROR(__xludf.DUMMYFUNCTION("QUERY(Hospitais_BD!D:I,""select I where D='""&amp;D232&amp;""'"")"),"Público")</f>
        <v>Público</v>
      </c>
      <c r="R232" s="105" t="str">
        <f>IFERROR(__xludf.DUMMYFUNCTION("QUERY(Hospitais_BD!D:I,""select H where D='""&amp;D232&amp;""'"")"),"Unidade básica de saúde - BAIXA COMPLEXIDADE")</f>
        <v>Unidade básica de saúde - BAIXA COMPLEXIDADE</v>
      </c>
      <c r="S232" s="167"/>
      <c r="T232" s="182"/>
      <c r="U232" s="172"/>
      <c r="V232" s="65"/>
      <c r="W232" s="65"/>
      <c r="X232" s="32"/>
      <c r="Y232" s="65"/>
      <c r="Z232" s="65"/>
      <c r="AA232" s="32"/>
      <c r="AB232" s="32"/>
      <c r="AC232" s="32"/>
      <c r="AD232" s="65"/>
      <c r="AE232" s="102"/>
      <c r="AF232" s="110"/>
      <c r="AG232" s="65"/>
      <c r="AH232" s="65"/>
      <c r="AI232" s="65"/>
      <c r="AJ232" s="65"/>
      <c r="AK232" s="109"/>
      <c r="AL232" s="109"/>
      <c r="AM232" s="111" t="s">
        <v>1006</v>
      </c>
    </row>
    <row r="233" ht="21.0" customHeight="1">
      <c r="A233" s="171"/>
      <c r="B233" s="69"/>
      <c r="C233" s="20"/>
      <c r="D233" s="25" t="s">
        <v>858</v>
      </c>
      <c r="E233" s="68"/>
      <c r="F233" s="68"/>
      <c r="G233" s="68"/>
      <c r="H233" s="68"/>
      <c r="I233" s="68"/>
      <c r="J233" s="68"/>
      <c r="K233" s="68">
        <v>100.0</v>
      </c>
      <c r="L233" s="68">
        <v>100.0</v>
      </c>
      <c r="M233" s="60" t="str">
        <f>IFERROR(__xludf.DUMMYFUNCTION("QUERY(Hospitais_BD!D:I,""select E where D='""&amp;D233&amp;""'"",0)"),"REGIAO SERRANA")</f>
        <v>REGIAO SERRANA</v>
      </c>
      <c r="N233" s="25" t="str">
        <f>IFERROR(__xludf.DUMMYFUNCTION("QUERY(Hospitais_BD!D:I,""select F where D='""&amp;D233&amp;""'"")"),"Teresopolis")</f>
        <v>Teresopolis</v>
      </c>
      <c r="O233" s="60" t="str">
        <f>IFERROR(__xludf.DUMMYFUNCTION("QUERY(Hospitais_BD!D:I,""select G where D='""&amp;D233&amp;""'"")"),"Meudom")</f>
        <v>Meudom</v>
      </c>
      <c r="P233" s="25" t="s">
        <v>859</v>
      </c>
      <c r="Q233" s="116" t="str">
        <f>IFERROR(__xludf.DUMMYFUNCTION("QUERY(Hospitais_BD!D:I,""select I where D='""&amp;D233&amp;""'"")"),"Público")</f>
        <v>Público</v>
      </c>
      <c r="R233" s="116" t="str">
        <f>IFERROR(__xludf.DUMMYFUNCTION("QUERY(Hospitais_BD!D:I,""select H where D='""&amp;D233&amp;""'"")"),"Unidade básica de saúde - BAIXA COMPLEXIDADE")</f>
        <v>Unidade básica de saúde - BAIXA COMPLEXIDADE</v>
      </c>
      <c r="S233" s="165"/>
      <c r="T233" s="181"/>
      <c r="U233" s="171"/>
      <c r="V233" s="68"/>
      <c r="W233" s="68"/>
      <c r="X233" s="25"/>
      <c r="Y233" s="68"/>
      <c r="Z233" s="68"/>
      <c r="AA233" s="25"/>
      <c r="AB233" s="25"/>
      <c r="AC233" s="25"/>
      <c r="AD233" s="68"/>
      <c r="AE233" s="75"/>
      <c r="AF233" s="121"/>
      <c r="AG233" s="68"/>
      <c r="AH233" s="68"/>
      <c r="AI233" s="68"/>
      <c r="AJ233" s="68"/>
      <c r="AK233" s="123"/>
      <c r="AL233" s="123"/>
      <c r="AM233" s="124" t="s">
        <v>1006</v>
      </c>
    </row>
    <row r="234" ht="21.0" customHeight="1">
      <c r="A234" s="172"/>
      <c r="B234" s="70"/>
      <c r="C234" s="59"/>
      <c r="D234" s="32" t="s">
        <v>858</v>
      </c>
      <c r="E234" s="65"/>
      <c r="F234" s="65"/>
      <c r="G234" s="65"/>
      <c r="H234" s="65"/>
      <c r="I234" s="65"/>
      <c r="J234" s="65"/>
      <c r="K234" s="65">
        <v>100.0</v>
      </c>
      <c r="L234" s="65">
        <v>100.0</v>
      </c>
      <c r="M234" s="43" t="str">
        <f>IFERROR(__xludf.DUMMYFUNCTION("QUERY(Hospitais_BD!D:I,""select E where D='""&amp;D234&amp;""'"",0)"),"REGIAO SERRANA")</f>
        <v>REGIAO SERRANA</v>
      </c>
      <c r="N234" s="32" t="str">
        <f>IFERROR(__xludf.DUMMYFUNCTION("QUERY(Hospitais_BD!D:I,""select F where D='""&amp;D234&amp;""'"")"),"Teresopolis")</f>
        <v>Teresopolis</v>
      </c>
      <c r="O234" s="43" t="str">
        <f>IFERROR(__xludf.DUMMYFUNCTION("QUERY(Hospitais_BD!D:I,""select G where D='""&amp;D234&amp;""'"")"),"Meudom")</f>
        <v>Meudom</v>
      </c>
      <c r="P234" s="32" t="s">
        <v>859</v>
      </c>
      <c r="Q234" s="105" t="str">
        <f>IFERROR(__xludf.DUMMYFUNCTION("QUERY(Hospitais_BD!D:I,""select I where D='""&amp;D234&amp;""'"")"),"Público")</f>
        <v>Público</v>
      </c>
      <c r="R234" s="105" t="str">
        <f>IFERROR(__xludf.DUMMYFUNCTION("QUERY(Hospitais_BD!D:I,""select H where D='""&amp;D234&amp;""'"")"),"Unidade básica de saúde - BAIXA COMPLEXIDADE")</f>
        <v>Unidade básica de saúde - BAIXA COMPLEXIDADE</v>
      </c>
      <c r="S234" s="167"/>
      <c r="T234" s="182"/>
      <c r="U234" s="172"/>
      <c r="V234" s="65"/>
      <c r="W234" s="65"/>
      <c r="X234" s="32"/>
      <c r="Y234" s="65"/>
      <c r="Z234" s="65"/>
      <c r="AA234" s="32"/>
      <c r="AB234" s="32"/>
      <c r="AC234" s="32"/>
      <c r="AD234" s="65"/>
      <c r="AE234" s="102"/>
      <c r="AF234" s="110"/>
      <c r="AG234" s="65"/>
      <c r="AH234" s="65"/>
      <c r="AI234" s="65"/>
      <c r="AJ234" s="65"/>
      <c r="AK234" s="109"/>
      <c r="AL234" s="109"/>
      <c r="AM234" s="111" t="s">
        <v>1006</v>
      </c>
    </row>
    <row r="235" ht="21.0" customHeight="1">
      <c r="A235" s="171"/>
      <c r="B235" s="69"/>
      <c r="C235" s="42"/>
      <c r="D235" s="25" t="s">
        <v>858</v>
      </c>
      <c r="E235" s="68"/>
      <c r="F235" s="68"/>
      <c r="G235" s="68"/>
      <c r="H235" s="68"/>
      <c r="I235" s="68"/>
      <c r="J235" s="68"/>
      <c r="K235" s="68">
        <v>100.0</v>
      </c>
      <c r="L235" s="68">
        <v>100.0</v>
      </c>
      <c r="M235" s="60" t="str">
        <f>IFERROR(__xludf.DUMMYFUNCTION("QUERY(Hospitais_BD!D:I,""select E where D='""&amp;D235&amp;""'"",0)"),"REGIAO SERRANA")</f>
        <v>REGIAO SERRANA</v>
      </c>
      <c r="N235" s="25" t="str">
        <f>IFERROR(__xludf.DUMMYFUNCTION("QUERY(Hospitais_BD!D:I,""select F where D='""&amp;D235&amp;""'"")"),"Teresopolis")</f>
        <v>Teresopolis</v>
      </c>
      <c r="O235" s="60" t="str">
        <f>IFERROR(__xludf.DUMMYFUNCTION("QUERY(Hospitais_BD!D:I,""select G where D='""&amp;D235&amp;""'"")"),"Meudom")</f>
        <v>Meudom</v>
      </c>
      <c r="P235" s="25" t="s">
        <v>859</v>
      </c>
      <c r="Q235" s="116" t="str">
        <f>IFERROR(__xludf.DUMMYFUNCTION("QUERY(Hospitais_BD!D:I,""select I where D='""&amp;D235&amp;""'"")"),"Público")</f>
        <v>Público</v>
      </c>
      <c r="R235" s="116" t="str">
        <f>IFERROR(__xludf.DUMMYFUNCTION("QUERY(Hospitais_BD!D:I,""select H where D='""&amp;D235&amp;""'"")"),"Unidade básica de saúde - BAIXA COMPLEXIDADE")</f>
        <v>Unidade básica de saúde - BAIXA COMPLEXIDADE</v>
      </c>
      <c r="S235" s="165"/>
      <c r="T235" s="181"/>
      <c r="U235" s="171"/>
      <c r="V235" s="68"/>
      <c r="W235" s="68"/>
      <c r="X235" s="25"/>
      <c r="Y235" s="68"/>
      <c r="Z235" s="68"/>
      <c r="AA235" s="25"/>
      <c r="AB235" s="25"/>
      <c r="AC235" s="25"/>
      <c r="AD235" s="68"/>
      <c r="AE235" s="75"/>
      <c r="AF235" s="121"/>
      <c r="AG235" s="68"/>
      <c r="AH235" s="68"/>
      <c r="AI235" s="68"/>
      <c r="AJ235" s="68"/>
      <c r="AK235" s="123"/>
      <c r="AL235" s="123"/>
      <c r="AM235" s="124" t="s">
        <v>1006</v>
      </c>
    </row>
    <row r="236" ht="21.0" customHeight="1">
      <c r="A236" s="172"/>
      <c r="B236" s="70"/>
      <c r="C236" s="59"/>
      <c r="D236" s="32" t="s">
        <v>858</v>
      </c>
      <c r="E236" s="65"/>
      <c r="F236" s="65"/>
      <c r="G236" s="65"/>
      <c r="H236" s="65"/>
      <c r="I236" s="65"/>
      <c r="J236" s="65"/>
      <c r="K236" s="65">
        <v>100.0</v>
      </c>
      <c r="L236" s="65">
        <v>100.0</v>
      </c>
      <c r="M236" s="43" t="str">
        <f>IFERROR(__xludf.DUMMYFUNCTION("QUERY(Hospitais_BD!D:I,""select E where D='""&amp;D236&amp;""'"",0)"),"REGIAO SERRANA")</f>
        <v>REGIAO SERRANA</v>
      </c>
      <c r="N236" s="32" t="str">
        <f>IFERROR(__xludf.DUMMYFUNCTION("QUERY(Hospitais_BD!D:I,""select F where D='""&amp;D236&amp;""'"")"),"Teresopolis")</f>
        <v>Teresopolis</v>
      </c>
      <c r="O236" s="43" t="str">
        <f>IFERROR(__xludf.DUMMYFUNCTION("QUERY(Hospitais_BD!D:I,""select G where D='""&amp;D236&amp;""'"")"),"Meudom")</f>
        <v>Meudom</v>
      </c>
      <c r="P236" s="32" t="s">
        <v>859</v>
      </c>
      <c r="Q236" s="105" t="str">
        <f>IFERROR(__xludf.DUMMYFUNCTION("QUERY(Hospitais_BD!D:I,""select I where D='""&amp;D236&amp;""'"")"),"Público")</f>
        <v>Público</v>
      </c>
      <c r="R236" s="105" t="str">
        <f>IFERROR(__xludf.DUMMYFUNCTION("QUERY(Hospitais_BD!D:I,""select H where D='""&amp;D236&amp;""'"")"),"Unidade básica de saúde - BAIXA COMPLEXIDADE")</f>
        <v>Unidade básica de saúde - BAIXA COMPLEXIDADE</v>
      </c>
      <c r="S236" s="167"/>
      <c r="T236" s="182"/>
      <c r="U236" s="172"/>
      <c r="V236" s="65"/>
      <c r="W236" s="65"/>
      <c r="X236" s="32"/>
      <c r="Y236" s="65"/>
      <c r="Z236" s="65"/>
      <c r="AA236" s="32"/>
      <c r="AB236" s="32"/>
      <c r="AC236" s="32"/>
      <c r="AD236" s="65"/>
      <c r="AE236" s="102"/>
      <c r="AF236" s="110"/>
      <c r="AG236" s="65"/>
      <c r="AH236" s="65"/>
      <c r="AI236" s="65"/>
      <c r="AJ236" s="65"/>
      <c r="AK236" s="109"/>
      <c r="AL236" s="109"/>
      <c r="AM236" s="111" t="s">
        <v>1006</v>
      </c>
    </row>
    <row r="237" ht="21.0" customHeight="1">
      <c r="A237" s="171"/>
      <c r="B237" s="69"/>
      <c r="C237" s="42"/>
      <c r="D237" s="25" t="s">
        <v>858</v>
      </c>
      <c r="E237" s="68"/>
      <c r="F237" s="68"/>
      <c r="G237" s="68"/>
      <c r="H237" s="68"/>
      <c r="I237" s="68"/>
      <c r="J237" s="68"/>
      <c r="K237" s="68">
        <v>100.0</v>
      </c>
      <c r="L237" s="68">
        <v>100.0</v>
      </c>
      <c r="M237" s="60" t="str">
        <f>IFERROR(__xludf.DUMMYFUNCTION("QUERY(Hospitais_BD!D:I,""select E where D='""&amp;D237&amp;""'"",0)"),"REGIAO SERRANA")</f>
        <v>REGIAO SERRANA</v>
      </c>
      <c r="N237" s="25" t="str">
        <f>IFERROR(__xludf.DUMMYFUNCTION("QUERY(Hospitais_BD!D:I,""select F where D='""&amp;D237&amp;""'"")"),"Teresopolis")</f>
        <v>Teresopolis</v>
      </c>
      <c r="O237" s="60" t="str">
        <f>IFERROR(__xludf.DUMMYFUNCTION("QUERY(Hospitais_BD!D:I,""select G where D='""&amp;D237&amp;""'"")"),"Meudom")</f>
        <v>Meudom</v>
      </c>
      <c r="P237" s="25" t="s">
        <v>859</v>
      </c>
      <c r="Q237" s="116" t="str">
        <f>IFERROR(__xludf.DUMMYFUNCTION("QUERY(Hospitais_BD!D:I,""select I where D='""&amp;D237&amp;""'"")"),"Público")</f>
        <v>Público</v>
      </c>
      <c r="R237" s="116" t="str">
        <f>IFERROR(__xludf.DUMMYFUNCTION("QUERY(Hospitais_BD!D:I,""select H where D='""&amp;D237&amp;""'"")"),"Unidade básica de saúde - BAIXA COMPLEXIDADE")</f>
        <v>Unidade básica de saúde - BAIXA COMPLEXIDADE</v>
      </c>
      <c r="S237" s="165"/>
      <c r="T237" s="181"/>
      <c r="U237" s="171"/>
      <c r="V237" s="68"/>
      <c r="W237" s="68"/>
      <c r="X237" s="25"/>
      <c r="Y237" s="68"/>
      <c r="Z237" s="68"/>
      <c r="AA237" s="25"/>
      <c r="AB237" s="25"/>
      <c r="AC237" s="25"/>
      <c r="AD237" s="68"/>
      <c r="AE237" s="75"/>
      <c r="AF237" s="121"/>
      <c r="AG237" s="68"/>
      <c r="AH237" s="68"/>
      <c r="AI237" s="68"/>
      <c r="AJ237" s="68"/>
      <c r="AK237" s="123"/>
      <c r="AL237" s="123"/>
      <c r="AM237" s="124" t="s">
        <v>1006</v>
      </c>
    </row>
    <row r="238" ht="21.0" customHeight="1">
      <c r="A238" s="172"/>
      <c r="B238" s="70"/>
      <c r="C238" s="59"/>
      <c r="D238" s="32" t="s">
        <v>858</v>
      </c>
      <c r="E238" s="65"/>
      <c r="F238" s="65"/>
      <c r="G238" s="65"/>
      <c r="H238" s="65"/>
      <c r="I238" s="65"/>
      <c r="J238" s="65"/>
      <c r="K238" s="65">
        <v>100.0</v>
      </c>
      <c r="L238" s="65">
        <v>100.0</v>
      </c>
      <c r="M238" s="43" t="str">
        <f>IFERROR(__xludf.DUMMYFUNCTION("QUERY(Hospitais_BD!D:I,""select E where D='""&amp;D238&amp;""'"",0)"),"REGIAO SERRANA")</f>
        <v>REGIAO SERRANA</v>
      </c>
      <c r="N238" s="32" t="str">
        <f>IFERROR(__xludf.DUMMYFUNCTION("QUERY(Hospitais_BD!D:I,""select F where D='""&amp;D238&amp;""'"")"),"Teresopolis")</f>
        <v>Teresopolis</v>
      </c>
      <c r="O238" s="43" t="str">
        <f>IFERROR(__xludf.DUMMYFUNCTION("QUERY(Hospitais_BD!D:I,""select G where D='""&amp;D238&amp;""'"")"),"Meudom")</f>
        <v>Meudom</v>
      </c>
      <c r="P238" s="32" t="s">
        <v>859</v>
      </c>
      <c r="Q238" s="105" t="str">
        <f>IFERROR(__xludf.DUMMYFUNCTION("QUERY(Hospitais_BD!D:I,""select I where D='""&amp;D238&amp;""'"")"),"Público")</f>
        <v>Público</v>
      </c>
      <c r="R238" s="105" t="str">
        <f>IFERROR(__xludf.DUMMYFUNCTION("QUERY(Hospitais_BD!D:I,""select H where D='""&amp;D238&amp;""'"")"),"Unidade básica de saúde - BAIXA COMPLEXIDADE")</f>
        <v>Unidade básica de saúde - BAIXA COMPLEXIDADE</v>
      </c>
      <c r="S238" s="167"/>
      <c r="T238" s="182"/>
      <c r="U238" s="172"/>
      <c r="V238" s="65"/>
      <c r="W238" s="65"/>
      <c r="X238" s="32"/>
      <c r="Y238" s="65"/>
      <c r="Z238" s="65"/>
      <c r="AA238" s="32"/>
      <c r="AB238" s="32"/>
      <c r="AC238" s="32"/>
      <c r="AD238" s="65"/>
      <c r="AE238" s="102"/>
      <c r="AF238" s="110"/>
      <c r="AG238" s="65"/>
      <c r="AH238" s="65"/>
      <c r="AI238" s="65"/>
      <c r="AJ238" s="65"/>
      <c r="AK238" s="109"/>
      <c r="AL238" s="109"/>
      <c r="AM238" s="111" t="s">
        <v>1006</v>
      </c>
    </row>
    <row r="239" ht="21.0" customHeight="1">
      <c r="A239" s="171"/>
      <c r="B239" s="69"/>
      <c r="C239" s="42"/>
      <c r="D239" s="25" t="s">
        <v>858</v>
      </c>
      <c r="E239" s="68"/>
      <c r="F239" s="68"/>
      <c r="G239" s="68"/>
      <c r="H239" s="68"/>
      <c r="I239" s="68"/>
      <c r="J239" s="68"/>
      <c r="K239" s="68">
        <v>100.0</v>
      </c>
      <c r="L239" s="68">
        <v>100.0</v>
      </c>
      <c r="M239" s="60" t="str">
        <f>IFERROR(__xludf.DUMMYFUNCTION("QUERY(Hospitais_BD!D:I,""select E where D='""&amp;D239&amp;""'"",0)"),"REGIAO SERRANA")</f>
        <v>REGIAO SERRANA</v>
      </c>
      <c r="N239" s="25" t="str">
        <f>IFERROR(__xludf.DUMMYFUNCTION("QUERY(Hospitais_BD!D:I,""select F where D='""&amp;D239&amp;""'"")"),"Teresopolis")</f>
        <v>Teresopolis</v>
      </c>
      <c r="O239" s="60" t="str">
        <f>IFERROR(__xludf.DUMMYFUNCTION("QUERY(Hospitais_BD!D:I,""select G where D='""&amp;D239&amp;""'"")"),"Meudom")</f>
        <v>Meudom</v>
      </c>
      <c r="P239" s="25" t="s">
        <v>859</v>
      </c>
      <c r="Q239" s="116" t="str">
        <f>IFERROR(__xludf.DUMMYFUNCTION("QUERY(Hospitais_BD!D:I,""select I where D='""&amp;D239&amp;""'"")"),"Público")</f>
        <v>Público</v>
      </c>
      <c r="R239" s="116" t="str">
        <f>IFERROR(__xludf.DUMMYFUNCTION("QUERY(Hospitais_BD!D:I,""select H where D='""&amp;D239&amp;""'"")"),"Unidade básica de saúde - BAIXA COMPLEXIDADE")</f>
        <v>Unidade básica de saúde - BAIXA COMPLEXIDADE</v>
      </c>
      <c r="S239" s="165"/>
      <c r="T239" s="181"/>
      <c r="U239" s="171"/>
      <c r="V239" s="68"/>
      <c r="W239" s="68"/>
      <c r="X239" s="25"/>
      <c r="Y239" s="68"/>
      <c r="Z239" s="68"/>
      <c r="AA239" s="25"/>
      <c r="AB239" s="25"/>
      <c r="AC239" s="25"/>
      <c r="AD239" s="68"/>
      <c r="AE239" s="75"/>
      <c r="AF239" s="121"/>
      <c r="AG239" s="68"/>
      <c r="AH239" s="68"/>
      <c r="AI239" s="68"/>
      <c r="AJ239" s="68"/>
      <c r="AK239" s="123"/>
      <c r="AL239" s="123"/>
      <c r="AM239" s="124" t="s">
        <v>1006</v>
      </c>
    </row>
    <row r="240" ht="21.0" customHeight="1">
      <c r="A240" s="172"/>
      <c r="B240" s="70"/>
      <c r="C240" s="59"/>
      <c r="D240" s="32" t="s">
        <v>858</v>
      </c>
      <c r="E240" s="65"/>
      <c r="F240" s="65"/>
      <c r="G240" s="65"/>
      <c r="H240" s="65"/>
      <c r="I240" s="65"/>
      <c r="J240" s="65"/>
      <c r="K240" s="65">
        <v>100.0</v>
      </c>
      <c r="L240" s="65">
        <v>100.0</v>
      </c>
      <c r="M240" s="43" t="str">
        <f>IFERROR(__xludf.DUMMYFUNCTION("QUERY(Hospitais_BD!D:I,""select E where D='""&amp;D240&amp;""'"",0)"),"REGIAO SERRANA")</f>
        <v>REGIAO SERRANA</v>
      </c>
      <c r="N240" s="32" t="str">
        <f>IFERROR(__xludf.DUMMYFUNCTION("QUERY(Hospitais_BD!D:I,""select F where D='""&amp;D240&amp;""'"")"),"Teresopolis")</f>
        <v>Teresopolis</v>
      </c>
      <c r="O240" s="43" t="str">
        <f>IFERROR(__xludf.DUMMYFUNCTION("QUERY(Hospitais_BD!D:I,""select G where D='""&amp;D240&amp;""'"")"),"Meudom")</f>
        <v>Meudom</v>
      </c>
      <c r="P240" s="32" t="s">
        <v>859</v>
      </c>
      <c r="Q240" s="105" t="str">
        <f>IFERROR(__xludf.DUMMYFUNCTION("QUERY(Hospitais_BD!D:I,""select I where D='""&amp;D240&amp;""'"")"),"Público")</f>
        <v>Público</v>
      </c>
      <c r="R240" s="105" t="str">
        <f>IFERROR(__xludf.DUMMYFUNCTION("QUERY(Hospitais_BD!D:I,""select H where D='""&amp;D240&amp;""'"")"),"Unidade básica de saúde - BAIXA COMPLEXIDADE")</f>
        <v>Unidade básica de saúde - BAIXA COMPLEXIDADE</v>
      </c>
      <c r="S240" s="167"/>
      <c r="T240" s="182"/>
      <c r="U240" s="172"/>
      <c r="V240" s="65"/>
      <c r="W240" s="65"/>
      <c r="X240" s="32"/>
      <c r="Y240" s="65"/>
      <c r="Z240" s="65"/>
      <c r="AA240" s="32"/>
      <c r="AB240" s="32"/>
      <c r="AC240" s="32"/>
      <c r="AD240" s="65"/>
      <c r="AE240" s="102"/>
      <c r="AF240" s="110"/>
      <c r="AG240" s="65"/>
      <c r="AH240" s="65"/>
      <c r="AI240" s="65"/>
      <c r="AJ240" s="65"/>
      <c r="AK240" s="109"/>
      <c r="AL240" s="109"/>
      <c r="AM240" s="111" t="s">
        <v>1006</v>
      </c>
    </row>
    <row r="241" ht="21.0" customHeight="1">
      <c r="A241" s="171"/>
      <c r="B241" s="69"/>
      <c r="C241" s="42"/>
      <c r="D241" s="25" t="s">
        <v>858</v>
      </c>
      <c r="E241" s="68"/>
      <c r="F241" s="68"/>
      <c r="G241" s="68"/>
      <c r="H241" s="68"/>
      <c r="I241" s="68"/>
      <c r="J241" s="68"/>
      <c r="K241" s="68">
        <v>100.0</v>
      </c>
      <c r="L241" s="68">
        <v>100.0</v>
      </c>
      <c r="M241" s="60" t="str">
        <f>IFERROR(__xludf.DUMMYFUNCTION("QUERY(Hospitais_BD!D:I,""select E where D='""&amp;D241&amp;""'"",0)"),"REGIAO SERRANA")</f>
        <v>REGIAO SERRANA</v>
      </c>
      <c r="N241" s="25" t="str">
        <f>IFERROR(__xludf.DUMMYFUNCTION("QUERY(Hospitais_BD!D:I,""select F where D='""&amp;D241&amp;""'"")"),"Teresopolis")</f>
        <v>Teresopolis</v>
      </c>
      <c r="O241" s="60" t="str">
        <f>IFERROR(__xludf.DUMMYFUNCTION("QUERY(Hospitais_BD!D:I,""select G where D='""&amp;D241&amp;""'"")"),"Meudom")</f>
        <v>Meudom</v>
      </c>
      <c r="P241" s="25" t="s">
        <v>859</v>
      </c>
      <c r="Q241" s="116" t="str">
        <f>IFERROR(__xludf.DUMMYFUNCTION("QUERY(Hospitais_BD!D:I,""select I where D='""&amp;D241&amp;""'"")"),"Público")</f>
        <v>Público</v>
      </c>
      <c r="R241" s="116" t="str">
        <f>IFERROR(__xludf.DUMMYFUNCTION("QUERY(Hospitais_BD!D:I,""select H where D='""&amp;D241&amp;""'"")"),"Unidade básica de saúde - BAIXA COMPLEXIDADE")</f>
        <v>Unidade básica de saúde - BAIXA COMPLEXIDADE</v>
      </c>
      <c r="S241" s="165"/>
      <c r="T241" s="181"/>
      <c r="U241" s="171"/>
      <c r="V241" s="68"/>
      <c r="W241" s="68"/>
      <c r="X241" s="25"/>
      <c r="Y241" s="68"/>
      <c r="Z241" s="68"/>
      <c r="AA241" s="25"/>
      <c r="AB241" s="25"/>
      <c r="AC241" s="25"/>
      <c r="AD241" s="68"/>
      <c r="AE241" s="75"/>
      <c r="AF241" s="121"/>
      <c r="AG241" s="68"/>
      <c r="AH241" s="68"/>
      <c r="AI241" s="68"/>
      <c r="AJ241" s="68"/>
      <c r="AK241" s="123"/>
      <c r="AL241" s="123"/>
      <c r="AM241" s="124" t="s">
        <v>1006</v>
      </c>
    </row>
    <row r="242" ht="21.0" customHeight="1">
      <c r="A242" s="172"/>
      <c r="B242" s="70"/>
      <c r="C242" s="59"/>
      <c r="D242" s="32" t="s">
        <v>858</v>
      </c>
      <c r="E242" s="65"/>
      <c r="F242" s="65"/>
      <c r="G242" s="65"/>
      <c r="H242" s="65"/>
      <c r="I242" s="65"/>
      <c r="J242" s="65"/>
      <c r="K242" s="65">
        <v>100.0</v>
      </c>
      <c r="L242" s="65">
        <v>100.0</v>
      </c>
      <c r="M242" s="43" t="str">
        <f>IFERROR(__xludf.DUMMYFUNCTION("QUERY(Hospitais_BD!D:I,""select E where D='""&amp;D242&amp;""'"",0)"),"REGIAO SERRANA")</f>
        <v>REGIAO SERRANA</v>
      </c>
      <c r="N242" s="32" t="str">
        <f>IFERROR(__xludf.DUMMYFUNCTION("QUERY(Hospitais_BD!D:I,""select F where D='""&amp;D242&amp;""'"")"),"Teresopolis")</f>
        <v>Teresopolis</v>
      </c>
      <c r="O242" s="43" t="str">
        <f>IFERROR(__xludf.DUMMYFUNCTION("QUERY(Hospitais_BD!D:I,""select G where D='""&amp;D242&amp;""'"")"),"Meudom")</f>
        <v>Meudom</v>
      </c>
      <c r="P242" s="32" t="s">
        <v>859</v>
      </c>
      <c r="Q242" s="105" t="str">
        <f>IFERROR(__xludf.DUMMYFUNCTION("QUERY(Hospitais_BD!D:I,""select I where D='""&amp;D242&amp;""'"")"),"Público")</f>
        <v>Público</v>
      </c>
      <c r="R242" s="105" t="str">
        <f>IFERROR(__xludf.DUMMYFUNCTION("QUERY(Hospitais_BD!D:I,""select H where D='""&amp;D242&amp;""'"")"),"Unidade básica de saúde - BAIXA COMPLEXIDADE")</f>
        <v>Unidade básica de saúde - BAIXA COMPLEXIDADE</v>
      </c>
      <c r="S242" s="167"/>
      <c r="T242" s="182"/>
      <c r="U242" s="172"/>
      <c r="V242" s="65"/>
      <c r="W242" s="65"/>
      <c r="X242" s="32"/>
      <c r="Y242" s="65"/>
      <c r="Z242" s="65"/>
      <c r="AA242" s="32"/>
      <c r="AB242" s="32"/>
      <c r="AC242" s="32"/>
      <c r="AD242" s="65"/>
      <c r="AE242" s="102"/>
      <c r="AF242" s="110"/>
      <c r="AG242" s="65"/>
      <c r="AH242" s="65"/>
      <c r="AI242" s="65"/>
      <c r="AJ242" s="65"/>
      <c r="AK242" s="109"/>
      <c r="AL242" s="109"/>
      <c r="AM242" s="111" t="s">
        <v>1006</v>
      </c>
    </row>
    <row r="243" ht="21.0" customHeight="1">
      <c r="A243" s="171"/>
      <c r="B243" s="69"/>
      <c r="C243" s="42"/>
      <c r="D243" s="25" t="s">
        <v>858</v>
      </c>
      <c r="E243" s="68"/>
      <c r="F243" s="68"/>
      <c r="G243" s="68"/>
      <c r="H243" s="68"/>
      <c r="I243" s="68"/>
      <c r="J243" s="68"/>
      <c r="K243" s="68">
        <v>100.0</v>
      </c>
      <c r="L243" s="68">
        <v>100.0</v>
      </c>
      <c r="M243" s="60" t="str">
        <f>IFERROR(__xludf.DUMMYFUNCTION("QUERY(Hospitais_BD!D:I,""select E where D='""&amp;D243&amp;""'"",0)"),"REGIAO SERRANA")</f>
        <v>REGIAO SERRANA</v>
      </c>
      <c r="N243" s="25" t="str">
        <f>IFERROR(__xludf.DUMMYFUNCTION("QUERY(Hospitais_BD!D:I,""select F where D='""&amp;D243&amp;""'"")"),"Teresopolis")</f>
        <v>Teresopolis</v>
      </c>
      <c r="O243" s="60" t="str">
        <f>IFERROR(__xludf.DUMMYFUNCTION("QUERY(Hospitais_BD!D:I,""select G where D='""&amp;D243&amp;""'"")"),"Meudom")</f>
        <v>Meudom</v>
      </c>
      <c r="P243" s="25" t="s">
        <v>859</v>
      </c>
      <c r="Q243" s="116" t="str">
        <f>IFERROR(__xludf.DUMMYFUNCTION("QUERY(Hospitais_BD!D:I,""select I where D='""&amp;D243&amp;""'"")"),"Público")</f>
        <v>Público</v>
      </c>
      <c r="R243" s="116" t="str">
        <f>IFERROR(__xludf.DUMMYFUNCTION("QUERY(Hospitais_BD!D:I,""select H where D='""&amp;D243&amp;""'"")"),"Unidade básica de saúde - BAIXA COMPLEXIDADE")</f>
        <v>Unidade básica de saúde - BAIXA COMPLEXIDADE</v>
      </c>
      <c r="S243" s="165"/>
      <c r="T243" s="181"/>
      <c r="U243" s="171"/>
      <c r="V243" s="68"/>
      <c r="W243" s="68"/>
      <c r="X243" s="25"/>
      <c r="Y243" s="68"/>
      <c r="Z243" s="68"/>
      <c r="AA243" s="25"/>
      <c r="AB243" s="25"/>
      <c r="AC243" s="25"/>
      <c r="AD243" s="68"/>
      <c r="AE243" s="75"/>
      <c r="AF243" s="121"/>
      <c r="AG243" s="68"/>
      <c r="AH243" s="68"/>
      <c r="AI243" s="68"/>
      <c r="AJ243" s="68"/>
      <c r="AK243" s="123"/>
      <c r="AL243" s="123"/>
      <c r="AM243" s="124" t="s">
        <v>1006</v>
      </c>
    </row>
    <row r="244" ht="21.0" customHeight="1">
      <c r="A244" s="172"/>
      <c r="B244" s="70"/>
      <c r="C244" s="59"/>
      <c r="D244" s="32" t="s">
        <v>858</v>
      </c>
      <c r="E244" s="65"/>
      <c r="F244" s="65"/>
      <c r="G244" s="65"/>
      <c r="H244" s="65"/>
      <c r="I244" s="65"/>
      <c r="J244" s="65"/>
      <c r="K244" s="65">
        <v>100.0</v>
      </c>
      <c r="L244" s="65">
        <v>100.0</v>
      </c>
      <c r="M244" s="43" t="str">
        <f>IFERROR(__xludf.DUMMYFUNCTION("QUERY(Hospitais_BD!D:I,""select E where D='""&amp;D244&amp;""'"",0)"),"REGIAO SERRANA")</f>
        <v>REGIAO SERRANA</v>
      </c>
      <c r="N244" s="32" t="str">
        <f>IFERROR(__xludf.DUMMYFUNCTION("QUERY(Hospitais_BD!D:I,""select F where D='""&amp;D244&amp;""'"")"),"Teresopolis")</f>
        <v>Teresopolis</v>
      </c>
      <c r="O244" s="43" t="str">
        <f>IFERROR(__xludf.DUMMYFUNCTION("QUERY(Hospitais_BD!D:I,""select G where D='""&amp;D244&amp;""'"")"),"Meudom")</f>
        <v>Meudom</v>
      </c>
      <c r="P244" s="32" t="s">
        <v>859</v>
      </c>
      <c r="Q244" s="105" t="str">
        <f>IFERROR(__xludf.DUMMYFUNCTION("QUERY(Hospitais_BD!D:I,""select I where D='""&amp;D244&amp;""'"")"),"Público")</f>
        <v>Público</v>
      </c>
      <c r="R244" s="105" t="str">
        <f>IFERROR(__xludf.DUMMYFUNCTION("QUERY(Hospitais_BD!D:I,""select H where D='""&amp;D244&amp;""'"")"),"Unidade básica de saúde - BAIXA COMPLEXIDADE")</f>
        <v>Unidade básica de saúde - BAIXA COMPLEXIDADE</v>
      </c>
      <c r="S244" s="167"/>
      <c r="T244" s="182"/>
      <c r="U244" s="172"/>
      <c r="V244" s="65"/>
      <c r="W244" s="65"/>
      <c r="X244" s="32"/>
      <c r="Y244" s="65"/>
      <c r="Z244" s="65"/>
      <c r="AA244" s="32"/>
      <c r="AB244" s="32"/>
      <c r="AC244" s="32"/>
      <c r="AD244" s="65"/>
      <c r="AE244" s="102"/>
      <c r="AF244" s="110"/>
      <c r="AG244" s="65"/>
      <c r="AH244" s="65"/>
      <c r="AI244" s="65"/>
      <c r="AJ244" s="65"/>
      <c r="AK244" s="109"/>
      <c r="AL244" s="109"/>
      <c r="AM244" s="111" t="s">
        <v>1006</v>
      </c>
    </row>
    <row r="245" ht="21.0" customHeight="1">
      <c r="A245" s="171"/>
      <c r="B245" s="69"/>
      <c r="C245" s="42"/>
      <c r="D245" s="25" t="s">
        <v>810</v>
      </c>
      <c r="E245" s="68"/>
      <c r="F245" s="68"/>
      <c r="G245" s="68"/>
      <c r="H245" s="68"/>
      <c r="I245" s="68"/>
      <c r="J245" s="68"/>
      <c r="K245" s="68">
        <v>25.0</v>
      </c>
      <c r="L245" s="68">
        <v>25.0</v>
      </c>
      <c r="M245" s="60" t="str">
        <f>IFERROR(__xludf.DUMMYFUNCTION("QUERY(Hospitais_BD!D:I,""select E where D='""&amp;D245&amp;""'"",0)"),"BAIXADA FLUMINENSE")</f>
        <v>BAIXADA FLUMINENSE</v>
      </c>
      <c r="N245" s="25" t="str">
        <f>IFERROR(__xludf.DUMMYFUNCTION("QUERY(Hospitais_BD!D:I,""select F where D='""&amp;D245&amp;""'"")"),"Duque de Caxias")</f>
        <v>Duque de Caxias</v>
      </c>
      <c r="O245" s="60" t="str">
        <f>IFERROR(__xludf.DUMMYFUNCTION("QUERY(Hospitais_BD!D:I,""select G where D='""&amp;D245&amp;""'"")"),"Jardim Olimpo")</f>
        <v>Jardim Olimpo</v>
      </c>
      <c r="P245" s="25" t="s">
        <v>1065</v>
      </c>
      <c r="Q245" s="116" t="str">
        <f>IFERROR(__xludf.DUMMYFUNCTION("QUERY(Hospitais_BD!D:I,""select I where D='""&amp;D245&amp;""'"")"),"Público")</f>
        <v>Público</v>
      </c>
      <c r="R245" s="116" t="str">
        <f>IFERROR(__xludf.DUMMYFUNCTION("QUERY(Hospitais_BD!D:I,""select H where D='""&amp;D245&amp;""'"")"),"Unidade básica de saúde - BAIXA COMPLEXIDADE
")</f>
        <v>Unidade básica de saúde - BAIXA COMPLEXIDADE
</v>
      </c>
      <c r="S245" s="165"/>
      <c r="T245" s="181"/>
      <c r="U245" s="171"/>
      <c r="V245" s="68"/>
      <c r="W245" s="68"/>
      <c r="X245" s="25"/>
      <c r="Y245" s="68"/>
      <c r="Z245" s="68"/>
      <c r="AA245" s="25"/>
      <c r="AB245" s="25"/>
      <c r="AC245" s="25"/>
      <c r="AD245" s="68"/>
      <c r="AE245" s="75"/>
      <c r="AF245" s="121"/>
      <c r="AG245" s="68"/>
      <c r="AH245" s="68"/>
      <c r="AI245" s="68"/>
      <c r="AJ245" s="68"/>
      <c r="AK245" s="123"/>
      <c r="AL245" s="123"/>
      <c r="AM245" s="124" t="s">
        <v>1006</v>
      </c>
    </row>
    <row r="246" ht="21.0" customHeight="1">
      <c r="A246" s="172"/>
      <c r="B246" s="70"/>
      <c r="C246" s="59"/>
      <c r="D246" s="32" t="s">
        <v>858</v>
      </c>
      <c r="E246" s="65"/>
      <c r="F246" s="65"/>
      <c r="G246" s="65"/>
      <c r="H246" s="65"/>
      <c r="I246" s="65"/>
      <c r="J246" s="65"/>
      <c r="K246" s="65">
        <v>100.0</v>
      </c>
      <c r="L246" s="65">
        <v>100.0</v>
      </c>
      <c r="M246" s="43" t="str">
        <f>IFERROR(__xludf.DUMMYFUNCTION("QUERY(Hospitais_BD!D:I,""select E where D='""&amp;D246&amp;""'"",0)"),"REGIAO SERRANA")</f>
        <v>REGIAO SERRANA</v>
      </c>
      <c r="N246" s="32" t="str">
        <f>IFERROR(__xludf.DUMMYFUNCTION("QUERY(Hospitais_BD!D:I,""select F where D='""&amp;D246&amp;""'"")"),"Teresopolis")</f>
        <v>Teresopolis</v>
      </c>
      <c r="O246" s="43" t="str">
        <f>IFERROR(__xludf.DUMMYFUNCTION("QUERY(Hospitais_BD!D:I,""select G where D='""&amp;D246&amp;""'"")"),"Meudom")</f>
        <v>Meudom</v>
      </c>
      <c r="P246" s="32" t="s">
        <v>859</v>
      </c>
      <c r="Q246" s="105" t="str">
        <f>IFERROR(__xludf.DUMMYFUNCTION("QUERY(Hospitais_BD!D:I,""select I where D='""&amp;D246&amp;""'"")"),"Público")</f>
        <v>Público</v>
      </c>
      <c r="R246" s="105" t="str">
        <f>IFERROR(__xludf.DUMMYFUNCTION("QUERY(Hospitais_BD!D:I,""select H where D='""&amp;D246&amp;""'"")"),"Unidade básica de saúde - BAIXA COMPLEXIDADE")</f>
        <v>Unidade básica de saúde - BAIXA COMPLEXIDADE</v>
      </c>
      <c r="S246" s="167"/>
      <c r="T246" s="182"/>
      <c r="U246" s="172"/>
      <c r="V246" s="65"/>
      <c r="W246" s="65"/>
      <c r="X246" s="32"/>
      <c r="Y246" s="65"/>
      <c r="Z246" s="65"/>
      <c r="AA246" s="32"/>
      <c r="AB246" s="32"/>
      <c r="AC246" s="32"/>
      <c r="AD246" s="65"/>
      <c r="AE246" s="102"/>
      <c r="AF246" s="110"/>
      <c r="AG246" s="65"/>
      <c r="AH246" s="65"/>
      <c r="AI246" s="65"/>
      <c r="AJ246" s="65"/>
      <c r="AK246" s="109"/>
      <c r="AL246" s="109"/>
      <c r="AM246" s="111" t="s">
        <v>1006</v>
      </c>
    </row>
    <row r="247" ht="21.0" customHeight="1">
      <c r="A247" s="171"/>
      <c r="B247" s="69"/>
      <c r="C247" s="42"/>
      <c r="D247" s="25" t="s">
        <v>858</v>
      </c>
      <c r="E247" s="68"/>
      <c r="F247" s="68"/>
      <c r="G247" s="68"/>
      <c r="H247" s="68"/>
      <c r="I247" s="68"/>
      <c r="J247" s="68"/>
      <c r="K247" s="68">
        <v>100.0</v>
      </c>
      <c r="L247" s="68">
        <v>100.0</v>
      </c>
      <c r="M247" s="60" t="str">
        <f>IFERROR(__xludf.DUMMYFUNCTION("QUERY(Hospitais_BD!D:I,""select E where D='""&amp;D247&amp;""'"",0)"),"REGIAO SERRANA")</f>
        <v>REGIAO SERRANA</v>
      </c>
      <c r="N247" s="25" t="str">
        <f>IFERROR(__xludf.DUMMYFUNCTION("QUERY(Hospitais_BD!D:I,""select F where D='""&amp;D247&amp;""'"")"),"Teresopolis")</f>
        <v>Teresopolis</v>
      </c>
      <c r="O247" s="60" t="str">
        <f>IFERROR(__xludf.DUMMYFUNCTION("QUERY(Hospitais_BD!D:I,""select G where D='""&amp;D247&amp;""'"")"),"Meudom")</f>
        <v>Meudom</v>
      </c>
      <c r="P247" s="25" t="s">
        <v>859</v>
      </c>
      <c r="Q247" s="116" t="str">
        <f>IFERROR(__xludf.DUMMYFUNCTION("QUERY(Hospitais_BD!D:I,""select I where D='""&amp;D247&amp;""'"")"),"Público")</f>
        <v>Público</v>
      </c>
      <c r="R247" s="116" t="str">
        <f>IFERROR(__xludf.DUMMYFUNCTION("QUERY(Hospitais_BD!D:I,""select H where D='""&amp;D247&amp;""'"")"),"Unidade básica de saúde - BAIXA COMPLEXIDADE")</f>
        <v>Unidade básica de saúde - BAIXA COMPLEXIDADE</v>
      </c>
      <c r="S247" s="165"/>
      <c r="T247" s="181"/>
      <c r="U247" s="171"/>
      <c r="V247" s="68"/>
      <c r="W247" s="68"/>
      <c r="X247" s="25"/>
      <c r="Y247" s="68"/>
      <c r="Z247" s="68"/>
      <c r="AA247" s="25"/>
      <c r="AB247" s="25"/>
      <c r="AC247" s="25"/>
      <c r="AD247" s="68"/>
      <c r="AE247" s="75"/>
      <c r="AF247" s="121"/>
      <c r="AG247" s="68"/>
      <c r="AH247" s="68"/>
      <c r="AI247" s="68"/>
      <c r="AJ247" s="68"/>
      <c r="AK247" s="123"/>
      <c r="AL247" s="123"/>
      <c r="AM247" s="124" t="s">
        <v>1006</v>
      </c>
    </row>
    <row r="248" ht="21.0" customHeight="1">
      <c r="A248" s="172"/>
      <c r="B248" s="70"/>
      <c r="C248" s="59"/>
      <c r="D248" s="32" t="s">
        <v>858</v>
      </c>
      <c r="E248" s="65"/>
      <c r="F248" s="65"/>
      <c r="G248" s="65"/>
      <c r="H248" s="65"/>
      <c r="I248" s="65"/>
      <c r="J248" s="65"/>
      <c r="K248" s="65">
        <v>100.0</v>
      </c>
      <c r="L248" s="65">
        <v>100.0</v>
      </c>
      <c r="M248" s="43" t="str">
        <f>IFERROR(__xludf.DUMMYFUNCTION("QUERY(Hospitais_BD!D:I,""select E where D='""&amp;D248&amp;""'"",0)"),"REGIAO SERRANA")</f>
        <v>REGIAO SERRANA</v>
      </c>
      <c r="N248" s="32" t="str">
        <f>IFERROR(__xludf.DUMMYFUNCTION("QUERY(Hospitais_BD!D:I,""select F where D='""&amp;D248&amp;""'"")"),"Teresopolis")</f>
        <v>Teresopolis</v>
      </c>
      <c r="O248" s="43" t="str">
        <f>IFERROR(__xludf.DUMMYFUNCTION("QUERY(Hospitais_BD!D:I,""select G where D='""&amp;D248&amp;""'"")"),"Meudom")</f>
        <v>Meudom</v>
      </c>
      <c r="P248" s="32" t="s">
        <v>859</v>
      </c>
      <c r="Q248" s="105" t="str">
        <f>IFERROR(__xludf.DUMMYFUNCTION("QUERY(Hospitais_BD!D:I,""select I where D='""&amp;D248&amp;""'"")"),"Público")</f>
        <v>Público</v>
      </c>
      <c r="R248" s="105" t="str">
        <f>IFERROR(__xludf.DUMMYFUNCTION("QUERY(Hospitais_BD!D:I,""select H where D='""&amp;D248&amp;""'"")"),"Unidade básica de saúde - BAIXA COMPLEXIDADE")</f>
        <v>Unidade básica de saúde - BAIXA COMPLEXIDADE</v>
      </c>
      <c r="S248" s="167"/>
      <c r="T248" s="182"/>
      <c r="U248" s="172"/>
      <c r="V248" s="65"/>
      <c r="W248" s="65"/>
      <c r="X248" s="32"/>
      <c r="Y248" s="65"/>
      <c r="Z248" s="65"/>
      <c r="AA248" s="32"/>
      <c r="AB248" s="32"/>
      <c r="AC248" s="32"/>
      <c r="AD248" s="65"/>
      <c r="AE248" s="102"/>
      <c r="AF248" s="110"/>
      <c r="AG248" s="65"/>
      <c r="AH248" s="65"/>
      <c r="AI248" s="65"/>
      <c r="AJ248" s="65"/>
      <c r="AK248" s="109"/>
      <c r="AL248" s="109"/>
      <c r="AM248" s="111" t="s">
        <v>1006</v>
      </c>
    </row>
    <row r="249" ht="21.0" customHeight="1">
      <c r="A249" s="171"/>
      <c r="B249" s="69"/>
      <c r="C249" s="42"/>
      <c r="D249" s="25" t="s">
        <v>858</v>
      </c>
      <c r="E249" s="68"/>
      <c r="F249" s="68"/>
      <c r="G249" s="68"/>
      <c r="H249" s="68"/>
      <c r="I249" s="68"/>
      <c r="J249" s="68"/>
      <c r="K249" s="68">
        <v>100.0</v>
      </c>
      <c r="L249" s="68">
        <v>100.0</v>
      </c>
      <c r="M249" s="60" t="str">
        <f>IFERROR(__xludf.DUMMYFUNCTION("QUERY(Hospitais_BD!D:I,""select E where D='""&amp;D249&amp;""'"",0)"),"REGIAO SERRANA")</f>
        <v>REGIAO SERRANA</v>
      </c>
      <c r="N249" s="25" t="str">
        <f>IFERROR(__xludf.DUMMYFUNCTION("QUERY(Hospitais_BD!D:I,""select F where D='""&amp;D249&amp;""'"")"),"Teresopolis")</f>
        <v>Teresopolis</v>
      </c>
      <c r="O249" s="60" t="str">
        <f>IFERROR(__xludf.DUMMYFUNCTION("QUERY(Hospitais_BD!D:I,""select G where D='""&amp;D249&amp;""'"")"),"Meudom")</f>
        <v>Meudom</v>
      </c>
      <c r="P249" s="25" t="s">
        <v>859</v>
      </c>
      <c r="Q249" s="116" t="str">
        <f>IFERROR(__xludf.DUMMYFUNCTION("QUERY(Hospitais_BD!D:I,""select I where D='""&amp;D249&amp;""'"")"),"Público")</f>
        <v>Público</v>
      </c>
      <c r="R249" s="116" t="str">
        <f>IFERROR(__xludf.DUMMYFUNCTION("QUERY(Hospitais_BD!D:I,""select H where D='""&amp;D249&amp;""'"")"),"Unidade básica de saúde - BAIXA COMPLEXIDADE")</f>
        <v>Unidade básica de saúde - BAIXA COMPLEXIDADE</v>
      </c>
      <c r="S249" s="165"/>
      <c r="T249" s="181"/>
      <c r="U249" s="171"/>
      <c r="V249" s="68"/>
      <c r="W249" s="68"/>
      <c r="X249" s="25"/>
      <c r="Y249" s="68"/>
      <c r="Z249" s="68"/>
      <c r="AA249" s="25"/>
      <c r="AB249" s="25"/>
      <c r="AC249" s="25"/>
      <c r="AD249" s="68"/>
      <c r="AE249" s="75"/>
      <c r="AF249" s="121"/>
      <c r="AG249" s="68"/>
      <c r="AH249" s="68"/>
      <c r="AI249" s="68"/>
      <c r="AJ249" s="68"/>
      <c r="AK249" s="123"/>
      <c r="AL249" s="123"/>
      <c r="AM249" s="124" t="s">
        <v>1006</v>
      </c>
    </row>
    <row r="250" ht="21.0" customHeight="1">
      <c r="A250" s="172"/>
      <c r="B250" s="70"/>
      <c r="C250" s="59"/>
      <c r="D250" s="32" t="s">
        <v>858</v>
      </c>
      <c r="E250" s="65"/>
      <c r="F250" s="65"/>
      <c r="G250" s="65"/>
      <c r="H250" s="65"/>
      <c r="I250" s="65"/>
      <c r="J250" s="65"/>
      <c r="K250" s="65">
        <v>100.0</v>
      </c>
      <c r="L250" s="65">
        <v>100.0</v>
      </c>
      <c r="M250" s="43" t="str">
        <f>IFERROR(__xludf.DUMMYFUNCTION("QUERY(Hospitais_BD!D:I,""select E where D='""&amp;D250&amp;""'"",0)"),"REGIAO SERRANA")</f>
        <v>REGIAO SERRANA</v>
      </c>
      <c r="N250" s="32" t="str">
        <f>IFERROR(__xludf.DUMMYFUNCTION("QUERY(Hospitais_BD!D:I,""select F where D='""&amp;D250&amp;""'"")"),"Teresopolis")</f>
        <v>Teresopolis</v>
      </c>
      <c r="O250" s="43" t="str">
        <f>IFERROR(__xludf.DUMMYFUNCTION("QUERY(Hospitais_BD!D:I,""select G where D='""&amp;D250&amp;""'"")"),"Meudom")</f>
        <v>Meudom</v>
      </c>
      <c r="P250" s="32" t="s">
        <v>859</v>
      </c>
      <c r="Q250" s="105" t="str">
        <f>IFERROR(__xludf.DUMMYFUNCTION("QUERY(Hospitais_BD!D:I,""select I where D='""&amp;D250&amp;""'"")"),"Público")</f>
        <v>Público</v>
      </c>
      <c r="R250" s="105" t="str">
        <f>IFERROR(__xludf.DUMMYFUNCTION("QUERY(Hospitais_BD!D:I,""select H where D='""&amp;D250&amp;""'"")"),"Unidade básica de saúde - BAIXA COMPLEXIDADE")</f>
        <v>Unidade básica de saúde - BAIXA COMPLEXIDADE</v>
      </c>
      <c r="S250" s="167"/>
      <c r="T250" s="182"/>
      <c r="U250" s="172"/>
      <c r="V250" s="65"/>
      <c r="W250" s="65"/>
      <c r="X250" s="32"/>
      <c r="Y250" s="65"/>
      <c r="Z250" s="65"/>
      <c r="AA250" s="32"/>
      <c r="AB250" s="32"/>
      <c r="AC250" s="32"/>
      <c r="AD250" s="65"/>
      <c r="AE250" s="102"/>
      <c r="AF250" s="110"/>
      <c r="AG250" s="65"/>
      <c r="AH250" s="65"/>
      <c r="AI250" s="65"/>
      <c r="AJ250" s="65"/>
      <c r="AK250" s="109"/>
      <c r="AL250" s="109"/>
      <c r="AM250" s="111" t="s">
        <v>1006</v>
      </c>
    </row>
    <row r="251" ht="21.0" customHeight="1">
      <c r="A251" s="171"/>
      <c r="B251" s="69"/>
      <c r="C251" s="42"/>
      <c r="D251" s="25" t="s">
        <v>346</v>
      </c>
      <c r="E251" s="68"/>
      <c r="F251" s="68"/>
      <c r="G251" s="68"/>
      <c r="H251" s="68"/>
      <c r="I251" s="68"/>
      <c r="J251" s="68"/>
      <c r="K251" s="68">
        <v>0.0</v>
      </c>
      <c r="L251" s="68"/>
      <c r="M251" s="60" t="str">
        <f>IFERROR(__xludf.DUMMYFUNCTION("QUERY(Hospitais_BD!D:I,""select E where D='""&amp;D251&amp;""'"",0)"),"ZONA SUL")</f>
        <v>ZONA SUL</v>
      </c>
      <c r="N251" s="25" t="str">
        <f>IFERROR(__xludf.DUMMYFUNCTION("QUERY(Hospitais_BD!D:I,""select F where D='""&amp;D251&amp;""'"")"),"Rio de Janeiro")</f>
        <v>Rio de Janeiro</v>
      </c>
      <c r="O251" s="60" t="str">
        <f>IFERROR(__xludf.DUMMYFUNCTION("QUERY(Hospitais_BD!D:I,""select G where D='""&amp;D251&amp;""'"")"),"Leblon/Gavea")</f>
        <v>Leblon/Gavea</v>
      </c>
      <c r="P251" s="25"/>
      <c r="Q251" s="116" t="str">
        <f>IFERROR(__xludf.DUMMYFUNCTION("QUERY(Hospitais_BD!D:I,""select I where D='""&amp;D251&amp;""'"")"),"Público")</f>
        <v>Público</v>
      </c>
      <c r="R251" s="116" t="str">
        <f>IFERROR(__xludf.DUMMYFUNCTION("QUERY(Hospitais_BD!D:I,""select H where D='""&amp;D251&amp;""'"")"),"Grande emergência - MÉDIA COMPLEXIDADE")</f>
        <v>Grande emergência - MÉDIA COMPLEXIDADE</v>
      </c>
      <c r="S251" s="165"/>
      <c r="T251" s="181"/>
      <c r="U251" s="171"/>
      <c r="V251" s="68"/>
      <c r="W251" s="68"/>
      <c r="X251" s="188"/>
      <c r="Y251" s="189"/>
      <c r="Z251" s="68"/>
      <c r="AA251" s="189"/>
      <c r="AB251" s="25"/>
      <c r="AC251" s="25"/>
      <c r="AD251" s="68"/>
      <c r="AE251" s="75"/>
      <c r="AF251" s="121"/>
      <c r="AG251" s="68">
        <v>200.0</v>
      </c>
      <c r="AH251" s="68"/>
      <c r="AI251" s="68"/>
      <c r="AJ251" s="68"/>
      <c r="AK251" s="123"/>
      <c r="AL251" s="123"/>
      <c r="AM251" s="124" t="s">
        <v>1002</v>
      </c>
    </row>
    <row r="252" ht="21.0" customHeight="1">
      <c r="A252" s="190"/>
      <c r="B252" s="70"/>
      <c r="C252" s="59"/>
      <c r="D252" s="32" t="s">
        <v>346</v>
      </c>
      <c r="E252" s="65"/>
      <c r="F252" s="65"/>
      <c r="G252" s="65"/>
      <c r="H252" s="65"/>
      <c r="I252" s="65"/>
      <c r="J252" s="65"/>
      <c r="K252" s="65">
        <v>0.0</v>
      </c>
      <c r="L252" s="65"/>
      <c r="M252" s="43" t="str">
        <f>IFERROR(__xludf.DUMMYFUNCTION("QUERY(Hospitais_BD!D:I,""select E where D='""&amp;D252&amp;""'"",0)"),"ZONA SUL")</f>
        <v>ZONA SUL</v>
      </c>
      <c r="N252" s="32" t="str">
        <f>IFERROR(__xludf.DUMMYFUNCTION("QUERY(Hospitais_BD!D:I,""select F where D='""&amp;D252&amp;""'"")"),"Rio de Janeiro")</f>
        <v>Rio de Janeiro</v>
      </c>
      <c r="O252" s="43" t="str">
        <f>IFERROR(__xludf.DUMMYFUNCTION("QUERY(Hospitais_BD!D:I,""select G where D='""&amp;D252&amp;""'"")"),"Leblon/Gavea")</f>
        <v>Leblon/Gavea</v>
      </c>
      <c r="P252" s="32"/>
      <c r="Q252" s="105" t="str">
        <f>IFERROR(__xludf.DUMMYFUNCTION("QUERY(Hospitais_BD!D:I,""select I where D='""&amp;D252&amp;""'"")"),"Público")</f>
        <v>Público</v>
      </c>
      <c r="R252" s="105" t="str">
        <f>IFERROR(__xludf.DUMMYFUNCTION("QUERY(Hospitais_BD!D:I,""select H where D='""&amp;D252&amp;""'"")"),"Grande emergência - MÉDIA COMPLEXIDADE")</f>
        <v>Grande emergência - MÉDIA COMPLEXIDADE</v>
      </c>
      <c r="S252" s="167"/>
      <c r="T252" s="182"/>
      <c r="U252" s="172"/>
      <c r="V252" s="65"/>
      <c r="W252" s="65"/>
      <c r="X252" s="32"/>
      <c r="Y252" s="65"/>
      <c r="Z252" s="65"/>
      <c r="AA252" s="32"/>
      <c r="AB252" s="32"/>
      <c r="AC252" s="32"/>
      <c r="AD252" s="65"/>
      <c r="AE252" s="102"/>
      <c r="AF252" s="110"/>
      <c r="AG252" s="65">
        <v>150.0</v>
      </c>
      <c r="AH252" s="65"/>
      <c r="AI252" s="65"/>
      <c r="AJ252" s="65"/>
      <c r="AK252" s="109"/>
      <c r="AL252" s="109"/>
      <c r="AM252" s="111" t="s">
        <v>1002</v>
      </c>
    </row>
    <row r="253" ht="21.0" customHeight="1">
      <c r="A253" s="191"/>
      <c r="B253" s="69"/>
      <c r="C253" s="42"/>
      <c r="D253" s="76" t="s">
        <v>898</v>
      </c>
      <c r="E253" s="68"/>
      <c r="F253" s="68"/>
      <c r="G253" s="68"/>
      <c r="H253" s="68"/>
      <c r="I253" s="68"/>
      <c r="J253" s="68"/>
      <c r="K253" s="68"/>
      <c r="L253" s="68"/>
      <c r="M253" s="60" t="str">
        <f>IFERROR(__xludf.DUMMYFUNCTION("QUERY(Hospitais_BD!D:I,""select E where D='""&amp;D253&amp;""'"",0)"),"OUTROS ESTADOS")</f>
        <v>OUTROS ESTADOS</v>
      </c>
      <c r="N253" s="25" t="str">
        <f>IFERROR(__xludf.DUMMYFUNCTION("QUERY(Hospitais_BD!D:I,""select F where D='""&amp;D253&amp;""'"")"),"")</f>
        <v/>
      </c>
      <c r="O253" s="60" t="str">
        <f>IFERROR(__xludf.DUMMYFUNCTION("QUERY(Hospitais_BD!D:I,""select G where D='""&amp;D253&amp;""'"")"),"")</f>
        <v/>
      </c>
      <c r="P253" s="25"/>
      <c r="Q253" s="116" t="str">
        <f>IFERROR(__xludf.DUMMYFUNCTION("QUERY(Hospitais_BD!D:I,""select I where D='""&amp;D253&amp;""'"")"),"Público")</f>
        <v>Público</v>
      </c>
      <c r="R253" s="116" t="str">
        <f>IFERROR(__xludf.DUMMYFUNCTION("QUERY(Hospitais_BD!D:I,""select H where D='""&amp;D253&amp;""'"")"),"Outra Instituição")</f>
        <v>Outra Instituição</v>
      </c>
      <c r="S253" s="165"/>
      <c r="T253" s="181"/>
      <c r="U253" s="171"/>
      <c r="V253" s="68"/>
      <c r="W253" s="68"/>
      <c r="X253" s="25"/>
      <c r="Y253" s="68"/>
      <c r="Z253" s="68"/>
      <c r="AA253" s="25"/>
      <c r="AB253" s="25"/>
      <c r="AC253" s="25"/>
      <c r="AD253" s="68"/>
      <c r="AE253" s="75"/>
      <c r="AF253" s="121"/>
      <c r="AG253" s="68">
        <v>30.0</v>
      </c>
      <c r="AH253" s="68"/>
      <c r="AI253" s="68"/>
      <c r="AJ253" s="68"/>
      <c r="AK253" s="123"/>
      <c r="AL253" s="123"/>
      <c r="AM253" s="124" t="s">
        <v>1002</v>
      </c>
    </row>
    <row r="254" ht="21.0" customHeight="1">
      <c r="A254" s="190"/>
      <c r="B254" s="70"/>
      <c r="C254" s="59"/>
      <c r="D254" s="77" t="s">
        <v>899</v>
      </c>
      <c r="E254" s="65"/>
      <c r="F254" s="65"/>
      <c r="G254" s="65"/>
      <c r="H254" s="65"/>
      <c r="I254" s="65"/>
      <c r="J254" s="65"/>
      <c r="K254" s="65"/>
      <c r="L254" s="65"/>
      <c r="M254" s="43" t="str">
        <f>IFERROR(__xludf.DUMMYFUNCTION("QUERY(Hospitais_BD!D:I,""select E where D='""&amp;D254&amp;""'"",0)"),"CENTRO")</f>
        <v>CENTRO</v>
      </c>
      <c r="N254" s="32" t="str">
        <f>IFERROR(__xludf.DUMMYFUNCTION("QUERY(Hospitais_BD!D:I,""select F where D='""&amp;D254&amp;""'"")"),"Rio de Janeiro")</f>
        <v>Rio de Janeiro</v>
      </c>
      <c r="O254" s="43" t="str">
        <f>IFERROR(__xludf.DUMMYFUNCTION("QUERY(Hospitais_BD!D:I,""select G where D='""&amp;D254&amp;""'"")"),"Cidade Nova")</f>
        <v>Cidade Nova</v>
      </c>
      <c r="P254" s="32"/>
      <c r="Q254" s="105" t="str">
        <f>IFERROR(__xludf.DUMMYFUNCTION("QUERY(Hospitais_BD!D:I,""select I where D='""&amp;D254&amp;""'"")"),"Público")</f>
        <v>Público</v>
      </c>
      <c r="R254" s="105" t="str">
        <f>IFERROR(__xludf.DUMMYFUNCTION("QUERY(Hospitais_BD!D:I,""select H where D='""&amp;D254&amp;""'"")"),"Outra Instituição")</f>
        <v>Outra Instituição</v>
      </c>
      <c r="S254" s="167"/>
      <c r="T254" s="182"/>
      <c r="U254" s="172"/>
      <c r="V254" s="65"/>
      <c r="W254" s="65"/>
      <c r="X254" s="32"/>
      <c r="Y254" s="65"/>
      <c r="Z254" s="65"/>
      <c r="AA254" s="32"/>
      <c r="AB254" s="32"/>
      <c r="AC254" s="32"/>
      <c r="AD254" s="65"/>
      <c r="AE254" s="102"/>
      <c r="AF254" s="110"/>
      <c r="AG254" s="65">
        <v>200.0</v>
      </c>
      <c r="AH254" s="65"/>
      <c r="AI254" s="65"/>
      <c r="AJ254" s="65"/>
      <c r="AK254" s="109"/>
      <c r="AL254" s="109"/>
      <c r="AM254" s="111" t="s">
        <v>1002</v>
      </c>
    </row>
    <row r="255" ht="21.0" customHeight="1">
      <c r="A255" s="191"/>
      <c r="B255" s="69"/>
      <c r="C255" s="42"/>
      <c r="D255" s="58" t="s">
        <v>120</v>
      </c>
      <c r="E255" s="68"/>
      <c r="F255" s="68"/>
      <c r="G255" s="68"/>
      <c r="H255" s="68"/>
      <c r="I255" s="68"/>
      <c r="J255" s="68"/>
      <c r="K255" s="68"/>
      <c r="L255" s="68"/>
      <c r="M255" s="60" t="str">
        <f>IFERROR(__xludf.DUMMYFUNCTION("QUERY(Hospitais_BD!D:I,""select E where D='""&amp;D255&amp;""'"",0)"),"ZONA OESTE")</f>
        <v>ZONA OESTE</v>
      </c>
      <c r="N255" s="25" t="str">
        <f>IFERROR(__xludf.DUMMYFUNCTION("QUERY(Hospitais_BD!D:I,""select F where D='""&amp;D255&amp;""'"")"),"Rio de Janeiro")</f>
        <v>Rio de Janeiro</v>
      </c>
      <c r="O255" s="60" t="str">
        <f>IFERROR(__xludf.DUMMYFUNCTION("QUERY(Hospitais_BD!D:I,""select G where D='""&amp;D255&amp;""'"")"),"Recreio dos Bandeirantes")</f>
        <v>Recreio dos Bandeirantes</v>
      </c>
      <c r="P255" s="25"/>
      <c r="Q255" s="116" t="str">
        <f>IFERROR(__xludf.DUMMYFUNCTION("QUERY(Hospitais_BD!D:I,""select I where D='""&amp;D255&amp;""'"")"),"Público")</f>
        <v>Público</v>
      </c>
      <c r="R255" s="116" t="str">
        <f>IFERROR(__xludf.DUMMYFUNCTION("QUERY(Hospitais_BD!D:I,""select H where D='""&amp;D255&amp;""'"")"),"Grande emergência - MÉDIA COMPLEXIDADE")</f>
        <v>Grande emergência - MÉDIA COMPLEXIDADE</v>
      </c>
      <c r="S255" s="165"/>
      <c r="T255" s="181"/>
      <c r="U255" s="171"/>
      <c r="V255" s="68"/>
      <c r="W255" s="68"/>
      <c r="X255" s="25"/>
      <c r="Y255" s="68"/>
      <c r="Z255" s="68"/>
      <c r="AA255" s="25"/>
      <c r="AB255" s="25"/>
      <c r="AC255" s="25"/>
      <c r="AD255" s="68"/>
      <c r="AE255" s="75"/>
      <c r="AF255" s="121"/>
      <c r="AG255" s="68">
        <v>25.0</v>
      </c>
      <c r="AH255" s="68"/>
      <c r="AI255" s="68"/>
      <c r="AJ255" s="68"/>
      <c r="AK255" s="123"/>
      <c r="AL255" s="123"/>
      <c r="AM255" s="124" t="s">
        <v>1002</v>
      </c>
    </row>
    <row r="256" ht="21.0" customHeight="1">
      <c r="A256" s="190"/>
      <c r="B256" s="70"/>
      <c r="C256" s="59"/>
      <c r="D256" s="192" t="s">
        <v>834</v>
      </c>
      <c r="E256" s="65"/>
      <c r="F256" s="65"/>
      <c r="G256" s="65"/>
      <c r="H256" s="65"/>
      <c r="I256" s="65"/>
      <c r="J256" s="65"/>
      <c r="K256" s="65"/>
      <c r="L256" s="65"/>
      <c r="M256" s="43" t="str">
        <f>IFERROR(__xludf.DUMMYFUNCTION("QUERY(Hospitais_BD!D:I,""select E where D='""&amp;D256&amp;""'"",0)"),"ZONA NORTE")</f>
        <v>ZONA NORTE</v>
      </c>
      <c r="N256" s="32" t="str">
        <f>IFERROR(__xludf.DUMMYFUNCTION("QUERY(Hospitais_BD!D:I,""select F where D='""&amp;D256&amp;""'"")"),"Rio de Janeiro")</f>
        <v>Rio de Janeiro</v>
      </c>
      <c r="O256" s="43" t="str">
        <f>IFERROR(__xludf.DUMMYFUNCTION("QUERY(Hospitais_BD!D:I,""select G where D='""&amp;D256&amp;""'"")"),"Portuguesa")</f>
        <v>Portuguesa</v>
      </c>
      <c r="P256" s="32"/>
      <c r="Q256" s="105" t="str">
        <f>IFERROR(__xludf.DUMMYFUNCTION("QUERY(Hospitais_BD!D:I,""select I where D='""&amp;D256&amp;""'"")"),"Público")</f>
        <v>Público</v>
      </c>
      <c r="R256" s="105" t="str">
        <f>IFERROR(__xludf.DUMMYFUNCTION("QUERY(Hospitais_BD!D:I,""select H where D='""&amp;D256&amp;""'"")"),"Hospital de Referência - ALTA COMPLEXIDADE
")</f>
        <v>Hospital de Referência - ALTA COMPLEXIDADE
</v>
      </c>
      <c r="S256" s="167"/>
      <c r="T256" s="182"/>
      <c r="U256" s="172"/>
      <c r="V256" s="65"/>
      <c r="W256" s="65"/>
      <c r="X256" s="32"/>
      <c r="Y256" s="65"/>
      <c r="Z256" s="65"/>
      <c r="AA256" s="32"/>
      <c r="AB256" s="32"/>
      <c r="AC256" s="32"/>
      <c r="AD256" s="65"/>
      <c r="AE256" s="102"/>
      <c r="AF256" s="110"/>
      <c r="AG256" s="65">
        <v>25.0</v>
      </c>
      <c r="AH256" s="65"/>
      <c r="AI256" s="65"/>
      <c r="AJ256" s="65"/>
      <c r="AK256" s="109"/>
      <c r="AL256" s="109"/>
      <c r="AM256" s="111" t="s">
        <v>1002</v>
      </c>
    </row>
    <row r="257" ht="21.0" customHeight="1">
      <c r="A257" s="191"/>
      <c r="B257" s="69"/>
      <c r="C257" s="42"/>
      <c r="D257" s="58" t="s">
        <v>900</v>
      </c>
      <c r="E257" s="68"/>
      <c r="F257" s="68"/>
      <c r="G257" s="68"/>
      <c r="H257" s="68"/>
      <c r="I257" s="68"/>
      <c r="J257" s="68"/>
      <c r="K257" s="68"/>
      <c r="L257" s="68"/>
      <c r="M257" s="60" t="str">
        <f>IFERROR(__xludf.DUMMYFUNCTION("QUERY(Hospitais_BD!D:I,""select E where D='""&amp;D257&amp;""'"",0)"),"ZONA SUL")</f>
        <v>ZONA SUL</v>
      </c>
      <c r="N257" s="25" t="str">
        <f>IFERROR(__xludf.DUMMYFUNCTION("QUERY(Hospitais_BD!D:I,""select F where D='""&amp;D257&amp;""'"")"),"Rio de Janeiro")</f>
        <v>Rio de Janeiro</v>
      </c>
      <c r="O257" s="60" t="str">
        <f>IFERROR(__xludf.DUMMYFUNCTION("QUERY(Hospitais_BD!D:I,""select G where D='""&amp;D257&amp;""'"")"),"Gávea")</f>
        <v>Gávea</v>
      </c>
      <c r="P257" s="25"/>
      <c r="Q257" s="116" t="str">
        <f>IFERROR(__xludf.DUMMYFUNCTION("QUERY(Hospitais_BD!D:I,""select I where D='""&amp;D257&amp;""'"")"),"Privado")</f>
        <v>Privado</v>
      </c>
      <c r="R257" s="116" t="str">
        <f>IFERROR(__xludf.DUMMYFUNCTION("QUERY(Hospitais_BD!D:I,""select H where D='""&amp;D257&amp;""'"")"),"Outra Instituição")</f>
        <v>Outra Instituição</v>
      </c>
      <c r="S257" s="165"/>
      <c r="T257" s="181"/>
      <c r="U257" s="171"/>
      <c r="V257" s="68"/>
      <c r="W257" s="68"/>
      <c r="X257" s="25"/>
      <c r="Y257" s="68"/>
      <c r="Z257" s="68"/>
      <c r="AA257" s="25"/>
      <c r="AB257" s="25"/>
      <c r="AC257" s="25"/>
      <c r="AD257" s="68"/>
      <c r="AE257" s="75"/>
      <c r="AF257" s="121"/>
      <c r="AG257" s="68">
        <v>50.0</v>
      </c>
      <c r="AH257" s="68"/>
      <c r="AI257" s="68"/>
      <c r="AJ257" s="68"/>
      <c r="AK257" s="123"/>
      <c r="AL257" s="123"/>
      <c r="AM257" s="124" t="s">
        <v>1002</v>
      </c>
    </row>
    <row r="258" ht="21.0" customHeight="1">
      <c r="A258" s="190"/>
      <c r="B258" s="70"/>
      <c r="C258" s="59"/>
      <c r="D258" s="33" t="s">
        <v>935</v>
      </c>
      <c r="E258" s="65"/>
      <c r="F258" s="65"/>
      <c r="G258" s="65"/>
      <c r="H258" s="65"/>
      <c r="I258" s="65"/>
      <c r="J258" s="65"/>
      <c r="K258" s="65"/>
      <c r="L258" s="65"/>
      <c r="M258" s="43" t="str">
        <f>IFERROR(__xludf.DUMMYFUNCTION("QUERY(Hospitais_BD!D:I,""select E where D='""&amp;D258&amp;""'"",0)"),"ZONA OESTE")</f>
        <v>ZONA OESTE</v>
      </c>
      <c r="N258" s="32" t="str">
        <f>IFERROR(__xludf.DUMMYFUNCTION("QUERY(Hospitais_BD!D:I,""select F where D='""&amp;D258&amp;""'"")"),"Rio de Janeiro")</f>
        <v>Rio de Janeiro</v>
      </c>
      <c r="O258" s="43" t="str">
        <f>IFERROR(__xludf.DUMMYFUNCTION("QUERY(Hospitais_BD!D:I,""select G where D='""&amp;D258&amp;""'"")"),"Rio Centro")</f>
        <v>Rio Centro</v>
      </c>
      <c r="P258" s="32"/>
      <c r="Q258" s="105" t="str">
        <f>IFERROR(__xludf.DUMMYFUNCTION("QUERY(Hospitais_BD!D:I,""select I where D='""&amp;D258&amp;""'"")"),"Público")</f>
        <v>Público</v>
      </c>
      <c r="R258" s="105" t="str">
        <f>IFERROR(__xludf.DUMMYFUNCTION("QUERY(Hospitais_BD!D:I,""select H where D='""&amp;D258&amp;""'"")"),"Hospital de Referência - ALTA COMPLEXIDADE")</f>
        <v>Hospital de Referência - ALTA COMPLEXIDADE</v>
      </c>
      <c r="S258" s="167"/>
      <c r="T258" s="182"/>
      <c r="U258" s="172"/>
      <c r="V258" s="65"/>
      <c r="W258" s="65"/>
      <c r="X258" s="32"/>
      <c r="Y258" s="65"/>
      <c r="Z258" s="65"/>
      <c r="AA258" s="32"/>
      <c r="AB258" s="32"/>
      <c r="AC258" s="32"/>
      <c r="AD258" s="65"/>
      <c r="AE258" s="102"/>
      <c r="AF258" s="110"/>
      <c r="AG258" s="193">
        <v>2500.0</v>
      </c>
      <c r="AH258" s="65"/>
      <c r="AI258" s="65"/>
      <c r="AJ258" s="65"/>
      <c r="AK258" s="109"/>
      <c r="AL258" s="109"/>
      <c r="AM258" s="111" t="s">
        <v>1002</v>
      </c>
    </row>
    <row r="259" ht="21.0" customHeight="1">
      <c r="A259" s="191"/>
      <c r="B259" s="69"/>
      <c r="C259" s="42"/>
      <c r="D259" s="25" t="s">
        <v>937</v>
      </c>
      <c r="E259" s="68"/>
      <c r="F259" s="68"/>
      <c r="G259" s="68"/>
      <c r="H259" s="68"/>
      <c r="I259" s="68"/>
      <c r="J259" s="68"/>
      <c r="K259" s="68"/>
      <c r="L259" s="68"/>
      <c r="M259" s="60" t="str">
        <f>IFERROR(__xludf.DUMMYFUNCTION("QUERY(Hospitais_BD!D:I,""select E where D='""&amp;D259&amp;""'"",0)"),"ZONA NORTE")</f>
        <v>ZONA NORTE</v>
      </c>
      <c r="N259" s="25" t="str">
        <f>IFERROR(__xludf.DUMMYFUNCTION("QUERY(Hospitais_BD!D:I,""select F where D='""&amp;D259&amp;""'"")"),"Rio de Janeiro")</f>
        <v>Rio de Janeiro</v>
      </c>
      <c r="O259" s="60" t="str">
        <f>IFERROR(__xludf.DUMMYFUNCTION("QUERY(Hospitais_BD!D:I,""select G where D='""&amp;D259&amp;""'"")"),"Penha")</f>
        <v>Penha</v>
      </c>
      <c r="P259" s="25"/>
      <c r="Q259" s="116" t="str">
        <f>IFERROR(__xludf.DUMMYFUNCTION("QUERY(Hospitais_BD!D:I,""select I where D='""&amp;D259&amp;""'"")"),"Público")</f>
        <v>Público</v>
      </c>
      <c r="R259" s="116" t="str">
        <f>IFERROR(__xludf.DUMMYFUNCTION("QUERY(Hospitais_BD!D:I,""select H where D='""&amp;D259&amp;""'"")"),"Grande emergência - MÉDIA COMPLEXIDADE
")</f>
        <v>Grande emergência - MÉDIA COMPLEXIDADE
</v>
      </c>
      <c r="S259" s="165"/>
      <c r="T259" s="181"/>
      <c r="U259" s="171"/>
      <c r="V259" s="68"/>
      <c r="W259" s="68"/>
      <c r="X259" s="25"/>
      <c r="Y259" s="68"/>
      <c r="Z259" s="68"/>
      <c r="AA259" s="25"/>
      <c r="AB259" s="25"/>
      <c r="AC259" s="25"/>
      <c r="AD259" s="68"/>
      <c r="AE259" s="75"/>
      <c r="AF259" s="121"/>
      <c r="AG259" s="68">
        <v>50.0</v>
      </c>
      <c r="AH259" s="68"/>
      <c r="AI259" s="68"/>
      <c r="AJ259" s="68"/>
      <c r="AK259" s="123"/>
      <c r="AL259" s="123"/>
      <c r="AM259" s="124" t="s">
        <v>1002</v>
      </c>
    </row>
    <row r="260" ht="21.0" customHeight="1">
      <c r="A260" s="190"/>
      <c r="B260" s="70"/>
      <c r="C260" s="59"/>
      <c r="D260" s="33" t="s">
        <v>96</v>
      </c>
      <c r="E260" s="65"/>
      <c r="F260" s="65"/>
      <c r="G260" s="65"/>
      <c r="H260" s="65"/>
      <c r="I260" s="65"/>
      <c r="J260" s="65"/>
      <c r="K260" s="65"/>
      <c r="L260" s="65"/>
      <c r="M260" s="43" t="str">
        <f>IFERROR(__xludf.DUMMYFUNCTION("QUERY(Hospitais_BD!D:I,""select E where D='""&amp;D260&amp;""'"",0)"),"CENTRO")</f>
        <v>CENTRO</v>
      </c>
      <c r="N260" s="32" t="str">
        <f>IFERROR(__xludf.DUMMYFUNCTION("QUERY(Hospitais_BD!D:I,""select F where D='""&amp;D260&amp;""'"")"),"Rio de Janeiro")</f>
        <v>Rio de Janeiro</v>
      </c>
      <c r="O260" s="43" t="str">
        <f>IFERROR(__xludf.DUMMYFUNCTION("QUERY(Hospitais_BD!D:I,""select G where D='""&amp;D260&amp;""'"")"),"Gamboa")</f>
        <v>Gamboa</v>
      </c>
      <c r="P260" s="32"/>
      <c r="Q260" s="105" t="str">
        <f>IFERROR(__xludf.DUMMYFUNCTION("QUERY(Hospitais_BD!D:I,""select I where D='""&amp;D260&amp;""'"")"),"Público")</f>
        <v>Público</v>
      </c>
      <c r="R260" s="105" t="str">
        <f>IFERROR(__xludf.DUMMYFUNCTION("QUERY(Hospitais_BD!D:I,""select H where D='""&amp;D260&amp;""'"")"),"Unidade básica - BAIXA COMPLEXIDADE")</f>
        <v>Unidade básica - BAIXA COMPLEXIDADE</v>
      </c>
      <c r="S260" s="167"/>
      <c r="T260" s="182"/>
      <c r="U260" s="172"/>
      <c r="V260" s="65"/>
      <c r="W260" s="65"/>
      <c r="X260" s="32"/>
      <c r="Y260" s="65"/>
      <c r="Z260" s="65"/>
      <c r="AA260" s="32"/>
      <c r="AB260" s="32"/>
      <c r="AC260" s="32"/>
      <c r="AD260" s="65"/>
      <c r="AE260" s="102"/>
      <c r="AF260" s="110"/>
      <c r="AG260" s="65">
        <v>25.0</v>
      </c>
      <c r="AH260" s="65"/>
      <c r="AI260" s="65"/>
      <c r="AJ260" s="65"/>
      <c r="AK260" s="109"/>
      <c r="AL260" s="109"/>
      <c r="AM260" s="111" t="s">
        <v>1002</v>
      </c>
    </row>
    <row r="261" ht="21.0" customHeight="1">
      <c r="A261" s="191"/>
      <c r="B261" s="69"/>
      <c r="C261" s="42"/>
      <c r="D261" s="34" t="s">
        <v>90</v>
      </c>
      <c r="E261" s="68"/>
      <c r="F261" s="68"/>
      <c r="G261" s="68"/>
      <c r="H261" s="68"/>
      <c r="I261" s="68"/>
      <c r="J261" s="68"/>
      <c r="K261" s="68"/>
      <c r="L261" s="68"/>
      <c r="M261" s="60" t="str">
        <f>IFERROR(__xludf.DUMMYFUNCTION("QUERY(Hospitais_BD!D:I,""select E where D='""&amp;D261&amp;""'"",0)"),"ZONA OESTE")</f>
        <v>ZONA OESTE</v>
      </c>
      <c r="N261" s="25" t="str">
        <f>IFERROR(__xludf.DUMMYFUNCTION("QUERY(Hospitais_BD!D:I,""select F where D='""&amp;D261&amp;""'"")"),"Rio de Janeiro")</f>
        <v>Rio de Janeiro</v>
      </c>
      <c r="O261" s="60" t="str">
        <f>IFERROR(__xludf.DUMMYFUNCTION("QUERY(Hospitais_BD!D:I,""select G where D='""&amp;D261&amp;""'"")"),"Paciência proximo a Santa Cruz")</f>
        <v>Paciência proximo a Santa Cruz</v>
      </c>
      <c r="P261" s="25"/>
      <c r="Q261" s="116" t="str">
        <f>IFERROR(__xludf.DUMMYFUNCTION("QUERY(Hospitais_BD!D:I,""select I where D='""&amp;D261&amp;""'"")"),"Público")</f>
        <v>Público</v>
      </c>
      <c r="R261" s="116" t="str">
        <f>IFERROR(__xludf.DUMMYFUNCTION("QUERY(Hospitais_BD!D:I,""select H where D='""&amp;D261&amp;""'"")"),"Unidade básica - BAIXA COMPLEXIDADE")</f>
        <v>Unidade básica - BAIXA COMPLEXIDADE</v>
      </c>
      <c r="S261" s="165"/>
      <c r="T261" s="181"/>
      <c r="U261" s="171"/>
      <c r="V261" s="68"/>
      <c r="W261" s="68"/>
      <c r="X261" s="25"/>
      <c r="Y261" s="68"/>
      <c r="Z261" s="68"/>
      <c r="AA261" s="25"/>
      <c r="AB261" s="25"/>
      <c r="AC261" s="25"/>
      <c r="AD261" s="68"/>
      <c r="AE261" s="75"/>
      <c r="AF261" s="121"/>
      <c r="AG261" s="68">
        <v>25.0</v>
      </c>
      <c r="AH261" s="68"/>
      <c r="AI261" s="68"/>
      <c r="AJ261" s="68"/>
      <c r="AK261" s="123"/>
      <c r="AL261" s="123">
        <v>50.0</v>
      </c>
      <c r="AM261" s="124" t="s">
        <v>1002</v>
      </c>
    </row>
    <row r="262" ht="21.0" customHeight="1">
      <c r="A262" s="190"/>
      <c r="B262" s="70"/>
      <c r="C262" s="59"/>
      <c r="D262" s="33" t="s">
        <v>93</v>
      </c>
      <c r="E262" s="65"/>
      <c r="F262" s="65"/>
      <c r="G262" s="65"/>
      <c r="H262" s="65"/>
      <c r="I262" s="65"/>
      <c r="J262" s="65"/>
      <c r="K262" s="65"/>
      <c r="L262" s="65"/>
      <c r="M262" s="43" t="str">
        <f>IFERROR(__xludf.DUMMYFUNCTION("QUERY(Hospitais_BD!D:I,""select E where D='""&amp;D262&amp;""'"",0)"),"ZONA OESTE")</f>
        <v>ZONA OESTE</v>
      </c>
      <c r="N262" s="32" t="str">
        <f>IFERROR(__xludf.DUMMYFUNCTION("QUERY(Hospitais_BD!D:I,""select F where D='""&amp;D262&amp;""'"")"),"Rio de Janeiro")</f>
        <v>Rio de Janeiro</v>
      </c>
      <c r="O262" s="43" t="str">
        <f>IFERROR(__xludf.DUMMYFUNCTION("QUERY(Hospitais_BD!D:I,""select G where D='""&amp;D262&amp;""'"")"),"Senador Camara")</f>
        <v>Senador Camara</v>
      </c>
      <c r="P262" s="32"/>
      <c r="Q262" s="105" t="str">
        <f>IFERROR(__xludf.DUMMYFUNCTION("QUERY(Hospitais_BD!D:I,""select I where D='""&amp;D262&amp;""'"")"),"Público")</f>
        <v>Público</v>
      </c>
      <c r="R262" s="105" t="str">
        <f>IFERROR(__xludf.DUMMYFUNCTION("QUERY(Hospitais_BD!D:I,""select H where D='""&amp;D262&amp;""'"")"),"Unidade básica - BAIXA COMPLEXIDADE")</f>
        <v>Unidade básica - BAIXA COMPLEXIDADE</v>
      </c>
      <c r="S262" s="167"/>
      <c r="T262" s="182"/>
      <c r="U262" s="172"/>
      <c r="V262" s="65"/>
      <c r="W262" s="65"/>
      <c r="X262" s="32"/>
      <c r="Y262" s="65"/>
      <c r="Z262" s="65"/>
      <c r="AA262" s="32"/>
      <c r="AB262" s="32"/>
      <c r="AC262" s="32"/>
      <c r="AD262" s="65"/>
      <c r="AE262" s="102"/>
      <c r="AF262" s="110"/>
      <c r="AG262" s="65">
        <v>25.0</v>
      </c>
      <c r="AH262" s="65"/>
      <c r="AI262" s="65"/>
      <c r="AJ262" s="65"/>
      <c r="AK262" s="109"/>
      <c r="AL262" s="109">
        <v>50.0</v>
      </c>
      <c r="AM262" s="111" t="s">
        <v>1002</v>
      </c>
    </row>
    <row r="263" ht="21.0" customHeight="1">
      <c r="A263" s="191"/>
      <c r="B263" s="69"/>
      <c r="C263" s="42"/>
      <c r="D263" s="89" t="s">
        <v>644</v>
      </c>
      <c r="E263" s="68"/>
      <c r="F263" s="68"/>
      <c r="G263" s="68"/>
      <c r="H263" s="68"/>
      <c r="I263" s="68"/>
      <c r="J263" s="68"/>
      <c r="K263" s="68"/>
      <c r="L263" s="68"/>
      <c r="M263" s="60" t="str">
        <f>IFERROR(__xludf.DUMMYFUNCTION("QUERY(Hospitais_BD!D:I,""select E where D='""&amp;D263&amp;""'"",0)"),"BAIXADA FLUMINENSE")</f>
        <v>BAIXADA FLUMINENSE</v>
      </c>
      <c r="N263" s="25" t="str">
        <f>IFERROR(__xludf.DUMMYFUNCTION("QUERY(Hospitais_BD!D:I,""select F where D='""&amp;D263&amp;""'"")"),"Nova Iguaçu")</f>
        <v>Nova Iguaçu</v>
      </c>
      <c r="O263" s="60" t="str">
        <f>IFERROR(__xludf.DUMMYFUNCTION("QUERY(Hospitais_BD!D:I,""select G where D='""&amp;D263&amp;""'"")"),"Austim")</f>
        <v>Austim</v>
      </c>
      <c r="P263" s="25"/>
      <c r="Q263" s="116" t="str">
        <f>IFERROR(__xludf.DUMMYFUNCTION("QUERY(Hospitais_BD!D:I,""select I where D='""&amp;D263&amp;""'"")"),"Público")</f>
        <v>Público</v>
      </c>
      <c r="R263" s="116" t="str">
        <f>IFERROR(__xludf.DUMMYFUNCTION("QUERY(Hospitais_BD!D:I,""select H where D='""&amp;D263&amp;""'"")"),"Unidade básica de saúde - BAIXA COMPLEXIDADE
")</f>
        <v>Unidade básica de saúde - BAIXA COMPLEXIDADE
</v>
      </c>
      <c r="S263" s="165"/>
      <c r="T263" s="181"/>
      <c r="U263" s="171"/>
      <c r="V263" s="68"/>
      <c r="W263" s="68"/>
      <c r="X263" s="25"/>
      <c r="Y263" s="68"/>
      <c r="Z263" s="68"/>
      <c r="AA263" s="25"/>
      <c r="AB263" s="25"/>
      <c r="AC263" s="25"/>
      <c r="AD263" s="68"/>
      <c r="AE263" s="75"/>
      <c r="AF263" s="121"/>
      <c r="AG263" s="68">
        <v>25.0</v>
      </c>
      <c r="AH263" s="68"/>
      <c r="AI263" s="68"/>
      <c r="AJ263" s="68"/>
      <c r="AK263" s="123"/>
      <c r="AL263" s="123"/>
      <c r="AM263" s="124" t="s">
        <v>1002</v>
      </c>
    </row>
    <row r="264" ht="21.0" customHeight="1">
      <c r="A264" s="190"/>
      <c r="B264" s="70"/>
      <c r="C264" s="59"/>
      <c r="D264" s="32" t="s">
        <v>258</v>
      </c>
      <c r="E264" s="65"/>
      <c r="F264" s="65"/>
      <c r="G264" s="65"/>
      <c r="H264" s="65"/>
      <c r="I264" s="65"/>
      <c r="J264" s="65"/>
      <c r="K264" s="65"/>
      <c r="L264" s="65"/>
      <c r="M264" s="43" t="str">
        <f>IFERROR(__xludf.DUMMYFUNCTION("QUERY(Hospitais_BD!D:I,""select E where D='""&amp;D264&amp;""'"",0)"),"#REF!")</f>
        <v>#REF!</v>
      </c>
      <c r="N264" s="32" t="str">
        <f>IFERROR(__xludf.DUMMYFUNCTION("QUERY(Hospitais_BD!D:I,""select F where D='""&amp;D264&amp;""'"")"),"#REF!")</f>
        <v>#REF!</v>
      </c>
      <c r="O264" s="43" t="str">
        <f>IFERROR(__xludf.DUMMYFUNCTION("QUERY(Hospitais_BD!D:I,""select G where D='""&amp;D264&amp;""'"")"),"#REF!")</f>
        <v>#REF!</v>
      </c>
      <c r="P264" s="32"/>
      <c r="Q264" s="105" t="str">
        <f>IFERROR(__xludf.DUMMYFUNCTION("QUERY(Hospitais_BD!D:I,""select I where D='""&amp;D264&amp;""'"")"),"#REF!")</f>
        <v>#REF!</v>
      </c>
      <c r="R264" s="105" t="str">
        <f>IFERROR(__xludf.DUMMYFUNCTION("QUERY(Hospitais_BD!D:I,""select H where D='""&amp;D264&amp;""'"")"),"#REF!")</f>
        <v>#REF!</v>
      </c>
      <c r="S264" s="167"/>
      <c r="T264" s="182"/>
      <c r="U264" s="172"/>
      <c r="V264" s="65"/>
      <c r="W264" s="65"/>
      <c r="X264" s="32"/>
      <c r="Y264" s="65"/>
      <c r="Z264" s="65"/>
      <c r="AA264" s="32"/>
      <c r="AB264" s="32"/>
      <c r="AC264" s="32"/>
      <c r="AD264" s="65"/>
      <c r="AE264" s="102"/>
      <c r="AF264" s="110"/>
      <c r="AG264" s="65">
        <v>200.0</v>
      </c>
      <c r="AH264" s="65"/>
      <c r="AI264" s="65"/>
      <c r="AJ264" s="65"/>
      <c r="AK264" s="109"/>
      <c r="AL264" s="109"/>
      <c r="AM264" s="111" t="s">
        <v>1002</v>
      </c>
    </row>
    <row r="265" ht="21.0" customHeight="1">
      <c r="A265" s="191"/>
      <c r="B265" s="69"/>
      <c r="C265" s="42"/>
      <c r="D265" s="194" t="s">
        <v>902</v>
      </c>
      <c r="E265" s="68"/>
      <c r="F265" s="68"/>
      <c r="G265" s="68"/>
      <c r="H265" s="68"/>
      <c r="I265" s="68"/>
      <c r="J265" s="68"/>
      <c r="K265" s="68"/>
      <c r="L265" s="68"/>
      <c r="M265" s="60" t="str">
        <f>IFERROR(__xludf.DUMMYFUNCTION("QUERY(Hospitais_BD!D:I,""select E where D='""&amp;D265&amp;""'"",0)"),"ZONA OESTE")</f>
        <v>ZONA OESTE</v>
      </c>
      <c r="N265" s="25" t="str">
        <f>IFERROR(__xludf.DUMMYFUNCTION("QUERY(Hospitais_BD!D:I,""select F where D='""&amp;D265&amp;""'"")"),"Rio de Janeiro")</f>
        <v>Rio de Janeiro</v>
      </c>
      <c r="O265" s="60" t="str">
        <f>IFERROR(__xludf.DUMMYFUNCTION("QUERY(Hospitais_BD!D:I,""select G where D='""&amp;D265&amp;""'"")"),"Cidade de Deus")</f>
        <v>Cidade de Deus</v>
      </c>
      <c r="P265" s="25"/>
      <c r="Q265" s="116" t="str">
        <f>IFERROR(__xludf.DUMMYFUNCTION("QUERY(Hospitais_BD!D:I,""select I where D='""&amp;D265&amp;""'"")"),"Público")</f>
        <v>Público</v>
      </c>
      <c r="R265" s="116" t="str">
        <f>IFERROR(__xludf.DUMMYFUNCTION("QUERY(Hospitais_BD!D:I,""select H where D='""&amp;D265&amp;""'"")"),"Outra Instituição")</f>
        <v>Outra Instituição</v>
      </c>
      <c r="S265" s="165"/>
      <c r="T265" s="181"/>
      <c r="U265" s="171"/>
      <c r="V265" s="68"/>
      <c r="W265" s="68"/>
      <c r="X265" s="25"/>
      <c r="Y265" s="68"/>
      <c r="Z265" s="68"/>
      <c r="AA265" s="25"/>
      <c r="AB265" s="25"/>
      <c r="AC265" s="25"/>
      <c r="AD265" s="68"/>
      <c r="AE265" s="75"/>
      <c r="AF265" s="121"/>
      <c r="AG265" s="68">
        <v>30.0</v>
      </c>
      <c r="AH265" s="68"/>
      <c r="AI265" s="68"/>
      <c r="AJ265" s="68"/>
      <c r="AK265" s="123"/>
      <c r="AL265" s="123"/>
      <c r="AM265" s="124" t="s">
        <v>1002</v>
      </c>
    </row>
    <row r="266" ht="21.0" customHeight="1">
      <c r="A266" s="190"/>
      <c r="B266" s="70"/>
      <c r="C266" s="59"/>
      <c r="D266" s="195" t="s">
        <v>904</v>
      </c>
      <c r="E266" s="65"/>
      <c r="F266" s="65"/>
      <c r="G266" s="65"/>
      <c r="H266" s="65"/>
      <c r="I266" s="65"/>
      <c r="J266" s="65"/>
      <c r="K266" s="65"/>
      <c r="L266" s="65"/>
      <c r="M266" s="43" t="str">
        <f>IFERROR(__xludf.DUMMYFUNCTION("QUERY(Hospitais_BD!D:I,""select E where D='""&amp;D266&amp;""'"",0)"),"ZONA NORTE")</f>
        <v>ZONA NORTE</v>
      </c>
      <c r="N266" s="32" t="str">
        <f>IFERROR(__xludf.DUMMYFUNCTION("QUERY(Hospitais_BD!D:I,""select F where D='""&amp;D266&amp;""'"")"),"Rio de Janeiro")</f>
        <v>Rio de Janeiro</v>
      </c>
      <c r="O266" s="43" t="str">
        <f>IFERROR(__xludf.DUMMYFUNCTION("QUERY(Hospitais_BD!D:I,""select G where D='""&amp;D266&amp;""'"")"),"Ramos")</f>
        <v>Ramos</v>
      </c>
      <c r="P266" s="32"/>
      <c r="Q266" s="105" t="str">
        <f>IFERROR(__xludf.DUMMYFUNCTION("QUERY(Hospitais_BD!D:I,""select I where D='""&amp;D266&amp;""'"")"),"Público")</f>
        <v>Público</v>
      </c>
      <c r="R266" s="105" t="str">
        <f>IFERROR(__xludf.DUMMYFUNCTION("QUERY(Hospitais_BD!D:I,""select H where D='""&amp;D266&amp;""'"")"),"Unidade básica de saúde - BAIXA COMPLEXIDADE")</f>
        <v>Unidade básica de saúde - BAIXA COMPLEXIDADE</v>
      </c>
      <c r="S266" s="167"/>
      <c r="T266" s="182"/>
      <c r="U266" s="172"/>
      <c r="V266" s="65"/>
      <c r="W266" s="65"/>
      <c r="X266" s="32"/>
      <c r="Y266" s="65"/>
      <c r="Z266" s="65"/>
      <c r="AA266" s="32"/>
      <c r="AB266" s="32"/>
      <c r="AC266" s="32"/>
      <c r="AD266" s="65"/>
      <c r="AE266" s="102"/>
      <c r="AF266" s="110"/>
      <c r="AG266" s="65">
        <v>30.0</v>
      </c>
      <c r="AH266" s="65"/>
      <c r="AI266" s="65"/>
      <c r="AJ266" s="65"/>
      <c r="AK266" s="109"/>
      <c r="AL266" s="109"/>
      <c r="AM266" s="111" t="s">
        <v>1002</v>
      </c>
    </row>
    <row r="267" ht="21.0" customHeight="1">
      <c r="A267" s="191"/>
      <c r="B267" s="69"/>
      <c r="C267" s="42"/>
      <c r="D267" s="25" t="s">
        <v>545</v>
      </c>
      <c r="E267" s="68"/>
      <c r="F267" s="68"/>
      <c r="G267" s="68"/>
      <c r="H267" s="68"/>
      <c r="I267" s="68"/>
      <c r="J267" s="68"/>
      <c r="K267" s="68"/>
      <c r="L267" s="68"/>
      <c r="M267" s="60" t="str">
        <f>IFERROR(__xludf.DUMMYFUNCTION("QUERY(Hospitais_BD!D:I,""select E where D='""&amp;D267&amp;""'"",0)"),"ZONA OESTE")</f>
        <v>ZONA OESTE</v>
      </c>
      <c r="N267" s="25" t="str">
        <f>IFERROR(__xludf.DUMMYFUNCTION("QUERY(Hospitais_BD!D:I,""select F where D='""&amp;D267&amp;""'"")"),"Rio de Janeiro")</f>
        <v>Rio de Janeiro</v>
      </c>
      <c r="O267" s="60" t="str">
        <f>IFERROR(__xludf.DUMMYFUNCTION("QUERY(Hospitais_BD!D:I,""select G where D='""&amp;D267&amp;""'"")"),"Campo Grande")</f>
        <v>Campo Grande</v>
      </c>
      <c r="P267" s="25"/>
      <c r="Q267" s="116" t="str">
        <f>IFERROR(__xludf.DUMMYFUNCTION("QUERY(Hospitais_BD!D:I,""select I where D='""&amp;D267&amp;""'"")"),"Público")</f>
        <v>Público</v>
      </c>
      <c r="R267" s="116" t="str">
        <f>IFERROR(__xludf.DUMMYFUNCTION("QUERY(Hospitais_BD!D:I,""select H where D='""&amp;D267&amp;""'"")"),"Grande emergência - MÉDIA COMPLEXIDADE")</f>
        <v>Grande emergência - MÉDIA COMPLEXIDADE</v>
      </c>
      <c r="S267" s="165"/>
      <c r="T267" s="181"/>
      <c r="U267" s="171"/>
      <c r="V267" s="68"/>
      <c r="W267" s="68"/>
      <c r="X267" s="25"/>
      <c r="Y267" s="68"/>
      <c r="Z267" s="68"/>
      <c r="AA267" s="25"/>
      <c r="AB267" s="25"/>
      <c r="AC267" s="25"/>
      <c r="AD267" s="68"/>
      <c r="AE267" s="75"/>
      <c r="AF267" s="121"/>
      <c r="AG267" s="68">
        <v>50.0</v>
      </c>
      <c r="AH267" s="68"/>
      <c r="AI267" s="68"/>
      <c r="AJ267" s="68">
        <v>25.0</v>
      </c>
      <c r="AK267" s="123"/>
      <c r="AL267" s="123"/>
      <c r="AM267" s="124" t="s">
        <v>1002</v>
      </c>
    </row>
    <row r="268" ht="21.0" customHeight="1">
      <c r="A268" s="190"/>
      <c r="B268" s="70"/>
      <c r="C268" s="59"/>
      <c r="D268" s="12" t="s">
        <v>368</v>
      </c>
      <c r="E268" s="65"/>
      <c r="F268" s="65"/>
      <c r="G268" s="65"/>
      <c r="H268" s="65"/>
      <c r="I268" s="65"/>
      <c r="J268" s="65"/>
      <c r="K268" s="65"/>
      <c r="L268" s="65"/>
      <c r="M268" s="43" t="str">
        <f>IFERROR(__xludf.DUMMYFUNCTION("QUERY(Hospitais_BD!D:I,""select E where D='""&amp;D268&amp;""'"",0)"),"#REF!")</f>
        <v>#REF!</v>
      </c>
      <c r="N268" s="32" t="str">
        <f>IFERROR(__xludf.DUMMYFUNCTION("QUERY(Hospitais_BD!D:I,""select F where D='""&amp;D268&amp;""'"")"),"#REF!")</f>
        <v>#REF!</v>
      </c>
      <c r="O268" s="43" t="str">
        <f>IFERROR(__xludf.DUMMYFUNCTION("QUERY(Hospitais_BD!D:I,""select G where D='""&amp;D268&amp;""'"")"),"#REF!")</f>
        <v>#REF!</v>
      </c>
      <c r="P268" s="32"/>
      <c r="Q268" s="105" t="str">
        <f>IFERROR(__xludf.DUMMYFUNCTION("QUERY(Hospitais_BD!D:I,""select I where D='""&amp;D268&amp;""'"")"),"#REF!")</f>
        <v>#REF!</v>
      </c>
      <c r="R268" s="105" t="str">
        <f>IFERROR(__xludf.DUMMYFUNCTION("QUERY(Hospitais_BD!D:I,""select H where D='""&amp;D268&amp;""'"")"),"#REF!")</f>
        <v>#REF!</v>
      </c>
      <c r="S268" s="167"/>
      <c r="T268" s="182"/>
      <c r="U268" s="172"/>
      <c r="V268" s="65"/>
      <c r="W268" s="65"/>
      <c r="X268" s="32"/>
      <c r="Y268" s="65"/>
      <c r="Z268" s="65"/>
      <c r="AA268" s="32"/>
      <c r="AB268" s="32"/>
      <c r="AC268" s="32"/>
      <c r="AD268" s="65"/>
      <c r="AE268" s="102"/>
      <c r="AF268" s="110"/>
      <c r="AG268" s="65">
        <v>100.0</v>
      </c>
      <c r="AH268" s="65"/>
      <c r="AI268" s="65"/>
      <c r="AJ268" s="65"/>
      <c r="AK268" s="109"/>
      <c r="AL268" s="109"/>
      <c r="AM268" s="111" t="s">
        <v>1002</v>
      </c>
    </row>
    <row r="269" ht="21.0" customHeight="1">
      <c r="A269" s="191"/>
      <c r="B269" s="69"/>
      <c r="C269" s="42"/>
      <c r="D269" s="22" t="s">
        <v>267</v>
      </c>
      <c r="E269" s="68"/>
      <c r="F269" s="68"/>
      <c r="G269" s="68"/>
      <c r="H269" s="68"/>
      <c r="I269" s="68"/>
      <c r="J269" s="68"/>
      <c r="K269" s="68"/>
      <c r="L269" s="68"/>
      <c r="M269" s="60" t="str">
        <f>IFERROR(__xludf.DUMMYFUNCTION("QUERY(Hospitais_BD!D:I,""select E where D='""&amp;D269&amp;""'"",0)"),"ZONA SUL")</f>
        <v>ZONA SUL</v>
      </c>
      <c r="N269" s="25" t="str">
        <f>IFERROR(__xludf.DUMMYFUNCTION("QUERY(Hospitais_BD!D:I,""select F where D='""&amp;D269&amp;""'"")"),"Rio de Janeiro")</f>
        <v>Rio de Janeiro</v>
      </c>
      <c r="O269" s="60" t="str">
        <f>IFERROR(__xludf.DUMMYFUNCTION("QUERY(Hospitais_BD!D:I,""select G where D='""&amp;D269&amp;""'"")"),"Jardim Botanico")</f>
        <v>Jardim Botanico</v>
      </c>
      <c r="P269" s="25"/>
      <c r="Q269" s="116" t="str">
        <f>IFERROR(__xludf.DUMMYFUNCTION("QUERY(Hospitais_BD!D:I,""select I where D='""&amp;D269&amp;""'"")"),"Público")</f>
        <v>Público</v>
      </c>
      <c r="R269" s="116" t="str">
        <f>IFERROR(__xludf.DUMMYFUNCTION("QUERY(Hospitais_BD!D:I,""select H where D='""&amp;D269&amp;""'"")"),"Grande emergência - MÉDIA COMPLEXIDADE")</f>
        <v>Grande emergência - MÉDIA COMPLEXIDADE</v>
      </c>
      <c r="S269" s="165"/>
      <c r="T269" s="181"/>
      <c r="U269" s="171"/>
      <c r="V269" s="68"/>
      <c r="W269" s="68"/>
      <c r="X269" s="25"/>
      <c r="Y269" s="68"/>
      <c r="Z269" s="68"/>
      <c r="AA269" s="25"/>
      <c r="AB269" s="25"/>
      <c r="AC269" s="25"/>
      <c r="AD269" s="68"/>
      <c r="AE269" s="75"/>
      <c r="AF269" s="121"/>
      <c r="AG269" s="68">
        <v>75.0</v>
      </c>
      <c r="AH269" s="68"/>
      <c r="AI269" s="68"/>
      <c r="AJ269" s="68"/>
      <c r="AK269" s="123"/>
      <c r="AL269" s="123"/>
      <c r="AM269" s="124" t="s">
        <v>1002</v>
      </c>
    </row>
    <row r="270" ht="21.0" customHeight="1">
      <c r="A270" s="190"/>
      <c r="B270" s="70"/>
      <c r="C270" s="59"/>
      <c r="D270" s="12" t="s">
        <v>337</v>
      </c>
      <c r="E270" s="65"/>
      <c r="F270" s="65"/>
      <c r="G270" s="65"/>
      <c r="H270" s="65"/>
      <c r="I270" s="65"/>
      <c r="J270" s="65"/>
      <c r="K270" s="65"/>
      <c r="L270" s="65"/>
      <c r="M270" s="43" t="str">
        <f>IFERROR(__xludf.DUMMYFUNCTION("QUERY(Hospitais_BD!D:I,""select E where D='""&amp;D270&amp;""'"",0)"),"ZONA NORTE")</f>
        <v>ZONA NORTE</v>
      </c>
      <c r="N270" s="32" t="str">
        <f>IFERROR(__xludf.DUMMYFUNCTION("QUERY(Hospitais_BD!D:I,""select F where D='""&amp;D270&amp;""'"")"),"Rio de Janeiro")</f>
        <v>Rio de Janeiro</v>
      </c>
      <c r="O270" s="43" t="str">
        <f>IFERROR(__xludf.DUMMYFUNCTION("QUERY(Hospitais_BD!D:I,""select G where D='""&amp;D270&amp;""'"")"),"Vila Isabel")</f>
        <v>Vila Isabel</v>
      </c>
      <c r="P270" s="32"/>
      <c r="Q270" s="105" t="str">
        <f>IFERROR(__xludf.DUMMYFUNCTION("QUERY(Hospitais_BD!D:I,""select I where D='""&amp;D270&amp;""'"")"),"Público")</f>
        <v>Público</v>
      </c>
      <c r="R270" s="105" t="str">
        <f>IFERROR(__xludf.DUMMYFUNCTION("QUERY(Hospitais_BD!D:I,""select H where D='""&amp;D270&amp;""'"")"),"Grande emergência - MÉDIA COMPLEXIDADE")</f>
        <v>Grande emergência - MÉDIA COMPLEXIDADE</v>
      </c>
      <c r="S270" s="167"/>
      <c r="T270" s="182"/>
      <c r="U270" s="172"/>
      <c r="V270" s="65"/>
      <c r="W270" s="65"/>
      <c r="X270" s="32"/>
      <c r="Y270" s="65"/>
      <c r="Z270" s="65"/>
      <c r="AA270" s="32"/>
      <c r="AB270" s="32"/>
      <c r="AC270" s="32"/>
      <c r="AD270" s="65"/>
      <c r="AE270" s="102"/>
      <c r="AF270" s="110"/>
      <c r="AG270" s="65">
        <v>100.0</v>
      </c>
      <c r="AH270" s="65"/>
      <c r="AI270" s="65"/>
      <c r="AJ270" s="65"/>
      <c r="AK270" s="109"/>
      <c r="AL270" s="109"/>
      <c r="AM270" s="111" t="s">
        <v>1002</v>
      </c>
    </row>
    <row r="271" ht="21.0" customHeight="1">
      <c r="A271" s="191"/>
      <c r="B271" s="69"/>
      <c r="C271" s="42"/>
      <c r="D271" s="22" t="s">
        <v>819</v>
      </c>
      <c r="E271" s="68"/>
      <c r="F271" s="68"/>
      <c r="G271" s="68"/>
      <c r="H271" s="68"/>
      <c r="I271" s="68"/>
      <c r="J271" s="68"/>
      <c r="K271" s="68"/>
      <c r="L271" s="68"/>
      <c r="M271" s="60" t="str">
        <f>IFERROR(__xludf.DUMMYFUNCTION("QUERY(Hospitais_BD!D:I,""select E where D='""&amp;D271&amp;""'"",0)"),"BAIXADA FLUMINENSE")</f>
        <v>BAIXADA FLUMINENSE</v>
      </c>
      <c r="N271" s="25" t="str">
        <f>IFERROR(__xludf.DUMMYFUNCTION("QUERY(Hospitais_BD!D:I,""select F where D='""&amp;D271&amp;""'"")"),"Nova Iguaçu")</f>
        <v>Nova Iguaçu</v>
      </c>
      <c r="O271" s="60" t="str">
        <f>IFERROR(__xludf.DUMMYFUNCTION("QUERY(Hospitais_BD!D:I,""select G where D='""&amp;D271&amp;""'"")"),"Posse")</f>
        <v>Posse</v>
      </c>
      <c r="P271" s="25"/>
      <c r="Q271" s="116" t="str">
        <f>IFERROR(__xludf.DUMMYFUNCTION("QUERY(Hospitais_BD!D:I,""select I where D='""&amp;D271&amp;""'"")"),"Público")</f>
        <v>Público</v>
      </c>
      <c r="R271" s="116" t="str">
        <f>IFERROR(__xludf.DUMMYFUNCTION("QUERY(Hospitais_BD!D:I,""select H where D='""&amp;D271&amp;""'"")"),"Hospital de Referência - ALTA COMPLEXIDADE
")</f>
        <v>Hospital de Referência - ALTA COMPLEXIDADE
</v>
      </c>
      <c r="S271" s="165"/>
      <c r="T271" s="181"/>
      <c r="U271" s="171"/>
      <c r="V271" s="68"/>
      <c r="W271" s="68"/>
      <c r="X271" s="25"/>
      <c r="Y271" s="68"/>
      <c r="Z271" s="68"/>
      <c r="AA271" s="25"/>
      <c r="AB271" s="25"/>
      <c r="AC271" s="25"/>
      <c r="AD271" s="68"/>
      <c r="AE271" s="75"/>
      <c r="AF271" s="121"/>
      <c r="AG271" s="68"/>
      <c r="AH271" s="68"/>
      <c r="AI271" s="68"/>
      <c r="AJ271" s="68">
        <v>100.0</v>
      </c>
      <c r="AK271" s="123"/>
      <c r="AL271" s="123"/>
      <c r="AM271" s="124" t="s">
        <v>1002</v>
      </c>
    </row>
    <row r="272" ht="21.0" customHeight="1">
      <c r="A272" s="190"/>
      <c r="B272" s="70"/>
      <c r="C272" s="59"/>
      <c r="D272" s="32" t="s">
        <v>905</v>
      </c>
      <c r="E272" s="65"/>
      <c r="F272" s="65"/>
      <c r="G272" s="65"/>
      <c r="H272" s="65"/>
      <c r="I272" s="65"/>
      <c r="J272" s="65"/>
      <c r="K272" s="65"/>
      <c r="L272" s="65"/>
      <c r="M272" s="43" t="str">
        <f>IFERROR(__xludf.DUMMYFUNCTION("QUERY(Hospitais_BD!D:I,""select E where D='""&amp;D272&amp;""'"",0)"),"ZONA OESTE")</f>
        <v>ZONA OESTE</v>
      </c>
      <c r="N272" s="32" t="str">
        <f>IFERROR(__xludf.DUMMYFUNCTION("QUERY(Hospitais_BD!D:I,""select F where D='""&amp;D272&amp;""'"")"),"Rio de Janeiro")</f>
        <v>Rio de Janeiro</v>
      </c>
      <c r="O272" s="43" t="str">
        <f>IFERROR(__xludf.DUMMYFUNCTION("QUERY(Hospitais_BD!D:I,""select G where D='""&amp;D272&amp;""'"")"),"Santa Cruz")</f>
        <v>Santa Cruz</v>
      </c>
      <c r="P272" s="32"/>
      <c r="Q272" s="105" t="str">
        <f>IFERROR(__xludf.DUMMYFUNCTION("QUERY(Hospitais_BD!D:I,""select I where D='""&amp;D272&amp;""'"")"),"Público")</f>
        <v>Público</v>
      </c>
      <c r="R272" s="105" t="str">
        <f>IFERROR(__xludf.DUMMYFUNCTION("QUERY(Hospitais_BD!D:I,""select H where D='""&amp;D272&amp;""'"")"),"Grande emergência - MÉDIA COMPLEXIDADE
")</f>
        <v>Grande emergência - MÉDIA COMPLEXIDADE
</v>
      </c>
      <c r="S272" s="167"/>
      <c r="T272" s="182"/>
      <c r="U272" s="172"/>
      <c r="V272" s="65"/>
      <c r="W272" s="65"/>
      <c r="X272" s="32"/>
      <c r="Y272" s="65"/>
      <c r="Z272" s="65"/>
      <c r="AA272" s="32"/>
      <c r="AB272" s="32"/>
      <c r="AC272" s="32"/>
      <c r="AD272" s="65"/>
      <c r="AE272" s="102"/>
      <c r="AF272" s="110"/>
      <c r="AG272" s="65">
        <v>90.0</v>
      </c>
      <c r="AH272" s="65"/>
      <c r="AI272" s="65"/>
      <c r="AJ272" s="65"/>
      <c r="AK272" s="109"/>
      <c r="AL272" s="109"/>
      <c r="AM272" s="111" t="s">
        <v>1002</v>
      </c>
    </row>
    <row r="273" ht="21.0" customHeight="1">
      <c r="A273" s="191"/>
      <c r="B273" s="69"/>
      <c r="C273" s="42"/>
      <c r="D273" s="76" t="s">
        <v>818</v>
      </c>
      <c r="E273" s="68"/>
      <c r="F273" s="68"/>
      <c r="G273" s="68"/>
      <c r="H273" s="68"/>
      <c r="I273" s="68"/>
      <c r="J273" s="68"/>
      <c r="K273" s="68"/>
      <c r="L273" s="68"/>
      <c r="M273" s="60" t="str">
        <f>IFERROR(__xludf.DUMMYFUNCTION("QUERY(Hospitais_BD!D:I,""select E where D='""&amp;D273&amp;""'"",0)"),"REGIAO METROPOLITANA")</f>
        <v>REGIAO METROPOLITANA</v>
      </c>
      <c r="N273" s="25" t="str">
        <f>IFERROR(__xludf.DUMMYFUNCTION("QUERY(Hospitais_BD!D:I,""select F where D='""&amp;D273&amp;""'"")"),"Rio de Janeiro")</f>
        <v>Rio de Janeiro</v>
      </c>
      <c r="O273" s="60" t="str">
        <f>IFERROR(__xludf.DUMMYFUNCTION("QUERY(Hospitais_BD!D:I,""select G where D='""&amp;D273&amp;""'"")"),"Manguinhos")</f>
        <v>Manguinhos</v>
      </c>
      <c r="P273" s="25"/>
      <c r="Q273" s="116" t="str">
        <f>IFERROR(__xludf.DUMMYFUNCTION("QUERY(Hospitais_BD!D:I,""select I where D='""&amp;D273&amp;""'"")"),"Público")</f>
        <v>Público</v>
      </c>
      <c r="R273" s="116" t="str">
        <f>IFERROR(__xludf.DUMMYFUNCTION("QUERY(Hospitais_BD!D:I,""select H where D='""&amp;D273&amp;""'"")"),"Hospital de Referência - ALTA COMPLEXIDADE
")</f>
        <v>Hospital de Referência - ALTA COMPLEXIDADE
</v>
      </c>
      <c r="S273" s="165"/>
      <c r="T273" s="181"/>
      <c r="U273" s="171"/>
      <c r="V273" s="68"/>
      <c r="W273" s="68"/>
      <c r="X273" s="25"/>
      <c r="Y273" s="68"/>
      <c r="Z273" s="68"/>
      <c r="AA273" s="25"/>
      <c r="AB273" s="25"/>
      <c r="AC273" s="25"/>
      <c r="AD273" s="68"/>
      <c r="AE273" s="75"/>
      <c r="AF273" s="121"/>
      <c r="AG273" s="68">
        <v>1000.0</v>
      </c>
      <c r="AH273" s="68"/>
      <c r="AI273" s="68"/>
      <c r="AJ273" s="68"/>
      <c r="AK273" s="123"/>
      <c r="AL273" s="123"/>
      <c r="AM273" s="124" t="s">
        <v>1002</v>
      </c>
    </row>
    <row r="274" ht="21.0" customHeight="1">
      <c r="A274" s="190"/>
      <c r="B274" s="70"/>
      <c r="C274" s="59"/>
      <c r="D274" s="62" t="s">
        <v>906</v>
      </c>
      <c r="E274" s="65"/>
      <c r="F274" s="65"/>
      <c r="G274" s="65"/>
      <c r="H274" s="65"/>
      <c r="I274" s="65"/>
      <c r="J274" s="65"/>
      <c r="K274" s="65"/>
      <c r="L274" s="65"/>
      <c r="M274" s="43" t="str">
        <f>IFERROR(__xludf.DUMMYFUNCTION("QUERY(Hospitais_BD!D:I,""select E where D='""&amp;D274&amp;""'"",0)"),"ZONA NORTE")</f>
        <v>ZONA NORTE</v>
      </c>
      <c r="N274" s="32" t="str">
        <f>IFERROR(__xludf.DUMMYFUNCTION("QUERY(Hospitais_BD!D:I,""select F where D='""&amp;D274&amp;""'"")"),"Rio de Janeiro")</f>
        <v>Rio de Janeiro</v>
      </c>
      <c r="O274" s="43" t="str">
        <f>IFERROR(__xludf.DUMMYFUNCTION("QUERY(Hospitais_BD!D:I,""select G where D='""&amp;D274&amp;""'"")"),"Ilha do Governador")</f>
        <v>Ilha do Governador</v>
      </c>
      <c r="P274" s="32"/>
      <c r="Q274" s="105" t="str">
        <f>IFERROR(__xludf.DUMMYFUNCTION("QUERY(Hospitais_BD!D:I,""select I where D='""&amp;D274&amp;""'"")"),"Público")</f>
        <v>Público</v>
      </c>
      <c r="R274" s="105" t="str">
        <f>IFERROR(__xludf.DUMMYFUNCTION("QUERY(Hospitais_BD!D:I,""select H where D='""&amp;D274&amp;""'"")"),"Hospital de Apoio - MÉDIA COMPLEXIDADE
")</f>
        <v>Hospital de Apoio - MÉDIA COMPLEXIDADE
</v>
      </c>
      <c r="S274" s="167"/>
      <c r="T274" s="182"/>
      <c r="U274" s="172"/>
      <c r="V274" s="65"/>
      <c r="W274" s="65"/>
      <c r="X274" s="32"/>
      <c r="Y274" s="65"/>
      <c r="Z274" s="65"/>
      <c r="AA274" s="32"/>
      <c r="AB274" s="32"/>
      <c r="AC274" s="32"/>
      <c r="AD274" s="65"/>
      <c r="AE274" s="102"/>
      <c r="AF274" s="110"/>
      <c r="AG274" s="65">
        <v>100.0</v>
      </c>
      <c r="AH274" s="65"/>
      <c r="AI274" s="65"/>
      <c r="AJ274" s="65"/>
      <c r="AK274" s="109"/>
      <c r="AL274" s="109"/>
      <c r="AM274" s="111" t="s">
        <v>1002</v>
      </c>
    </row>
    <row r="275" ht="21.0" customHeight="1">
      <c r="A275" s="191"/>
      <c r="B275" s="69"/>
      <c r="C275" s="42"/>
      <c r="D275" s="58" t="s">
        <v>446</v>
      </c>
      <c r="E275" s="68"/>
      <c r="F275" s="68"/>
      <c r="G275" s="68"/>
      <c r="H275" s="68"/>
      <c r="I275" s="68"/>
      <c r="J275" s="68"/>
      <c r="K275" s="68"/>
      <c r="L275" s="68"/>
      <c r="M275" s="60" t="str">
        <f>IFERROR(__xludf.DUMMYFUNCTION("QUERY(Hospitais_BD!D:I,""select E where D='""&amp;D275&amp;""'"",0)"),"ZONA SUL")</f>
        <v>ZONA SUL</v>
      </c>
      <c r="N275" s="25" t="str">
        <f>IFERROR(__xludf.DUMMYFUNCTION("QUERY(Hospitais_BD!D:I,""select F where D='""&amp;D275&amp;""'"")"),"Rio de Janeiro")</f>
        <v>Rio de Janeiro</v>
      </c>
      <c r="O275" s="60" t="str">
        <f>IFERROR(__xludf.DUMMYFUNCTION("QUERY(Hospitais_BD!D:I,""select G where D='""&amp;D275&amp;""'"")"),"Humaita")</f>
        <v>Humaita</v>
      </c>
      <c r="P275" s="25"/>
      <c r="Q275" s="116" t="str">
        <f>IFERROR(__xludf.DUMMYFUNCTION("QUERY(Hospitais_BD!D:I,""select I where D='""&amp;D275&amp;""'"")"),"Público")</f>
        <v>Público</v>
      </c>
      <c r="R275" s="116" t="str">
        <f>IFERROR(__xludf.DUMMYFUNCTION("QUERY(Hospitais_BD!D:I,""select H where D='""&amp;D275&amp;""'"")"),"Unidade básica - BAIXA COMPLEXIDADE")</f>
        <v>Unidade básica - BAIXA COMPLEXIDADE</v>
      </c>
      <c r="S275" s="165"/>
      <c r="T275" s="181"/>
      <c r="U275" s="171"/>
      <c r="V275" s="68"/>
      <c r="W275" s="68"/>
      <c r="X275" s="25"/>
      <c r="Y275" s="68"/>
      <c r="Z275" s="68"/>
      <c r="AA275" s="25"/>
      <c r="AB275" s="25"/>
      <c r="AC275" s="25"/>
      <c r="AD275" s="68"/>
      <c r="AE275" s="75"/>
      <c r="AF275" s="121"/>
      <c r="AG275" s="68">
        <v>100.0</v>
      </c>
      <c r="AH275" s="68"/>
      <c r="AI275" s="68"/>
      <c r="AJ275" s="68"/>
      <c r="AK275" s="123"/>
      <c r="AL275" s="123"/>
      <c r="AM275" s="124" t="s">
        <v>1002</v>
      </c>
    </row>
    <row r="276" ht="21.0" customHeight="1">
      <c r="A276" s="190"/>
      <c r="B276" s="70"/>
      <c r="C276" s="59"/>
      <c r="D276" s="62" t="s">
        <v>907</v>
      </c>
      <c r="E276" s="65"/>
      <c r="F276" s="65"/>
      <c r="G276" s="65"/>
      <c r="H276" s="65"/>
      <c r="I276" s="65"/>
      <c r="J276" s="65"/>
      <c r="K276" s="65"/>
      <c r="L276" s="65"/>
      <c r="M276" s="43" t="str">
        <f>IFERROR(__xludf.DUMMYFUNCTION("QUERY(Hospitais_BD!D:I,""select E where D='""&amp;D276&amp;""'"",0)"),"")</f>
        <v/>
      </c>
      <c r="N276" s="32" t="str">
        <f>IFERROR(__xludf.DUMMYFUNCTION("QUERY(Hospitais_BD!D:I,""select F where D='""&amp;D276&amp;""'"")"),"Rio de Janeiro")</f>
        <v>Rio de Janeiro</v>
      </c>
      <c r="O276" s="43" t="str">
        <f>IFERROR(__xludf.DUMMYFUNCTION("QUERY(Hospitais_BD!D:I,""select G where D='""&amp;D276&amp;""'"")"),"Rio de Janeiro")</f>
        <v>Rio de Janeiro</v>
      </c>
      <c r="P276" s="32"/>
      <c r="Q276" s="105" t="str">
        <f>IFERROR(__xludf.DUMMYFUNCTION("QUERY(Hospitais_BD!D:I,""select I where D='""&amp;D276&amp;""'"")"),"Público")</f>
        <v>Público</v>
      </c>
      <c r="R276" s="105" t="str">
        <f>IFERROR(__xludf.DUMMYFUNCTION("QUERY(Hospitais_BD!D:I,""select H where D='""&amp;D276&amp;""'"")"),"Outra Instituição")</f>
        <v>Outra Instituição</v>
      </c>
      <c r="S276" s="167"/>
      <c r="T276" s="182"/>
      <c r="U276" s="172"/>
      <c r="V276" s="65"/>
      <c r="W276" s="65"/>
      <c r="X276" s="32"/>
      <c r="Y276" s="65"/>
      <c r="Z276" s="65"/>
      <c r="AA276" s="32"/>
      <c r="AB276" s="32"/>
      <c r="AC276" s="32"/>
      <c r="AD276" s="65"/>
      <c r="AE276" s="102"/>
      <c r="AF276" s="110"/>
      <c r="AG276" s="65">
        <v>50.0</v>
      </c>
      <c r="AH276" s="65"/>
      <c r="AI276" s="65"/>
      <c r="AJ276" s="65"/>
      <c r="AK276" s="109"/>
      <c r="AL276" s="109"/>
      <c r="AM276" s="111" t="s">
        <v>1002</v>
      </c>
    </row>
    <row r="277" ht="21.0" customHeight="1">
      <c r="A277" s="191"/>
      <c r="B277" s="69"/>
      <c r="C277" s="42"/>
      <c r="D277" s="80" t="s">
        <v>908</v>
      </c>
      <c r="E277" s="68"/>
      <c r="F277" s="68"/>
      <c r="G277" s="68"/>
      <c r="H277" s="68"/>
      <c r="I277" s="68"/>
      <c r="J277" s="68"/>
      <c r="K277" s="68"/>
      <c r="L277" s="68"/>
      <c r="M277" s="60" t="str">
        <f>IFERROR(__xludf.DUMMYFUNCTION("QUERY(Hospitais_BD!D:I,""select E where D='""&amp;D277&amp;""'"",0)"),"ZONA NORTE")</f>
        <v>ZONA NORTE</v>
      </c>
      <c r="N277" s="25" t="str">
        <f>IFERROR(__xludf.DUMMYFUNCTION("QUERY(Hospitais_BD!D:I,""select F where D='""&amp;D277&amp;""'"")"),"Rio de Janeiro")</f>
        <v>Rio de Janeiro</v>
      </c>
      <c r="O277" s="60" t="str">
        <f>IFERROR(__xludf.DUMMYFUNCTION("QUERY(Hospitais_BD!D:I,""select G where D='""&amp;D277&amp;""'"")"),"Maré")</f>
        <v>Maré</v>
      </c>
      <c r="P277" s="25"/>
      <c r="Q277" s="116" t="str">
        <f>IFERROR(__xludf.DUMMYFUNCTION("QUERY(Hospitais_BD!D:I,""select I where D='""&amp;D277&amp;""'"")"),"Público")</f>
        <v>Público</v>
      </c>
      <c r="R277" s="116" t="str">
        <f>IFERROR(__xludf.DUMMYFUNCTION("QUERY(Hospitais_BD!D:I,""select H where D='""&amp;D277&amp;""'"")"),"Outra Instituição")</f>
        <v>Outra Instituição</v>
      </c>
      <c r="S277" s="165"/>
      <c r="T277" s="181"/>
      <c r="U277" s="171"/>
      <c r="V277" s="68"/>
      <c r="W277" s="68"/>
      <c r="X277" s="25"/>
      <c r="Y277" s="68"/>
      <c r="Z277" s="68"/>
      <c r="AA277" s="25"/>
      <c r="AB277" s="25"/>
      <c r="AC277" s="25"/>
      <c r="AD277" s="68"/>
      <c r="AE277" s="75"/>
      <c r="AF277" s="121"/>
      <c r="AG277" s="68"/>
      <c r="AH277" s="68"/>
      <c r="AI277" s="68"/>
      <c r="AJ277" s="68">
        <v>400.0</v>
      </c>
      <c r="AK277" s="123">
        <v>48.0</v>
      </c>
      <c r="AL277" s="123"/>
      <c r="AM277" s="124" t="s">
        <v>1002</v>
      </c>
    </row>
    <row r="278" ht="21.0" customHeight="1">
      <c r="A278" s="190"/>
      <c r="B278" s="70"/>
      <c r="C278" s="59"/>
      <c r="D278" s="45" t="s">
        <v>910</v>
      </c>
      <c r="E278" s="65"/>
      <c r="F278" s="65"/>
      <c r="G278" s="65"/>
      <c r="H278" s="65"/>
      <c r="I278" s="65"/>
      <c r="J278" s="65"/>
      <c r="K278" s="65"/>
      <c r="L278" s="65"/>
      <c r="M278" s="43" t="str">
        <f>IFERROR(__xludf.DUMMYFUNCTION("QUERY(Hospitais_BD!D:I,""select E where D='""&amp;D278&amp;""'"",0)"),"ZONA NORTE")</f>
        <v>ZONA NORTE</v>
      </c>
      <c r="N278" s="32" t="str">
        <f>IFERROR(__xludf.DUMMYFUNCTION("QUERY(Hospitais_BD!D:I,""select F where D='""&amp;D278&amp;""'"")"),"Rio de Janeiro")</f>
        <v>Rio de Janeiro</v>
      </c>
      <c r="O278" s="43" t="str">
        <f>IFERROR(__xludf.DUMMYFUNCTION("QUERY(Hospitais_BD!D:I,""select G where D='""&amp;D278&amp;""'"")"),"Ilha do Fundão")</f>
        <v>Ilha do Fundão</v>
      </c>
      <c r="P278" s="32"/>
      <c r="Q278" s="105" t="str">
        <f>IFERROR(__xludf.DUMMYFUNCTION("QUERY(Hospitais_BD!D:I,""select I where D='""&amp;D278&amp;""'"")"),"Público")</f>
        <v>Público</v>
      </c>
      <c r="R278" s="105" t="str">
        <f>IFERROR(__xludf.DUMMYFUNCTION("QUERY(Hospitais_BD!D:I,""select H where D='""&amp;D278&amp;""'"")"),"Outra Instituição")</f>
        <v>Outra Instituição</v>
      </c>
      <c r="S278" s="167"/>
      <c r="T278" s="182"/>
      <c r="U278" s="172"/>
      <c r="V278" s="65"/>
      <c r="W278" s="65"/>
      <c r="X278" s="32"/>
      <c r="Y278" s="65"/>
      <c r="Z278" s="65"/>
      <c r="AA278" s="32"/>
      <c r="AB278" s="32"/>
      <c r="AC278" s="32"/>
      <c r="AD278" s="65"/>
      <c r="AE278" s="102"/>
      <c r="AF278" s="110"/>
      <c r="AG278" s="65">
        <v>25.0</v>
      </c>
      <c r="AH278" s="65"/>
      <c r="AI278" s="65"/>
      <c r="AJ278" s="65"/>
      <c r="AK278" s="109"/>
      <c r="AL278" s="109"/>
      <c r="AM278" s="111" t="s">
        <v>1002</v>
      </c>
    </row>
    <row r="279" ht="21.0" customHeight="1">
      <c r="A279" s="191"/>
      <c r="B279" s="69"/>
      <c r="C279" s="42"/>
      <c r="D279" s="25" t="s">
        <v>911</v>
      </c>
      <c r="E279" s="68"/>
      <c r="F279" s="68"/>
      <c r="G279" s="68"/>
      <c r="H279" s="68"/>
      <c r="I279" s="68"/>
      <c r="J279" s="68"/>
      <c r="K279" s="68"/>
      <c r="L279" s="68"/>
      <c r="M279" s="60" t="str">
        <f>IFERROR(__xludf.DUMMYFUNCTION("QUERY(Hospitais_BD!D:I,""select E where D='""&amp;D279&amp;""'"",0)"),"REGIAO SERRANA")</f>
        <v>REGIAO SERRANA</v>
      </c>
      <c r="N279" s="25" t="str">
        <f>IFERROR(__xludf.DUMMYFUNCTION("QUERY(Hospitais_BD!D:I,""select F where D='""&amp;D279&amp;""'"")"),"Petrópolis")</f>
        <v>Petrópolis</v>
      </c>
      <c r="O279" s="60" t="str">
        <f>IFERROR(__xludf.DUMMYFUNCTION("QUERY(Hospitais_BD!D:I,""select G where D='""&amp;D279&amp;""'"")"),"Côrreas")</f>
        <v>Côrreas</v>
      </c>
      <c r="P279" s="25"/>
      <c r="Q279" s="116" t="str">
        <f>IFERROR(__xludf.DUMMYFUNCTION("QUERY(Hospitais_BD!D:I,""select I where D='""&amp;D279&amp;""'"")"),"Público")</f>
        <v>Público</v>
      </c>
      <c r="R279" s="116" t="str">
        <f>IFERROR(__xludf.DUMMYFUNCTION("QUERY(Hospitais_BD!D:I,""select H where D='""&amp;D279&amp;""'"")"),"Grande emergência - MÉDIA COMPLEXIDADE
")</f>
        <v>Grande emergência - MÉDIA COMPLEXIDADE
</v>
      </c>
      <c r="S279" s="165"/>
      <c r="T279" s="181"/>
      <c r="U279" s="171"/>
      <c r="V279" s="68"/>
      <c r="W279" s="68"/>
      <c r="X279" s="25"/>
      <c r="Y279" s="68"/>
      <c r="Z279" s="68"/>
      <c r="AA279" s="25"/>
      <c r="AB279" s="25"/>
      <c r="AC279" s="25"/>
      <c r="AD279" s="68"/>
      <c r="AE279" s="75"/>
      <c r="AF279" s="121"/>
      <c r="AG279" s="68">
        <v>40.0</v>
      </c>
      <c r="AH279" s="68"/>
      <c r="AI279" s="68"/>
      <c r="AJ279" s="68"/>
      <c r="AK279" s="123"/>
      <c r="AL279" s="123"/>
      <c r="AM279" s="124" t="s">
        <v>1002</v>
      </c>
    </row>
    <row r="280" ht="21.0" customHeight="1">
      <c r="A280" s="190"/>
      <c r="B280" s="70"/>
      <c r="C280" s="59"/>
      <c r="D280" s="62" t="s">
        <v>913</v>
      </c>
      <c r="E280" s="65"/>
      <c r="F280" s="65"/>
      <c r="G280" s="65"/>
      <c r="H280" s="65"/>
      <c r="I280" s="65"/>
      <c r="J280" s="65"/>
      <c r="K280" s="65"/>
      <c r="L280" s="65"/>
      <c r="M280" s="43" t="str">
        <f>IFERROR(__xludf.DUMMYFUNCTION("QUERY(Hospitais_BD!D:I,""select E where D='""&amp;D280&amp;""'"",0)"),"")</f>
        <v/>
      </c>
      <c r="N280" s="32" t="str">
        <f>IFERROR(__xludf.DUMMYFUNCTION("QUERY(Hospitais_BD!D:I,""select F where D='""&amp;D280&amp;""'"")"),"Rio de Janeiro")</f>
        <v>Rio de Janeiro</v>
      </c>
      <c r="O280" s="43" t="str">
        <f>IFERROR(__xludf.DUMMYFUNCTION("QUERY(Hospitais_BD!D:I,""select G where D='""&amp;D280&amp;""'"")"),"Rio de Janeiro")</f>
        <v>Rio de Janeiro</v>
      </c>
      <c r="P280" s="32"/>
      <c r="Q280" s="105" t="str">
        <f>IFERROR(__xludf.DUMMYFUNCTION("QUERY(Hospitais_BD!D:I,""select I where D='""&amp;D280&amp;""'"")"),"Privado")</f>
        <v>Privado</v>
      </c>
      <c r="R280" s="105" t="str">
        <f>IFERROR(__xludf.DUMMYFUNCTION("QUERY(Hospitais_BD!D:I,""select H where D='""&amp;D280&amp;""'"")"),"Outra Instituição")</f>
        <v>Outra Instituição</v>
      </c>
      <c r="S280" s="167"/>
      <c r="T280" s="182"/>
      <c r="U280" s="172"/>
      <c r="V280" s="65"/>
      <c r="W280" s="65"/>
      <c r="X280" s="32"/>
      <c r="Y280" s="65"/>
      <c r="Z280" s="65"/>
      <c r="AA280" s="32"/>
      <c r="AB280" s="32"/>
      <c r="AC280" s="32"/>
      <c r="AD280" s="65"/>
      <c r="AE280" s="102"/>
      <c r="AF280" s="110"/>
      <c r="AG280" s="65">
        <v>100.0</v>
      </c>
      <c r="AH280" s="65"/>
      <c r="AI280" s="65"/>
      <c r="AJ280" s="65"/>
      <c r="AK280" s="109"/>
      <c r="AL280" s="109"/>
      <c r="AM280" s="111" t="s">
        <v>1002</v>
      </c>
    </row>
    <row r="281" ht="21.0" customHeight="1">
      <c r="A281" s="196"/>
      <c r="B281" s="69"/>
      <c r="C281" s="42"/>
      <c r="D281" s="74" t="s">
        <v>914</v>
      </c>
      <c r="E281" s="68"/>
      <c r="F281" s="68"/>
      <c r="G281" s="68"/>
      <c r="H281" s="68"/>
      <c r="I281" s="68"/>
      <c r="J281" s="68"/>
      <c r="K281" s="68"/>
      <c r="L281" s="68"/>
      <c r="M281" s="60" t="str">
        <f>IFERROR(__xludf.DUMMYFUNCTION("QUERY(Hospitais_BD!D:I,""select E where D='""&amp;D281&amp;""'"",0)"),"")</f>
        <v/>
      </c>
      <c r="N281" s="25" t="str">
        <f>IFERROR(__xludf.DUMMYFUNCTION("QUERY(Hospitais_BD!D:I,""select F where D='""&amp;D281&amp;""'"")"),"Rio de Janeiro")</f>
        <v>Rio de Janeiro</v>
      </c>
      <c r="O281" s="60" t="str">
        <f>IFERROR(__xludf.DUMMYFUNCTION("QUERY(Hospitais_BD!D:I,""select G where D='""&amp;D281&amp;""'"")"),"Rio de Janeiro")</f>
        <v>Rio de Janeiro</v>
      </c>
      <c r="P281" s="25"/>
      <c r="Q281" s="116" t="str">
        <f>IFERROR(__xludf.DUMMYFUNCTION("QUERY(Hospitais_BD!D:I,""select I where D='""&amp;D281&amp;""'"")"),"Público")</f>
        <v>Público</v>
      </c>
      <c r="R281" s="116" t="str">
        <f>IFERROR(__xludf.DUMMYFUNCTION("QUERY(Hospitais_BD!D:I,""select H where D='""&amp;D281&amp;""'"")"),"Outra Instituição")</f>
        <v>Outra Instituição</v>
      </c>
      <c r="S281" s="165"/>
      <c r="T281" s="181"/>
      <c r="U281" s="171"/>
      <c r="V281" s="68"/>
      <c r="W281" s="68"/>
      <c r="X281" s="25"/>
      <c r="Y281" s="68"/>
      <c r="Z281" s="68"/>
      <c r="AA281" s="25"/>
      <c r="AB281" s="25"/>
      <c r="AC281" s="25"/>
      <c r="AD281" s="68"/>
      <c r="AE281" s="75"/>
      <c r="AF281" s="121"/>
      <c r="AG281" s="68">
        <v>350.0</v>
      </c>
      <c r="AH281" s="68"/>
      <c r="AI281" s="68"/>
      <c r="AJ281" s="68"/>
      <c r="AK281" s="123"/>
      <c r="AL281" s="123"/>
      <c r="AM281" s="124" t="s">
        <v>1002</v>
      </c>
    </row>
    <row r="282" ht="21.0" customHeight="1">
      <c r="A282" s="197"/>
      <c r="B282" s="70"/>
      <c r="C282" s="59"/>
      <c r="D282" s="81" t="s">
        <v>915</v>
      </c>
      <c r="E282" s="65"/>
      <c r="F282" s="65"/>
      <c r="G282" s="65"/>
      <c r="H282" s="65"/>
      <c r="I282" s="65"/>
      <c r="J282" s="65"/>
      <c r="K282" s="65"/>
      <c r="L282" s="65"/>
      <c r="M282" s="43" t="str">
        <f>IFERROR(__xludf.DUMMYFUNCTION("QUERY(Hospitais_BD!D:I,""select E where D='""&amp;D282&amp;""'"",0)"),"ZONA OESTE")</f>
        <v>ZONA OESTE</v>
      </c>
      <c r="N282" s="32" t="str">
        <f>IFERROR(__xludf.DUMMYFUNCTION("QUERY(Hospitais_BD!D:I,""select F where D='""&amp;D282&amp;""'"")"),"Rio de Janeiro")</f>
        <v>Rio de Janeiro</v>
      </c>
      <c r="O282" s="43" t="str">
        <f>IFERROR(__xludf.DUMMYFUNCTION("QUERY(Hospitais_BD!D:I,""select G where D='""&amp;D282&amp;""'"")"),"Cidade de Deus")</f>
        <v>Cidade de Deus</v>
      </c>
      <c r="P282" s="32"/>
      <c r="Q282" s="105" t="str">
        <f>IFERROR(__xludf.DUMMYFUNCTION("QUERY(Hospitais_BD!D:I,""select I where D='""&amp;D282&amp;""'"")"),"Público")</f>
        <v>Público</v>
      </c>
      <c r="R282" s="105" t="str">
        <f>IFERROR(__xludf.DUMMYFUNCTION("QUERY(Hospitais_BD!D:I,""select H where D='""&amp;D282&amp;""'"")"),"Outra Instituição")</f>
        <v>Outra Instituição</v>
      </c>
      <c r="S282" s="167"/>
      <c r="T282" s="182"/>
      <c r="U282" s="172"/>
      <c r="V282" s="65"/>
      <c r="W282" s="65"/>
      <c r="X282" s="32"/>
      <c r="Y282" s="65"/>
      <c r="Z282" s="65"/>
      <c r="AA282" s="32"/>
      <c r="AB282" s="32"/>
      <c r="AC282" s="32"/>
      <c r="AD282" s="65"/>
      <c r="AE282" s="102"/>
      <c r="AF282" s="110"/>
      <c r="AG282" s="65">
        <v>100.0</v>
      </c>
      <c r="AH282" s="65"/>
      <c r="AI282" s="65"/>
      <c r="AJ282" s="65"/>
      <c r="AK282" s="109">
        <v>49.0</v>
      </c>
      <c r="AL282" s="109"/>
      <c r="AM282" s="111" t="s">
        <v>1002</v>
      </c>
    </row>
    <row r="283" ht="21.0" customHeight="1">
      <c r="A283" s="196"/>
      <c r="B283" s="69"/>
      <c r="C283" s="42"/>
      <c r="D283" s="25" t="s">
        <v>916</v>
      </c>
      <c r="E283" s="68"/>
      <c r="F283" s="68"/>
      <c r="G283" s="68"/>
      <c r="H283" s="68"/>
      <c r="I283" s="68"/>
      <c r="J283" s="68"/>
      <c r="K283" s="68"/>
      <c r="L283" s="68"/>
      <c r="M283" s="60" t="str">
        <f>IFERROR(__xludf.DUMMYFUNCTION("QUERY(Hospitais_BD!D:I,""select E where D='""&amp;D283&amp;""'"",0)"),"REGIAO SERRANA")</f>
        <v>REGIAO SERRANA</v>
      </c>
      <c r="N283" s="25" t="str">
        <f>IFERROR(__xludf.DUMMYFUNCTION("QUERY(Hospitais_BD!D:I,""select F where D='""&amp;D283&amp;""'"")"),"Teresópolis")</f>
        <v>Teresópolis</v>
      </c>
      <c r="O283" s="60" t="str">
        <f>IFERROR(__xludf.DUMMYFUNCTION("QUERY(Hospitais_BD!D:I,""select G where D='""&amp;D283&amp;""'"")"),"Teresópolis")</f>
        <v>Teresópolis</v>
      </c>
      <c r="P283" s="25"/>
      <c r="Q283" s="116" t="str">
        <f>IFERROR(__xludf.DUMMYFUNCTION("QUERY(Hospitais_BD!D:I,""select I where D='""&amp;D283&amp;""'"")"),"Público")</f>
        <v>Público</v>
      </c>
      <c r="R283" s="116" t="str">
        <f>IFERROR(__xludf.DUMMYFUNCTION("QUERY(Hospitais_BD!D:I,""select H where D='""&amp;D283&amp;""'"")"),"Outra Instituição")</f>
        <v>Outra Instituição</v>
      </c>
      <c r="S283" s="165"/>
      <c r="T283" s="181"/>
      <c r="U283" s="171"/>
      <c r="V283" s="68"/>
      <c r="W283" s="68"/>
      <c r="X283" s="25"/>
      <c r="Y283" s="68"/>
      <c r="Z283" s="68"/>
      <c r="AA283" s="25"/>
      <c r="AB283" s="25"/>
      <c r="AC283" s="25"/>
      <c r="AD283" s="68"/>
      <c r="AE283" s="75"/>
      <c r="AF283" s="121"/>
      <c r="AG283" s="68">
        <v>130.0</v>
      </c>
      <c r="AH283" s="68"/>
      <c r="AI283" s="68"/>
      <c r="AJ283" s="68"/>
      <c r="AK283" s="123">
        <v>50.0</v>
      </c>
      <c r="AL283" s="123"/>
      <c r="AM283" s="124" t="s">
        <v>1002</v>
      </c>
    </row>
    <row r="284" ht="21.0" customHeight="1">
      <c r="A284" s="197"/>
      <c r="B284" s="70"/>
      <c r="C284" s="59"/>
      <c r="D284" s="32" t="s">
        <v>552</v>
      </c>
      <c r="E284" s="65"/>
      <c r="F284" s="65"/>
      <c r="G284" s="65"/>
      <c r="H284" s="65"/>
      <c r="I284" s="65"/>
      <c r="J284" s="65"/>
      <c r="K284" s="65"/>
      <c r="L284" s="65"/>
      <c r="M284" s="43" t="str">
        <f>IFERROR(__xludf.DUMMYFUNCTION("QUERY(Hospitais_BD!D:I,""select E where D='""&amp;D284&amp;""'"",0)"),"ZONA NORTE")</f>
        <v>ZONA NORTE</v>
      </c>
      <c r="N284" s="32" t="str">
        <f>IFERROR(__xludf.DUMMYFUNCTION("QUERY(Hospitais_BD!D:I,""select F where D='""&amp;D284&amp;""'"")"),"Rio de Janeiro")</f>
        <v>Rio de Janeiro</v>
      </c>
      <c r="O284" s="43" t="str">
        <f>IFERROR(__xludf.DUMMYFUNCTION("QUERY(Hospitais_BD!D:I,""select G where D='""&amp;D284&amp;""'"")"),"Iraja")</f>
        <v>Iraja</v>
      </c>
      <c r="P284" s="32"/>
      <c r="Q284" s="105" t="str">
        <f>IFERROR(__xludf.DUMMYFUNCTION("QUERY(Hospitais_BD!D:I,""select I where D='""&amp;D284&amp;""'"")"),"Público")</f>
        <v>Público</v>
      </c>
      <c r="R284" s="105" t="str">
        <f>IFERROR(__xludf.DUMMYFUNCTION("QUERY(Hospitais_BD!D:I,""select H where D='""&amp;D284&amp;""'"")"),"Grande emergência - MÉDIA COMPLEXIDADE")</f>
        <v>Grande emergência - MÉDIA COMPLEXIDADE</v>
      </c>
      <c r="S284" s="167"/>
      <c r="T284" s="182"/>
      <c r="U284" s="172"/>
      <c r="V284" s="65"/>
      <c r="W284" s="65"/>
      <c r="X284" s="32"/>
      <c r="Y284" s="65"/>
      <c r="Z284" s="65"/>
      <c r="AA284" s="32"/>
      <c r="AB284" s="32"/>
      <c r="AC284" s="32"/>
      <c r="AD284" s="65"/>
      <c r="AE284" s="102"/>
      <c r="AF284" s="110"/>
      <c r="AG284" s="65">
        <v>50.0</v>
      </c>
      <c r="AH284" s="65"/>
      <c r="AI284" s="65"/>
      <c r="AJ284" s="65"/>
      <c r="AK284" s="109"/>
      <c r="AL284" s="109">
        <v>25.0</v>
      </c>
      <c r="AM284" s="111" t="s">
        <v>1002</v>
      </c>
    </row>
    <row r="285" ht="21.0" customHeight="1">
      <c r="A285" s="196"/>
      <c r="B285" s="69"/>
      <c r="C285" s="42"/>
      <c r="D285" s="67" t="s">
        <v>918</v>
      </c>
      <c r="E285" s="68"/>
      <c r="F285" s="68"/>
      <c r="G285" s="68"/>
      <c r="H285" s="68"/>
      <c r="I285" s="68"/>
      <c r="J285" s="68"/>
      <c r="K285" s="68"/>
      <c r="L285" s="68"/>
      <c r="M285" s="60" t="str">
        <f>IFERROR(__xludf.DUMMYFUNCTION("QUERY(Hospitais_BD!D:I,""select E where D='""&amp;D285&amp;""'"",0)"),"BAIXADA FLUMINENSE")</f>
        <v>BAIXADA FLUMINENSE</v>
      </c>
      <c r="N285" s="25" t="str">
        <f>IFERROR(__xludf.DUMMYFUNCTION("QUERY(Hospitais_BD!D:I,""select F where D='""&amp;D285&amp;""'"")"),"Duque de Caxias")</f>
        <v>Duque de Caxias</v>
      </c>
      <c r="O285" s="60" t="str">
        <f>IFERROR(__xludf.DUMMYFUNCTION("QUERY(Hospitais_BD!D:I,""select G where D='""&amp;D285&amp;""'"")"),"Parque Lafaiete")</f>
        <v>Parque Lafaiete</v>
      </c>
      <c r="P285" s="25"/>
      <c r="Q285" s="116" t="str">
        <f>IFERROR(__xludf.DUMMYFUNCTION("QUERY(Hospitais_BD!D:I,""select I where D='""&amp;D285&amp;""'"")"),"Público")</f>
        <v>Público</v>
      </c>
      <c r="R285" s="116" t="str">
        <f>IFERROR(__xludf.DUMMYFUNCTION("QUERY(Hospitais_BD!D:I,""select H where D='""&amp;D285&amp;""'"")"),"Grande emergência - MÉDIA COMPLEXIDADE
")</f>
        <v>Grande emergência - MÉDIA COMPLEXIDADE
</v>
      </c>
      <c r="S285" s="165"/>
      <c r="T285" s="181"/>
      <c r="U285" s="171"/>
      <c r="V285" s="68"/>
      <c r="W285" s="68"/>
      <c r="X285" s="25"/>
      <c r="Y285" s="68"/>
      <c r="Z285" s="68"/>
      <c r="AA285" s="25"/>
      <c r="AB285" s="25"/>
      <c r="AC285" s="25"/>
      <c r="AD285" s="68"/>
      <c r="AE285" s="75"/>
      <c r="AF285" s="121"/>
      <c r="AG285" s="68">
        <v>50.0</v>
      </c>
      <c r="AH285" s="68"/>
      <c r="AI285" s="68"/>
      <c r="AJ285" s="68"/>
      <c r="AK285" s="123"/>
      <c r="AL285" s="123"/>
      <c r="AM285" s="124" t="s">
        <v>1002</v>
      </c>
    </row>
    <row r="286" ht="21.0" customHeight="1">
      <c r="A286" s="197"/>
      <c r="B286" s="70"/>
      <c r="C286" s="59"/>
      <c r="D286" s="32" t="s">
        <v>171</v>
      </c>
      <c r="E286" s="65"/>
      <c r="F286" s="65"/>
      <c r="G286" s="65"/>
      <c r="H286" s="65"/>
      <c r="I286" s="65"/>
      <c r="J286" s="65"/>
      <c r="K286" s="65"/>
      <c r="L286" s="65"/>
      <c r="M286" s="43" t="str">
        <f>IFERROR(__xludf.DUMMYFUNCTION("QUERY(Hospitais_BD!D:I,""select E where D='""&amp;D286&amp;""'"",0)"),"CENTRO")</f>
        <v>CENTRO</v>
      </c>
      <c r="N286" s="32" t="str">
        <f>IFERROR(__xludf.DUMMYFUNCTION("QUERY(Hospitais_BD!D:I,""select F where D='""&amp;D286&amp;""'"")"),"Rio de Janeiro")</f>
        <v>Rio de Janeiro</v>
      </c>
      <c r="O286" s="43" t="str">
        <f>IFERROR(__xludf.DUMMYFUNCTION("QUERY(Hospitais_BD!D:I,""select G where D='""&amp;D286&amp;""'"")"),"Centro")</f>
        <v>Centro</v>
      </c>
      <c r="P286" s="32"/>
      <c r="Q286" s="105" t="str">
        <f>IFERROR(__xludf.DUMMYFUNCTION("QUERY(Hospitais_BD!D:I,""select I where D='""&amp;D286&amp;""'"")"),"Público")</f>
        <v>Público</v>
      </c>
      <c r="R286" s="105" t="str">
        <f>IFERROR(__xludf.DUMMYFUNCTION("QUERY(Hospitais_BD!D:I,""select H where D='""&amp;D286&amp;""'"")"),"Grande emergência - MÉDIA COMPLEXIDADE")</f>
        <v>Grande emergência - MÉDIA COMPLEXIDADE</v>
      </c>
      <c r="S286" s="167"/>
      <c r="T286" s="182"/>
      <c r="U286" s="172"/>
      <c r="V286" s="65"/>
      <c r="W286" s="65"/>
      <c r="X286" s="32"/>
      <c r="Y286" s="65"/>
      <c r="Z286" s="65"/>
      <c r="AA286" s="32"/>
      <c r="AB286" s="32"/>
      <c r="AC286" s="32"/>
      <c r="AD286" s="65"/>
      <c r="AE286" s="102"/>
      <c r="AF286" s="110"/>
      <c r="AG286" s="65">
        <v>100.0</v>
      </c>
      <c r="AH286" s="65"/>
      <c r="AI286" s="65"/>
      <c r="AJ286" s="65"/>
      <c r="AK286" s="109"/>
      <c r="AL286" s="109"/>
      <c r="AM286" s="111" t="s">
        <v>1002</v>
      </c>
    </row>
    <row r="287" ht="21.0" customHeight="1">
      <c r="A287" s="196"/>
      <c r="B287" s="69"/>
      <c r="C287" s="42"/>
      <c r="D287" s="67" t="s">
        <v>920</v>
      </c>
      <c r="E287" s="68"/>
      <c r="F287" s="68"/>
      <c r="G287" s="68"/>
      <c r="H287" s="68"/>
      <c r="I287" s="68"/>
      <c r="J287" s="68"/>
      <c r="K287" s="68"/>
      <c r="L287" s="68"/>
      <c r="M287" s="60" t="str">
        <f>IFERROR(__xludf.DUMMYFUNCTION("QUERY(Hospitais_BD!D:I,""select E where D='""&amp;D287&amp;""'"",0)"),"REGIAO DOS LAGOS")</f>
        <v>REGIAO DOS LAGOS</v>
      </c>
      <c r="N287" s="25" t="str">
        <f>IFERROR(__xludf.DUMMYFUNCTION("QUERY(Hospitais_BD!D:I,""select F where D='""&amp;D287&amp;""'"")"),"Arraial do Cabo")</f>
        <v>Arraial do Cabo</v>
      </c>
      <c r="O287" s="60" t="str">
        <f>IFERROR(__xludf.DUMMYFUNCTION("QUERY(Hospitais_BD!D:I,""select G where D='""&amp;D287&amp;""'"")"),"Figueira")</f>
        <v>Figueira</v>
      </c>
      <c r="P287" s="25"/>
      <c r="Q287" s="116" t="str">
        <f>IFERROR(__xludf.DUMMYFUNCTION("QUERY(Hospitais_BD!D:I,""select I where D='""&amp;D287&amp;""'"")"),"Público")</f>
        <v>Público</v>
      </c>
      <c r="R287" s="116" t="str">
        <f>IFERROR(__xludf.DUMMYFUNCTION("QUERY(Hospitais_BD!D:I,""select H where D='""&amp;D287&amp;""'"")"),"Grande emergência - MÉDIA COMPLEXIDADE
")</f>
        <v>Grande emergência - MÉDIA COMPLEXIDADE
</v>
      </c>
      <c r="S287" s="165"/>
      <c r="T287" s="181"/>
      <c r="U287" s="171"/>
      <c r="V287" s="68"/>
      <c r="W287" s="68"/>
      <c r="X287" s="25"/>
      <c r="Y287" s="68"/>
      <c r="Z287" s="68"/>
      <c r="AA287" s="25"/>
      <c r="AB287" s="25"/>
      <c r="AC287" s="25"/>
      <c r="AD287" s="68"/>
      <c r="AE287" s="75"/>
      <c r="AF287" s="121"/>
      <c r="AG287" s="68">
        <v>100.0</v>
      </c>
      <c r="AH287" s="68"/>
      <c r="AI287" s="68"/>
      <c r="AJ287" s="68"/>
      <c r="AK287" s="123"/>
      <c r="AL287" s="123"/>
      <c r="AM287" s="124" t="s">
        <v>1002</v>
      </c>
    </row>
    <row r="288" ht="21.0" customHeight="1">
      <c r="A288" s="197"/>
      <c r="B288" s="70"/>
      <c r="C288" s="59"/>
      <c r="D288" s="12" t="s">
        <v>239</v>
      </c>
      <c r="E288" s="65"/>
      <c r="F288" s="65"/>
      <c r="G288" s="65"/>
      <c r="H288" s="65"/>
      <c r="I288" s="65"/>
      <c r="J288" s="65"/>
      <c r="K288" s="65"/>
      <c r="L288" s="65"/>
      <c r="M288" s="43" t="str">
        <f>IFERROR(__xludf.DUMMYFUNCTION("QUERY(Hospitais_BD!D:I,""select E where D='""&amp;D288&amp;""'"",0)"),"CENTRO")</f>
        <v>CENTRO</v>
      </c>
      <c r="N288" s="32" t="str">
        <f>IFERROR(__xludf.DUMMYFUNCTION("QUERY(Hospitais_BD!D:I,""select F where D='""&amp;D288&amp;""'"")"),"Rio de Janeiro")</f>
        <v>Rio de Janeiro</v>
      </c>
      <c r="O288" s="43" t="str">
        <f>IFERROR(__xludf.DUMMYFUNCTION("QUERY(Hospitais_BD!D:I,""select G where D='""&amp;D288&amp;""'"")"),"Cidade Nova")</f>
        <v>Cidade Nova</v>
      </c>
      <c r="P288" s="32"/>
      <c r="Q288" s="105" t="str">
        <f>IFERROR(__xludf.DUMMYFUNCTION("QUERY(Hospitais_BD!D:I,""select I where D='""&amp;D288&amp;""'"")"),"Público")</f>
        <v>Público</v>
      </c>
      <c r="R288" s="105" t="str">
        <f>IFERROR(__xludf.DUMMYFUNCTION("QUERY(Hospitais_BD!D:I,""select H where D='""&amp;D288&amp;""'"")"),"Unidade básica - BAIXA COMPLEXIDADE")</f>
        <v>Unidade básica - BAIXA COMPLEXIDADE</v>
      </c>
      <c r="S288" s="167"/>
      <c r="T288" s="182"/>
      <c r="U288" s="172"/>
      <c r="V288" s="65"/>
      <c r="W288" s="65"/>
      <c r="X288" s="32"/>
      <c r="Y288" s="65"/>
      <c r="Z288" s="65"/>
      <c r="AA288" s="32"/>
      <c r="AB288" s="32"/>
      <c r="AC288" s="32"/>
      <c r="AD288" s="65"/>
      <c r="AE288" s="102"/>
      <c r="AF288" s="110"/>
      <c r="AG288" s="65">
        <v>100.0</v>
      </c>
      <c r="AH288" s="65"/>
      <c r="AI288" s="65"/>
      <c r="AJ288" s="65"/>
      <c r="AK288" s="109"/>
      <c r="AL288" s="109"/>
      <c r="AM288" s="111" t="s">
        <v>1002</v>
      </c>
    </row>
    <row r="289" ht="21.0" customHeight="1">
      <c r="A289" s="196"/>
      <c r="B289" s="69"/>
      <c r="C289" s="42"/>
      <c r="D289" s="22" t="s">
        <v>234</v>
      </c>
      <c r="E289" s="68"/>
      <c r="F289" s="68"/>
      <c r="G289" s="68"/>
      <c r="H289" s="68"/>
      <c r="I289" s="68"/>
      <c r="J289" s="68"/>
      <c r="K289" s="68"/>
      <c r="L289" s="68"/>
      <c r="M289" s="60" t="str">
        <f>IFERROR(__xludf.DUMMYFUNCTION("QUERY(Hospitais_BD!D:I,""select E where D='""&amp;D289&amp;""'"",0)"),"REGIAO MEDIO PARAIBA")</f>
        <v>REGIAO MEDIO PARAIBA</v>
      </c>
      <c r="N289" s="25" t="str">
        <f>IFERROR(__xludf.DUMMYFUNCTION("QUERY(Hospitais_BD!D:I,""select F where D='""&amp;D289&amp;""'"")"),"Valença")</f>
        <v>Valença</v>
      </c>
      <c r="O289" s="60" t="str">
        <f>IFERROR(__xludf.DUMMYFUNCTION("QUERY(Hospitais_BD!D:I,""select G where D='""&amp;D289&amp;""'"")"),"Centro ")</f>
        <v>Centro </v>
      </c>
      <c r="P289" s="25"/>
      <c r="Q289" s="116" t="str">
        <f>IFERROR(__xludf.DUMMYFUNCTION("QUERY(Hospitais_BD!D:I,""select I where D='""&amp;D289&amp;""'"")"),"Privado")</f>
        <v>Privado</v>
      </c>
      <c r="R289" s="116" t="str">
        <f>IFERROR(__xludf.DUMMYFUNCTION("QUERY(Hospitais_BD!D:I,""select H where D='""&amp;D289&amp;""'"")"),"Referência - ALTA COMPLEXIDADE")</f>
        <v>Referência - ALTA COMPLEXIDADE</v>
      </c>
      <c r="S289" s="165"/>
      <c r="T289" s="181"/>
      <c r="U289" s="171"/>
      <c r="V289" s="68"/>
      <c r="W289" s="68"/>
      <c r="X289" s="25"/>
      <c r="Y289" s="68"/>
      <c r="Z289" s="68"/>
      <c r="AA289" s="25"/>
      <c r="AB289" s="25"/>
      <c r="AC289" s="25"/>
      <c r="AD289" s="68"/>
      <c r="AE289" s="75"/>
      <c r="AF289" s="121"/>
      <c r="AG289" s="68">
        <v>100.0</v>
      </c>
      <c r="AH289" s="68"/>
      <c r="AI289" s="68"/>
      <c r="AJ289" s="68"/>
      <c r="AK289" s="123"/>
      <c r="AL289" s="123"/>
      <c r="AM289" s="124" t="s">
        <v>1002</v>
      </c>
    </row>
    <row r="290" ht="21.0" customHeight="1">
      <c r="A290" s="197"/>
      <c r="B290" s="70"/>
      <c r="C290" s="59"/>
      <c r="D290" s="12" t="s">
        <v>203</v>
      </c>
      <c r="E290" s="65"/>
      <c r="F290" s="65"/>
      <c r="G290" s="65"/>
      <c r="H290" s="65"/>
      <c r="I290" s="65"/>
      <c r="J290" s="65"/>
      <c r="K290" s="65"/>
      <c r="L290" s="65"/>
      <c r="M290" s="43" t="str">
        <f>IFERROR(__xludf.DUMMYFUNCTION("QUERY(Hospitais_BD!D:I,""select E where D='""&amp;D290&amp;""'"",0)"),"REGIAO METROPOLITANA")</f>
        <v>REGIAO METROPOLITANA</v>
      </c>
      <c r="N290" s="32" t="str">
        <f>IFERROR(__xludf.DUMMYFUNCTION("QUERY(Hospitais_BD!D:I,""select F where D='""&amp;D290&amp;""'"")"),"Niterói")</f>
        <v>Niterói</v>
      </c>
      <c r="O290" s="43" t="str">
        <f>IFERROR(__xludf.DUMMYFUNCTION("QUERY(Hospitais_BD!D:I,""select G where D='""&amp;D290&amp;""'"")"),"Santa Rosa")</f>
        <v>Santa Rosa</v>
      </c>
      <c r="P290" s="32"/>
      <c r="Q290" s="105" t="str">
        <f>IFERROR(__xludf.DUMMYFUNCTION("QUERY(Hospitais_BD!D:I,""select I where D='""&amp;D290&amp;""'"")"),"Público")</f>
        <v>Público</v>
      </c>
      <c r="R290" s="105" t="str">
        <f>IFERROR(__xludf.DUMMYFUNCTION("QUERY(Hospitais_BD!D:I,""select H where D='""&amp;D290&amp;""'"")"),"Unidade básica - BAIXA COMPLEXIDADE")</f>
        <v>Unidade básica - BAIXA COMPLEXIDADE</v>
      </c>
      <c r="S290" s="167"/>
      <c r="T290" s="182"/>
      <c r="U290" s="172"/>
      <c r="V290" s="65"/>
      <c r="W290" s="65"/>
      <c r="X290" s="32"/>
      <c r="Y290" s="65"/>
      <c r="Z290" s="65"/>
      <c r="AA290" s="32"/>
      <c r="AB290" s="32"/>
      <c r="AC290" s="32"/>
      <c r="AD290" s="65"/>
      <c r="AE290" s="102"/>
      <c r="AF290" s="110"/>
      <c r="AG290" s="65">
        <v>100.0</v>
      </c>
      <c r="AH290" s="65"/>
      <c r="AI290" s="65"/>
      <c r="AJ290" s="65"/>
      <c r="AK290" s="109"/>
      <c r="AL290" s="109"/>
      <c r="AM290" s="111" t="s">
        <v>1002</v>
      </c>
    </row>
    <row r="291" ht="21.0" customHeight="1">
      <c r="A291" s="196"/>
      <c r="B291" s="69"/>
      <c r="C291" s="42"/>
      <c r="D291" s="67" t="s">
        <v>922</v>
      </c>
      <c r="E291" s="68"/>
      <c r="F291" s="68"/>
      <c r="G291" s="68"/>
      <c r="H291" s="68"/>
      <c r="I291" s="68"/>
      <c r="J291" s="68"/>
      <c r="K291" s="68"/>
      <c r="L291" s="68"/>
      <c r="M291" s="60" t="str">
        <f>IFERROR(__xludf.DUMMYFUNCTION("QUERY(Hospitais_BD!D:I,""select E where D='""&amp;D291&amp;""'"",0)"),"ZONA OESTE")</f>
        <v>ZONA OESTE</v>
      </c>
      <c r="N291" s="25" t="str">
        <f>IFERROR(__xludf.DUMMYFUNCTION("QUERY(Hospitais_BD!D:I,""select F where D='""&amp;D291&amp;""'"")"),"Rio de Janeiro")</f>
        <v>Rio de Janeiro</v>
      </c>
      <c r="O291" s="60" t="str">
        <f>IFERROR(__xludf.DUMMYFUNCTION("QUERY(Hospitais_BD!D:I,""select G where D='""&amp;D291&amp;""'"")"),"Bangu")</f>
        <v>Bangu</v>
      </c>
      <c r="P291" s="25"/>
      <c r="Q291" s="116" t="str">
        <f>IFERROR(__xludf.DUMMYFUNCTION("QUERY(Hospitais_BD!D:I,""select I where D='""&amp;D291&amp;""'"")"),"Público")</f>
        <v>Público</v>
      </c>
      <c r="R291" s="116" t="str">
        <f>IFERROR(__xludf.DUMMYFUNCTION("QUERY(Hospitais_BD!D:I,""select H where D='""&amp;D291&amp;""'"")"),"Unidade básica de saúde - BAIXA COMPLEXIDADE")</f>
        <v>Unidade básica de saúde - BAIXA COMPLEXIDADE</v>
      </c>
      <c r="S291" s="165"/>
      <c r="T291" s="181"/>
      <c r="U291" s="171"/>
      <c r="V291" s="68"/>
      <c r="W291" s="68"/>
      <c r="X291" s="25"/>
      <c r="Y291" s="68"/>
      <c r="Z291" s="68"/>
      <c r="AA291" s="25"/>
      <c r="AB291" s="25"/>
      <c r="AC291" s="25"/>
      <c r="AD291" s="68"/>
      <c r="AE291" s="75"/>
      <c r="AF291" s="121"/>
      <c r="AG291" s="68">
        <v>50.0</v>
      </c>
      <c r="AH291" s="68"/>
      <c r="AI291" s="68"/>
      <c r="AJ291" s="68"/>
      <c r="AK291" s="123"/>
      <c r="AL291" s="123"/>
      <c r="AM291" s="124" t="s">
        <v>1002</v>
      </c>
    </row>
    <row r="292" ht="21.0" customHeight="1">
      <c r="A292" s="197"/>
      <c r="B292" s="70"/>
      <c r="C292" s="59"/>
      <c r="D292" s="82" t="s">
        <v>923</v>
      </c>
      <c r="E292" s="65"/>
      <c r="F292" s="65"/>
      <c r="G292" s="65"/>
      <c r="H292" s="65"/>
      <c r="I292" s="65"/>
      <c r="J292" s="65"/>
      <c r="K292" s="65"/>
      <c r="L292" s="65"/>
      <c r="M292" s="43" t="str">
        <f>IFERROR(__xludf.DUMMYFUNCTION("QUERY(Hospitais_BD!D:I,""select E where D='""&amp;D292&amp;""'"",0)"),"ZONA OESTE")</f>
        <v>ZONA OESTE</v>
      </c>
      <c r="N292" s="32" t="str">
        <f>IFERROR(__xludf.DUMMYFUNCTION("QUERY(Hospitais_BD!D:I,""select F where D='""&amp;D292&amp;""'"")"),"Rio de Janeiro")</f>
        <v>Rio de Janeiro</v>
      </c>
      <c r="O292" s="43" t="str">
        <f>IFERROR(__xludf.DUMMYFUNCTION("QUERY(Hospitais_BD!D:I,""select G where D='""&amp;D292&amp;""'"")"),"Bangu")</f>
        <v>Bangu</v>
      </c>
      <c r="P292" s="32"/>
      <c r="Q292" s="105" t="str">
        <f>IFERROR(__xludf.DUMMYFUNCTION("QUERY(Hospitais_BD!D:I,""select I where D='""&amp;D292&amp;""'"")"),"Público")</f>
        <v>Público</v>
      </c>
      <c r="R292" s="105" t="str">
        <f>IFERROR(__xludf.DUMMYFUNCTION("QUERY(Hospitais_BD!D:I,""select H where D='""&amp;D292&amp;""'"")"),"Unidade básica de saúde - BAIXA COMPLEXIDADE")</f>
        <v>Unidade básica de saúde - BAIXA COMPLEXIDADE</v>
      </c>
      <c r="S292" s="167"/>
      <c r="T292" s="182"/>
      <c r="U292" s="172"/>
      <c r="V292" s="65"/>
      <c r="W292" s="65"/>
      <c r="X292" s="32"/>
      <c r="Y292" s="65"/>
      <c r="Z292" s="65"/>
      <c r="AA292" s="32"/>
      <c r="AB292" s="32"/>
      <c r="AC292" s="32"/>
      <c r="AD292" s="65"/>
      <c r="AE292" s="102"/>
      <c r="AF292" s="110"/>
      <c r="AG292" s="65">
        <v>50.0</v>
      </c>
      <c r="AH292" s="65"/>
      <c r="AI292" s="65"/>
      <c r="AJ292" s="65"/>
      <c r="AK292" s="109"/>
      <c r="AL292" s="109"/>
      <c r="AM292" s="111" t="s">
        <v>1002</v>
      </c>
    </row>
    <row r="293" ht="21.0" customHeight="1">
      <c r="A293" s="196"/>
      <c r="B293" s="69"/>
      <c r="C293" s="42"/>
      <c r="D293" s="67" t="s">
        <v>924</v>
      </c>
      <c r="E293" s="68"/>
      <c r="F293" s="68"/>
      <c r="G293" s="68"/>
      <c r="H293" s="68"/>
      <c r="I293" s="68"/>
      <c r="J293" s="68"/>
      <c r="K293" s="68"/>
      <c r="L293" s="68"/>
      <c r="M293" s="60" t="str">
        <f>IFERROR(__xludf.DUMMYFUNCTION("QUERY(Hospitais_BD!D:I,""select E where D='""&amp;D293&amp;""'"",0)"),"ZONA OESTE")</f>
        <v>ZONA OESTE</v>
      </c>
      <c r="N293" s="25" t="str">
        <f>IFERROR(__xludf.DUMMYFUNCTION("QUERY(Hospitais_BD!D:I,""select F where D='""&amp;D293&amp;""'"")"),"Rio de Janeiro")</f>
        <v>Rio de Janeiro</v>
      </c>
      <c r="O293" s="60" t="str">
        <f>IFERROR(__xludf.DUMMYFUNCTION("QUERY(Hospitais_BD!D:I,""select G where D='""&amp;D293&amp;""'"")"),"Senador Camará")</f>
        <v>Senador Camará</v>
      </c>
      <c r="P293" s="25"/>
      <c r="Q293" s="116" t="str">
        <f>IFERROR(__xludf.DUMMYFUNCTION("QUERY(Hospitais_BD!D:I,""select I where D='""&amp;D293&amp;""'"")"),"Público")</f>
        <v>Público</v>
      </c>
      <c r="R293" s="116" t="str">
        <f>IFERROR(__xludf.DUMMYFUNCTION("QUERY(Hospitais_BD!D:I,""select H where D='""&amp;D293&amp;""'"")"),"Unidade básica de saúde - BAIXA COMPLEXIDADE")</f>
        <v>Unidade básica de saúde - BAIXA COMPLEXIDADE</v>
      </c>
      <c r="S293" s="165"/>
      <c r="T293" s="181"/>
      <c r="U293" s="171"/>
      <c r="V293" s="68"/>
      <c r="W293" s="68"/>
      <c r="X293" s="25"/>
      <c r="Y293" s="68"/>
      <c r="Z293" s="68"/>
      <c r="AA293" s="25"/>
      <c r="AB293" s="25"/>
      <c r="AC293" s="25"/>
      <c r="AD293" s="68"/>
      <c r="AE293" s="75"/>
      <c r="AF293" s="121"/>
      <c r="AG293" s="68">
        <v>50.0</v>
      </c>
      <c r="AH293" s="68"/>
      <c r="AI293" s="68"/>
      <c r="AJ293" s="68"/>
      <c r="AK293" s="123"/>
      <c r="AL293" s="123"/>
      <c r="AM293" s="124" t="s">
        <v>1002</v>
      </c>
    </row>
    <row r="294" ht="21.0" customHeight="1">
      <c r="A294" s="197"/>
      <c r="B294" s="70"/>
      <c r="C294" s="59"/>
      <c r="D294" s="32" t="s">
        <v>925</v>
      </c>
      <c r="E294" s="65"/>
      <c r="F294" s="65"/>
      <c r="G294" s="65"/>
      <c r="H294" s="65"/>
      <c r="I294" s="65"/>
      <c r="J294" s="65"/>
      <c r="K294" s="65"/>
      <c r="L294" s="65"/>
      <c r="M294" s="43" t="str">
        <f>IFERROR(__xludf.DUMMYFUNCTION("QUERY(Hospitais_BD!D:I,""select E where D='""&amp;D294&amp;""'"",0)"),"")</f>
        <v/>
      </c>
      <c r="N294" s="32" t="str">
        <f>IFERROR(__xludf.DUMMYFUNCTION("QUERY(Hospitais_BD!D:I,""select F where D='""&amp;D294&amp;""'"")"),"Rio de Janeiro")</f>
        <v>Rio de Janeiro</v>
      </c>
      <c r="O294" s="43" t="str">
        <f>IFERROR(__xludf.DUMMYFUNCTION("QUERY(Hospitais_BD!D:I,""select G where D='""&amp;D294&amp;""'"")"),"Rio de Janeiro")</f>
        <v>Rio de Janeiro</v>
      </c>
      <c r="P294" s="32"/>
      <c r="Q294" s="105" t="str">
        <f>IFERROR(__xludf.DUMMYFUNCTION("QUERY(Hospitais_BD!D:I,""select I where D='""&amp;D294&amp;""'"")"),"Público")</f>
        <v>Público</v>
      </c>
      <c r="R294" s="105" t="str">
        <f>IFERROR(__xludf.DUMMYFUNCTION("QUERY(Hospitais_BD!D:I,""select H where D='""&amp;D294&amp;""'"")"),"Outra Instituição")</f>
        <v>Outra Instituição</v>
      </c>
      <c r="S294" s="167"/>
      <c r="T294" s="182"/>
      <c r="U294" s="172"/>
      <c r="V294" s="65"/>
      <c r="W294" s="65"/>
      <c r="X294" s="32"/>
      <c r="Y294" s="65"/>
      <c r="Z294" s="65"/>
      <c r="AA294" s="32"/>
      <c r="AB294" s="32"/>
      <c r="AC294" s="32"/>
      <c r="AD294" s="65"/>
      <c r="AE294" s="102"/>
      <c r="AF294" s="110"/>
      <c r="AG294" s="65">
        <v>50.0</v>
      </c>
      <c r="AH294" s="65"/>
      <c r="AI294" s="65"/>
      <c r="AJ294" s="65"/>
      <c r="AK294" s="109"/>
      <c r="AL294" s="109"/>
      <c r="AM294" s="111" t="s">
        <v>1002</v>
      </c>
    </row>
    <row r="295" ht="21.0" customHeight="1">
      <c r="A295" s="196"/>
      <c r="B295" s="69"/>
      <c r="C295" s="42"/>
      <c r="D295" s="198" t="s">
        <v>448</v>
      </c>
      <c r="E295" s="68"/>
      <c r="F295" s="68"/>
      <c r="G295" s="68"/>
      <c r="H295" s="68"/>
      <c r="I295" s="68"/>
      <c r="J295" s="68"/>
      <c r="K295" s="68"/>
      <c r="L295" s="68"/>
      <c r="M295" s="60" t="str">
        <f>IFERROR(__xludf.DUMMYFUNCTION("QUERY(Hospitais_BD!D:I,""select E where D='""&amp;D295&amp;""'"",0)"),"ZONA OESTE")</f>
        <v>ZONA OESTE</v>
      </c>
      <c r="N295" s="25" t="str">
        <f>IFERROR(__xludf.DUMMYFUNCTION("QUERY(Hospitais_BD!D:I,""select F where D='""&amp;D295&amp;""'"")"),"Rio de Janeiro")</f>
        <v>Rio de Janeiro</v>
      </c>
      <c r="O295" s="60" t="str">
        <f>IFERROR(__xludf.DUMMYFUNCTION("QUERY(Hospitais_BD!D:I,""select G where D='""&amp;D295&amp;""'"")"),"TANQUE")</f>
        <v>TANQUE</v>
      </c>
      <c r="P295" s="25"/>
      <c r="Q295" s="116" t="str">
        <f>IFERROR(__xludf.DUMMYFUNCTION("QUERY(Hospitais_BD!D:I,""select I where D='""&amp;D295&amp;""'"")"),"Público")</f>
        <v>Público</v>
      </c>
      <c r="R295" s="116" t="str">
        <f>IFERROR(__xludf.DUMMYFUNCTION("QUERY(Hospitais_BD!D:I,""select H where D='""&amp;D295&amp;""'"")"),"Unidade básica - BAIXA COMPLEXIDADE")</f>
        <v>Unidade básica - BAIXA COMPLEXIDADE</v>
      </c>
      <c r="S295" s="165"/>
      <c r="T295" s="181"/>
      <c r="U295" s="171"/>
      <c r="V295" s="68"/>
      <c r="W295" s="68"/>
      <c r="X295" s="25"/>
      <c r="Y295" s="68"/>
      <c r="Z295" s="68"/>
      <c r="AA295" s="25"/>
      <c r="AB295" s="25"/>
      <c r="AC295" s="25"/>
      <c r="AD295" s="68"/>
      <c r="AE295" s="75"/>
      <c r="AF295" s="121"/>
      <c r="AG295" s="68">
        <v>50.0</v>
      </c>
      <c r="AH295" s="68"/>
      <c r="AI295" s="68"/>
      <c r="AJ295" s="68"/>
      <c r="AK295" s="123"/>
      <c r="AL295" s="123"/>
      <c r="AM295" s="124" t="s">
        <v>1002</v>
      </c>
    </row>
    <row r="296" ht="21.0" customHeight="1">
      <c r="A296" s="197"/>
      <c r="B296" s="70"/>
      <c r="C296" s="59"/>
      <c r="D296" s="32" t="s">
        <v>468</v>
      </c>
      <c r="E296" s="65"/>
      <c r="F296" s="65"/>
      <c r="G296" s="65"/>
      <c r="H296" s="65"/>
      <c r="I296" s="65"/>
      <c r="J296" s="65"/>
      <c r="K296" s="65"/>
      <c r="L296" s="65"/>
      <c r="M296" s="43" t="str">
        <f>IFERROR(__xludf.DUMMYFUNCTION("QUERY(Hospitais_BD!D:I,""select E where D='""&amp;D296&amp;""'"",0)"),"ZONA SUL")</f>
        <v>ZONA SUL</v>
      </c>
      <c r="N296" s="32" t="str">
        <f>IFERROR(__xludf.DUMMYFUNCTION("QUERY(Hospitais_BD!D:I,""select F where D='""&amp;D296&amp;""'"")"),"Rio de Janeiro")</f>
        <v>Rio de Janeiro</v>
      </c>
      <c r="O296" s="43" t="str">
        <f>IFERROR(__xludf.DUMMYFUNCTION("QUERY(Hospitais_BD!D:I,""select G where D='""&amp;D296&amp;""'"")"),"Flamengo")</f>
        <v>Flamengo</v>
      </c>
      <c r="P296" s="32"/>
      <c r="Q296" s="105" t="str">
        <f>IFERROR(__xludf.DUMMYFUNCTION("QUERY(Hospitais_BD!D:I,""select I where D='""&amp;D296&amp;""'"")"),"Público")</f>
        <v>Público</v>
      </c>
      <c r="R296" s="105" t="str">
        <f>IFERROR(__xludf.DUMMYFUNCTION("QUERY(Hospitais_BD!D:I,""select H where D='""&amp;D296&amp;""'"")"),"Referência - ALTA COMPLEXIDADE")</f>
        <v>Referência - ALTA COMPLEXIDADE</v>
      </c>
      <c r="S296" s="167"/>
      <c r="T296" s="182"/>
      <c r="U296" s="172"/>
      <c r="V296" s="65"/>
      <c r="W296" s="65"/>
      <c r="X296" s="32"/>
      <c r="Y296" s="65"/>
      <c r="Z296" s="65"/>
      <c r="AA296" s="32"/>
      <c r="AB296" s="32"/>
      <c r="AC296" s="32"/>
      <c r="AD296" s="65"/>
      <c r="AE296" s="102"/>
      <c r="AF296" s="110"/>
      <c r="AG296" s="65">
        <v>100.0</v>
      </c>
      <c r="AH296" s="65"/>
      <c r="AI296" s="65"/>
      <c r="AJ296" s="65"/>
      <c r="AK296" s="109"/>
      <c r="AL296" s="109"/>
      <c r="AM296" s="111" t="s">
        <v>1002</v>
      </c>
    </row>
    <row r="297" ht="21.0" customHeight="1">
      <c r="A297" s="199"/>
      <c r="B297" s="69"/>
      <c r="C297" s="42"/>
      <c r="D297" s="85" t="s">
        <v>744</v>
      </c>
      <c r="E297" s="68"/>
      <c r="F297" s="68"/>
      <c r="G297" s="68"/>
      <c r="H297" s="68"/>
      <c r="I297" s="68"/>
      <c r="J297" s="68"/>
      <c r="K297" s="68"/>
      <c r="L297" s="68"/>
      <c r="M297" s="60" t="str">
        <f>IFERROR(__xludf.DUMMYFUNCTION("QUERY(Hospitais_BD!D:I,""select E where D='""&amp;D297&amp;""'"",0)"),"ZONA NORTE")</f>
        <v>ZONA NORTE</v>
      </c>
      <c r="N297" s="25" t="str">
        <f>IFERROR(__xludf.DUMMYFUNCTION("QUERY(Hospitais_BD!D:I,""select F where D='""&amp;D297&amp;""'"")"),"Rio de Janeiro")</f>
        <v>Rio de Janeiro</v>
      </c>
      <c r="O297" s="60" t="str">
        <f>IFERROR(__xludf.DUMMYFUNCTION("QUERY(Hospitais_BD!D:I,""select G where D='""&amp;D297&amp;""'"")"),"Galeao")</f>
        <v>Galeao</v>
      </c>
      <c r="P297" s="25"/>
      <c r="Q297" s="116" t="str">
        <f>IFERROR(__xludf.DUMMYFUNCTION("QUERY(Hospitais_BD!D:I,""select I where D='""&amp;D297&amp;""'"")"),"Público")</f>
        <v>Público</v>
      </c>
      <c r="R297" s="116" t="str">
        <f>IFERROR(__xludf.DUMMYFUNCTION("QUERY(Hospitais_BD!D:I,""select H where D='""&amp;D297&amp;""'"")"),"Departamento Geral de Ações Socioeducativas
")</f>
        <v>Departamento Geral de Ações Socioeducativas
</v>
      </c>
      <c r="S297" s="165"/>
      <c r="T297" s="181"/>
      <c r="U297" s="171"/>
      <c r="V297" s="68"/>
      <c r="W297" s="68"/>
      <c r="X297" s="25"/>
      <c r="Y297" s="68"/>
      <c r="Z297" s="68"/>
      <c r="AA297" s="25"/>
      <c r="AB297" s="25"/>
      <c r="AC297" s="25"/>
      <c r="AD297" s="68"/>
      <c r="AE297" s="75"/>
      <c r="AF297" s="121"/>
      <c r="AG297" s="68">
        <v>50.0</v>
      </c>
      <c r="AH297" s="68"/>
      <c r="AI297" s="68"/>
      <c r="AJ297" s="68"/>
      <c r="AK297" s="123">
        <v>20.0</v>
      </c>
      <c r="AL297" s="123"/>
      <c r="AM297" s="124" t="s">
        <v>1002</v>
      </c>
    </row>
    <row r="298" ht="21.0" customHeight="1">
      <c r="A298" s="200"/>
      <c r="B298" s="70"/>
      <c r="C298" s="59"/>
      <c r="D298" s="83" t="s">
        <v>926</v>
      </c>
      <c r="E298" s="65"/>
      <c r="F298" s="65"/>
      <c r="G298" s="65"/>
      <c r="H298" s="65"/>
      <c r="I298" s="65"/>
      <c r="J298" s="65"/>
      <c r="K298" s="65"/>
      <c r="L298" s="65"/>
      <c r="M298" s="43" t="str">
        <f>IFERROR(__xludf.DUMMYFUNCTION("QUERY(Hospitais_BD!D:I,""select E where D='""&amp;D298&amp;""'"",0)"),"ZONA NORTE")</f>
        <v>ZONA NORTE</v>
      </c>
      <c r="N298" s="32" t="str">
        <f>IFERROR(__xludf.DUMMYFUNCTION("QUERY(Hospitais_BD!D:I,""select F where D='""&amp;D298&amp;""'"")"),"Rio de Janeiro")</f>
        <v>Rio de Janeiro</v>
      </c>
      <c r="O298" s="43" t="str">
        <f>IFERROR(__xludf.DUMMYFUNCTION("QUERY(Hospitais_BD!D:I,""select G where D='""&amp;D298&amp;""'"")"),"Marechal Hermes")</f>
        <v>Marechal Hermes</v>
      </c>
      <c r="P298" s="32"/>
      <c r="Q298" s="105" t="str">
        <f>IFERROR(__xludf.DUMMYFUNCTION("QUERY(Hospitais_BD!D:I,""select I where D='""&amp;D298&amp;""'"")"),"Público")</f>
        <v>Público</v>
      </c>
      <c r="R298" s="105" t="str">
        <f>IFERROR(__xludf.DUMMYFUNCTION("QUERY(Hospitais_BD!D:I,""select H where D='""&amp;D298&amp;""'"")"),"Unidade básica de saúde - BAIXA COMPLEXIDADE")</f>
        <v>Unidade básica de saúde - BAIXA COMPLEXIDADE</v>
      </c>
      <c r="S298" s="167"/>
      <c r="T298" s="182"/>
      <c r="U298" s="172"/>
      <c r="V298" s="65"/>
      <c r="W298" s="65"/>
      <c r="X298" s="32"/>
      <c r="Y298" s="65"/>
      <c r="Z298" s="65"/>
      <c r="AA298" s="32"/>
      <c r="AB298" s="32"/>
      <c r="AC298" s="32"/>
      <c r="AD298" s="65"/>
      <c r="AE298" s="102"/>
      <c r="AF298" s="110"/>
      <c r="AG298" s="65">
        <v>50.0</v>
      </c>
      <c r="AH298" s="65"/>
      <c r="AI298" s="65"/>
      <c r="AJ298" s="65"/>
      <c r="AK298" s="109">
        <v>20.0</v>
      </c>
      <c r="AL298" s="109">
        <v>10.0</v>
      </c>
      <c r="AM298" s="111" t="s">
        <v>1002</v>
      </c>
    </row>
    <row r="299" ht="21.0" customHeight="1">
      <c r="A299" s="199"/>
      <c r="B299" s="69"/>
      <c r="C299" s="42"/>
      <c r="D299" s="84" t="s">
        <v>927</v>
      </c>
      <c r="E299" s="68"/>
      <c r="F299" s="68"/>
      <c r="G299" s="68"/>
      <c r="H299" s="68"/>
      <c r="I299" s="68"/>
      <c r="J299" s="68"/>
      <c r="K299" s="68"/>
      <c r="L299" s="68"/>
      <c r="M299" s="60" t="str">
        <f>IFERROR(__xludf.DUMMYFUNCTION("QUERY(Hospitais_BD!D:I,""select E where D='""&amp;D299&amp;""'"",0)"),"ZONA OESTE")</f>
        <v>ZONA OESTE</v>
      </c>
      <c r="N299" s="25" t="str">
        <f>IFERROR(__xludf.DUMMYFUNCTION("QUERY(Hospitais_BD!D:I,""select F where D='""&amp;D299&amp;""'"")"),"Rio de Janeiro")</f>
        <v>Rio de Janeiro</v>
      </c>
      <c r="O299" s="60" t="str">
        <f>IFERROR(__xludf.DUMMYFUNCTION("QUERY(Hospitais_BD!D:I,""select G where D='""&amp;D299&amp;""'"")"),"Bangu")</f>
        <v>Bangu</v>
      </c>
      <c r="P299" s="25"/>
      <c r="Q299" s="116" t="str">
        <f>IFERROR(__xludf.DUMMYFUNCTION("QUERY(Hospitais_BD!D:I,""select I where D='""&amp;D299&amp;""'"")"),"Público")</f>
        <v>Público</v>
      </c>
      <c r="R299" s="116" t="str">
        <f>IFERROR(__xludf.DUMMYFUNCTION("QUERY(Hospitais_BD!D:I,""select H where D='""&amp;D299&amp;""'"")"),"Unidade básica de saúde - BAIXA COMPLEXIDADE")</f>
        <v>Unidade básica de saúde - BAIXA COMPLEXIDADE</v>
      </c>
      <c r="S299" s="165"/>
      <c r="T299" s="181"/>
      <c r="U299" s="171"/>
      <c r="V299" s="68"/>
      <c r="W299" s="68"/>
      <c r="X299" s="25"/>
      <c r="Y299" s="68"/>
      <c r="Z299" s="68"/>
      <c r="AA299" s="25"/>
      <c r="AB299" s="25"/>
      <c r="AC299" s="25"/>
      <c r="AD299" s="68"/>
      <c r="AE299" s="75"/>
      <c r="AF299" s="121"/>
      <c r="AG299" s="68">
        <v>50.0</v>
      </c>
      <c r="AH299" s="68"/>
      <c r="AI299" s="68"/>
      <c r="AJ299" s="68"/>
      <c r="AK299" s="123">
        <v>10.0</v>
      </c>
      <c r="AL299" s="123">
        <v>20.0</v>
      </c>
      <c r="AM299" s="124" t="s">
        <v>1002</v>
      </c>
    </row>
    <row r="300" ht="21.0" customHeight="1">
      <c r="A300" s="200"/>
      <c r="B300" s="70"/>
      <c r="C300" s="59"/>
      <c r="D300" s="83" t="s">
        <v>928</v>
      </c>
      <c r="E300" s="65"/>
      <c r="F300" s="65"/>
      <c r="G300" s="65"/>
      <c r="H300" s="65"/>
      <c r="I300" s="65"/>
      <c r="J300" s="65"/>
      <c r="K300" s="65"/>
      <c r="L300" s="65"/>
      <c r="M300" s="43" t="str">
        <f>IFERROR(__xludf.DUMMYFUNCTION("QUERY(Hospitais_BD!D:I,""select E where D='""&amp;D300&amp;""'"",0)"),"ZONA OESTE")</f>
        <v>ZONA OESTE</v>
      </c>
      <c r="N300" s="32" t="str">
        <f>IFERROR(__xludf.DUMMYFUNCTION("QUERY(Hospitais_BD!D:I,""select F where D='""&amp;D300&amp;""'"")"),"Rio de Janeiro")</f>
        <v>Rio de Janeiro</v>
      </c>
      <c r="O300" s="43" t="str">
        <f>IFERROR(__xludf.DUMMYFUNCTION("QUERY(Hospitais_BD!D:I,""select G where D='""&amp;D300&amp;""'"")"),"Padre Miguel")</f>
        <v>Padre Miguel</v>
      </c>
      <c r="P300" s="32"/>
      <c r="Q300" s="105" t="str">
        <f>IFERROR(__xludf.DUMMYFUNCTION("QUERY(Hospitais_BD!D:I,""select I where D='""&amp;D300&amp;""'"")"),"Público")</f>
        <v>Público</v>
      </c>
      <c r="R300" s="105" t="str">
        <f>IFERROR(__xludf.DUMMYFUNCTION("QUERY(Hospitais_BD!D:I,""select H where D='""&amp;D300&amp;""'"")"),"Unidade básica de saúde - BAIXA COMPLEXIDADE")</f>
        <v>Unidade básica de saúde - BAIXA COMPLEXIDADE</v>
      </c>
      <c r="S300" s="167"/>
      <c r="T300" s="182"/>
      <c r="U300" s="172"/>
      <c r="V300" s="65"/>
      <c r="W300" s="65"/>
      <c r="X300" s="32"/>
      <c r="Y300" s="65"/>
      <c r="Z300" s="65"/>
      <c r="AA300" s="32"/>
      <c r="AB300" s="32"/>
      <c r="AC300" s="32"/>
      <c r="AD300" s="65"/>
      <c r="AE300" s="102"/>
      <c r="AF300" s="110"/>
      <c r="AG300" s="65">
        <v>50.0</v>
      </c>
      <c r="AH300" s="65"/>
      <c r="AI300" s="65"/>
      <c r="AJ300" s="65"/>
      <c r="AK300" s="109">
        <v>10.0</v>
      </c>
      <c r="AL300" s="109">
        <v>20.0</v>
      </c>
      <c r="AM300" s="111" t="s">
        <v>1002</v>
      </c>
    </row>
    <row r="301" ht="21.0" customHeight="1">
      <c r="A301" s="199"/>
      <c r="B301" s="69"/>
      <c r="C301" s="42"/>
      <c r="D301" s="84" t="s">
        <v>929</v>
      </c>
      <c r="E301" s="68"/>
      <c r="F301" s="68"/>
      <c r="G301" s="68"/>
      <c r="H301" s="68"/>
      <c r="I301" s="68"/>
      <c r="J301" s="68"/>
      <c r="K301" s="68"/>
      <c r="L301" s="68"/>
      <c r="M301" s="60" t="str">
        <f>IFERROR(__xludf.DUMMYFUNCTION("QUERY(Hospitais_BD!D:I,""select E where D='""&amp;D301&amp;""'"",0)"),"ZONA OESTE")</f>
        <v>ZONA OESTE</v>
      </c>
      <c r="N301" s="25" t="str">
        <f>IFERROR(__xludf.DUMMYFUNCTION("QUERY(Hospitais_BD!D:I,""select F where D='""&amp;D301&amp;""'"")"),"Rio de Janeiro")</f>
        <v>Rio de Janeiro</v>
      </c>
      <c r="O301" s="60" t="str">
        <f>IFERROR(__xludf.DUMMYFUNCTION("QUERY(Hospitais_BD!D:I,""select G where D='""&amp;D301&amp;""'"")"),"Vila Kennedy")</f>
        <v>Vila Kennedy</v>
      </c>
      <c r="P301" s="25"/>
      <c r="Q301" s="116" t="str">
        <f>IFERROR(__xludf.DUMMYFUNCTION("QUERY(Hospitais_BD!D:I,""select I where D='""&amp;D301&amp;""'"")"),"Público")</f>
        <v>Público</v>
      </c>
      <c r="R301" s="116" t="str">
        <f>IFERROR(__xludf.DUMMYFUNCTION("QUERY(Hospitais_BD!D:I,""select H where D='""&amp;D301&amp;""'"")"),"Unidade básica de saúde - BAIXA COMPLEXIDADE")</f>
        <v>Unidade básica de saúde - BAIXA COMPLEXIDADE</v>
      </c>
      <c r="S301" s="165"/>
      <c r="T301" s="181"/>
      <c r="U301" s="171"/>
      <c r="V301" s="68"/>
      <c r="W301" s="68"/>
      <c r="X301" s="25"/>
      <c r="Y301" s="68"/>
      <c r="Z301" s="68"/>
      <c r="AA301" s="25"/>
      <c r="AB301" s="25"/>
      <c r="AC301" s="25"/>
      <c r="AD301" s="68"/>
      <c r="AE301" s="75"/>
      <c r="AF301" s="121"/>
      <c r="AG301" s="68">
        <v>50.0</v>
      </c>
      <c r="AH301" s="68"/>
      <c r="AI301" s="68"/>
      <c r="AJ301" s="68"/>
      <c r="AK301" s="123">
        <v>10.0</v>
      </c>
      <c r="AL301" s="123">
        <v>20.0</v>
      </c>
      <c r="AM301" s="124" t="s">
        <v>1002</v>
      </c>
    </row>
    <row r="302" ht="21.0" customHeight="1">
      <c r="A302" s="200"/>
      <c r="B302" s="70"/>
      <c r="C302" s="59"/>
      <c r="D302" s="83" t="s">
        <v>931</v>
      </c>
      <c r="E302" s="65"/>
      <c r="F302" s="65"/>
      <c r="G302" s="65"/>
      <c r="H302" s="65"/>
      <c r="I302" s="65"/>
      <c r="J302" s="65"/>
      <c r="K302" s="65"/>
      <c r="L302" s="65"/>
      <c r="M302" s="43" t="str">
        <f>IFERROR(__xludf.DUMMYFUNCTION("QUERY(Hospitais_BD!D:I,""select E where D='""&amp;D302&amp;""'"",0)"),"ZONA OESTE")</f>
        <v>ZONA OESTE</v>
      </c>
      <c r="N302" s="32" t="str">
        <f>IFERROR(__xludf.DUMMYFUNCTION("QUERY(Hospitais_BD!D:I,""select F where D='""&amp;D302&amp;""'"")"),"Rio de Janeiro")</f>
        <v>Rio de Janeiro</v>
      </c>
      <c r="O302" s="43" t="str">
        <f>IFERROR(__xludf.DUMMYFUNCTION("QUERY(Hospitais_BD!D:I,""select G where D='""&amp;D302&amp;""'"")"),"Senador Camará")</f>
        <v>Senador Camará</v>
      </c>
      <c r="P302" s="32"/>
      <c r="Q302" s="105" t="str">
        <f>IFERROR(__xludf.DUMMYFUNCTION("QUERY(Hospitais_BD!D:I,""select I where D='""&amp;D302&amp;""'"")"),"Público")</f>
        <v>Público</v>
      </c>
      <c r="R302" s="105" t="str">
        <f>IFERROR(__xludf.DUMMYFUNCTION("QUERY(Hospitais_BD!D:I,""select H where D='""&amp;D302&amp;""'"")"),"Unidade básica de saúde - BAIXA COMPLEXIDADE")</f>
        <v>Unidade básica de saúde - BAIXA COMPLEXIDADE</v>
      </c>
      <c r="S302" s="167"/>
      <c r="T302" s="182"/>
      <c r="U302" s="172"/>
      <c r="V302" s="65"/>
      <c r="W302" s="65"/>
      <c r="X302" s="32"/>
      <c r="Y302" s="65"/>
      <c r="Z302" s="65"/>
      <c r="AA302" s="32"/>
      <c r="AB302" s="32"/>
      <c r="AC302" s="32"/>
      <c r="AD302" s="65"/>
      <c r="AE302" s="102"/>
      <c r="AF302" s="110"/>
      <c r="AG302" s="65">
        <v>50.0</v>
      </c>
      <c r="AH302" s="65"/>
      <c r="AI302" s="65"/>
      <c r="AJ302" s="65"/>
      <c r="AK302" s="109">
        <v>10.0</v>
      </c>
      <c r="AL302" s="109">
        <v>50.0</v>
      </c>
      <c r="AM302" s="111" t="s">
        <v>1002</v>
      </c>
    </row>
    <row r="303" ht="21.0" customHeight="1">
      <c r="A303" s="199"/>
      <c r="B303" s="69"/>
      <c r="C303" s="42"/>
      <c r="D303" s="85" t="s">
        <v>932</v>
      </c>
      <c r="E303" s="68"/>
      <c r="F303" s="68"/>
      <c r="G303" s="68"/>
      <c r="H303" s="68"/>
      <c r="I303" s="68"/>
      <c r="J303" s="68"/>
      <c r="K303" s="68"/>
      <c r="L303" s="68"/>
      <c r="M303" s="60" t="str">
        <f>IFERROR(__xludf.DUMMYFUNCTION("QUERY(Hospitais_BD!D:I,""select E where D='""&amp;D303&amp;""'"",0)"),"ZONA NORTE")</f>
        <v>ZONA NORTE</v>
      </c>
      <c r="N303" s="25" t="str">
        <f>IFERROR(__xludf.DUMMYFUNCTION("QUERY(Hospitais_BD!D:I,""select F where D='""&amp;D303&amp;""'"")"),"Rio de Janeiro")</f>
        <v>Rio de Janeiro</v>
      </c>
      <c r="O303" s="60" t="str">
        <f>IFERROR(__xludf.DUMMYFUNCTION("QUERY(Hospitais_BD!D:I,""select G where D='""&amp;D303&amp;""'"")"),"Coelho Neto")</f>
        <v>Coelho Neto</v>
      </c>
      <c r="P303" s="25"/>
      <c r="Q303" s="116" t="str">
        <f>IFERROR(__xludf.DUMMYFUNCTION("QUERY(Hospitais_BD!D:I,""select I where D='""&amp;D303&amp;""'"")"),"Público")</f>
        <v>Público</v>
      </c>
      <c r="R303" s="116" t="str">
        <f>IFERROR(__xludf.DUMMYFUNCTION("QUERY(Hospitais_BD!D:I,""select H where D='""&amp;D303&amp;""'"")"),"Unidade básica de saúde - BAIXA COMPLEXIDADE")</f>
        <v>Unidade básica de saúde - BAIXA COMPLEXIDADE</v>
      </c>
      <c r="S303" s="165"/>
      <c r="T303" s="181"/>
      <c r="U303" s="171"/>
      <c r="V303" s="68"/>
      <c r="W303" s="68"/>
      <c r="X303" s="25"/>
      <c r="Y303" s="68"/>
      <c r="Z303" s="68"/>
      <c r="AA303" s="25"/>
      <c r="AB303" s="25"/>
      <c r="AC303" s="25"/>
      <c r="AD303" s="68"/>
      <c r="AE303" s="75"/>
      <c r="AF303" s="121"/>
      <c r="AG303" s="68">
        <v>50.0</v>
      </c>
      <c r="AH303" s="68"/>
      <c r="AI303" s="68"/>
      <c r="AJ303" s="68"/>
      <c r="AK303" s="123">
        <v>15.0</v>
      </c>
      <c r="AL303" s="123">
        <v>25.0</v>
      </c>
      <c r="AM303" s="124" t="s">
        <v>1002</v>
      </c>
    </row>
    <row r="304" ht="21.0" customHeight="1">
      <c r="A304" s="200"/>
      <c r="B304" s="70"/>
      <c r="C304" s="59"/>
      <c r="D304" s="86" t="s">
        <v>933</v>
      </c>
      <c r="E304" s="65"/>
      <c r="F304" s="65"/>
      <c r="G304" s="65"/>
      <c r="H304" s="65"/>
      <c r="I304" s="65"/>
      <c r="J304" s="65"/>
      <c r="K304" s="65"/>
      <c r="L304" s="65"/>
      <c r="M304" s="43" t="str">
        <f>IFERROR(__xludf.DUMMYFUNCTION("QUERY(Hospitais_BD!D:I,""select E where D='""&amp;D304&amp;""'"",0)"),"ZONA OESTE")</f>
        <v>ZONA OESTE</v>
      </c>
      <c r="N304" s="32" t="str">
        <f>IFERROR(__xludf.DUMMYFUNCTION("QUERY(Hospitais_BD!D:I,""select F where D='""&amp;D304&amp;""'"")"),"Rio de Janeiro")</f>
        <v>Rio de Janeiro</v>
      </c>
      <c r="O304" s="43" t="str">
        <f>IFERROR(__xludf.DUMMYFUNCTION("QUERY(Hospitais_BD!D:I,""select G where D='""&amp;D304&amp;""'"")"),"Complexo de Gericinó")</f>
        <v>Complexo de Gericinó</v>
      </c>
      <c r="P304" s="32"/>
      <c r="Q304" s="105" t="str">
        <f>IFERROR(__xludf.DUMMYFUNCTION("QUERY(Hospitais_BD!D:I,""select I where D='""&amp;D304&amp;""'"")"),"Público")</f>
        <v>Público</v>
      </c>
      <c r="R304" s="105" t="str">
        <f>IFERROR(__xludf.DUMMYFUNCTION("QUERY(Hospitais_BD!D:I,""select H where D='""&amp;D304&amp;""'"")"),"Hospital de Apoio - MÉDIA COMPLEXIDADE
")</f>
        <v>Hospital de Apoio - MÉDIA COMPLEXIDADE
</v>
      </c>
      <c r="S304" s="167"/>
      <c r="T304" s="182"/>
      <c r="U304" s="172"/>
      <c r="V304" s="65"/>
      <c r="W304" s="65"/>
      <c r="X304" s="32"/>
      <c r="Y304" s="65"/>
      <c r="Z304" s="65"/>
      <c r="AA304" s="32"/>
      <c r="AB304" s="32"/>
      <c r="AC304" s="32"/>
      <c r="AD304" s="65"/>
      <c r="AE304" s="102"/>
      <c r="AF304" s="110"/>
      <c r="AG304" s="65">
        <v>50.0</v>
      </c>
      <c r="AH304" s="65"/>
      <c r="AI304" s="65"/>
      <c r="AJ304" s="65"/>
      <c r="AK304" s="109">
        <v>10.0</v>
      </c>
      <c r="AL304" s="109"/>
      <c r="AM304" s="111" t="s">
        <v>1002</v>
      </c>
    </row>
    <row r="305" ht="21.0" customHeight="1">
      <c r="A305" s="191"/>
      <c r="B305" s="69"/>
      <c r="C305" s="42"/>
      <c r="D305" s="25" t="s">
        <v>267</v>
      </c>
      <c r="E305" s="68"/>
      <c r="F305" s="68"/>
      <c r="G305" s="68"/>
      <c r="H305" s="68"/>
      <c r="I305" s="68"/>
      <c r="J305" s="68"/>
      <c r="K305" s="68"/>
      <c r="L305" s="68"/>
      <c r="M305" s="60" t="str">
        <f>IFERROR(__xludf.DUMMYFUNCTION("QUERY(Hospitais_BD!D:I,""select E where D='""&amp;D305&amp;""'"",0)"),"ZONA SUL")</f>
        <v>ZONA SUL</v>
      </c>
      <c r="N305" s="25" t="str">
        <f>IFERROR(__xludf.DUMMYFUNCTION("QUERY(Hospitais_BD!D:I,""select F where D='""&amp;D305&amp;""'"")"),"Rio de Janeiro")</f>
        <v>Rio de Janeiro</v>
      </c>
      <c r="O305" s="60" t="str">
        <f>IFERROR(__xludf.DUMMYFUNCTION("QUERY(Hospitais_BD!D:I,""select G where D='""&amp;D305&amp;""'"")"),"Jardim Botanico")</f>
        <v>Jardim Botanico</v>
      </c>
      <c r="P305" s="25"/>
      <c r="Q305" s="116" t="str">
        <f>IFERROR(__xludf.DUMMYFUNCTION("QUERY(Hospitais_BD!D:I,""select I where D='""&amp;D305&amp;""'"")"),"Público")</f>
        <v>Público</v>
      </c>
      <c r="R305" s="116" t="str">
        <f>IFERROR(__xludf.DUMMYFUNCTION("QUERY(Hospitais_BD!D:I,""select H where D='""&amp;D305&amp;""'"")"),"Grande emergência - MÉDIA COMPLEXIDADE")</f>
        <v>Grande emergência - MÉDIA COMPLEXIDADE</v>
      </c>
      <c r="S305" s="165"/>
      <c r="T305" s="181"/>
      <c r="U305" s="171"/>
      <c r="V305" s="68"/>
      <c r="W305" s="68"/>
      <c r="X305" s="25"/>
      <c r="Y305" s="68"/>
      <c r="Z305" s="68"/>
      <c r="AA305" s="25"/>
      <c r="AB305" s="25"/>
      <c r="AC305" s="25"/>
      <c r="AD305" s="68"/>
      <c r="AE305" s="75"/>
      <c r="AF305" s="121"/>
      <c r="AG305" s="68">
        <v>100.0</v>
      </c>
      <c r="AH305" s="68"/>
      <c r="AI305" s="68"/>
      <c r="AJ305" s="68"/>
      <c r="AK305" s="123"/>
      <c r="AL305" s="123"/>
      <c r="AM305" s="124" t="s">
        <v>1002</v>
      </c>
    </row>
    <row r="306" ht="21.0" customHeight="1">
      <c r="A306" s="190"/>
      <c r="B306" s="70"/>
      <c r="C306" s="59"/>
      <c r="D306" s="32" t="s">
        <v>345</v>
      </c>
      <c r="E306" s="65"/>
      <c r="F306" s="65"/>
      <c r="G306" s="65"/>
      <c r="H306" s="65"/>
      <c r="I306" s="65"/>
      <c r="J306" s="65"/>
      <c r="K306" s="65"/>
      <c r="L306" s="65"/>
      <c r="M306" s="43" t="str">
        <f>IFERROR(__xludf.DUMMYFUNCTION("QUERY(Hospitais_BD!D:I,""select E where D='""&amp;D306&amp;""'"",0)"),"ZONA OESTE")</f>
        <v>ZONA OESTE</v>
      </c>
      <c r="N306" s="32" t="str">
        <f>IFERROR(__xludf.DUMMYFUNCTION("QUERY(Hospitais_BD!D:I,""select F where D='""&amp;D306&amp;""'"")"),"Rio de Janeiro")</f>
        <v>Rio de Janeiro</v>
      </c>
      <c r="O306" s="43" t="str">
        <f>IFERROR(__xludf.DUMMYFUNCTION("QUERY(Hospitais_BD!D:I,""select G where D='""&amp;D306&amp;""'"")"),"Barra da Tijuca")</f>
        <v>Barra da Tijuca</v>
      </c>
      <c r="P306" s="32"/>
      <c r="Q306" s="105" t="str">
        <f>IFERROR(__xludf.DUMMYFUNCTION("QUERY(Hospitais_BD!D:I,""select I where D='""&amp;D306&amp;""'"")"),"Público")</f>
        <v>Público</v>
      </c>
      <c r="R306" s="105" t="str">
        <f>IFERROR(__xludf.DUMMYFUNCTION("QUERY(Hospitais_BD!D:I,""select H where D='""&amp;D306&amp;""'"")"),"Grande emergência - MÉDIA COMPLEXIDADE")</f>
        <v>Grande emergência - MÉDIA COMPLEXIDADE</v>
      </c>
      <c r="S306" s="167"/>
      <c r="T306" s="182"/>
      <c r="U306" s="172"/>
      <c r="V306" s="65"/>
      <c r="W306" s="65"/>
      <c r="X306" s="32"/>
      <c r="Y306" s="65"/>
      <c r="Z306" s="65"/>
      <c r="AA306" s="32"/>
      <c r="AB306" s="32"/>
      <c r="AC306" s="32"/>
      <c r="AD306" s="65"/>
      <c r="AE306" s="102"/>
      <c r="AF306" s="110"/>
      <c r="AG306" s="65">
        <v>135.0</v>
      </c>
      <c r="AH306" s="65"/>
      <c r="AI306" s="65"/>
      <c r="AJ306" s="65"/>
      <c r="AK306" s="109"/>
      <c r="AL306" s="109"/>
      <c r="AM306" s="111" t="s">
        <v>1002</v>
      </c>
    </row>
    <row r="307" ht="21.0" customHeight="1">
      <c r="A307" s="191"/>
      <c r="B307" s="69"/>
      <c r="C307" s="42"/>
      <c r="D307" s="25" t="s">
        <v>337</v>
      </c>
      <c r="E307" s="68"/>
      <c r="F307" s="68"/>
      <c r="G307" s="68"/>
      <c r="H307" s="68"/>
      <c r="I307" s="68"/>
      <c r="J307" s="68"/>
      <c r="K307" s="68"/>
      <c r="L307" s="68"/>
      <c r="M307" s="60" t="str">
        <f>IFERROR(__xludf.DUMMYFUNCTION("QUERY(Hospitais_BD!D:I,""select E where D='""&amp;D307&amp;""'"",0)"),"ZONA NORTE")</f>
        <v>ZONA NORTE</v>
      </c>
      <c r="N307" s="25" t="str">
        <f>IFERROR(__xludf.DUMMYFUNCTION("QUERY(Hospitais_BD!D:I,""select F where D='""&amp;D307&amp;""'"")"),"Rio de Janeiro")</f>
        <v>Rio de Janeiro</v>
      </c>
      <c r="O307" s="60" t="str">
        <f>IFERROR(__xludf.DUMMYFUNCTION("QUERY(Hospitais_BD!D:I,""select G where D='""&amp;D307&amp;""'"")"),"Vila Isabel")</f>
        <v>Vila Isabel</v>
      </c>
      <c r="P307" s="25"/>
      <c r="Q307" s="116" t="str">
        <f>IFERROR(__xludf.DUMMYFUNCTION("QUERY(Hospitais_BD!D:I,""select I where D='""&amp;D307&amp;""'"")"),"Público")</f>
        <v>Público</v>
      </c>
      <c r="R307" s="116" t="str">
        <f>IFERROR(__xludf.DUMMYFUNCTION("QUERY(Hospitais_BD!D:I,""select H where D='""&amp;D307&amp;""'"")"),"Grande emergência - MÉDIA COMPLEXIDADE")</f>
        <v>Grande emergência - MÉDIA COMPLEXIDADE</v>
      </c>
      <c r="S307" s="165"/>
      <c r="T307" s="181"/>
      <c r="U307" s="171"/>
      <c r="V307" s="68"/>
      <c r="W307" s="68"/>
      <c r="X307" s="25"/>
      <c r="Y307" s="68"/>
      <c r="Z307" s="68"/>
      <c r="AA307" s="25"/>
      <c r="AB307" s="25"/>
      <c r="AC307" s="25"/>
      <c r="AD307" s="68"/>
      <c r="AE307" s="75"/>
      <c r="AF307" s="121"/>
      <c r="AG307" s="68">
        <v>10.0</v>
      </c>
      <c r="AH307" s="68"/>
      <c r="AI307" s="68"/>
      <c r="AJ307" s="68"/>
      <c r="AK307" s="123"/>
      <c r="AL307" s="123"/>
      <c r="AM307" s="124" t="s">
        <v>1002</v>
      </c>
    </row>
    <row r="308" ht="21.0" customHeight="1">
      <c r="A308" s="201"/>
      <c r="B308" s="70"/>
      <c r="C308" s="59"/>
      <c r="D308" s="32" t="s">
        <v>368</v>
      </c>
      <c r="E308" s="65"/>
      <c r="F308" s="65"/>
      <c r="G308" s="65"/>
      <c r="H308" s="65"/>
      <c r="I308" s="65"/>
      <c r="J308" s="65"/>
      <c r="K308" s="65"/>
      <c r="L308" s="65"/>
      <c r="M308" s="43" t="str">
        <f>IFERROR(__xludf.DUMMYFUNCTION("QUERY(Hospitais_BD!D:I,""select E where D='""&amp;D308&amp;""'"",0)"),"#REF!")</f>
        <v>#REF!</v>
      </c>
      <c r="N308" s="32" t="str">
        <f>IFERROR(__xludf.DUMMYFUNCTION("QUERY(Hospitais_BD!D:I,""select F where D='""&amp;D308&amp;""'"")"),"#REF!")</f>
        <v>#REF!</v>
      </c>
      <c r="O308" s="43" t="str">
        <f>IFERROR(__xludf.DUMMYFUNCTION("QUERY(Hospitais_BD!D:I,""select G where D='""&amp;D308&amp;""'"")"),"#REF!")</f>
        <v>#REF!</v>
      </c>
      <c r="P308" s="32"/>
      <c r="Q308" s="105" t="str">
        <f>IFERROR(__xludf.DUMMYFUNCTION("QUERY(Hospitais_BD!D:I,""select I where D='""&amp;D308&amp;""'"")"),"#REF!")</f>
        <v>#REF!</v>
      </c>
      <c r="R308" s="105" t="str">
        <f>IFERROR(__xludf.DUMMYFUNCTION("QUERY(Hospitais_BD!D:I,""select H where D='""&amp;D308&amp;""'"")"),"#REF!")</f>
        <v>#REF!</v>
      </c>
      <c r="S308" s="167"/>
      <c r="T308" s="182"/>
      <c r="U308" s="172"/>
      <c r="V308" s="65"/>
      <c r="W308" s="65"/>
      <c r="X308" s="32"/>
      <c r="Y308" s="65"/>
      <c r="Z308" s="65"/>
      <c r="AA308" s="32"/>
      <c r="AB308" s="32"/>
      <c r="AC308" s="32"/>
      <c r="AD308" s="65"/>
      <c r="AE308" s="102"/>
      <c r="AF308" s="110"/>
      <c r="AG308" s="65">
        <v>200.0</v>
      </c>
      <c r="AH308" s="65"/>
      <c r="AI308" s="65"/>
      <c r="AJ308" s="65"/>
      <c r="AK308" s="109"/>
      <c r="AL308" s="109"/>
      <c r="AM308" s="111" t="s">
        <v>1002</v>
      </c>
    </row>
    <row r="309" ht="21.0" customHeight="1">
      <c r="A309" s="202"/>
      <c r="B309" s="69"/>
      <c r="C309" s="42"/>
      <c r="D309" s="76" t="s">
        <v>834</v>
      </c>
      <c r="E309" s="68"/>
      <c r="F309" s="68"/>
      <c r="G309" s="68"/>
      <c r="H309" s="68"/>
      <c r="I309" s="68"/>
      <c r="J309" s="68"/>
      <c r="K309" s="68"/>
      <c r="L309" s="68"/>
      <c r="M309" s="60" t="str">
        <f>IFERROR(__xludf.DUMMYFUNCTION("QUERY(Hospitais_BD!D:I,""select E where D='""&amp;D309&amp;""'"",0)"),"ZONA NORTE")</f>
        <v>ZONA NORTE</v>
      </c>
      <c r="N309" s="25" t="str">
        <f>IFERROR(__xludf.DUMMYFUNCTION("QUERY(Hospitais_BD!D:I,""select F where D='""&amp;D309&amp;""'"")"),"Rio de Janeiro")</f>
        <v>Rio de Janeiro</v>
      </c>
      <c r="O309" s="60" t="str">
        <f>IFERROR(__xludf.DUMMYFUNCTION("QUERY(Hospitais_BD!D:I,""select G where D='""&amp;D309&amp;""'"")"),"Portuguesa")</f>
        <v>Portuguesa</v>
      </c>
      <c r="P309" s="25"/>
      <c r="Q309" s="116" t="str">
        <f>IFERROR(__xludf.DUMMYFUNCTION("QUERY(Hospitais_BD!D:I,""select I where D='""&amp;D309&amp;""'"")"),"Público")</f>
        <v>Público</v>
      </c>
      <c r="R309" s="116" t="str">
        <f>IFERROR(__xludf.DUMMYFUNCTION("QUERY(Hospitais_BD!D:I,""select H where D='""&amp;D309&amp;""'"")"),"Hospital de Referência - ALTA COMPLEXIDADE
")</f>
        <v>Hospital de Referência - ALTA COMPLEXIDADE
</v>
      </c>
      <c r="S309" s="165"/>
      <c r="T309" s="181"/>
      <c r="U309" s="171"/>
      <c r="V309" s="68"/>
      <c r="W309" s="68"/>
      <c r="X309" s="25"/>
      <c r="Y309" s="68"/>
      <c r="Z309" s="68"/>
      <c r="AA309" s="25"/>
      <c r="AB309" s="25"/>
      <c r="AC309" s="25"/>
      <c r="AD309" s="68"/>
      <c r="AE309" s="75"/>
      <c r="AF309" s="121"/>
      <c r="AG309" s="68">
        <v>200.0</v>
      </c>
      <c r="AH309" s="68"/>
      <c r="AI309" s="68"/>
      <c r="AJ309" s="68"/>
      <c r="AK309" s="123"/>
      <c r="AL309" s="123"/>
      <c r="AM309" s="124" t="s">
        <v>1002</v>
      </c>
    </row>
    <row r="310" ht="21.0" customHeight="1">
      <c r="A310" s="201"/>
      <c r="B310" s="70"/>
      <c r="C310" s="59"/>
      <c r="D310" s="32" t="s">
        <v>361</v>
      </c>
      <c r="E310" s="65"/>
      <c r="F310" s="65"/>
      <c r="G310" s="65"/>
      <c r="H310" s="65"/>
      <c r="I310" s="65"/>
      <c r="J310" s="65"/>
      <c r="K310" s="65"/>
      <c r="L310" s="65"/>
      <c r="M310" s="43" t="str">
        <f>IFERROR(__xludf.DUMMYFUNCTION("QUERY(Hospitais_BD!D:I,""select E where D='""&amp;D310&amp;""'"",0)"),"ZONA OESTE")</f>
        <v>ZONA OESTE</v>
      </c>
      <c r="N310" s="32" t="str">
        <f>IFERROR(__xludf.DUMMYFUNCTION("QUERY(Hospitais_BD!D:I,""select F where D='""&amp;D310&amp;""'"")"),"Rio de Janeiro")</f>
        <v>Rio de Janeiro</v>
      </c>
      <c r="O310" s="43" t="str">
        <f>IFERROR(__xludf.DUMMYFUNCTION("QUERY(Hospitais_BD!D:I,""select G where D='""&amp;D310&amp;""'"")"),"Campo Grande")</f>
        <v>Campo Grande</v>
      </c>
      <c r="P310" s="32"/>
      <c r="Q310" s="105" t="str">
        <f>IFERROR(__xludf.DUMMYFUNCTION("QUERY(Hospitais_BD!D:I,""select I where D='""&amp;D310&amp;""'"")"),"Público")</f>
        <v>Público</v>
      </c>
      <c r="R310" s="105" t="str">
        <f>IFERROR(__xludf.DUMMYFUNCTION("QUERY(Hospitais_BD!D:I,""select H where D='""&amp;D310&amp;""'"")"),"Grande emergência - MÉDIA COMPLEXIDADE")</f>
        <v>Grande emergência - MÉDIA COMPLEXIDADE</v>
      </c>
      <c r="S310" s="167"/>
      <c r="T310" s="182"/>
      <c r="U310" s="172"/>
      <c r="V310" s="65"/>
      <c r="W310" s="65"/>
      <c r="X310" s="32"/>
      <c r="Y310" s="65"/>
      <c r="Z310" s="65"/>
      <c r="AA310" s="32"/>
      <c r="AB310" s="32"/>
      <c r="AC310" s="32"/>
      <c r="AD310" s="65"/>
      <c r="AE310" s="102"/>
      <c r="AF310" s="110"/>
      <c r="AG310" s="65">
        <v>150.0</v>
      </c>
      <c r="AH310" s="65"/>
      <c r="AI310" s="65"/>
      <c r="AJ310" s="65"/>
      <c r="AK310" s="109"/>
      <c r="AL310" s="109"/>
      <c r="AM310" s="111" t="s">
        <v>1002</v>
      </c>
    </row>
    <row r="311" ht="21.0" customHeight="1">
      <c r="A311" s="202"/>
      <c r="B311" s="69"/>
      <c r="C311" s="42"/>
      <c r="D311" s="58" t="s">
        <v>67</v>
      </c>
      <c r="E311" s="68"/>
      <c r="F311" s="68"/>
      <c r="G311" s="68"/>
      <c r="H311" s="68"/>
      <c r="I311" s="68"/>
      <c r="J311" s="68"/>
      <c r="K311" s="68"/>
      <c r="L311" s="68"/>
      <c r="M311" s="60" t="str">
        <f>IFERROR(__xludf.DUMMYFUNCTION("QUERY(Hospitais_BD!D:I,""select E where D='""&amp;D311&amp;""'"",0)"),"ZONA SUL")</f>
        <v>ZONA SUL</v>
      </c>
      <c r="N311" s="25" t="str">
        <f>IFERROR(__xludf.DUMMYFUNCTION("QUERY(Hospitais_BD!D:I,""select F where D='""&amp;D311&amp;""'"")"),"Rio de Janeiro")</f>
        <v>Rio de Janeiro</v>
      </c>
      <c r="O311" s="60" t="str">
        <f>IFERROR(__xludf.DUMMYFUNCTION("QUERY(Hospitais_BD!D:I,""select G where D='""&amp;D311&amp;""'"")"),"Leblon")</f>
        <v>Leblon</v>
      </c>
      <c r="P311" s="25"/>
      <c r="Q311" s="116" t="str">
        <f>IFERROR(__xludf.DUMMYFUNCTION("QUERY(Hospitais_BD!D:I,""select I where D='""&amp;D311&amp;""'"")"),"Público")</f>
        <v>Público</v>
      </c>
      <c r="R311" s="116" t="str">
        <f>IFERROR(__xludf.DUMMYFUNCTION("QUERY(Hospitais_BD!D:I,""select H where D='""&amp;D311&amp;""'"")"),"Grande emergência - MÉDIA COMPLEXIDADE")</f>
        <v>Grande emergência - MÉDIA COMPLEXIDADE</v>
      </c>
      <c r="S311" s="165"/>
      <c r="T311" s="181"/>
      <c r="U311" s="171"/>
      <c r="V311" s="68"/>
      <c r="W311" s="68"/>
      <c r="X311" s="25"/>
      <c r="Y311" s="68"/>
      <c r="Z311" s="68"/>
      <c r="AA311" s="25"/>
      <c r="AB311" s="25"/>
      <c r="AC311" s="25"/>
      <c r="AD311" s="68"/>
      <c r="AE311" s="75"/>
      <c r="AF311" s="121"/>
      <c r="AG311" s="68">
        <v>200.0</v>
      </c>
      <c r="AH311" s="68"/>
      <c r="AI311" s="68"/>
      <c r="AJ311" s="68"/>
      <c r="AK311" s="123"/>
      <c r="AL311" s="123"/>
      <c r="AM311" s="124" t="s">
        <v>1002</v>
      </c>
    </row>
    <row r="312" ht="21.0" customHeight="1">
      <c r="A312" s="201"/>
      <c r="B312" s="70"/>
      <c r="C312" s="59"/>
      <c r="D312" s="32" t="s">
        <v>249</v>
      </c>
      <c r="E312" s="65"/>
      <c r="F312" s="65"/>
      <c r="G312" s="65"/>
      <c r="H312" s="65"/>
      <c r="I312" s="65"/>
      <c r="J312" s="65"/>
      <c r="K312" s="65"/>
      <c r="L312" s="65"/>
      <c r="M312" s="43" t="str">
        <f>IFERROR(__xludf.DUMMYFUNCTION("QUERY(Hospitais_BD!D:I,""select E where D='""&amp;D312&amp;""'"",0)"),"REGIAO METROPOLITANA")</f>
        <v>REGIAO METROPOLITANA</v>
      </c>
      <c r="N312" s="32" t="str">
        <f>IFERROR(__xludf.DUMMYFUNCTION("QUERY(Hospitais_BD!D:I,""select F where D='""&amp;D312&amp;""'"")"),"Niteroi")</f>
        <v>Niteroi</v>
      </c>
      <c r="O312" s="43" t="str">
        <f>IFERROR(__xludf.DUMMYFUNCTION("QUERY(Hospitais_BD!D:I,""select G where D='""&amp;D312&amp;""'"")"),"Fonseca")</f>
        <v>Fonseca</v>
      </c>
      <c r="P312" s="32"/>
      <c r="Q312" s="105" t="str">
        <f>IFERROR(__xludf.DUMMYFUNCTION("QUERY(Hospitais_BD!D:I,""select I where D='""&amp;D312&amp;""'"")"),"Público")</f>
        <v>Público</v>
      </c>
      <c r="R312" s="105" t="str">
        <f>IFERROR(__xludf.DUMMYFUNCTION("QUERY(Hospitais_BD!D:I,""select H where D='""&amp;D312&amp;""'"")"),"Referência - ALTA COMPLEXIDADE")</f>
        <v>Referência - ALTA COMPLEXIDADE</v>
      </c>
      <c r="S312" s="167"/>
      <c r="T312" s="182"/>
      <c r="U312" s="172"/>
      <c r="V312" s="65"/>
      <c r="W312" s="65"/>
      <c r="X312" s="32"/>
      <c r="Y312" s="65"/>
      <c r="Z312" s="65"/>
      <c r="AA312" s="32"/>
      <c r="AB312" s="32"/>
      <c r="AC312" s="32"/>
      <c r="AD312" s="65"/>
      <c r="AE312" s="102"/>
      <c r="AF312" s="110"/>
      <c r="AG312" s="65">
        <v>150.0</v>
      </c>
      <c r="AH312" s="65"/>
      <c r="AI312" s="65"/>
      <c r="AJ312" s="65"/>
      <c r="AK312" s="109"/>
      <c r="AL312" s="109"/>
      <c r="AM312" s="111" t="s">
        <v>1002</v>
      </c>
    </row>
    <row r="313" ht="21.0" customHeight="1">
      <c r="A313" s="202"/>
      <c r="B313" s="69"/>
      <c r="C313" s="42"/>
      <c r="D313" s="203" t="s">
        <v>217</v>
      </c>
      <c r="E313" s="68"/>
      <c r="F313" s="68"/>
      <c r="G313" s="68"/>
      <c r="H313" s="68"/>
      <c r="I313" s="68"/>
      <c r="J313" s="68"/>
      <c r="K313" s="68"/>
      <c r="L313" s="68"/>
      <c r="M313" s="60" t="str">
        <f>IFERROR(__xludf.DUMMYFUNCTION("QUERY(Hospitais_BD!D:I,""select E where D='""&amp;D313&amp;""'"",0)"),"ZONA NORTE")</f>
        <v>ZONA NORTE</v>
      </c>
      <c r="N313" s="25" t="str">
        <f>IFERROR(__xludf.DUMMYFUNCTION("QUERY(Hospitais_BD!D:I,""select F where D='""&amp;D313&amp;""'"")"),"Rio de Janeiro")</f>
        <v>Rio de Janeiro</v>
      </c>
      <c r="O313" s="60" t="str">
        <f>IFERROR(__xludf.DUMMYFUNCTION("QUERY(Hospitais_BD!D:I,""select G where D='""&amp;D313&amp;""'"")"),"Vila Isabel")</f>
        <v>Vila Isabel</v>
      </c>
      <c r="P313" s="25"/>
      <c r="Q313" s="116" t="str">
        <f>IFERROR(__xludf.DUMMYFUNCTION("QUERY(Hospitais_BD!D:I,""select I where D='""&amp;D313&amp;""'"")"),"Público")</f>
        <v>Público</v>
      </c>
      <c r="R313" s="116" t="str">
        <f>IFERROR(__xludf.DUMMYFUNCTION("QUERY(Hospitais_BD!D:I,""select H where D='""&amp;D313&amp;""'"")"),"Unidade básica - BAIXA COMPLEXIDADE")</f>
        <v>Unidade básica - BAIXA COMPLEXIDADE</v>
      </c>
      <c r="S313" s="165"/>
      <c r="T313" s="181"/>
      <c r="U313" s="171"/>
      <c r="V313" s="68"/>
      <c r="W313" s="68"/>
      <c r="X313" s="25"/>
      <c r="Y313" s="68"/>
      <c r="Z313" s="68"/>
      <c r="AA313" s="25"/>
      <c r="AB313" s="25"/>
      <c r="AC313" s="25"/>
      <c r="AD313" s="68"/>
      <c r="AE313" s="75"/>
      <c r="AF313" s="121"/>
      <c r="AG313" s="68">
        <v>50.0</v>
      </c>
      <c r="AH313" s="68"/>
      <c r="AI313" s="68"/>
      <c r="AJ313" s="68"/>
      <c r="AK313" s="123"/>
      <c r="AL313" s="123"/>
      <c r="AM313" s="124" t="s">
        <v>1002</v>
      </c>
    </row>
    <row r="314" ht="21.0" customHeight="1">
      <c r="A314" s="201"/>
      <c r="B314" s="70"/>
      <c r="C314" s="59"/>
      <c r="D314" s="86" t="s">
        <v>938</v>
      </c>
      <c r="E314" s="65"/>
      <c r="F314" s="65"/>
      <c r="G314" s="65"/>
      <c r="H314" s="65"/>
      <c r="I314" s="65"/>
      <c r="J314" s="65"/>
      <c r="K314" s="65"/>
      <c r="L314" s="65"/>
      <c r="M314" s="43" t="str">
        <f>IFERROR(__xludf.DUMMYFUNCTION("QUERY(Hospitais_BD!D:I,""select E where D='""&amp;D314&amp;""'"",0)"),"ZONA OESTE")</f>
        <v>ZONA OESTE</v>
      </c>
      <c r="N314" s="32" t="str">
        <f>IFERROR(__xludf.DUMMYFUNCTION("QUERY(Hospitais_BD!D:I,""select F where D='""&amp;D314&amp;""'"")"),"Rio de Janeiro")</f>
        <v>Rio de Janeiro</v>
      </c>
      <c r="O314" s="43" t="str">
        <f>IFERROR(__xludf.DUMMYFUNCTION("QUERY(Hospitais_BD!D:I,""select G where D='""&amp;D314&amp;""'"")"),"Campo Grande")</f>
        <v>Campo Grande</v>
      </c>
      <c r="P314" s="32"/>
      <c r="Q314" s="105" t="str">
        <f>IFERROR(__xludf.DUMMYFUNCTION("QUERY(Hospitais_BD!D:I,""select I where D='""&amp;D314&amp;""'"")"),"Público")</f>
        <v>Público</v>
      </c>
      <c r="R314" s="105" t="str">
        <f>IFERROR(__xludf.DUMMYFUNCTION("QUERY(Hospitais_BD!D:I,""select H where D='""&amp;D314&amp;""'"")"),"Grande emergência - MÉDIA COMPLEXIDADE
")</f>
        <v>Grande emergência - MÉDIA COMPLEXIDADE
</v>
      </c>
      <c r="S314" s="167"/>
      <c r="T314" s="182"/>
      <c r="U314" s="172"/>
      <c r="V314" s="65"/>
      <c r="W314" s="65"/>
      <c r="X314" s="32"/>
      <c r="Y314" s="65"/>
      <c r="Z314" s="65"/>
      <c r="AA314" s="32"/>
      <c r="AB314" s="32"/>
      <c r="AC314" s="32"/>
      <c r="AD314" s="65"/>
      <c r="AE314" s="102"/>
      <c r="AF314" s="110"/>
      <c r="AG314" s="65"/>
      <c r="AH314" s="65"/>
      <c r="AI314" s="65"/>
      <c r="AJ314" s="65"/>
      <c r="AK314" s="109">
        <v>5.0</v>
      </c>
      <c r="AL314" s="109">
        <v>25.0</v>
      </c>
      <c r="AM314" s="111" t="s">
        <v>1002</v>
      </c>
    </row>
    <row r="315" ht="21.0" customHeight="1">
      <c r="A315" s="202"/>
      <c r="B315" s="69"/>
      <c r="C315" s="42"/>
      <c r="D315" s="87" t="s">
        <v>939</v>
      </c>
      <c r="E315" s="68"/>
      <c r="F315" s="68"/>
      <c r="G315" s="68"/>
      <c r="H315" s="68"/>
      <c r="I315" s="68"/>
      <c r="J315" s="68"/>
      <c r="K315" s="68"/>
      <c r="L315" s="68"/>
      <c r="M315" s="60" t="str">
        <f>IFERROR(__xludf.DUMMYFUNCTION("QUERY(Hospitais_BD!D:I,""select E where D='""&amp;D315&amp;""'"",0)"),"REGIAO METROPOLITANA")</f>
        <v>REGIAO METROPOLITANA</v>
      </c>
      <c r="N315" s="25" t="str">
        <f>IFERROR(__xludf.DUMMYFUNCTION("QUERY(Hospitais_BD!D:I,""select F where D='""&amp;D315&amp;""'"")"),"São Gonçalo")</f>
        <v>São Gonçalo</v>
      </c>
      <c r="O315" s="60" t="str">
        <f>IFERROR(__xludf.DUMMYFUNCTION("QUERY(Hospitais_BD!D:I,""select G where D='""&amp;D315&amp;""'"")"),"Jardim Catarina")</f>
        <v>Jardim Catarina</v>
      </c>
      <c r="P315" s="25"/>
      <c r="Q315" s="116" t="str">
        <f>IFERROR(__xludf.DUMMYFUNCTION("QUERY(Hospitais_BD!D:I,""select I where D='""&amp;D315&amp;""'"")"),"Público")</f>
        <v>Público</v>
      </c>
      <c r="R315" s="116" t="str">
        <f>IFERROR(__xludf.DUMMYFUNCTION("QUERY(Hospitais_BD!D:I,""select H where D='""&amp;D315&amp;""'"")"),"Grande emergência - MÉDIA COMPLEXIDADE
")</f>
        <v>Grande emergência - MÉDIA COMPLEXIDADE
</v>
      </c>
      <c r="S315" s="165"/>
      <c r="T315" s="181"/>
      <c r="U315" s="171"/>
      <c r="V315" s="68"/>
      <c r="W315" s="68"/>
      <c r="X315" s="25"/>
      <c r="Y315" s="68"/>
      <c r="Z315" s="68"/>
      <c r="AA315" s="25"/>
      <c r="AB315" s="25"/>
      <c r="AC315" s="25"/>
      <c r="AD315" s="68"/>
      <c r="AE315" s="75"/>
      <c r="AF315" s="121"/>
      <c r="AG315" s="68"/>
      <c r="AH315" s="68"/>
      <c r="AI315" s="68"/>
      <c r="AJ315" s="68"/>
      <c r="AK315" s="123">
        <v>25.0</v>
      </c>
      <c r="AL315" s="123"/>
      <c r="AM315" s="124" t="s">
        <v>1002</v>
      </c>
    </row>
    <row r="316" ht="21.0" customHeight="1">
      <c r="A316" s="201"/>
      <c r="B316" s="70"/>
      <c r="C316" s="59"/>
      <c r="D316" s="86" t="s">
        <v>941</v>
      </c>
      <c r="E316" s="65"/>
      <c r="F316" s="65"/>
      <c r="G316" s="65"/>
      <c r="H316" s="65"/>
      <c r="I316" s="65"/>
      <c r="J316" s="65"/>
      <c r="K316" s="65"/>
      <c r="L316" s="65"/>
      <c r="M316" s="43" t="str">
        <f>IFERROR(__xludf.DUMMYFUNCTION("QUERY(Hospitais_BD!D:I,""select E where D='""&amp;D316&amp;""'"",0)"),"REGIAO METROPOLITANA")</f>
        <v>REGIAO METROPOLITANA</v>
      </c>
      <c r="N316" s="32" t="str">
        <f>IFERROR(__xludf.DUMMYFUNCTION("QUERY(Hospitais_BD!D:I,""select F where D='""&amp;D316&amp;""'"")"),"Itaboraí")</f>
        <v>Itaboraí</v>
      </c>
      <c r="O316" s="43" t="str">
        <f>IFERROR(__xludf.DUMMYFUNCTION("QUERY(Hospitais_BD!D:I,""select G where D='""&amp;D316&amp;""'"")"),"Manilha")</f>
        <v>Manilha</v>
      </c>
      <c r="P316" s="32"/>
      <c r="Q316" s="105" t="str">
        <f>IFERROR(__xludf.DUMMYFUNCTION("QUERY(Hospitais_BD!D:I,""select I where D='""&amp;D316&amp;""'"")"),"Público")</f>
        <v>Público</v>
      </c>
      <c r="R316" s="105" t="str">
        <f>IFERROR(__xludf.DUMMYFUNCTION("QUERY(Hospitais_BD!D:I,""select H where D='""&amp;D316&amp;""'"")"),"Grande emergência - MÉDIA COMPLEXIDADE
")</f>
        <v>Grande emergência - MÉDIA COMPLEXIDADE
</v>
      </c>
      <c r="S316" s="167"/>
      <c r="T316" s="182"/>
      <c r="U316" s="172"/>
      <c r="V316" s="65"/>
      <c r="W316" s="65"/>
      <c r="X316" s="32"/>
      <c r="Y316" s="65"/>
      <c r="Z316" s="65"/>
      <c r="AA316" s="32"/>
      <c r="AB316" s="32"/>
      <c r="AC316" s="32"/>
      <c r="AD316" s="65"/>
      <c r="AE316" s="102"/>
      <c r="AF316" s="110"/>
      <c r="AG316" s="65"/>
      <c r="AH316" s="65"/>
      <c r="AI316" s="65"/>
      <c r="AJ316" s="65"/>
      <c r="AK316" s="109">
        <v>25.0</v>
      </c>
      <c r="AL316" s="109"/>
      <c r="AM316" s="111" t="s">
        <v>1002</v>
      </c>
    </row>
    <row r="317" ht="21.0" customHeight="1">
      <c r="A317" s="202"/>
      <c r="B317" s="69"/>
      <c r="C317" s="42"/>
      <c r="D317" s="87" t="s">
        <v>942</v>
      </c>
      <c r="E317" s="68"/>
      <c r="F317" s="68"/>
      <c r="G317" s="68"/>
      <c r="H317" s="68"/>
      <c r="I317" s="68"/>
      <c r="J317" s="68"/>
      <c r="K317" s="68"/>
      <c r="L317" s="68"/>
      <c r="M317" s="60" t="str">
        <f>IFERROR(__xludf.DUMMYFUNCTION("QUERY(Hospitais_BD!D:I,""select E where D='""&amp;D317&amp;""'"",0)"),"CENTRO")</f>
        <v>CENTRO</v>
      </c>
      <c r="N317" s="25" t="str">
        <f>IFERROR(__xludf.DUMMYFUNCTION("QUERY(Hospitais_BD!D:I,""select F where D='""&amp;D317&amp;""'"")"),"Rio de Janeiro")</f>
        <v>Rio de Janeiro</v>
      </c>
      <c r="O317" s="60" t="str">
        <f>IFERROR(__xludf.DUMMYFUNCTION("QUERY(Hospitais_BD!D:I,""select G where D='""&amp;D317&amp;""'"")"),"Estácio")</f>
        <v>Estácio</v>
      </c>
      <c r="P317" s="25"/>
      <c r="Q317" s="116" t="str">
        <f>IFERROR(__xludf.DUMMYFUNCTION("QUERY(Hospitais_BD!D:I,""select I where D='""&amp;D317&amp;""'"")"),"Público")</f>
        <v>Público</v>
      </c>
      <c r="R317" s="116" t="str">
        <f>IFERROR(__xludf.DUMMYFUNCTION("QUERY(Hospitais_BD!D:I,""select H where D='""&amp;D317&amp;""'"")"),"Unidade básica de saúde - BAIXA COMPLEXIDADE")</f>
        <v>Unidade básica de saúde - BAIXA COMPLEXIDADE</v>
      </c>
      <c r="S317" s="165"/>
      <c r="T317" s="181"/>
      <c r="U317" s="171"/>
      <c r="V317" s="68"/>
      <c r="W317" s="68"/>
      <c r="X317" s="25"/>
      <c r="Y317" s="68"/>
      <c r="Z317" s="68"/>
      <c r="AA317" s="25"/>
      <c r="AB317" s="25"/>
      <c r="AC317" s="25"/>
      <c r="AD317" s="68"/>
      <c r="AE317" s="75"/>
      <c r="AF317" s="121"/>
      <c r="AG317" s="68"/>
      <c r="AH317" s="68"/>
      <c r="AI317" s="68"/>
      <c r="AJ317" s="68"/>
      <c r="AK317" s="123">
        <v>20.0</v>
      </c>
      <c r="AL317" s="123">
        <v>10.0</v>
      </c>
      <c r="AM317" s="124" t="s">
        <v>1002</v>
      </c>
    </row>
    <row r="318" ht="21.0" customHeight="1">
      <c r="A318" s="201"/>
      <c r="B318" s="70"/>
      <c r="C318" s="59"/>
      <c r="D318" s="86" t="s">
        <v>944</v>
      </c>
      <c r="E318" s="65"/>
      <c r="F318" s="65"/>
      <c r="G318" s="65"/>
      <c r="H318" s="65"/>
      <c r="I318" s="65"/>
      <c r="J318" s="65"/>
      <c r="K318" s="65"/>
      <c r="L318" s="65"/>
      <c r="M318" s="43" t="str">
        <f>IFERROR(__xludf.DUMMYFUNCTION("QUERY(Hospitais_BD!D:I,""select E where D='""&amp;D318&amp;""'"",0)"),"ZONA NORTE")</f>
        <v>ZONA NORTE</v>
      </c>
      <c r="N318" s="32" t="str">
        <f>IFERROR(__xludf.DUMMYFUNCTION("QUERY(Hospitais_BD!D:I,""select F where D='""&amp;D318&amp;""'"")"),"Rio de Janeiro")</f>
        <v>Rio de Janeiro</v>
      </c>
      <c r="O318" s="43" t="str">
        <f>IFERROR(__xludf.DUMMYFUNCTION("QUERY(Hospitais_BD!D:I,""select G where D='""&amp;D318&amp;""'"")"),"Engenho Novo")</f>
        <v>Engenho Novo</v>
      </c>
      <c r="P318" s="32"/>
      <c r="Q318" s="105" t="str">
        <f>IFERROR(__xludf.DUMMYFUNCTION("QUERY(Hospitais_BD!D:I,""select I where D='""&amp;D318&amp;""'"")"),"Público")</f>
        <v>Público</v>
      </c>
      <c r="R318" s="105" t="str">
        <f>IFERROR(__xludf.DUMMYFUNCTION("QUERY(Hospitais_BD!D:I,""select H where D='""&amp;D318&amp;""'"")"),"Grande emergência - MÉDIA COMPLEXIDADE
")</f>
        <v>Grande emergência - MÉDIA COMPLEXIDADE
</v>
      </c>
      <c r="S318" s="167"/>
      <c r="T318" s="182"/>
      <c r="U318" s="172"/>
      <c r="V318" s="65"/>
      <c r="W318" s="65"/>
      <c r="X318" s="32"/>
      <c r="Y318" s="65"/>
      <c r="Z318" s="65"/>
      <c r="AA318" s="32"/>
      <c r="AB318" s="32"/>
      <c r="AC318" s="32"/>
      <c r="AD318" s="65"/>
      <c r="AE318" s="102"/>
      <c r="AF318" s="110"/>
      <c r="AG318" s="65"/>
      <c r="AH318" s="65"/>
      <c r="AI318" s="65"/>
      <c r="AJ318" s="65"/>
      <c r="AK318" s="109">
        <v>12.5</v>
      </c>
      <c r="AL318" s="109">
        <v>20.0</v>
      </c>
      <c r="AM318" s="111" t="s">
        <v>1002</v>
      </c>
    </row>
    <row r="319" ht="21.0" customHeight="1">
      <c r="A319" s="202"/>
      <c r="B319" s="69"/>
      <c r="C319" s="42"/>
      <c r="D319" s="89" t="s">
        <v>946</v>
      </c>
      <c r="E319" s="68"/>
      <c r="F319" s="68"/>
      <c r="G319" s="68"/>
      <c r="H319" s="68"/>
      <c r="I319" s="68"/>
      <c r="J319" s="68"/>
      <c r="K319" s="68"/>
      <c r="L319" s="68"/>
      <c r="M319" s="60" t="str">
        <f>IFERROR(__xludf.DUMMYFUNCTION("QUERY(Hospitais_BD!D:I,""select E where D='""&amp;D319&amp;""'"",0)"),"ZONA OESTE")</f>
        <v>ZONA OESTE</v>
      </c>
      <c r="N319" s="25" t="str">
        <f>IFERROR(__xludf.DUMMYFUNCTION("QUERY(Hospitais_BD!D:I,""select F where D='""&amp;D319&amp;""'"")"),"Rio de Janeiro")</f>
        <v>Rio de Janeiro</v>
      </c>
      <c r="O319" s="60" t="str">
        <f>IFERROR(__xludf.DUMMYFUNCTION("QUERY(Hospitais_BD!D:I,""select G where D='""&amp;D319&amp;""'"")"),"Cidade de Deus")</f>
        <v>Cidade de Deus</v>
      </c>
      <c r="P319" s="25"/>
      <c r="Q319" s="116" t="str">
        <f>IFERROR(__xludf.DUMMYFUNCTION("QUERY(Hospitais_BD!D:I,""select I where D='""&amp;D319&amp;""'"")"),"Público")</f>
        <v>Público</v>
      </c>
      <c r="R319" s="116" t="str">
        <f>IFERROR(__xludf.DUMMYFUNCTION("QUERY(Hospitais_BD!D:I,""select H where D='""&amp;D319&amp;""'"")"),"Outra Instituição")</f>
        <v>Outra Instituição</v>
      </c>
      <c r="S319" s="165"/>
      <c r="T319" s="181"/>
      <c r="U319" s="171"/>
      <c r="V319" s="68"/>
      <c r="W319" s="68"/>
      <c r="X319" s="25"/>
      <c r="Y319" s="68"/>
      <c r="Z319" s="68"/>
      <c r="AA319" s="25"/>
      <c r="AB319" s="25"/>
      <c r="AC319" s="25"/>
      <c r="AD319" s="68"/>
      <c r="AE319" s="75"/>
      <c r="AF319" s="121"/>
      <c r="AG319" s="68">
        <v>13.0</v>
      </c>
      <c r="AH319" s="68"/>
      <c r="AI319" s="68"/>
      <c r="AJ319" s="68"/>
      <c r="AK319" s="123"/>
      <c r="AL319" s="123"/>
      <c r="AM319" s="124" t="s">
        <v>1002</v>
      </c>
    </row>
    <row r="320" ht="21.0" customHeight="1">
      <c r="A320" s="201"/>
      <c r="B320" s="70"/>
      <c r="C320" s="59"/>
      <c r="D320" s="52" t="s">
        <v>947</v>
      </c>
      <c r="E320" s="65"/>
      <c r="F320" s="65"/>
      <c r="G320" s="65"/>
      <c r="H320" s="65"/>
      <c r="I320" s="65"/>
      <c r="J320" s="65"/>
      <c r="K320" s="65"/>
      <c r="L320" s="65"/>
      <c r="M320" s="43" t="str">
        <f>IFERROR(__xludf.DUMMYFUNCTION("QUERY(Hospitais_BD!D:I,""select E where D='""&amp;D320&amp;""'"",0)"),"REGIAO SERRANA")</f>
        <v>REGIAO SERRANA</v>
      </c>
      <c r="N320" s="32" t="str">
        <f>IFERROR(__xludf.DUMMYFUNCTION("QUERY(Hospitais_BD!D:I,""select F where D='""&amp;D320&amp;""'"")"),"Teresópolis")</f>
        <v>Teresópolis</v>
      </c>
      <c r="O320" s="43" t="str">
        <f>IFERROR(__xludf.DUMMYFUNCTION("QUERY(Hospitais_BD!D:I,""select G where D='""&amp;D320&amp;""'"")"),"Teresópolis")</f>
        <v>Teresópolis</v>
      </c>
      <c r="P320" s="32"/>
      <c r="Q320" s="105" t="str">
        <f>IFERROR(__xludf.DUMMYFUNCTION("QUERY(Hospitais_BD!D:I,""select I where D='""&amp;D320&amp;""'"")"),"Público")</f>
        <v>Público</v>
      </c>
      <c r="R320" s="105" t="str">
        <f>IFERROR(__xludf.DUMMYFUNCTION("QUERY(Hospitais_BD!D:I,""select H where D='""&amp;D320&amp;""'"")"),"Outra Instituição")</f>
        <v>Outra Instituição</v>
      </c>
      <c r="S320" s="167"/>
      <c r="T320" s="182"/>
      <c r="U320" s="172"/>
      <c r="V320" s="65"/>
      <c r="W320" s="65"/>
      <c r="X320" s="32"/>
      <c r="Y320" s="65"/>
      <c r="Z320" s="65"/>
      <c r="AA320" s="32"/>
      <c r="AB320" s="32"/>
      <c r="AC320" s="32"/>
      <c r="AD320" s="65"/>
      <c r="AE320" s="102"/>
      <c r="AF320" s="110"/>
      <c r="AG320" s="65">
        <v>15.0</v>
      </c>
      <c r="AH320" s="65"/>
      <c r="AI320" s="65"/>
      <c r="AJ320" s="65"/>
      <c r="AK320" s="109"/>
      <c r="AL320" s="109"/>
      <c r="AM320" s="111" t="s">
        <v>1002</v>
      </c>
    </row>
    <row r="321" ht="21.0" customHeight="1">
      <c r="A321" s="202"/>
      <c r="B321" s="69"/>
      <c r="C321" s="42"/>
      <c r="D321" s="89" t="s">
        <v>948</v>
      </c>
      <c r="E321" s="68"/>
      <c r="F321" s="68"/>
      <c r="G321" s="68"/>
      <c r="H321" s="68"/>
      <c r="I321" s="68"/>
      <c r="J321" s="68"/>
      <c r="K321" s="68"/>
      <c r="L321" s="68"/>
      <c r="M321" s="60" t="str">
        <f>IFERROR(__xludf.DUMMYFUNCTION("QUERY(Hospitais_BD!D:I,""select E where D='""&amp;D321&amp;""'"",0)"),"ZONA OESTE")</f>
        <v>ZONA OESTE</v>
      </c>
      <c r="N321" s="25" t="str">
        <f>IFERROR(__xludf.DUMMYFUNCTION("QUERY(Hospitais_BD!D:I,""select F where D='""&amp;D321&amp;""'"")"),"Rio de Janeiro")</f>
        <v>Rio de Janeiro</v>
      </c>
      <c r="O321" s="60" t="str">
        <f>IFERROR(__xludf.DUMMYFUNCTION("QUERY(Hospitais_BD!D:I,""select G where D='""&amp;D321&amp;""'"")"),"Gardênia Azul")</f>
        <v>Gardênia Azul</v>
      </c>
      <c r="P321" s="25"/>
      <c r="Q321" s="116" t="str">
        <f>IFERROR(__xludf.DUMMYFUNCTION("QUERY(Hospitais_BD!D:I,""select I where D='""&amp;D321&amp;""'"")"),"Público")</f>
        <v>Público</v>
      </c>
      <c r="R321" s="116" t="str">
        <f>IFERROR(__xludf.DUMMYFUNCTION("QUERY(Hospitais_BD!D:I,""select H where D='""&amp;D321&amp;""'"")"),"Outra Instituição")</f>
        <v>Outra Instituição</v>
      </c>
      <c r="S321" s="165"/>
      <c r="T321" s="181"/>
      <c r="U321" s="171"/>
      <c r="V321" s="68"/>
      <c r="W321" s="68"/>
      <c r="X321" s="25"/>
      <c r="Y321" s="68"/>
      <c r="Z321" s="68"/>
      <c r="AA321" s="25"/>
      <c r="AB321" s="25"/>
      <c r="AC321" s="25"/>
      <c r="AD321" s="68"/>
      <c r="AE321" s="75"/>
      <c r="AF321" s="121"/>
      <c r="AG321" s="68">
        <v>20.0</v>
      </c>
      <c r="AH321" s="68"/>
      <c r="AI321" s="68"/>
      <c r="AJ321" s="68"/>
      <c r="AK321" s="123"/>
      <c r="AL321" s="123"/>
      <c r="AM321" s="124" t="s">
        <v>1002</v>
      </c>
    </row>
    <row r="322" ht="21.0" customHeight="1">
      <c r="A322" s="201"/>
      <c r="B322" s="70"/>
      <c r="C322" s="59"/>
      <c r="D322" s="10" t="s">
        <v>879</v>
      </c>
      <c r="E322" s="65"/>
      <c r="F322" s="65"/>
      <c r="G322" s="65"/>
      <c r="H322" s="65"/>
      <c r="I322" s="65"/>
      <c r="J322" s="65"/>
      <c r="K322" s="65"/>
      <c r="L322" s="65"/>
      <c r="M322" s="43" t="str">
        <f>IFERROR(__xludf.DUMMYFUNCTION("QUERY(Hospitais_BD!D:I,""select E where D='""&amp;D322&amp;""'"",0)"),"ZONA OESTE")</f>
        <v>ZONA OESTE</v>
      </c>
      <c r="N322" s="32" t="str">
        <f>IFERROR(__xludf.DUMMYFUNCTION("QUERY(Hospitais_BD!D:I,""select F where D='""&amp;D322&amp;""'"")"),"Rio de Janeiro")</f>
        <v>Rio de Janeiro</v>
      </c>
      <c r="O322" s="43" t="str">
        <f>IFERROR(__xludf.DUMMYFUNCTION("QUERY(Hospitais_BD!D:I,""select G where D='""&amp;D322&amp;""'"")"),"Santa Cruz")</f>
        <v>Santa Cruz</v>
      </c>
      <c r="P322" s="32"/>
      <c r="Q322" s="105" t="str">
        <f>IFERROR(__xludf.DUMMYFUNCTION("QUERY(Hospitais_BD!D:I,""select I where D='""&amp;D322&amp;""'"")"),"Público")</f>
        <v>Público</v>
      </c>
      <c r="R322" s="105" t="str">
        <f>IFERROR(__xludf.DUMMYFUNCTION("QUERY(Hospitais_BD!D:I,""select H where D='""&amp;D322&amp;""'"")"),"Outra Instituição")</f>
        <v>Outra Instituição</v>
      </c>
      <c r="S322" s="167"/>
      <c r="T322" s="182"/>
      <c r="U322" s="172"/>
      <c r="V322" s="65"/>
      <c r="W322" s="65"/>
      <c r="X322" s="32"/>
      <c r="Y322" s="65"/>
      <c r="Z322" s="65"/>
      <c r="AA322" s="32"/>
      <c r="AB322" s="32"/>
      <c r="AC322" s="32"/>
      <c r="AD322" s="65"/>
      <c r="AE322" s="102"/>
      <c r="AF322" s="110"/>
      <c r="AG322" s="65">
        <v>15.0</v>
      </c>
      <c r="AH322" s="65"/>
      <c r="AI322" s="65"/>
      <c r="AJ322" s="65"/>
      <c r="AK322" s="109"/>
      <c r="AL322" s="109"/>
      <c r="AM322" s="111" t="s">
        <v>1002</v>
      </c>
    </row>
    <row r="323" ht="21.0" customHeight="1">
      <c r="A323" s="202"/>
      <c r="B323" s="69"/>
      <c r="C323" s="42"/>
      <c r="D323" s="89" t="s">
        <v>950</v>
      </c>
      <c r="E323" s="68"/>
      <c r="F323" s="68"/>
      <c r="G323" s="68"/>
      <c r="H323" s="68"/>
      <c r="I323" s="68"/>
      <c r="J323" s="68"/>
      <c r="K323" s="68"/>
      <c r="L323" s="68"/>
      <c r="M323" s="60" t="str">
        <f>IFERROR(__xludf.DUMMYFUNCTION("QUERY(Hospitais_BD!D:I,""select E where D='""&amp;D323&amp;""'"",0)"),"ZONA OESTE")</f>
        <v>ZONA OESTE</v>
      </c>
      <c r="N323" s="25" t="str">
        <f>IFERROR(__xludf.DUMMYFUNCTION("QUERY(Hospitais_BD!D:I,""select F where D='""&amp;D323&amp;""'"")"),"Rio de Janeiro")</f>
        <v>Rio de Janeiro</v>
      </c>
      <c r="O323" s="60" t="str">
        <f>IFERROR(__xludf.DUMMYFUNCTION("QUERY(Hospitais_BD!D:I,""select G where D='""&amp;D323&amp;""'"")"),"Complexo do Alemão")</f>
        <v>Complexo do Alemão</v>
      </c>
      <c r="P323" s="25"/>
      <c r="Q323" s="116" t="str">
        <f>IFERROR(__xludf.DUMMYFUNCTION("QUERY(Hospitais_BD!D:I,""select I where D='""&amp;D323&amp;""'"")"),"Público")</f>
        <v>Público</v>
      </c>
      <c r="R323" s="116" t="str">
        <f>IFERROR(__xludf.DUMMYFUNCTION("QUERY(Hospitais_BD!D:I,""select H where D='""&amp;D323&amp;""'"")"),"Outra Instituição")</f>
        <v>Outra Instituição</v>
      </c>
      <c r="S323" s="165"/>
      <c r="T323" s="181"/>
      <c r="U323" s="171"/>
      <c r="V323" s="68"/>
      <c r="W323" s="68"/>
      <c r="X323" s="25"/>
      <c r="Y323" s="68"/>
      <c r="Z323" s="68"/>
      <c r="AA323" s="25"/>
      <c r="AB323" s="25"/>
      <c r="AC323" s="25"/>
      <c r="AD323" s="68"/>
      <c r="AE323" s="75"/>
      <c r="AF323" s="121"/>
      <c r="AG323" s="23">
        <v>12.0</v>
      </c>
      <c r="AH323" s="68"/>
      <c r="AI323" s="68"/>
      <c r="AJ323" s="68"/>
      <c r="AK323" s="123"/>
      <c r="AL323" s="123"/>
      <c r="AM323" s="124" t="s">
        <v>1002</v>
      </c>
    </row>
    <row r="324" ht="21.0" customHeight="1">
      <c r="A324" s="201"/>
      <c r="B324" s="70"/>
      <c r="C324" s="59"/>
      <c r="D324" s="52" t="s">
        <v>952</v>
      </c>
      <c r="E324" s="65"/>
      <c r="F324" s="65"/>
      <c r="G324" s="65"/>
      <c r="H324" s="65"/>
      <c r="I324" s="65"/>
      <c r="J324" s="65"/>
      <c r="K324" s="65"/>
      <c r="L324" s="65"/>
      <c r="M324" s="43" t="str">
        <f>IFERROR(__xludf.DUMMYFUNCTION("QUERY(Hospitais_BD!D:I,""select E where D='""&amp;D324&amp;""'"",0)"),"OUTRO ESTADO ")</f>
        <v>OUTRO ESTADO </v>
      </c>
      <c r="N324" s="32" t="str">
        <f>IFERROR(__xludf.DUMMYFUNCTION("QUERY(Hospitais_BD!D:I,""select F where D='""&amp;D324&amp;""'"")"),"Roraima")</f>
        <v>Roraima</v>
      </c>
      <c r="O324" s="43" t="str">
        <f>IFERROR(__xludf.DUMMYFUNCTION("QUERY(Hospitais_BD!D:I,""select G where D='""&amp;D324&amp;""'"")"),"Roraima")</f>
        <v>Roraima</v>
      </c>
      <c r="P324" s="32"/>
      <c r="Q324" s="105" t="str">
        <f>IFERROR(__xludf.DUMMYFUNCTION("QUERY(Hospitais_BD!D:I,""select I where D='""&amp;D324&amp;""'"")"),"Público")</f>
        <v>Público</v>
      </c>
      <c r="R324" s="105" t="str">
        <f>IFERROR(__xludf.DUMMYFUNCTION("QUERY(Hospitais_BD!D:I,""select H where D='""&amp;D324&amp;""'"")"),"Outra Instituição")</f>
        <v>Outra Instituição</v>
      </c>
      <c r="S324" s="167"/>
      <c r="T324" s="182"/>
      <c r="U324" s="172"/>
      <c r="V324" s="65"/>
      <c r="W324" s="65"/>
      <c r="X324" s="32"/>
      <c r="Y324" s="65"/>
      <c r="Z324" s="65"/>
      <c r="AA324" s="32"/>
      <c r="AB324" s="32"/>
      <c r="AC324" s="32"/>
      <c r="AD324" s="65"/>
      <c r="AE324" s="102"/>
      <c r="AF324" s="110"/>
      <c r="AG324" s="13">
        <v>100.0</v>
      </c>
      <c r="AH324" s="65"/>
      <c r="AI324" s="65"/>
      <c r="AJ324" s="65"/>
      <c r="AK324" s="109"/>
      <c r="AL324" s="109"/>
      <c r="AM324" s="111" t="s">
        <v>1002</v>
      </c>
    </row>
    <row r="325" ht="21.0" customHeight="1">
      <c r="A325" s="202"/>
      <c r="B325" s="69"/>
      <c r="C325" s="42"/>
      <c r="D325" s="89" t="s">
        <v>955</v>
      </c>
      <c r="E325" s="68"/>
      <c r="F325" s="68"/>
      <c r="G325" s="68"/>
      <c r="H325" s="68"/>
      <c r="I325" s="68"/>
      <c r="J325" s="68"/>
      <c r="K325" s="68"/>
      <c r="L325" s="68"/>
      <c r="M325" s="60" t="str">
        <f>IFERROR(__xludf.DUMMYFUNCTION("QUERY(Hospitais_BD!D:I,""select E where D='""&amp;D325&amp;""'"",0)"),"ZONA NORTE")</f>
        <v>ZONA NORTE</v>
      </c>
      <c r="N325" s="25" t="str">
        <f>IFERROR(__xludf.DUMMYFUNCTION("QUERY(Hospitais_BD!D:I,""select F where D='""&amp;D325&amp;""'"")"),"Rio de Janeiro")</f>
        <v>Rio de Janeiro</v>
      </c>
      <c r="O325" s="60" t="str">
        <f>IFERROR(__xludf.DUMMYFUNCTION("QUERY(Hospitais_BD!D:I,""select G where D='""&amp;D325&amp;""'"")"),"Ilha do Fundão")</f>
        <v>Ilha do Fundão</v>
      </c>
      <c r="P325" s="25"/>
      <c r="Q325" s="116" t="str">
        <f>IFERROR(__xludf.DUMMYFUNCTION("QUERY(Hospitais_BD!D:I,""select I where D='""&amp;D325&amp;""'"")"),"Público")</f>
        <v>Público</v>
      </c>
      <c r="R325" s="116" t="str">
        <f>IFERROR(__xludf.DUMMYFUNCTION("QUERY(Hospitais_BD!D:I,""select H where D='""&amp;D325&amp;""'"")"),"Outra Instituição")</f>
        <v>Outra Instituição</v>
      </c>
      <c r="S325" s="165"/>
      <c r="T325" s="181"/>
      <c r="U325" s="171"/>
      <c r="V325" s="68"/>
      <c r="W325" s="68"/>
      <c r="X325" s="25"/>
      <c r="Y325" s="68"/>
      <c r="Z325" s="68"/>
      <c r="AA325" s="25"/>
      <c r="AB325" s="25"/>
      <c r="AC325" s="25"/>
      <c r="AD325" s="68"/>
      <c r="AE325" s="75"/>
      <c r="AF325" s="121"/>
      <c r="AG325" s="23">
        <v>60.0</v>
      </c>
      <c r="AH325" s="68"/>
      <c r="AI325" s="68"/>
      <c r="AJ325" s="68"/>
      <c r="AK325" s="123"/>
      <c r="AL325" s="123"/>
      <c r="AM325" s="124" t="s">
        <v>1002</v>
      </c>
    </row>
    <row r="326" ht="21.0" customHeight="1">
      <c r="A326" s="201"/>
      <c r="B326" s="70"/>
      <c r="C326" s="59"/>
      <c r="D326" s="52" t="s">
        <v>956</v>
      </c>
      <c r="E326" s="65"/>
      <c r="F326" s="65"/>
      <c r="G326" s="65"/>
      <c r="H326" s="65"/>
      <c r="I326" s="65"/>
      <c r="J326" s="65"/>
      <c r="K326" s="65"/>
      <c r="L326" s="65"/>
      <c r="M326" s="43" t="str">
        <f>IFERROR(__xludf.DUMMYFUNCTION("QUERY(Hospitais_BD!D:I,""select E where D='""&amp;D326&amp;""'"",0)"),"OUTRO ESTADO ")</f>
        <v>OUTRO ESTADO </v>
      </c>
      <c r="N326" s="32" t="str">
        <f>IFERROR(__xludf.DUMMYFUNCTION("QUERY(Hospitais_BD!D:I,""select F where D='""&amp;D326&amp;""'"")"),"Maranhão")</f>
        <v>Maranhão</v>
      </c>
      <c r="O326" s="43" t="str">
        <f>IFERROR(__xludf.DUMMYFUNCTION("QUERY(Hospitais_BD!D:I,""select G where D='""&amp;D326&amp;""'"")"),"Pinheiro")</f>
        <v>Pinheiro</v>
      </c>
      <c r="P326" s="32"/>
      <c r="Q326" s="105" t="str">
        <f>IFERROR(__xludf.DUMMYFUNCTION("QUERY(Hospitais_BD!D:I,""select I where D='""&amp;D326&amp;""'"")"),"Público")</f>
        <v>Público</v>
      </c>
      <c r="R326" s="105" t="str">
        <f>IFERROR(__xludf.DUMMYFUNCTION("QUERY(Hospitais_BD!D:I,""select H where D='""&amp;D326&amp;""'"")"),"Grande emergência - MÉDIA COMPLEXIDADE
")</f>
        <v>Grande emergência - MÉDIA COMPLEXIDADE
</v>
      </c>
      <c r="S326" s="167"/>
      <c r="T326" s="182"/>
      <c r="U326" s="172"/>
      <c r="V326" s="65"/>
      <c r="W326" s="65"/>
      <c r="X326" s="32"/>
      <c r="Y326" s="65"/>
      <c r="Z326" s="65"/>
      <c r="AA326" s="32"/>
      <c r="AB326" s="32"/>
      <c r="AC326" s="32"/>
      <c r="AD326" s="65"/>
      <c r="AE326" s="102"/>
      <c r="AF326" s="110"/>
      <c r="AG326" s="13">
        <v>250.0</v>
      </c>
      <c r="AH326" s="65"/>
      <c r="AI326" s="65"/>
      <c r="AJ326" s="65"/>
      <c r="AK326" s="109"/>
      <c r="AL326" s="109"/>
      <c r="AM326" s="111" t="s">
        <v>1002</v>
      </c>
    </row>
    <row r="327" ht="21.0" customHeight="1">
      <c r="A327" s="202"/>
      <c r="B327" s="69"/>
      <c r="C327" s="42"/>
      <c r="D327" s="89" t="s">
        <v>959</v>
      </c>
      <c r="E327" s="68"/>
      <c r="F327" s="68"/>
      <c r="G327" s="68"/>
      <c r="H327" s="68"/>
      <c r="I327" s="68"/>
      <c r="J327" s="68"/>
      <c r="K327" s="68"/>
      <c r="L327" s="68"/>
      <c r="M327" s="60" t="str">
        <f>IFERROR(__xludf.DUMMYFUNCTION("QUERY(Hospitais_BD!D:I,""select E where D='""&amp;D327&amp;""'"",0)"),"OUTRO ESTADO ")</f>
        <v>OUTRO ESTADO </v>
      </c>
      <c r="N327" s="25" t="str">
        <f>IFERROR(__xludf.DUMMYFUNCTION("QUERY(Hospitais_BD!D:I,""select F where D='""&amp;D327&amp;""'"")"),"Maranhão ")</f>
        <v>Maranhão </v>
      </c>
      <c r="O327" s="60" t="str">
        <f>IFERROR(__xludf.DUMMYFUNCTION("QUERY(Hospitais_BD!D:I,""select G where D='""&amp;D327&amp;""'"")"),"Pinheiro")</f>
        <v>Pinheiro</v>
      </c>
      <c r="P327" s="25"/>
      <c r="Q327" s="116" t="str">
        <f>IFERROR(__xludf.DUMMYFUNCTION("QUERY(Hospitais_BD!D:I,""select I where D='""&amp;D327&amp;""'"")"),"Público")</f>
        <v>Público</v>
      </c>
      <c r="R327" s="116" t="str">
        <f>IFERROR(__xludf.DUMMYFUNCTION("QUERY(Hospitais_BD!D:I,""select H where D='""&amp;D327&amp;""'"")"),"Grande emergência - MÉDIA COMPLEXIDADE
")</f>
        <v>Grande emergência - MÉDIA COMPLEXIDADE
</v>
      </c>
      <c r="S327" s="165"/>
      <c r="T327" s="181"/>
      <c r="U327" s="171"/>
      <c r="V327" s="68"/>
      <c r="W327" s="68"/>
      <c r="X327" s="25"/>
      <c r="Y327" s="68"/>
      <c r="Z327" s="68"/>
      <c r="AA327" s="25"/>
      <c r="AB327" s="25"/>
      <c r="AC327" s="25"/>
      <c r="AD327" s="68"/>
      <c r="AE327" s="75"/>
      <c r="AF327" s="121"/>
      <c r="AG327" s="23">
        <v>200.0</v>
      </c>
      <c r="AH327" s="68"/>
      <c r="AI327" s="68"/>
      <c r="AJ327" s="68"/>
      <c r="AK327" s="123"/>
      <c r="AL327" s="123"/>
      <c r="AM327" s="124" t="s">
        <v>1002</v>
      </c>
    </row>
    <row r="328" ht="21.0" customHeight="1">
      <c r="A328" s="201"/>
      <c r="B328" s="70"/>
      <c r="C328" s="59"/>
      <c r="D328" s="52" t="s">
        <v>961</v>
      </c>
      <c r="E328" s="65"/>
      <c r="F328" s="65"/>
      <c r="G328" s="65"/>
      <c r="H328" s="65"/>
      <c r="I328" s="65"/>
      <c r="J328" s="65"/>
      <c r="K328" s="65"/>
      <c r="L328" s="65"/>
      <c r="M328" s="43" t="str">
        <f>IFERROR(__xludf.DUMMYFUNCTION("QUERY(Hospitais_BD!D:I,""select E where D='""&amp;D328&amp;""'"",0)"),"OUTRO ESTADO ")</f>
        <v>OUTRO ESTADO </v>
      </c>
      <c r="N328" s="32" t="str">
        <f>IFERROR(__xludf.DUMMYFUNCTION("QUERY(Hospitais_BD!D:I,""select F where D='""&amp;D328&amp;""'"")"),"Maranhão")</f>
        <v>Maranhão</v>
      </c>
      <c r="O328" s="43" t="str">
        <f>IFERROR(__xludf.DUMMYFUNCTION("QUERY(Hospitais_BD!D:I,""select G where D='""&amp;D328&amp;""'"")"),"Pinheiro")</f>
        <v>Pinheiro</v>
      </c>
      <c r="P328" s="32"/>
      <c r="Q328" s="105" t="str">
        <f>IFERROR(__xludf.DUMMYFUNCTION("QUERY(Hospitais_BD!D:I,""select I where D='""&amp;D328&amp;""'"")"),"Público")</f>
        <v>Público</v>
      </c>
      <c r="R328" s="105" t="str">
        <f>IFERROR(__xludf.DUMMYFUNCTION("QUERY(Hospitais_BD!D:I,""select H where D='""&amp;D328&amp;""'"")"),"Hospital de Referência - ALTA COMPLEXIDADE")</f>
        <v>Hospital de Referência - ALTA COMPLEXIDADE</v>
      </c>
      <c r="S328" s="167"/>
      <c r="T328" s="182"/>
      <c r="U328" s="172"/>
      <c r="V328" s="65"/>
      <c r="W328" s="65"/>
      <c r="X328" s="32"/>
      <c r="Y328" s="65"/>
      <c r="Z328" s="65"/>
      <c r="AA328" s="32"/>
      <c r="AB328" s="32"/>
      <c r="AC328" s="32"/>
      <c r="AD328" s="65"/>
      <c r="AE328" s="102"/>
      <c r="AF328" s="110"/>
      <c r="AG328" s="13">
        <v>500.0</v>
      </c>
      <c r="AH328" s="65"/>
      <c r="AI328" s="65"/>
      <c r="AJ328" s="65"/>
      <c r="AK328" s="109"/>
      <c r="AL328" s="109"/>
      <c r="AM328" s="111" t="s">
        <v>1002</v>
      </c>
    </row>
    <row r="329" ht="21.0" customHeight="1">
      <c r="A329" s="202"/>
      <c r="B329" s="69"/>
      <c r="C329" s="42"/>
      <c r="D329" s="89" t="s">
        <v>962</v>
      </c>
      <c r="E329" s="68"/>
      <c r="F329" s="68"/>
      <c r="G329" s="68"/>
      <c r="H329" s="68"/>
      <c r="I329" s="68"/>
      <c r="J329" s="68"/>
      <c r="K329" s="68"/>
      <c r="L329" s="68"/>
      <c r="M329" s="60" t="str">
        <f>IFERROR(__xludf.DUMMYFUNCTION("QUERY(Hospitais_BD!D:I,""select E where D='""&amp;D329&amp;""'"",0)"),"OUTRO ESTADO")</f>
        <v>OUTRO ESTADO</v>
      </c>
      <c r="N329" s="25" t="str">
        <f>IFERROR(__xludf.DUMMYFUNCTION("QUERY(Hospitais_BD!D:I,""select F where D='""&amp;D329&amp;""'"")"),"Minas Gerais")</f>
        <v>Minas Gerais</v>
      </c>
      <c r="O329" s="60" t="str">
        <f>IFERROR(__xludf.DUMMYFUNCTION("QUERY(Hospitais_BD!D:I,""select G where D='""&amp;D329&amp;""'"")"),"São João Nepomuceno")</f>
        <v>São João Nepomuceno</v>
      </c>
      <c r="P329" s="25"/>
      <c r="Q329" s="116" t="str">
        <f>IFERROR(__xludf.DUMMYFUNCTION("QUERY(Hospitais_BD!D:I,""select I where D='""&amp;D329&amp;""'"")"),"Público")</f>
        <v>Público</v>
      </c>
      <c r="R329" s="116" t="str">
        <f>IFERROR(__xludf.DUMMYFUNCTION("QUERY(Hospitais_BD!D:I,""select H where D='""&amp;D329&amp;""'"")"),"Grande emergência - MÉDIA COMPLEXIDADE
")</f>
        <v>Grande emergência - MÉDIA COMPLEXIDADE
</v>
      </c>
      <c r="S329" s="165"/>
      <c r="T329" s="181"/>
      <c r="U329" s="171"/>
      <c r="V329" s="68"/>
      <c r="W329" s="68"/>
      <c r="X329" s="25"/>
      <c r="Y329" s="68"/>
      <c r="Z329" s="68"/>
      <c r="AA329" s="25"/>
      <c r="AB329" s="25"/>
      <c r="AC329" s="25"/>
      <c r="AD329" s="68"/>
      <c r="AE329" s="75"/>
      <c r="AF329" s="121"/>
      <c r="AG329" s="23">
        <v>300.0</v>
      </c>
      <c r="AH329" s="68"/>
      <c r="AI329" s="68"/>
      <c r="AJ329" s="68"/>
      <c r="AK329" s="123"/>
      <c r="AL329" s="123"/>
      <c r="AM329" s="124" t="s">
        <v>1002</v>
      </c>
    </row>
    <row r="330" ht="21.0" customHeight="1">
      <c r="A330" s="201"/>
      <c r="B330" s="70"/>
      <c r="C330" s="59"/>
      <c r="D330" s="52" t="s">
        <v>965</v>
      </c>
      <c r="E330" s="65"/>
      <c r="F330" s="65"/>
      <c r="G330" s="65"/>
      <c r="H330" s="65"/>
      <c r="I330" s="65"/>
      <c r="J330" s="65"/>
      <c r="K330" s="65"/>
      <c r="L330" s="65"/>
      <c r="M330" s="43" t="str">
        <f>IFERROR(__xludf.DUMMYFUNCTION("QUERY(Hospitais_BD!D:I,""select E where D='""&amp;D330&amp;""'"",0)"),"OUTRO ESTADO ")</f>
        <v>OUTRO ESTADO </v>
      </c>
      <c r="N330" s="32" t="str">
        <f>IFERROR(__xludf.DUMMYFUNCTION("QUERY(Hospitais_BD!D:I,""select F where D='""&amp;D330&amp;""'"")"),"Ceará")</f>
        <v>Ceará</v>
      </c>
      <c r="O330" s="43" t="str">
        <f>IFERROR(__xludf.DUMMYFUNCTION("QUERY(Hospitais_BD!D:I,""select G where D='""&amp;D330&amp;""'"")"),"Ceará")</f>
        <v>Ceará</v>
      </c>
      <c r="P330" s="32"/>
      <c r="Q330" s="105" t="str">
        <f>IFERROR(__xludf.DUMMYFUNCTION("QUERY(Hospitais_BD!D:I,""select I where D='""&amp;D330&amp;""'"")"),"Público")</f>
        <v>Público</v>
      </c>
      <c r="R330" s="105" t="str">
        <f>IFERROR(__xludf.DUMMYFUNCTION("QUERY(Hospitais_BD!D:I,""select H where D='""&amp;D330&amp;""'"")"),"Outra Instituição")</f>
        <v>Outra Instituição</v>
      </c>
      <c r="S330" s="167"/>
      <c r="T330" s="182"/>
      <c r="U330" s="172"/>
      <c r="V330" s="65"/>
      <c r="W330" s="65"/>
      <c r="X330" s="32"/>
      <c r="Y330" s="65"/>
      <c r="Z330" s="65"/>
      <c r="AA330" s="32"/>
      <c r="AB330" s="32"/>
      <c r="AC330" s="32"/>
      <c r="AD330" s="65"/>
      <c r="AE330" s="102"/>
      <c r="AF330" s="110"/>
      <c r="AG330" s="13">
        <v>1190.0</v>
      </c>
      <c r="AH330" s="65"/>
      <c r="AI330" s="65"/>
      <c r="AJ330" s="65"/>
      <c r="AK330" s="109"/>
      <c r="AL330" s="109"/>
      <c r="AM330" s="111" t="s">
        <v>1002</v>
      </c>
    </row>
  </sheetData>
  <autoFilter ref="$A$1:$AM$330"/>
  <conditionalFormatting sqref="C231:C250">
    <cfRule type="notContainsBlanks" dxfId="3" priority="1">
      <formula>LEN(TRIM(C231))&gt;0</formula>
    </cfRule>
  </conditionalFormatting>
  <conditionalFormatting sqref="A2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53.57"/>
  </cols>
  <sheetData>
    <row r="1">
      <c r="A1" s="204" t="s">
        <v>1098</v>
      </c>
      <c r="B1" s="205" t="s">
        <v>1099</v>
      </c>
      <c r="C1" s="206" t="s">
        <v>41</v>
      </c>
      <c r="D1" s="206" t="s">
        <v>47</v>
      </c>
      <c r="E1" s="207" t="s">
        <v>1100</v>
      </c>
      <c r="F1" s="208" t="s">
        <v>41</v>
      </c>
      <c r="G1" s="208" t="s">
        <v>47</v>
      </c>
      <c r="H1" s="209" t="s">
        <v>1101</v>
      </c>
      <c r="I1" s="210" t="s">
        <v>41</v>
      </c>
      <c r="J1" s="210" t="s">
        <v>47</v>
      </c>
      <c r="K1" s="207" t="s">
        <v>1102</v>
      </c>
      <c r="L1" s="208" t="s">
        <v>41</v>
      </c>
      <c r="M1" s="208" t="s">
        <v>47</v>
      </c>
      <c r="N1" s="211" t="s">
        <v>1103</v>
      </c>
      <c r="O1" s="211" t="s">
        <v>41</v>
      </c>
      <c r="P1" s="211" t="s">
        <v>47</v>
      </c>
    </row>
    <row r="2">
      <c r="A2" s="212" t="s">
        <v>1104</v>
      </c>
      <c r="B2" s="213">
        <f t="shared" ref="B2:P2" si="1">SUM(B3:B6)</f>
        <v>231</v>
      </c>
      <c r="C2" s="213">
        <f t="shared" si="1"/>
        <v>178</v>
      </c>
      <c r="D2" s="213">
        <f t="shared" si="1"/>
        <v>53</v>
      </c>
      <c r="E2" s="214">
        <f t="shared" si="1"/>
        <v>0</v>
      </c>
      <c r="F2" s="214">
        <f t="shared" si="1"/>
        <v>0</v>
      </c>
      <c r="G2" s="214">
        <f t="shared" si="1"/>
        <v>0</v>
      </c>
      <c r="H2" s="215">
        <f t="shared" si="1"/>
        <v>0</v>
      </c>
      <c r="I2" s="215">
        <f t="shared" si="1"/>
        <v>0</v>
      </c>
      <c r="J2" s="215">
        <f t="shared" si="1"/>
        <v>0</v>
      </c>
      <c r="K2" s="214">
        <f t="shared" si="1"/>
        <v>0</v>
      </c>
      <c r="L2" s="214">
        <f t="shared" si="1"/>
        <v>0</v>
      </c>
      <c r="M2" s="214">
        <f t="shared" si="1"/>
        <v>0</v>
      </c>
      <c r="N2" s="216">
        <f t="shared" si="1"/>
        <v>12033.5</v>
      </c>
      <c r="O2" s="216">
        <f t="shared" si="1"/>
        <v>11713.5</v>
      </c>
      <c r="P2" s="216">
        <f t="shared" si="1"/>
        <v>320</v>
      </c>
    </row>
    <row r="3">
      <c r="A3" s="217"/>
      <c r="B3" s="218"/>
      <c r="C3" s="218"/>
      <c r="D3" s="218"/>
      <c r="E3" s="219"/>
      <c r="F3" s="219"/>
      <c r="G3" s="219"/>
      <c r="H3" s="220"/>
      <c r="I3" s="220"/>
      <c r="J3" s="220"/>
      <c r="K3" s="221"/>
      <c r="L3" s="221"/>
      <c r="M3" s="221"/>
      <c r="N3" s="222"/>
      <c r="O3" s="222"/>
      <c r="P3" s="222"/>
    </row>
    <row r="4">
      <c r="A4" s="223" t="s">
        <v>40</v>
      </c>
      <c r="B4" s="224">
        <f>COUNTIF(Hospitais_BD!H2:H6,A4)</f>
        <v>83</v>
      </c>
      <c r="C4" s="225">
        <f>COUNTIFS(Hospitais_BD!H2:H6,A4,Hospitais_BD!I2:I6,C1)</f>
        <v>67</v>
      </c>
      <c r="D4" s="225">
        <f>COUNTIFS(Hospitais_BD!H2:H6,A4,Hospitais_BD!I2:I6,D1)</f>
        <v>16</v>
      </c>
      <c r="E4" s="226">
        <f>IFERROR(__xludf.DUMMYFUNCTION("SUM(QUERY(Hospitais_BD!H:AI,""select AG where H = '""&amp;A4&amp;""'"",1))"),0.0)</f>
        <v>0</v>
      </c>
      <c r="F4" s="226">
        <f>IFERROR(__xludf.DUMMYFUNCTION("SUM(QUERY(Hospitais_BD!H:AI,""select AG where H = '""&amp;A4&amp;""' and I='""&amp;F1&amp;""'"",1))"),0.0)</f>
        <v>0</v>
      </c>
      <c r="G4" s="226">
        <f>IFERROR(__xludf.DUMMYFUNCTION("SUM(QUERY(Hospitais_BD!H:AI,""select AG where H = '""&amp;A4&amp;""' and I='""&amp;G1&amp;""'"",1))"),0.0)</f>
        <v>0</v>
      </c>
      <c r="H4" s="227">
        <f>IFERROR(__xludf.DUMMYFUNCTION("SUM(QUERY(Hospitais_BD!H:AI,""select AH where H = '""&amp;A4&amp;""'"",1))"),0.0)</f>
        <v>0</v>
      </c>
      <c r="I4" s="227">
        <f>IFERROR(__xludf.DUMMYFUNCTION("SUM(QUERY(Hospitais_BD!H:AI,""select AH where H = '""&amp;A4&amp;""' and I='""&amp;I1&amp;""'"",1))"),0.0)</f>
        <v>0</v>
      </c>
      <c r="J4" s="227">
        <f>IFERROR(__xludf.DUMMYFUNCTION("SUM(QUERY(Hospitais_BD!H:AH,""select AH where H = '""&amp;A4&amp;""' and I='""&amp;J1&amp;""'"",1))"),0.0)</f>
        <v>0</v>
      </c>
      <c r="K4" s="228">
        <f>IFERROR(__xludf.DUMMYFUNCTION("SUM(QUERY(Hospitais_BD!H:AI,""select AI where H = '""&amp;A4&amp;""'"",1))"),0.0)</f>
        <v>0</v>
      </c>
      <c r="L4" s="228">
        <f>IFERROR(__xludf.DUMMYFUNCTION("SUM(QUERY(Hospitais_BD!H:AI,""select AI where H = '""&amp;A4&amp;""' and I='""&amp;L1&amp;""'"",1))"),0.0)</f>
        <v>0</v>
      </c>
      <c r="M4" s="228">
        <f>IFERROR(__xludf.DUMMYFUNCTION("SUM(QUERY(Hospitais_BD!H1:AI6,""select AI where H = '""&amp;A4&amp;""' and I='""&amp;M1&amp;""'"",1))"),0.0)</f>
        <v>0</v>
      </c>
      <c r="N4" s="229">
        <f>IFERROR(__xludf.DUMMYFUNCTION("SUM(QUERY(Hospitais_BD!H:Y,""select T,U,V,W,X,Y where H = '""&amp;A4&amp;""'"",1))"),4642.0)</f>
        <v>4642</v>
      </c>
      <c r="O4" s="229">
        <f>IFERROR(__xludf.DUMMYFUNCTION("SUM(QUERY(Hospitais_BD!H:Y,""select T,U,V,W,X,Y where H = '""&amp;A4&amp;""' and I='""&amp;O1&amp;""'"",1))"),4492.0)</f>
        <v>4492</v>
      </c>
      <c r="P4" s="229">
        <f>IFERROR(__xludf.DUMMYFUNCTION("SUM(QUERY(Hospitais_BD!H:Y,""select T,U,V,W,X,Y where H = '""&amp;A4&amp;""' and I='""&amp;P1&amp;""'"",1))"),150.0)</f>
        <v>150</v>
      </c>
    </row>
    <row r="5">
      <c r="A5" s="230" t="s">
        <v>69</v>
      </c>
      <c r="B5" s="224">
        <f>COUNTIF(Hospitais_BD!H2:H6,A5)</f>
        <v>56</v>
      </c>
      <c r="C5" s="225">
        <f>COUNTIFS(Hospitais_BD!H2:H6,A5,Hospitais_BD!I2:I6,C1)</f>
        <v>54</v>
      </c>
      <c r="D5" s="225">
        <f>COUNTIFS(Hospitais_BD!H2:H6,A5,Hospitais_BD!I2:I6,D1)</f>
        <v>2</v>
      </c>
      <c r="E5" s="226">
        <f>IFERROR(__xludf.DUMMYFUNCTION("SUM(QUERY(Hospitais_BD!H:AI,""select AG where H = '""&amp;A5&amp;""'"",1))"),0.0)</f>
        <v>0</v>
      </c>
      <c r="F5" s="226">
        <f>IFERROR(__xludf.DUMMYFUNCTION("SUM(QUERY(Hospitais_BD!H:AI,""select AG where H = '""&amp;A5&amp;""' and I='""&amp;F1&amp;""'"",1))"),0.0)</f>
        <v>0</v>
      </c>
      <c r="G5" s="226">
        <f>IFERROR(__xludf.DUMMYFUNCTION("SUM(QUERY(Hospitais_BD!H:AI,""select AG where H = '""&amp;A5&amp;""' and I='""&amp;G1&amp;""'"",1))"),0.0)</f>
        <v>0</v>
      </c>
      <c r="H5" s="227">
        <f>IFERROR(__xludf.DUMMYFUNCTION("SUM(QUERY(Hospitais_BD!H:AI,""select AH where H = '""&amp;A5&amp;""'"",1))"),0.0)</f>
        <v>0</v>
      </c>
      <c r="I5" s="227">
        <f>IFERROR(__xludf.DUMMYFUNCTION("SUM(QUERY(Hospitais_BD!H:AI,""select AH where H = '""&amp;A5&amp;""' and I='""&amp;I1&amp;""'"",1))"),0.0)</f>
        <v>0</v>
      </c>
      <c r="J5" s="227">
        <f>IFERROR(__xludf.DUMMYFUNCTION("SUM(QUERY(Hospitais_BD!H:AH,""select AH where H = '""&amp;A5&amp;""' and I='""&amp;J1&amp;""'"",1))"),0.0)</f>
        <v>0</v>
      </c>
      <c r="K5" s="228">
        <f>IFERROR(__xludf.DUMMYFUNCTION("SUM(QUERY(Hospitais_BD!H:AI,""select AI where H = '""&amp;A5&amp;""'"",1))"),0.0)</f>
        <v>0</v>
      </c>
      <c r="L5" s="228">
        <f>IFERROR(__xludf.DUMMYFUNCTION("SUM(QUERY(Hospitais_BD!H:AI,""select AI where H = '""&amp;A5&amp;""' and I='""&amp;L1&amp;""'"",1))"),0.0)</f>
        <v>0</v>
      </c>
      <c r="M5" s="228">
        <f>IFERROR(__xludf.DUMMYFUNCTION("SUM(QUERY(Hospitais_BD!H2:AI6,""select AI where H = '""&amp;A5&amp;""' and I='""&amp;M1&amp;""'"",1))"),0.0)</f>
        <v>0</v>
      </c>
      <c r="N5" s="229">
        <f>IFERROR(__xludf.DUMMYFUNCTION("SUM(QUERY(Hospitais_BD!H:Y,""select T,U,V,W,X,Y where H = '""&amp;A5&amp;""'"",1))"),4773.5)</f>
        <v>4773.5</v>
      </c>
      <c r="O5" s="229">
        <f>IFERROR(__xludf.DUMMYFUNCTION("SUM(QUERY(Hospitais_BD!H:Y,""select T,U,V,W,X,Y where H = '""&amp;A5&amp;""' and I='""&amp;O1&amp;""'"",1))"),4773.5)</f>
        <v>4773.5</v>
      </c>
      <c r="P5" s="229">
        <f>IFERROR(__xludf.DUMMYFUNCTION("SUM(QUERY(Hospitais_BD!H:Y,""select T,U,V,W,X,Y where H = '""&amp;A5&amp;""' and I='""&amp;P1&amp;""'"",1))"),0.0)</f>
        <v>0</v>
      </c>
    </row>
    <row r="6">
      <c r="A6" s="230" t="s">
        <v>51</v>
      </c>
      <c r="B6" s="224">
        <f>COUNTIF(Hospitais_BD!H2:H6,A6)</f>
        <v>92</v>
      </c>
      <c r="C6" s="225">
        <f>COUNTIFS(Hospitais_BD!H2:H6,A6,Hospitais_BD!I2:I6,C1)</f>
        <v>57</v>
      </c>
      <c r="D6" s="225">
        <f>COUNTIFS(Hospitais_BD!H2:H6,A6,Hospitais_BD!I2:I6,D1)</f>
        <v>35</v>
      </c>
      <c r="E6" s="226">
        <f>IFERROR(__xludf.DUMMYFUNCTION("SUM(QUERY(Hospitais_BD!H:AI,""select AG where H = '""&amp;A6&amp;""'"",1))"),0.0)</f>
        <v>0</v>
      </c>
      <c r="F6" s="226">
        <f>IFERROR(__xludf.DUMMYFUNCTION("SUM(QUERY(Hospitais_BD!H:AI,""select AG where H = '""&amp;A6&amp;""' and I='""&amp;F1&amp;""'"",1))"),0.0)</f>
        <v>0</v>
      </c>
      <c r="G6" s="226">
        <f>IFERROR(__xludf.DUMMYFUNCTION("SUM(QUERY(Hospitais_BD!H:AI,""select AG where H = '""&amp;A6&amp;""' and I='""&amp;G1&amp;""'"",1))"),0.0)</f>
        <v>0</v>
      </c>
      <c r="H6" s="227">
        <f>IFERROR(__xludf.DUMMYFUNCTION("SUM(QUERY(Hospitais_BD!H:AI,""select AH where H = '""&amp;A6&amp;""'"",1))"),0.0)</f>
        <v>0</v>
      </c>
      <c r="I6" s="227">
        <f>IFERROR(__xludf.DUMMYFUNCTION("SUM(QUERY(Hospitais_BD!H:AI,""select AH where H = '""&amp;A6&amp;""' and I='""&amp;I1&amp;""'"",1))"),0.0)</f>
        <v>0</v>
      </c>
      <c r="J6" s="227">
        <f>IFERROR(__xludf.DUMMYFUNCTION("SUM(QUERY(Hospitais_BD!H:AH,""select AH where H = '""&amp;A6&amp;""' and I='""&amp;J1&amp;""'"",1))"),0.0)</f>
        <v>0</v>
      </c>
      <c r="K6" s="228">
        <f>IFERROR(__xludf.DUMMYFUNCTION("SUM(QUERY(Hospitais_BD!H:AI,""select AI where H = '""&amp;A6&amp;""'"",1))"),0.0)</f>
        <v>0</v>
      </c>
      <c r="L6" s="228">
        <f>IFERROR(__xludf.DUMMYFUNCTION("SUM(QUERY(Hospitais_BD!H:AI,""select AI where H = '""&amp;A6&amp;""' and I='""&amp;L1&amp;""'"",1))"),0.0)</f>
        <v>0</v>
      </c>
      <c r="M6" s="228">
        <f>IFERROR(__xludf.DUMMYFUNCTION("SUM(QUERY(Hospitais_BD!H3:AI6,""select AI where H = '""&amp;A6&amp;""' and I='""&amp;M1&amp;""'"",1))"),0.0)</f>
        <v>0</v>
      </c>
      <c r="N6" s="229">
        <f>IFERROR(__xludf.DUMMYFUNCTION("SUM(QUERY(Hospitais_BD!H:Y,""select T,U,V,W,X,Y where H = '""&amp;A6&amp;""'"",1))"),2618.0)</f>
        <v>2618</v>
      </c>
      <c r="O6" s="229">
        <f>IFERROR(__xludf.DUMMYFUNCTION("SUM(QUERY(Hospitais_BD!H:Y,""select T,U,V,W,X,Y where H = '""&amp;A6&amp;""' and I='""&amp;O1&amp;""'"",1))"),2448.0)</f>
        <v>2448</v>
      </c>
      <c r="P6" s="229">
        <f>IFERROR(__xludf.DUMMYFUNCTION("SUM(QUERY(Hospitais_BD!H:Y,""select T,U,V,W,X,Y where H = '""&amp;A6&amp;""' and I='""&amp;P1&amp;""'"",1))"),170.0)</f>
        <v>170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75"/>
  <cols>
    <col customWidth="1" min="1" max="1" width="30.43"/>
  </cols>
  <sheetData>
    <row r="1">
      <c r="A1" s="204"/>
      <c r="B1" s="231"/>
      <c r="C1" s="231"/>
      <c r="D1" s="231"/>
      <c r="E1" s="231"/>
      <c r="F1" s="232" t="s">
        <v>1105</v>
      </c>
      <c r="G1" s="233"/>
      <c r="H1" s="233"/>
      <c r="I1" s="233"/>
      <c r="J1" s="233"/>
      <c r="K1" s="233"/>
      <c r="L1" s="233"/>
      <c r="M1" s="233"/>
      <c r="N1" s="234"/>
      <c r="O1" s="231"/>
      <c r="P1" s="232" t="s">
        <v>1106</v>
      </c>
      <c r="Q1" s="233"/>
      <c r="R1" s="233"/>
      <c r="S1" s="233"/>
      <c r="T1" s="233"/>
      <c r="U1" s="233"/>
      <c r="V1" s="233"/>
      <c r="W1" s="233"/>
      <c r="X1" s="234"/>
      <c r="Y1" s="231"/>
      <c r="Z1" s="232" t="s">
        <v>1107</v>
      </c>
      <c r="AA1" s="233"/>
      <c r="AB1" s="233"/>
      <c r="AC1" s="233"/>
      <c r="AD1" s="233"/>
      <c r="AE1" s="233"/>
      <c r="AF1" s="233"/>
      <c r="AG1" s="233"/>
      <c r="AH1" s="234"/>
      <c r="AI1" s="231"/>
      <c r="AJ1" s="232" t="s">
        <v>1108</v>
      </c>
      <c r="AK1" s="233"/>
      <c r="AL1" s="233"/>
      <c r="AM1" s="233"/>
      <c r="AN1" s="233"/>
      <c r="AO1" s="233"/>
      <c r="AP1" s="233"/>
      <c r="AQ1" s="233"/>
      <c r="AR1" s="234"/>
      <c r="AS1" s="231"/>
      <c r="AT1" s="232" t="s">
        <v>1109</v>
      </c>
      <c r="AU1" s="233"/>
      <c r="AV1" s="233"/>
      <c r="AW1" s="233"/>
      <c r="AX1" s="233"/>
      <c r="AY1" s="233"/>
      <c r="AZ1" s="233"/>
      <c r="BA1" s="233"/>
      <c r="BB1" s="234"/>
      <c r="BC1" s="231"/>
      <c r="BD1" s="232" t="s">
        <v>1110</v>
      </c>
      <c r="BE1" s="233"/>
      <c r="BF1" s="233"/>
      <c r="BG1" s="233"/>
      <c r="BH1" s="233"/>
      <c r="BI1" s="233"/>
      <c r="BJ1" s="233"/>
      <c r="BK1" s="233"/>
      <c r="BL1" s="234"/>
    </row>
    <row r="2">
      <c r="A2" s="204" t="s">
        <v>1098</v>
      </c>
      <c r="B2" s="205" t="s">
        <v>1099</v>
      </c>
      <c r="C2" s="206" t="s">
        <v>41</v>
      </c>
      <c r="D2" s="206" t="s">
        <v>47</v>
      </c>
      <c r="E2" s="235"/>
      <c r="F2" s="207" t="s">
        <v>1111</v>
      </c>
      <c r="G2" s="208" t="s">
        <v>41</v>
      </c>
      <c r="H2" s="208" t="s">
        <v>47</v>
      </c>
      <c r="I2" s="236" t="s">
        <v>1103</v>
      </c>
      <c r="J2" s="236" t="s">
        <v>41</v>
      </c>
      <c r="K2" s="236" t="s">
        <v>47</v>
      </c>
      <c r="L2" s="207" t="s">
        <v>1112</v>
      </c>
      <c r="M2" s="208" t="s">
        <v>41</v>
      </c>
      <c r="N2" s="208" t="s">
        <v>47</v>
      </c>
      <c r="O2" s="237"/>
      <c r="P2" s="207" t="s">
        <v>1111</v>
      </c>
      <c r="Q2" s="208" t="s">
        <v>41</v>
      </c>
      <c r="R2" s="208" t="s">
        <v>47</v>
      </c>
      <c r="S2" s="236" t="s">
        <v>1103</v>
      </c>
      <c r="T2" s="236" t="s">
        <v>41</v>
      </c>
      <c r="U2" s="236" t="s">
        <v>47</v>
      </c>
      <c r="V2" s="207" t="s">
        <v>1112</v>
      </c>
      <c r="W2" s="208" t="s">
        <v>41</v>
      </c>
      <c r="X2" s="208" t="s">
        <v>47</v>
      </c>
      <c r="Y2" s="237"/>
      <c r="Z2" s="207" t="s">
        <v>1111</v>
      </c>
      <c r="AA2" s="208" t="s">
        <v>41</v>
      </c>
      <c r="AB2" s="208" t="s">
        <v>47</v>
      </c>
      <c r="AC2" s="236" t="s">
        <v>1103</v>
      </c>
      <c r="AD2" s="236" t="s">
        <v>41</v>
      </c>
      <c r="AE2" s="236" t="s">
        <v>47</v>
      </c>
      <c r="AF2" s="207" t="s">
        <v>1112</v>
      </c>
      <c r="AG2" s="208" t="s">
        <v>41</v>
      </c>
      <c r="AH2" s="208" t="s">
        <v>47</v>
      </c>
      <c r="AI2" s="237"/>
      <c r="AJ2" s="207" t="s">
        <v>1111</v>
      </c>
      <c r="AK2" s="208" t="s">
        <v>41</v>
      </c>
      <c r="AL2" s="208" t="s">
        <v>47</v>
      </c>
      <c r="AM2" s="236" t="s">
        <v>1103</v>
      </c>
      <c r="AN2" s="236" t="s">
        <v>41</v>
      </c>
      <c r="AO2" s="236" t="s">
        <v>47</v>
      </c>
      <c r="AP2" s="207" t="s">
        <v>1112</v>
      </c>
      <c r="AQ2" s="208" t="s">
        <v>41</v>
      </c>
      <c r="AR2" s="208" t="s">
        <v>47</v>
      </c>
      <c r="AS2" s="237"/>
      <c r="AT2" s="207" t="s">
        <v>1111</v>
      </c>
      <c r="AU2" s="208" t="s">
        <v>41</v>
      </c>
      <c r="AV2" s="208" t="s">
        <v>47</v>
      </c>
      <c r="AW2" s="236" t="s">
        <v>1103</v>
      </c>
      <c r="AX2" s="236" t="s">
        <v>41</v>
      </c>
      <c r="AY2" s="236" t="s">
        <v>47</v>
      </c>
      <c r="AZ2" s="207" t="s">
        <v>1112</v>
      </c>
      <c r="BA2" s="208" t="s">
        <v>41</v>
      </c>
      <c r="BB2" s="208" t="s">
        <v>47</v>
      </c>
      <c r="BC2" s="237"/>
      <c r="BD2" s="207" t="s">
        <v>1111</v>
      </c>
      <c r="BE2" s="208" t="s">
        <v>41</v>
      </c>
      <c r="BF2" s="208" t="s">
        <v>47</v>
      </c>
      <c r="BG2" s="236" t="s">
        <v>1103</v>
      </c>
      <c r="BH2" s="236" t="s">
        <v>41</v>
      </c>
      <c r="BI2" s="236" t="s">
        <v>47</v>
      </c>
      <c r="BJ2" s="207" t="s">
        <v>1112</v>
      </c>
      <c r="BK2" s="208" t="s">
        <v>41</v>
      </c>
      <c r="BL2" s="208" t="s">
        <v>47</v>
      </c>
    </row>
    <row r="3">
      <c r="A3" s="212" t="s">
        <v>1113</v>
      </c>
      <c r="B3" s="213">
        <f t="shared" ref="B3:D3" si="1">SUM(B5,B12,B22)</f>
        <v>420</v>
      </c>
      <c r="C3" s="213">
        <f t="shared" si="1"/>
        <v>360</v>
      </c>
      <c r="D3" s="213">
        <f t="shared" si="1"/>
        <v>60</v>
      </c>
      <c r="E3" s="235"/>
      <c r="F3" s="238">
        <f t="shared" ref="F3:K3" si="2">SUM(F5,F12)</f>
        <v>0</v>
      </c>
      <c r="G3" s="238">
        <f t="shared" si="2"/>
        <v>0</v>
      </c>
      <c r="H3" s="238">
        <f t="shared" si="2"/>
        <v>0</v>
      </c>
      <c r="I3" s="239">
        <f t="shared" si="2"/>
        <v>21307</v>
      </c>
      <c r="J3" s="239">
        <f t="shared" si="2"/>
        <v>20987</v>
      </c>
      <c r="K3" s="239">
        <f t="shared" si="2"/>
        <v>320</v>
      </c>
      <c r="L3" s="238">
        <f t="shared" ref="L3:N3" si="3">F3-I3</f>
        <v>-21307</v>
      </c>
      <c r="M3" s="238">
        <f t="shared" si="3"/>
        <v>-20987</v>
      </c>
      <c r="N3" s="238">
        <f t="shared" si="3"/>
        <v>-320</v>
      </c>
      <c r="O3" s="240"/>
      <c r="P3" s="238">
        <f t="shared" ref="P3:U3" si="4">SUM(P5,P12)</f>
        <v>0</v>
      </c>
      <c r="Q3" s="238">
        <f t="shared" si="4"/>
        <v>0</v>
      </c>
      <c r="R3" s="238">
        <f t="shared" si="4"/>
        <v>0</v>
      </c>
      <c r="S3" s="239">
        <f t="shared" si="4"/>
        <v>0</v>
      </c>
      <c r="T3" s="239">
        <f t="shared" si="4"/>
        <v>0</v>
      </c>
      <c r="U3" s="239">
        <f t="shared" si="4"/>
        <v>0</v>
      </c>
      <c r="V3" s="238">
        <f t="shared" ref="V3:X3" si="5">P3-S3</f>
        <v>0</v>
      </c>
      <c r="W3" s="238">
        <f t="shared" si="5"/>
        <v>0</v>
      </c>
      <c r="X3" s="238">
        <f t="shared" si="5"/>
        <v>0</v>
      </c>
      <c r="Y3" s="240"/>
      <c r="Z3" s="238">
        <f t="shared" ref="Z3:AE3" si="6">SUM(Z5,Z12)</f>
        <v>0</v>
      </c>
      <c r="AA3" s="238">
        <f t="shared" si="6"/>
        <v>0</v>
      </c>
      <c r="AB3" s="238">
        <f t="shared" si="6"/>
        <v>0</v>
      </c>
      <c r="AC3" s="239">
        <f t="shared" si="6"/>
        <v>0</v>
      </c>
      <c r="AD3" s="239">
        <f t="shared" si="6"/>
        <v>0</v>
      </c>
      <c r="AE3" s="239">
        <f t="shared" si="6"/>
        <v>0</v>
      </c>
      <c r="AF3" s="238">
        <f t="shared" ref="AF3:AH3" si="7">Z3-AC3</f>
        <v>0</v>
      </c>
      <c r="AG3" s="238">
        <f t="shared" si="7"/>
        <v>0</v>
      </c>
      <c r="AH3" s="238">
        <f t="shared" si="7"/>
        <v>0</v>
      </c>
      <c r="AI3" s="240"/>
      <c r="AJ3" s="238">
        <f t="shared" ref="AJ3:AO3" si="8">SUM(AJ5,AJ12)</f>
        <v>0</v>
      </c>
      <c r="AK3" s="238">
        <f t="shared" si="8"/>
        <v>0</v>
      </c>
      <c r="AL3" s="238">
        <f t="shared" si="8"/>
        <v>0</v>
      </c>
      <c r="AM3" s="239">
        <f t="shared" si="8"/>
        <v>1325</v>
      </c>
      <c r="AN3" s="239">
        <f t="shared" si="8"/>
        <v>1275</v>
      </c>
      <c r="AO3" s="239">
        <f t="shared" si="8"/>
        <v>50</v>
      </c>
      <c r="AP3" s="238">
        <f t="shared" ref="AP3:AR3" si="9">AJ3-AM3</f>
        <v>-1325</v>
      </c>
      <c r="AQ3" s="238">
        <f t="shared" si="9"/>
        <v>-1275</v>
      </c>
      <c r="AR3" s="238">
        <f t="shared" si="9"/>
        <v>-50</v>
      </c>
      <c r="AS3" s="240"/>
      <c r="AT3" s="238">
        <f t="shared" ref="AT3:AY3" si="10">SUM(AT5,AT12)</f>
        <v>2425</v>
      </c>
      <c r="AU3" s="238">
        <f t="shared" si="10"/>
        <v>2425</v>
      </c>
      <c r="AV3" s="238">
        <f t="shared" si="10"/>
        <v>0</v>
      </c>
      <c r="AW3" s="239">
        <f t="shared" si="10"/>
        <v>610</v>
      </c>
      <c r="AX3" s="239">
        <f t="shared" si="10"/>
        <v>610</v>
      </c>
      <c r="AY3" s="239">
        <f t="shared" si="10"/>
        <v>0</v>
      </c>
      <c r="AZ3" s="238">
        <f t="shared" ref="AZ3:BB3" si="11">AT3-AW3</f>
        <v>1815</v>
      </c>
      <c r="BA3" s="238">
        <f t="shared" si="11"/>
        <v>1815</v>
      </c>
      <c r="BB3" s="238">
        <f t="shared" si="11"/>
        <v>0</v>
      </c>
      <c r="BC3" s="240"/>
      <c r="BD3" s="238">
        <f t="shared" ref="BD3:BI3" si="12">SUM(BD5,BD12)</f>
        <v>2425</v>
      </c>
      <c r="BE3" s="238">
        <f t="shared" si="12"/>
        <v>2425</v>
      </c>
      <c r="BF3" s="238">
        <f t="shared" si="12"/>
        <v>0</v>
      </c>
      <c r="BG3" s="239">
        <f t="shared" si="12"/>
        <v>442</v>
      </c>
      <c r="BH3" s="239">
        <f t="shared" si="12"/>
        <v>442</v>
      </c>
      <c r="BI3" s="239">
        <f t="shared" si="12"/>
        <v>0</v>
      </c>
      <c r="BJ3" s="238">
        <f t="shared" ref="BJ3:BL3" si="13">BD3-BG3</f>
        <v>1983</v>
      </c>
      <c r="BK3" s="238">
        <f t="shared" si="13"/>
        <v>1983</v>
      </c>
      <c r="BL3" s="238">
        <f t="shared" si="13"/>
        <v>0</v>
      </c>
    </row>
    <row r="4">
      <c r="A4" s="241"/>
      <c r="B4" s="242"/>
      <c r="C4" s="242"/>
      <c r="D4" s="242"/>
      <c r="E4" s="241"/>
      <c r="F4" s="243"/>
      <c r="G4" s="243"/>
      <c r="H4" s="243"/>
      <c r="I4" s="244"/>
      <c r="J4" s="244"/>
      <c r="K4" s="244"/>
      <c r="L4" s="245"/>
      <c r="M4" s="245"/>
      <c r="N4" s="245"/>
      <c r="O4" s="246"/>
      <c r="P4" s="243"/>
      <c r="Q4" s="243"/>
      <c r="R4" s="243"/>
      <c r="S4" s="244"/>
      <c r="T4" s="244"/>
      <c r="U4" s="244"/>
      <c r="V4" s="245"/>
      <c r="W4" s="245"/>
      <c r="X4" s="245"/>
      <c r="Y4" s="246"/>
      <c r="Z4" s="243"/>
      <c r="AA4" s="243"/>
      <c r="AB4" s="243"/>
      <c r="AC4" s="244"/>
      <c r="AD4" s="244"/>
      <c r="AE4" s="244"/>
      <c r="AF4" s="245"/>
      <c r="AG4" s="245"/>
      <c r="AH4" s="245"/>
      <c r="AI4" s="246"/>
      <c r="AJ4" s="243"/>
      <c r="AK4" s="243"/>
      <c r="AL4" s="243"/>
      <c r="AM4" s="244"/>
      <c r="AN4" s="244"/>
      <c r="AO4" s="244"/>
      <c r="AP4" s="245"/>
      <c r="AQ4" s="245"/>
      <c r="AR4" s="245"/>
      <c r="AS4" s="246"/>
      <c r="AT4" s="243"/>
      <c r="AU4" s="243"/>
      <c r="AV4" s="243"/>
      <c r="AW4" s="244"/>
      <c r="AX4" s="244"/>
      <c r="AY4" s="244"/>
      <c r="AZ4" s="245"/>
      <c r="BA4" s="245"/>
      <c r="BB4" s="245"/>
      <c r="BC4" s="246"/>
      <c r="BD4" s="243"/>
      <c r="BE4" s="243"/>
      <c r="BF4" s="243"/>
      <c r="BG4" s="244"/>
      <c r="BH4" s="244"/>
      <c r="BI4" s="244"/>
      <c r="BJ4" s="245"/>
      <c r="BK4" s="245"/>
      <c r="BL4" s="245"/>
    </row>
    <row r="5">
      <c r="A5" s="212" t="s">
        <v>1114</v>
      </c>
      <c r="B5" s="247">
        <f t="shared" ref="B5:D5" si="14">SUM(B7:B10)</f>
        <v>245</v>
      </c>
      <c r="C5" s="247">
        <f t="shared" si="14"/>
        <v>209</v>
      </c>
      <c r="D5" s="247">
        <f t="shared" si="14"/>
        <v>36</v>
      </c>
      <c r="E5" s="241"/>
      <c r="F5" s="248">
        <f t="shared" ref="F5:K5" si="15">SUM(F7:F10)</f>
        <v>0</v>
      </c>
      <c r="G5" s="248">
        <f t="shared" si="15"/>
        <v>0</v>
      </c>
      <c r="H5" s="248">
        <f t="shared" si="15"/>
        <v>0</v>
      </c>
      <c r="I5" s="249">
        <f t="shared" si="15"/>
        <v>15082</v>
      </c>
      <c r="J5" s="249">
        <f t="shared" si="15"/>
        <v>14862</v>
      </c>
      <c r="K5" s="249">
        <f t="shared" si="15"/>
        <v>220</v>
      </c>
      <c r="L5" s="250">
        <f t="shared" ref="L5:N5" si="16">F5-I5</f>
        <v>-15082</v>
      </c>
      <c r="M5" s="250">
        <f t="shared" si="16"/>
        <v>-14862</v>
      </c>
      <c r="N5" s="250">
        <f t="shared" si="16"/>
        <v>-220</v>
      </c>
      <c r="O5" s="251"/>
      <c r="P5" s="248">
        <f t="shared" ref="P5:U5" si="17">SUM(P7:P10)</f>
        <v>0</v>
      </c>
      <c r="Q5" s="248">
        <f t="shared" si="17"/>
        <v>0</v>
      </c>
      <c r="R5" s="248">
        <f t="shared" si="17"/>
        <v>0</v>
      </c>
      <c r="S5" s="249">
        <f t="shared" si="17"/>
        <v>0</v>
      </c>
      <c r="T5" s="249">
        <f t="shared" si="17"/>
        <v>0</v>
      </c>
      <c r="U5" s="249">
        <f t="shared" si="17"/>
        <v>0</v>
      </c>
      <c r="V5" s="250">
        <f t="shared" ref="V5:X5" si="18">P5-S5</f>
        <v>0</v>
      </c>
      <c r="W5" s="250">
        <f t="shared" si="18"/>
        <v>0</v>
      </c>
      <c r="X5" s="250">
        <f t="shared" si="18"/>
        <v>0</v>
      </c>
      <c r="Y5" s="251"/>
      <c r="Z5" s="248">
        <f t="shared" ref="Z5:AE5" si="19">SUM(Z7:Z10)</f>
        <v>0</v>
      </c>
      <c r="AA5" s="248">
        <f t="shared" si="19"/>
        <v>0</v>
      </c>
      <c r="AB5" s="248">
        <f t="shared" si="19"/>
        <v>0</v>
      </c>
      <c r="AC5" s="249">
        <f t="shared" si="19"/>
        <v>0</v>
      </c>
      <c r="AD5" s="249">
        <f t="shared" si="19"/>
        <v>0</v>
      </c>
      <c r="AE5" s="249">
        <f t="shared" si="19"/>
        <v>0</v>
      </c>
      <c r="AF5" s="250">
        <f t="shared" ref="AF5:AH5" si="20">Z5-AC5</f>
        <v>0</v>
      </c>
      <c r="AG5" s="250">
        <f t="shared" si="20"/>
        <v>0</v>
      </c>
      <c r="AH5" s="250">
        <f t="shared" si="20"/>
        <v>0</v>
      </c>
      <c r="AI5" s="251"/>
      <c r="AJ5" s="248">
        <f t="shared" ref="AJ5:AO5" si="21">SUM(AJ7:AJ10)</f>
        <v>0</v>
      </c>
      <c r="AK5" s="248">
        <f t="shared" si="21"/>
        <v>0</v>
      </c>
      <c r="AL5" s="248">
        <f t="shared" si="21"/>
        <v>0</v>
      </c>
      <c r="AM5" s="249">
        <f t="shared" si="21"/>
        <v>900</v>
      </c>
      <c r="AN5" s="249">
        <f t="shared" si="21"/>
        <v>850</v>
      </c>
      <c r="AO5" s="249">
        <f t="shared" si="21"/>
        <v>50</v>
      </c>
      <c r="AP5" s="250">
        <f t="shared" ref="AP5:AR5" si="22">AJ5-AM5</f>
        <v>-900</v>
      </c>
      <c r="AQ5" s="250">
        <f t="shared" si="22"/>
        <v>-850</v>
      </c>
      <c r="AR5" s="250">
        <f t="shared" si="22"/>
        <v>-50</v>
      </c>
      <c r="AS5" s="251"/>
      <c r="AT5" s="248">
        <f t="shared" ref="AT5:AY5" si="23">SUM(AT7:AT10)</f>
        <v>0</v>
      </c>
      <c r="AU5" s="248">
        <f t="shared" si="23"/>
        <v>0</v>
      </c>
      <c r="AV5" s="248">
        <f t="shared" si="23"/>
        <v>0</v>
      </c>
      <c r="AW5" s="249">
        <f t="shared" si="23"/>
        <v>560</v>
      </c>
      <c r="AX5" s="249">
        <f t="shared" si="23"/>
        <v>560</v>
      </c>
      <c r="AY5" s="249">
        <f t="shared" si="23"/>
        <v>0</v>
      </c>
      <c r="AZ5" s="250">
        <f t="shared" ref="AZ5:BB5" si="24">AT5-AW5</f>
        <v>-560</v>
      </c>
      <c r="BA5" s="250">
        <f t="shared" si="24"/>
        <v>-560</v>
      </c>
      <c r="BB5" s="250">
        <f t="shared" si="24"/>
        <v>0</v>
      </c>
      <c r="BC5" s="251"/>
      <c r="BD5" s="248">
        <f t="shared" ref="BD5:BI5" si="25">SUM(BD7:BD10)</f>
        <v>0</v>
      </c>
      <c r="BE5" s="248">
        <f t="shared" si="25"/>
        <v>0</v>
      </c>
      <c r="BF5" s="248">
        <f t="shared" si="25"/>
        <v>0</v>
      </c>
      <c r="BG5" s="249">
        <f t="shared" si="25"/>
        <v>312</v>
      </c>
      <c r="BH5" s="249">
        <f t="shared" si="25"/>
        <v>312</v>
      </c>
      <c r="BI5" s="249">
        <f t="shared" si="25"/>
        <v>0</v>
      </c>
      <c r="BJ5" s="250">
        <f t="shared" ref="BJ5:BL5" si="26">BD5-BG5</f>
        <v>-312</v>
      </c>
      <c r="BK5" s="250">
        <f t="shared" si="26"/>
        <v>-312</v>
      </c>
      <c r="BL5" s="250">
        <f t="shared" si="26"/>
        <v>0</v>
      </c>
    </row>
    <row r="6">
      <c r="A6" s="241"/>
      <c r="B6" s="252"/>
      <c r="C6" s="252"/>
      <c r="D6" s="252"/>
      <c r="E6" s="241"/>
      <c r="F6" s="253"/>
      <c r="G6" s="253"/>
      <c r="H6" s="253"/>
      <c r="I6" s="254"/>
      <c r="J6" s="254"/>
      <c r="K6" s="254"/>
      <c r="L6" s="255"/>
      <c r="M6" s="255"/>
      <c r="N6" s="255"/>
      <c r="O6" s="251"/>
      <c r="P6" s="253"/>
      <c r="Q6" s="253"/>
      <c r="R6" s="253"/>
      <c r="S6" s="254"/>
      <c r="T6" s="254"/>
      <c r="U6" s="254"/>
      <c r="V6" s="255"/>
      <c r="W6" s="255"/>
      <c r="X6" s="255"/>
      <c r="Y6" s="251"/>
      <c r="Z6" s="253"/>
      <c r="AA6" s="253"/>
      <c r="AB6" s="253"/>
      <c r="AC6" s="254"/>
      <c r="AD6" s="254"/>
      <c r="AE6" s="254"/>
      <c r="AF6" s="255"/>
      <c r="AG6" s="255"/>
      <c r="AH6" s="255"/>
      <c r="AI6" s="251"/>
      <c r="AJ6" s="253"/>
      <c r="AK6" s="253"/>
      <c r="AL6" s="253"/>
      <c r="AM6" s="254"/>
      <c r="AN6" s="254"/>
      <c r="AO6" s="254"/>
      <c r="AP6" s="255"/>
      <c r="AQ6" s="255"/>
      <c r="AR6" s="255"/>
      <c r="AS6" s="251"/>
      <c r="AT6" s="253"/>
      <c r="AU6" s="253"/>
      <c r="AV6" s="253"/>
      <c r="AW6" s="254"/>
      <c r="AX6" s="254"/>
      <c r="AY6" s="254"/>
      <c r="AZ6" s="255"/>
      <c r="BA6" s="255"/>
      <c r="BB6" s="255"/>
      <c r="BC6" s="251"/>
      <c r="BD6" s="253"/>
      <c r="BE6" s="253"/>
      <c r="BF6" s="253"/>
      <c r="BG6" s="254"/>
      <c r="BH6" s="254"/>
      <c r="BI6" s="254"/>
      <c r="BJ6" s="255"/>
      <c r="BK6" s="255"/>
      <c r="BL6" s="255"/>
    </row>
    <row r="7">
      <c r="A7" s="256" t="s">
        <v>54</v>
      </c>
      <c r="B7" s="257">
        <f>COUNTIF(Hospitais_BD!E:E,A7)</f>
        <v>35</v>
      </c>
      <c r="C7" s="257">
        <f>COUNTIFS(Hospitais_BD!E:E,A7,Hospitais_BD!I:I,C2)</f>
        <v>28</v>
      </c>
      <c r="D7" s="257">
        <f>COUNTIFS(Hospitais_BD!E:E,A7,Hospitais_BD!I:I,D2)</f>
        <v>7</v>
      </c>
      <c r="E7" s="241"/>
      <c r="F7" s="258">
        <f>IFERROR(__xludf.DUMMYFUNCTION("SUM(QUERY(Hospitais_BD!E:Q,""select N where E='""&amp;A7&amp;""'"",1))"),0.0)</f>
        <v>0</v>
      </c>
      <c r="G7" s="258">
        <f>IFERROR(__xludf.DUMMYFUNCTION("SUM(QUERY(Hospitais_BD!E:Q,""select N where E='""&amp;A7&amp;""' and I = '""&amp;G2&amp;""'"",1))"),0.0)</f>
        <v>0</v>
      </c>
      <c r="H7" s="259">
        <f>IFERROR(__xludf.DUMMYFUNCTION("SUM(QUERY(Hospitais_BD!E:Q,""select N where E='""&amp;A7&amp;""' and I= '""&amp;H2&amp;""'"",1))"),0.0)</f>
        <v>0</v>
      </c>
      <c r="I7" s="260">
        <f>IFERROR(__xludf.DUMMYFUNCTION("SUM(QUERY(Hospitais_BD!E:Y,""select T where E='""&amp;A7&amp;""'"",1))"),2110.0)</f>
        <v>2110</v>
      </c>
      <c r="J7" s="260">
        <f>IFERROR(__xludf.DUMMYFUNCTION("SUM(QUERY(Hospitais_BD!E:W,""select T where E='""&amp;A7&amp;""' and I= '""&amp;J2&amp;""'"",1))"),2040.0)</f>
        <v>2040</v>
      </c>
      <c r="K7" s="260">
        <f>IFERROR(__xludf.DUMMYFUNCTION("SUM(QUERY(Hospitais_BD!E:W,""select T where E='""&amp;A7&amp;""' and I= '""&amp;K2&amp;""'"",1))"),70.0)</f>
        <v>70</v>
      </c>
      <c r="L7" s="255">
        <f t="shared" ref="L7:N7" si="27">F7-I7</f>
        <v>-2110</v>
      </c>
      <c r="M7" s="255">
        <f t="shared" si="27"/>
        <v>-2040</v>
      </c>
      <c r="N7" s="255">
        <f t="shared" si="27"/>
        <v>-70</v>
      </c>
      <c r="O7" s="251"/>
      <c r="P7" s="258">
        <f>IFERROR(__xludf.DUMMYFUNCTION("SUM(QUERY(Hospitais_BD!E:Q,""select O where E='""&amp;A7&amp;""'"",1))"),0.0)</f>
        <v>0</v>
      </c>
      <c r="Q7" s="258">
        <f>IFERROR(__xludf.DUMMYFUNCTION("SUM(QUERY(Hospitais_BD!E:Q,""select O where E='""&amp;A7&amp;""' and I = '""&amp;Q2&amp;""'"",1))"),0.0)</f>
        <v>0</v>
      </c>
      <c r="R7" s="259">
        <f>IFERROR(__xludf.DUMMYFUNCTION("SUM(QUERY(Hospitais_BD!E:Q,""select O where E='""&amp;A7&amp;""' and I = '""&amp;R2&amp;""'"",1))"),0.0)</f>
        <v>0</v>
      </c>
      <c r="S7" s="260">
        <f>IFERROR(__xludf.DUMMYFUNCTION("SUM(QUERY(Hospitais_BD!E:Y,""select U where E='""&amp;A7&amp;""'"",1))"),0.0)</f>
        <v>0</v>
      </c>
      <c r="T7" s="260">
        <f>IFERROR(__xludf.DUMMYFUNCTION("SUM(QUERY(Hospitais_BD!E:Y,""select U where E='""&amp;A7&amp;""' and I= '""&amp;T2&amp;""'"",1))"),0.0)</f>
        <v>0</v>
      </c>
      <c r="U7" s="260">
        <f>IFERROR(__xludf.DUMMYFUNCTION("SUM(QUERY(Hospitais_BD!E:Y,""select U where E='""&amp;A7&amp;""' and I= '""&amp;U2&amp;""'"",1))"),0.0)</f>
        <v>0</v>
      </c>
      <c r="V7" s="255">
        <f t="shared" ref="V7:X7" si="28">P7-S7</f>
        <v>0</v>
      </c>
      <c r="W7" s="255">
        <f t="shared" si="28"/>
        <v>0</v>
      </c>
      <c r="X7" s="255">
        <f t="shared" si="28"/>
        <v>0</v>
      </c>
      <c r="Y7" s="251"/>
      <c r="Z7" s="258">
        <f>IFERROR(__xludf.DUMMYFUNCTION("SUM(QUERY(Hospitais_BD!E:Q,""select P where E='""&amp;A7&amp;""'"",1))"),0.0)</f>
        <v>0</v>
      </c>
      <c r="AA7" s="259">
        <f>IFERROR(__xludf.DUMMYFUNCTION("SUM(QUERY(Hospitais_BD!E:Q,""select P where E='""&amp;A7&amp;""' and I = '""&amp;AA2&amp;""'"",1))"),0.0)</f>
        <v>0</v>
      </c>
      <c r="AB7" s="259">
        <f>IFERROR(__xludf.DUMMYFUNCTION("SUM(QUERY(Hospitais_BD!E:Q,""select P where E='""&amp;A14&amp;""' and I = '""&amp;AB2&amp;""'"",1))"),0.0)</f>
        <v>0</v>
      </c>
      <c r="AC7" s="260">
        <f>IFERROR(__xludf.DUMMYFUNCTION("SUM(QUERY(Hospitais_BD!E:Y,""select V where E='""&amp;A7&amp;""'"",1))"),0.0)</f>
        <v>0</v>
      </c>
      <c r="AD7" s="260">
        <f>IFERROR(__xludf.DUMMYFUNCTION("SUM(QUERY(Hospitais_BD!E:Y,""select V where E='""&amp;A7&amp;""' and I= '""&amp;AD2&amp;""'"",1))"),0.0)</f>
        <v>0</v>
      </c>
      <c r="AE7" s="260">
        <f>IFERROR(__xludf.DUMMYFUNCTION("SUM(QUERY(Hospitais_BD!E:Y,""select V where E='""&amp;A7&amp;""' and I= '""&amp;AE2&amp;""'"",1))"),0.0)</f>
        <v>0</v>
      </c>
      <c r="AF7" s="255">
        <f t="shared" ref="AF7:AH7" si="29">Z7-AC7</f>
        <v>0</v>
      </c>
      <c r="AG7" s="255">
        <f t="shared" si="29"/>
        <v>0</v>
      </c>
      <c r="AH7" s="255">
        <f t="shared" si="29"/>
        <v>0</v>
      </c>
      <c r="AI7" s="251"/>
      <c r="AJ7" s="258">
        <f>IFERROR(__xludf.DUMMYFUNCTION("SUM(QUERY(Hospitais_BD!E:Q,""select Q where E='""&amp;A7&amp;""'"",1))"),0.0)</f>
        <v>0</v>
      </c>
      <c r="AK7" s="258">
        <f>IFERROR(__xludf.DUMMYFUNCTION("SUM(QUERY(Hospitais_BD!E:Q,""select Q where E='""&amp;A7&amp;""' and I = '""&amp;AK2&amp;""'"",1))"),0.0)</f>
        <v>0</v>
      </c>
      <c r="AL7" s="259">
        <f>IFERROR(__xludf.DUMMYFUNCTION("SUM(QUERY(Hospitais_BD!E:Q,""select Q where E='""&amp;A7&amp;""' and I = '""&amp;AL2&amp;""'"",1))"),0.0)</f>
        <v>0</v>
      </c>
      <c r="AM7" s="260">
        <f>IFERROR(__xludf.DUMMYFUNCTION("SUM(QUERY(Hospitais_BD!E:Y,""select W where E='""&amp;A7&amp;""'"",1))"),0.0)</f>
        <v>0</v>
      </c>
      <c r="AN7" s="260">
        <f>IFERROR(__xludf.DUMMYFUNCTION("SUM(QUERY(Hospitais_BD!E:Y,""select W where E='""&amp;A7&amp;""' and I= '""&amp;AN2&amp;""'"",1))"),0.0)</f>
        <v>0</v>
      </c>
      <c r="AO7" s="260">
        <f>IFERROR(__xludf.DUMMYFUNCTION("SUM(QUERY(Hospitais_BD!E:Y,""select W where E='""&amp;A7&amp;""' and I= '""&amp;AO2&amp;""'"",1))"),0.0)</f>
        <v>0</v>
      </c>
      <c r="AP7" s="255">
        <f t="shared" ref="AP7:AR7" si="30">AJ7-AM7</f>
        <v>0</v>
      </c>
      <c r="AQ7" s="255">
        <f t="shared" si="30"/>
        <v>0</v>
      </c>
      <c r="AR7" s="255">
        <f t="shared" si="30"/>
        <v>0</v>
      </c>
      <c r="AS7" s="251"/>
      <c r="AT7" s="258">
        <f>IFERROR(__xludf.DUMMYFUNCTION("SUM(QUERY(Hospitais_BD!E:R,""select R where E='""&amp;A7&amp;""'"",1))"),0.0)</f>
        <v>0</v>
      </c>
      <c r="AU7" s="258">
        <f>IFERROR(__xludf.DUMMYFUNCTION("SUM(QUERY(Hospitais_BD!E:R,""select R where E='""&amp;A7&amp;""' and I = '""&amp;AU2&amp;""'"",1))"),0.0)</f>
        <v>0</v>
      </c>
      <c r="AV7" s="259">
        <f>IFERROR(__xludf.DUMMYFUNCTION("SUM(QUERY(Hospitais_BD!E:R,""select R where E='""&amp;A7&amp;""' and I = '""&amp;AV2&amp;""'"",1))"),0.0)</f>
        <v>0</v>
      </c>
      <c r="AW7" s="260">
        <f>IFERROR(__xludf.DUMMYFUNCTION("SUM(QUERY(Hospitais_BD!E:Y,""select X where E='""&amp;A7&amp;""'"",1))"),35.0)</f>
        <v>35</v>
      </c>
      <c r="AX7" s="260">
        <f>IFERROR(__xludf.DUMMYFUNCTION("SUM(QUERY(Hospitais_BD!E:Y,""select X where E='""&amp;A7&amp;""' and I = '""&amp;AX2&amp;""'"",1))"),35.0)</f>
        <v>35</v>
      </c>
      <c r="AY7" s="260">
        <f>IFERROR(__xludf.DUMMYFUNCTION("SUM(QUERY(Hospitais_BD!E:Y,""select X where E='""&amp;A7&amp;""' and I = '""&amp;AY2&amp;""'"",1))"),0.0)</f>
        <v>0</v>
      </c>
      <c r="AZ7" s="255">
        <f t="shared" ref="AZ7:BB7" si="31">AT7-AW7</f>
        <v>-35</v>
      </c>
      <c r="BA7" s="255">
        <f t="shared" si="31"/>
        <v>-35</v>
      </c>
      <c r="BB7" s="255">
        <f t="shared" si="31"/>
        <v>0</v>
      </c>
      <c r="BC7" s="251"/>
      <c r="BD7" s="258">
        <f>IFERROR(__xludf.DUMMYFUNCTION("SUM(QUERY(Hospitais_BD!E:S,""select S where E='""&amp;A7&amp;""'"",1))"),0.0)</f>
        <v>0</v>
      </c>
      <c r="BE7" s="258">
        <f>IFERROR(__xludf.DUMMYFUNCTION("SUM(QUERY(Hospitais_BD!E:S,""select S where E='""&amp;A7&amp;""' and I = '""&amp;BE2&amp;""'"",1))"),0.0)</f>
        <v>0</v>
      </c>
      <c r="BF7" s="259">
        <f>IFERROR(__xludf.DUMMYFUNCTION("SUM(QUERY(Hospitais_BD!E:S,""select S where E='""&amp;A7&amp;""' and I = '""&amp;BF2&amp;""'"",1))"),0.0)</f>
        <v>0</v>
      </c>
      <c r="BG7" s="260">
        <f>IFERROR(__xludf.DUMMYFUNCTION("SUM(QUERY(Hospitais_BD!E:Y,""select Y where E='""&amp;A7&amp;""'"",1))"),19.5)</f>
        <v>19.5</v>
      </c>
      <c r="BH7" s="260">
        <f>IFERROR(__xludf.DUMMYFUNCTION("SUM(QUERY(Hospitais_BD!E:Y,""select Y where E='""&amp;A7&amp;""' and I = '""&amp;BH2&amp;""'"",1))"),19.5)</f>
        <v>19.5</v>
      </c>
      <c r="BI7" s="260">
        <f>IFERROR(__xludf.DUMMYFUNCTION("SUM(QUERY(Hospitais_BD!E:Y,""select Y where E='""&amp;A7&amp;""' and I = '""&amp;BI2&amp;""'"",1))"),0.0)</f>
        <v>0</v>
      </c>
      <c r="BJ7" s="255">
        <f t="shared" ref="BJ7:BL7" si="32">BD7-BG7</f>
        <v>-19.5</v>
      </c>
      <c r="BK7" s="255">
        <f t="shared" si="32"/>
        <v>-19.5</v>
      </c>
      <c r="BL7" s="255">
        <f t="shared" si="32"/>
        <v>0</v>
      </c>
    </row>
    <row r="8">
      <c r="A8" s="256" t="s">
        <v>44</v>
      </c>
      <c r="B8" s="257">
        <f>COUNTIF(Hospitais_BD!E:E,A8)</f>
        <v>65</v>
      </c>
      <c r="C8" s="257">
        <f>COUNTIFS(Hospitais_BD!E:E,A8,Hospitais_BD!I:I,C2)</f>
        <v>55</v>
      </c>
      <c r="D8" s="257">
        <f>COUNTIFS(Hospitais_BD!E:E,A8,Hospitais_BD!I:I,D2)</f>
        <v>10</v>
      </c>
      <c r="E8" s="241"/>
      <c r="F8" s="258">
        <f>IFERROR(__xludf.DUMMYFUNCTION("SUM(QUERY(Hospitais_BD!E:Q,""select N where E='""&amp;A8&amp;""'"",1))"),0.0)</f>
        <v>0</v>
      </c>
      <c r="G8" s="258">
        <f>IFERROR(__xludf.DUMMYFUNCTION("SUM(QUERY(Hospitais_BD!E:Q,""select N where E='""&amp;A8&amp;""' and I = '""&amp;G2&amp;""'"",1))"),0.0)</f>
        <v>0</v>
      </c>
      <c r="H8" s="259">
        <f>IFERROR(__xludf.DUMMYFUNCTION("SUM(QUERY(Hospitais_BD!E:Q,""select N where E='""&amp;A8&amp;""' and I= '""&amp;H2&amp;""'"",1))"),0.0)</f>
        <v>0</v>
      </c>
      <c r="I8" s="260">
        <f>IFERROR(__xludf.DUMMYFUNCTION("SUM(QUERY(Hospitais_BD!E:Y,""select T where E='""&amp;A8&amp;""'"",1))"),5515.0)</f>
        <v>5515</v>
      </c>
      <c r="J8" s="260">
        <f>IFERROR(__xludf.DUMMYFUNCTION("SUM(QUERY(Hospitais_BD!E:W,""select T where E='""&amp;A8&amp;""' and I= '""&amp;J2&amp;""'"",1))"),5465.0)</f>
        <v>5465</v>
      </c>
      <c r="K8" s="260">
        <f>IFERROR(__xludf.DUMMYFUNCTION("SUM(QUERY(Hospitais_BD!E:W,""select T where E='""&amp;A8&amp;""' and I= '""&amp;K2&amp;""'"",1))"),50.0)</f>
        <v>50</v>
      </c>
      <c r="L8" s="255">
        <f t="shared" ref="L8:N8" si="33">F8-I8</f>
        <v>-5515</v>
      </c>
      <c r="M8" s="255">
        <f t="shared" si="33"/>
        <v>-5465</v>
      </c>
      <c r="N8" s="255">
        <f t="shared" si="33"/>
        <v>-50</v>
      </c>
      <c r="O8" s="251"/>
      <c r="P8" s="258">
        <f>IFERROR(__xludf.DUMMYFUNCTION("SUM(QUERY(Hospitais_BD!E:Q,""select O where E='""&amp;A8&amp;""'"",1))"),0.0)</f>
        <v>0</v>
      </c>
      <c r="Q8" s="258">
        <f>IFERROR(__xludf.DUMMYFUNCTION("SUM(QUERY(Hospitais_BD!E:Q,""select O where E='""&amp;A8&amp;""' and I = '""&amp;Q2&amp;""'"",1))"),0.0)</f>
        <v>0</v>
      </c>
      <c r="R8" s="259">
        <f>IFERROR(__xludf.DUMMYFUNCTION("SUM(QUERY(Hospitais_BD!E:Q,""select O where E='""&amp;A8&amp;""' and I = '""&amp;R2&amp;""'"",1))"),0.0)</f>
        <v>0</v>
      </c>
      <c r="S8" s="260">
        <f>IFERROR(__xludf.DUMMYFUNCTION("SUM(QUERY(Hospitais_BD!E:Y,""select U where E='""&amp;A8&amp;""'"",1))"),0.0)</f>
        <v>0</v>
      </c>
      <c r="T8" s="260">
        <f>IFERROR(__xludf.DUMMYFUNCTION("SUM(QUERY(Hospitais_BD!E:Y,""select U where E='""&amp;A8&amp;""' and I= '""&amp;T2&amp;""'"",1))"),0.0)</f>
        <v>0</v>
      </c>
      <c r="U8" s="260">
        <f>IFERROR(__xludf.DUMMYFUNCTION("SUM(QUERY(Hospitais_BD!E:Y,""select U where E='""&amp;A8&amp;""' and I= '""&amp;U2&amp;""'"",1))"),0.0)</f>
        <v>0</v>
      </c>
      <c r="V8" s="255">
        <f t="shared" ref="V8:X8" si="34">P8-S8</f>
        <v>0</v>
      </c>
      <c r="W8" s="255">
        <f t="shared" si="34"/>
        <v>0</v>
      </c>
      <c r="X8" s="255">
        <f t="shared" si="34"/>
        <v>0</v>
      </c>
      <c r="Y8" s="251"/>
      <c r="Z8" s="258">
        <f>IFERROR(__xludf.DUMMYFUNCTION("SUM(QUERY(Hospitais_BD!E:Q,""select P where E='""&amp;A8&amp;""'"",1))"),0.0)</f>
        <v>0</v>
      </c>
      <c r="AA8" s="259">
        <f>IFERROR(__xludf.DUMMYFUNCTION("SUM(QUERY(Hospitais_BD!E:Q,""select P where E='""&amp;A8&amp;""' and I = '""&amp;AA2&amp;""'"",1))"),0.0)</f>
        <v>0</v>
      </c>
      <c r="AB8" s="259">
        <f>IFERROR(__xludf.DUMMYFUNCTION("SUM(QUERY(Hospitais_BD!E:Q,""select P where E='""&amp;A15&amp;""' and I = '""&amp;AB2&amp;""'"",1))"),0.0)</f>
        <v>0</v>
      </c>
      <c r="AC8" s="260">
        <f>IFERROR(__xludf.DUMMYFUNCTION("SUM(QUERY(Hospitais_BD!E:Y,""select V where E='""&amp;A8&amp;""'"",1))"),0.0)</f>
        <v>0</v>
      </c>
      <c r="AD8" s="260">
        <f>IFERROR(__xludf.DUMMYFUNCTION("SUM(QUERY(Hospitais_BD!E:Y,""select V where E='""&amp;A8&amp;""' and I= '""&amp;AD2&amp;""'"",1))"),0.0)</f>
        <v>0</v>
      </c>
      <c r="AE8" s="260">
        <f>IFERROR(__xludf.DUMMYFUNCTION("SUM(QUERY(Hospitais_BD!E:Y,""select V where E='""&amp;A8&amp;""' and I= '""&amp;AE2&amp;""'"",1))"),0.0)</f>
        <v>0</v>
      </c>
      <c r="AF8" s="255">
        <f t="shared" ref="AF8:AH8" si="35">Z8-AC8</f>
        <v>0</v>
      </c>
      <c r="AG8" s="255">
        <f t="shared" si="35"/>
        <v>0</v>
      </c>
      <c r="AH8" s="255">
        <f t="shared" si="35"/>
        <v>0</v>
      </c>
      <c r="AI8" s="251"/>
      <c r="AJ8" s="258">
        <f>IFERROR(__xludf.DUMMYFUNCTION("SUM(QUERY(Hospitais_BD!E:Q,""select Q where E='""&amp;A8&amp;""'"",1))"),0.0)</f>
        <v>0</v>
      </c>
      <c r="AK8" s="258">
        <f>IFERROR(__xludf.DUMMYFUNCTION("SUM(QUERY(Hospitais_BD!E:Q,""select Q where E='""&amp;A8&amp;""' and I = '""&amp;AK2&amp;""'"",1))"),0.0)</f>
        <v>0</v>
      </c>
      <c r="AL8" s="259">
        <f>IFERROR(__xludf.DUMMYFUNCTION("SUM(QUERY(Hospitais_BD!E:Q,""select Q where E='""&amp;A8&amp;""' and I = '""&amp;AL2&amp;""'"",1))"),0.0)</f>
        <v>0</v>
      </c>
      <c r="AM8" s="260">
        <f>IFERROR(__xludf.DUMMYFUNCTION("SUM(QUERY(Hospitais_BD!E:Y,""select W where E='""&amp;A8&amp;""'"",1))"),175.0)</f>
        <v>175</v>
      </c>
      <c r="AN8" s="260">
        <f>IFERROR(__xludf.DUMMYFUNCTION("SUM(QUERY(Hospitais_BD!E:Y,""select W where E='""&amp;A8&amp;""' and I= '""&amp;AN2&amp;""'"",1))"),175.0)</f>
        <v>175</v>
      </c>
      <c r="AO8" s="260">
        <f>IFERROR(__xludf.DUMMYFUNCTION("SUM(QUERY(Hospitais_BD!E:Y,""select W where E='""&amp;A8&amp;""' and I= '""&amp;AO2&amp;""'"",1))"),0.0)</f>
        <v>0</v>
      </c>
      <c r="AP8" s="255">
        <f t="shared" ref="AP8:AR8" si="36">AJ8-AM8</f>
        <v>-175</v>
      </c>
      <c r="AQ8" s="255">
        <f t="shared" si="36"/>
        <v>-175</v>
      </c>
      <c r="AR8" s="255">
        <f t="shared" si="36"/>
        <v>0</v>
      </c>
      <c r="AS8" s="251"/>
      <c r="AT8" s="258">
        <f>IFERROR(__xludf.DUMMYFUNCTION("SUM(QUERY(Hospitais_BD!E:R,""select R where E='""&amp;A8&amp;""'"",1))"),0.0)</f>
        <v>0</v>
      </c>
      <c r="AU8" s="258">
        <f>IFERROR(__xludf.DUMMYFUNCTION("SUM(QUERY(Hospitais_BD!E:R,""select R where E='""&amp;A8&amp;""' and I = '""&amp;AU2&amp;""'"",1))"),0.0)</f>
        <v>0</v>
      </c>
      <c r="AV8" s="259">
        <f>IFERROR(__xludf.DUMMYFUNCTION("SUM(QUERY(Hospitais_BD!E:R,""select R where E='""&amp;A8&amp;""' and I = '""&amp;AV2&amp;""'"",1))"),0.0)</f>
        <v>0</v>
      </c>
      <c r="AW8" s="260">
        <f>IFERROR(__xludf.DUMMYFUNCTION("SUM(QUERY(Hospitais_BD!E:Y,""select X where E='""&amp;A8&amp;""'"",1))"),310.0)</f>
        <v>310</v>
      </c>
      <c r="AX8" s="260">
        <f>IFERROR(__xludf.DUMMYFUNCTION("SUM(QUERY(Hospitais_BD!E:Y,""select X where E='""&amp;A8&amp;""' and I = '""&amp;AX2&amp;""'"",1))"),310.0)</f>
        <v>310</v>
      </c>
      <c r="AY8" s="260">
        <f>IFERROR(__xludf.DUMMYFUNCTION("SUM(QUERY(Hospitais_BD!E:Y,""select X where E='""&amp;A8&amp;""' and I = '""&amp;AY2&amp;""'"",1))"),0.0)</f>
        <v>0</v>
      </c>
      <c r="AZ8" s="255">
        <f t="shared" ref="AZ8:BB8" si="37">AT8-AW8</f>
        <v>-310</v>
      </c>
      <c r="BA8" s="255">
        <f t="shared" si="37"/>
        <v>-310</v>
      </c>
      <c r="BB8" s="255">
        <f t="shared" si="37"/>
        <v>0</v>
      </c>
      <c r="BC8" s="251"/>
      <c r="BD8" s="258">
        <f>IFERROR(__xludf.DUMMYFUNCTION("SUM(QUERY(Hospitais_BD!E:S,""select S where E='""&amp;A8&amp;""'"",1))"),0.0)</f>
        <v>0</v>
      </c>
      <c r="BE8" s="258">
        <f>IFERROR(__xludf.DUMMYFUNCTION("SUM(QUERY(Hospitais_BD!E:S,""select S where E='""&amp;A8&amp;""' and I = '""&amp;BE2&amp;""'"",1))"),0.0)</f>
        <v>0</v>
      </c>
      <c r="BF8" s="259">
        <f>IFERROR(__xludf.DUMMYFUNCTION("SUM(QUERY(Hospitais_BD!E:S,""select S where E='""&amp;A8&amp;""' and I = '""&amp;BF2&amp;""'"",1))"),0.0)</f>
        <v>0</v>
      </c>
      <c r="BG8" s="260">
        <f>IFERROR(__xludf.DUMMYFUNCTION("SUM(QUERY(Hospitais_BD!E:Y,""select Y where E='""&amp;A8&amp;""'"",1))"),115.0)</f>
        <v>115</v>
      </c>
      <c r="BH8" s="260">
        <f>IFERROR(__xludf.DUMMYFUNCTION("SUM(QUERY(Hospitais_BD!E:Y,""select Y where E='""&amp;A8&amp;""' and I = '""&amp;BH2&amp;""'"",1))"),115.0)</f>
        <v>115</v>
      </c>
      <c r="BI8" s="260">
        <f>IFERROR(__xludf.DUMMYFUNCTION("SUM(QUERY(Hospitais_BD!E:Y,""select Y where E='""&amp;A8&amp;""' and I = '""&amp;BI2&amp;""'"",1))"),0.0)</f>
        <v>0</v>
      </c>
      <c r="BJ8" s="255">
        <f t="shared" ref="BJ8:BL8" si="38">BD8-BG8</f>
        <v>-115</v>
      </c>
      <c r="BK8" s="255">
        <f t="shared" si="38"/>
        <v>-115</v>
      </c>
      <c r="BL8" s="255">
        <f t="shared" si="38"/>
        <v>0</v>
      </c>
    </row>
    <row r="9">
      <c r="A9" s="256" t="s">
        <v>58</v>
      </c>
      <c r="B9" s="257">
        <f>COUNTIF(Hospitais_BD!E:E,A9)</f>
        <v>108</v>
      </c>
      <c r="C9" s="257">
        <f>COUNTIFS(Hospitais_BD!E:E,A9,Hospitais_BD!I:I,C2)</f>
        <v>91</v>
      </c>
      <c r="D9" s="257">
        <f>COUNTIFS(Hospitais_BD!E:E,A9,Hospitais_BD!I:I,D2)</f>
        <v>17</v>
      </c>
      <c r="E9" s="241"/>
      <c r="F9" s="258">
        <f>IFERROR(__xludf.DUMMYFUNCTION("SUM(QUERY(Hospitais_BD!E:Q,""select N where E='""&amp;A9&amp;""'"",1))"),0.0)</f>
        <v>0</v>
      </c>
      <c r="G9" s="258">
        <f>IFERROR(__xludf.DUMMYFUNCTION("SUM(QUERY(Hospitais_BD!E:Q,""select N where E='""&amp;A9&amp;""' and I = '""&amp;G2&amp;""'"",1))"),0.0)</f>
        <v>0</v>
      </c>
      <c r="H9" s="259">
        <f>IFERROR(__xludf.DUMMYFUNCTION("SUM(QUERY(Hospitais_BD!E:Q,""select N where E='""&amp;A9&amp;""' and I= '""&amp;H2&amp;""'"",1))"),0.0)</f>
        <v>0</v>
      </c>
      <c r="I9" s="260">
        <f>IFERROR(__xludf.DUMMYFUNCTION("SUM(QUERY(Hospitais_BD!E:Y,""select T where E='""&amp;A9&amp;""'"",1))"),5112.0)</f>
        <v>5112</v>
      </c>
      <c r="J9" s="260">
        <f>IFERROR(__xludf.DUMMYFUNCTION("SUM(QUERY(Hospitais_BD!E:W,""select T where E='""&amp;A9&amp;""' and I= '""&amp;J2&amp;""'"",1))"),5112.0)</f>
        <v>5112</v>
      </c>
      <c r="K9" s="260">
        <f>IFERROR(__xludf.DUMMYFUNCTION("SUM(QUERY(Hospitais_BD!E:W,""select T where E='""&amp;A9&amp;""' and I= '""&amp;K2&amp;""'"",1))"),0.0)</f>
        <v>0</v>
      </c>
      <c r="L9" s="255">
        <f t="shared" ref="L9:N9" si="39">F9-I9</f>
        <v>-5112</v>
      </c>
      <c r="M9" s="255">
        <f t="shared" si="39"/>
        <v>-5112</v>
      </c>
      <c r="N9" s="255">
        <f t="shared" si="39"/>
        <v>0</v>
      </c>
      <c r="O9" s="251"/>
      <c r="P9" s="258">
        <f>IFERROR(__xludf.DUMMYFUNCTION("SUM(QUERY(Hospitais_BD!E:Q,""select O where E='""&amp;A9&amp;""'"",1))"),0.0)</f>
        <v>0</v>
      </c>
      <c r="Q9" s="258">
        <f>IFERROR(__xludf.DUMMYFUNCTION("SUM(QUERY(Hospitais_BD!E:Q,""select O where E='""&amp;A9&amp;""' and I = '""&amp;Q2&amp;""'"",1))"),0.0)</f>
        <v>0</v>
      </c>
      <c r="R9" s="259">
        <f>IFERROR(__xludf.DUMMYFUNCTION("SUM(QUERY(Hospitais_BD!E:Q,""select O where E='""&amp;A9&amp;""' and I = '""&amp;R2&amp;""'"",1))"),0.0)</f>
        <v>0</v>
      </c>
      <c r="S9" s="260">
        <f>IFERROR(__xludf.DUMMYFUNCTION("SUM(QUERY(Hospitais_BD!E:Y,""select U where E='""&amp;A9&amp;""'"",1))"),0.0)</f>
        <v>0</v>
      </c>
      <c r="T9" s="260">
        <f>IFERROR(__xludf.DUMMYFUNCTION("SUM(QUERY(Hospitais_BD!E:Y,""select U where E='""&amp;A9&amp;""' and I= '""&amp;T2&amp;""'"",1))"),0.0)</f>
        <v>0</v>
      </c>
      <c r="U9" s="260">
        <f>IFERROR(__xludf.DUMMYFUNCTION("SUM(QUERY(Hospitais_BD!E:Y,""select U where E='""&amp;A9&amp;""' and I= '""&amp;U2&amp;""'"",1))"),0.0)</f>
        <v>0</v>
      </c>
      <c r="V9" s="255">
        <f t="shared" ref="V9:X9" si="40">P9-S9</f>
        <v>0</v>
      </c>
      <c r="W9" s="255">
        <f t="shared" si="40"/>
        <v>0</v>
      </c>
      <c r="X9" s="255">
        <f t="shared" si="40"/>
        <v>0</v>
      </c>
      <c r="Y9" s="251"/>
      <c r="Z9" s="258">
        <f>IFERROR(__xludf.DUMMYFUNCTION("SUM(QUERY(Hospitais_BD!E:Q,""select P where E='""&amp;A9&amp;""'"",1))"),0.0)</f>
        <v>0</v>
      </c>
      <c r="AA9" s="259">
        <f>IFERROR(__xludf.DUMMYFUNCTION("SUM(QUERY(Hospitais_BD!E:Q,""select P where E='""&amp;A9&amp;""' and I = '""&amp;AA2&amp;""'"",1))"),0.0)</f>
        <v>0</v>
      </c>
      <c r="AB9" s="259">
        <f>IFERROR(__xludf.DUMMYFUNCTION("SUM(QUERY(Hospitais_BD!E:Q,""select P where E='""&amp;A16&amp;""' and I = '""&amp;AB2&amp;""'"",1))"),0.0)</f>
        <v>0</v>
      </c>
      <c r="AC9" s="260">
        <f>IFERROR(__xludf.DUMMYFUNCTION("SUM(QUERY(Hospitais_BD!E:Y,""select V where E='""&amp;A9&amp;""'"",1))"),0.0)</f>
        <v>0</v>
      </c>
      <c r="AD9" s="260">
        <f>IFERROR(__xludf.DUMMYFUNCTION("SUM(QUERY(Hospitais_BD!E:Y,""select V where E='""&amp;A9&amp;""' and I= '""&amp;AD2&amp;""'"",1))"),0.0)</f>
        <v>0</v>
      </c>
      <c r="AE9" s="260">
        <f>IFERROR(__xludf.DUMMYFUNCTION("SUM(QUERY(Hospitais_BD!E:Y,""select V where E='""&amp;A9&amp;""' and I= '""&amp;AE2&amp;""'"",1))"),0.0)</f>
        <v>0</v>
      </c>
      <c r="AF9" s="255">
        <f t="shared" ref="AF9:AH9" si="41">Z9-AC9</f>
        <v>0</v>
      </c>
      <c r="AG9" s="255">
        <f t="shared" si="41"/>
        <v>0</v>
      </c>
      <c r="AH9" s="255">
        <f t="shared" si="41"/>
        <v>0</v>
      </c>
      <c r="AI9" s="251"/>
      <c r="AJ9" s="258">
        <f>IFERROR(__xludf.DUMMYFUNCTION("SUM(QUERY(Hospitais_BD!E:Q,""select Q where E='""&amp;A9&amp;""'"",1))"),0.0)</f>
        <v>0</v>
      </c>
      <c r="AK9" s="258">
        <f>IFERROR(__xludf.DUMMYFUNCTION("SUM(QUERY(Hospitais_BD!E:Q,""select Q where E='""&amp;A9&amp;""' and I = '""&amp;AK2&amp;""'"",1))"),0.0)</f>
        <v>0</v>
      </c>
      <c r="AL9" s="259">
        <f>IFERROR(__xludf.DUMMYFUNCTION("SUM(QUERY(Hospitais_BD!E:Q,""select Q where E='""&amp;A9&amp;""' and I = '""&amp;AL2&amp;""'"",1))"),0.0)</f>
        <v>0</v>
      </c>
      <c r="AM9" s="260">
        <f>IFERROR(__xludf.DUMMYFUNCTION("SUM(QUERY(Hospitais_BD!E:Y,""select W where E='""&amp;A9&amp;""'"",1))"),675.0)</f>
        <v>675</v>
      </c>
      <c r="AN9" s="260">
        <f>IFERROR(__xludf.DUMMYFUNCTION("SUM(QUERY(Hospitais_BD!E:Y,""select W where E='""&amp;A9&amp;""' and I= '""&amp;AN2&amp;""'"",1))"),675.0)</f>
        <v>675</v>
      </c>
      <c r="AO9" s="260">
        <f>IFERROR(__xludf.DUMMYFUNCTION("SUM(QUERY(Hospitais_BD!E:Y,""select W where E='""&amp;A9&amp;""' and I= '""&amp;AO2&amp;""'"",1))"),0.0)</f>
        <v>0</v>
      </c>
      <c r="AP9" s="255">
        <f t="shared" ref="AP9:AR9" si="42">AJ9-AM9</f>
        <v>-675</v>
      </c>
      <c r="AQ9" s="255">
        <f t="shared" si="42"/>
        <v>-675</v>
      </c>
      <c r="AR9" s="255">
        <f t="shared" si="42"/>
        <v>0</v>
      </c>
      <c r="AS9" s="251"/>
      <c r="AT9" s="258">
        <f>IFERROR(__xludf.DUMMYFUNCTION("SUM(QUERY(Hospitais_BD!E:R,""select R where E='""&amp;A9&amp;""'"",1))"),0.0)</f>
        <v>0</v>
      </c>
      <c r="AU9" s="258">
        <f>IFERROR(__xludf.DUMMYFUNCTION("SUM(QUERY(Hospitais_BD!E:R,""select R where E='""&amp;A9&amp;""' and I = '""&amp;AU2&amp;""'"",1))"),0.0)</f>
        <v>0</v>
      </c>
      <c r="AV9" s="259">
        <f>IFERROR(__xludf.DUMMYFUNCTION("SUM(QUERY(Hospitais_BD!E:R,""select R where E='""&amp;A9&amp;""' and I = '""&amp;AV2&amp;""'"",1))"),0.0)</f>
        <v>0</v>
      </c>
      <c r="AW9" s="260">
        <f>IFERROR(__xludf.DUMMYFUNCTION("SUM(QUERY(Hospitais_BD!E:Y,""select X where E='""&amp;A9&amp;""'"",1))"),205.0)</f>
        <v>205</v>
      </c>
      <c r="AX9" s="260">
        <f>IFERROR(__xludf.DUMMYFUNCTION("SUM(QUERY(Hospitais_BD!E:Y,""select X where E='""&amp;A9&amp;""' and I = '""&amp;AX2&amp;""'"",1))"),205.0)</f>
        <v>205</v>
      </c>
      <c r="AY9" s="260">
        <f>IFERROR(__xludf.DUMMYFUNCTION("SUM(QUERY(Hospitais_BD!E:Y,""select X where E='""&amp;A9&amp;""' and I = '""&amp;AY2&amp;""'"",1))"),0.0)</f>
        <v>0</v>
      </c>
      <c r="AZ9" s="255">
        <f t="shared" ref="AZ9:BB9" si="43">AT9-AW9</f>
        <v>-205</v>
      </c>
      <c r="BA9" s="255">
        <f t="shared" si="43"/>
        <v>-205</v>
      </c>
      <c r="BB9" s="255">
        <f t="shared" si="43"/>
        <v>0</v>
      </c>
      <c r="BC9" s="251"/>
      <c r="BD9" s="258">
        <f>IFERROR(__xludf.DUMMYFUNCTION("SUM(QUERY(Hospitais_BD!E:S,""select S where E='""&amp;A9&amp;""'"",1))"),0.0)</f>
        <v>0</v>
      </c>
      <c r="BE9" s="258">
        <f>IFERROR(__xludf.DUMMYFUNCTION("SUM(QUERY(Hospitais_BD!E:S,""select S where E='""&amp;A9&amp;""' and I = '""&amp;BE2&amp;""'"",1))"),0.0)</f>
        <v>0</v>
      </c>
      <c r="BF9" s="259">
        <f>IFERROR(__xludf.DUMMYFUNCTION("SUM(QUERY(Hospitais_BD!E:S,""select S where E='""&amp;A9&amp;""' and I = '""&amp;BF2&amp;""'"",1))"),0.0)</f>
        <v>0</v>
      </c>
      <c r="BG9" s="260">
        <f>IFERROR(__xludf.DUMMYFUNCTION("SUM(QUERY(Hospitais_BD!E:Y,""select Y where E='""&amp;A9&amp;""'"",1))"),145.5)</f>
        <v>145.5</v>
      </c>
      <c r="BH9" s="260">
        <f>IFERROR(__xludf.DUMMYFUNCTION("SUM(QUERY(Hospitais_BD!E:Y,""select Y where E='""&amp;A9&amp;""' and I = '""&amp;BH2&amp;""'"",1))"),145.5)</f>
        <v>145.5</v>
      </c>
      <c r="BI9" s="260">
        <f>IFERROR(__xludf.DUMMYFUNCTION("SUM(QUERY(Hospitais_BD!E:Y,""select Y where E='""&amp;A9&amp;""' and I = '""&amp;BI2&amp;""'"",1))"),0.0)</f>
        <v>0</v>
      </c>
      <c r="BJ9" s="255">
        <f t="shared" ref="BJ9:BL9" si="44">BD9-BG9</f>
        <v>-145.5</v>
      </c>
      <c r="BK9" s="255">
        <f t="shared" si="44"/>
        <v>-145.5</v>
      </c>
      <c r="BL9" s="255">
        <f t="shared" si="44"/>
        <v>0</v>
      </c>
    </row>
    <row r="10">
      <c r="A10" s="256" t="s">
        <v>72</v>
      </c>
      <c r="B10" s="257">
        <f>COUNTIF(Hospitais_BD!E:E,A10)</f>
        <v>37</v>
      </c>
      <c r="C10" s="257">
        <f>COUNTIFS(Hospitais_BD!E:E,A10,Hospitais_BD!I:I,C2)</f>
        <v>35</v>
      </c>
      <c r="D10" s="257">
        <f>COUNTIFS(Hospitais_BD!E:E,A10,Hospitais_BD!I:I,D2)</f>
        <v>2</v>
      </c>
      <c r="E10" s="241"/>
      <c r="F10" s="258">
        <f>IFERROR(__xludf.DUMMYFUNCTION("SUM(QUERY(Hospitais_BD!E:Q,""select N where E='""&amp;A10&amp;""'"",1))"),0.0)</f>
        <v>0</v>
      </c>
      <c r="G10" s="258">
        <f>IFERROR(__xludf.DUMMYFUNCTION("SUM(QUERY(Hospitais_BD!E:Q,""select N where E='""&amp;A10&amp;""' and I = '""&amp;G2&amp;""'"",1))"),0.0)</f>
        <v>0</v>
      </c>
      <c r="H10" s="259">
        <f>IFERROR(__xludf.DUMMYFUNCTION("SUM(QUERY(Hospitais_BD!E:Q,""select N where E='""&amp;A10&amp;""' and I= '""&amp;H2&amp;""'"",1))"),0.0)</f>
        <v>0</v>
      </c>
      <c r="I10" s="260">
        <f>IFERROR(__xludf.DUMMYFUNCTION("SUM(QUERY(Hospitais_BD!E:Y,""select T where E='""&amp;A10&amp;""'"",1))"),2345.0)</f>
        <v>2345</v>
      </c>
      <c r="J10" s="260">
        <f>IFERROR(__xludf.DUMMYFUNCTION("SUM(QUERY(Hospitais_BD!E:W,""select T where E='""&amp;A10&amp;""' and I= '""&amp;J2&amp;""'"",1))"),2245.0)</f>
        <v>2245</v>
      </c>
      <c r="K10" s="260">
        <f>IFERROR(__xludf.DUMMYFUNCTION("SUM(QUERY(Hospitais_BD!E:W,""select T where E='""&amp;A10&amp;""' and I= '""&amp;K2&amp;""'"",1))"),100.0)</f>
        <v>100</v>
      </c>
      <c r="L10" s="255">
        <f t="shared" ref="L10:N10" si="45">F10-I10</f>
        <v>-2345</v>
      </c>
      <c r="M10" s="255">
        <f t="shared" si="45"/>
        <v>-2245</v>
      </c>
      <c r="N10" s="255">
        <f t="shared" si="45"/>
        <v>-100</v>
      </c>
      <c r="O10" s="251"/>
      <c r="P10" s="258">
        <f>IFERROR(__xludf.DUMMYFUNCTION("SUM(QUERY(Hospitais_BD!E:Q,""select O where E='""&amp;A10&amp;""'"",1))"),0.0)</f>
        <v>0</v>
      </c>
      <c r="Q10" s="258">
        <f>IFERROR(__xludf.DUMMYFUNCTION("SUM(QUERY(Hospitais_BD!E:Q,""select O where E='""&amp;A10&amp;""' and I = '""&amp;Q2&amp;""'"",1))"),0.0)</f>
        <v>0</v>
      </c>
      <c r="R10" s="259">
        <f>IFERROR(__xludf.DUMMYFUNCTION("SUM(QUERY(Hospitais_BD!E:Q,""select O where E='""&amp;A10&amp;""' and I = '""&amp;R2&amp;""'"",1))"),0.0)</f>
        <v>0</v>
      </c>
      <c r="S10" s="260">
        <f>IFERROR(__xludf.DUMMYFUNCTION("SUM(QUERY(Hospitais_BD!E:Y,""select U where E='""&amp;A10&amp;""'"",1))"),0.0)</f>
        <v>0</v>
      </c>
      <c r="T10" s="260">
        <f>IFERROR(__xludf.DUMMYFUNCTION("SUM(QUERY(Hospitais_BD!E:Y,""select U where E='""&amp;A10&amp;""' and I= '""&amp;T2&amp;""'"",1))"),0.0)</f>
        <v>0</v>
      </c>
      <c r="U10" s="260">
        <f>IFERROR(__xludf.DUMMYFUNCTION("SUM(QUERY(Hospitais_BD!E:Y,""select U where E='""&amp;A10&amp;""' and I= '""&amp;U2&amp;""'"",1))"),0.0)</f>
        <v>0</v>
      </c>
      <c r="V10" s="255">
        <f t="shared" ref="V10:X10" si="46">P10-S10</f>
        <v>0</v>
      </c>
      <c r="W10" s="255">
        <f t="shared" si="46"/>
        <v>0</v>
      </c>
      <c r="X10" s="255">
        <f t="shared" si="46"/>
        <v>0</v>
      </c>
      <c r="Y10" s="251"/>
      <c r="Z10" s="258">
        <f>IFERROR(__xludf.DUMMYFUNCTION("SUM(QUERY(Hospitais_BD!E:Q,""select P where E='""&amp;A10&amp;""'"",1))"),0.0)</f>
        <v>0</v>
      </c>
      <c r="AA10" s="259">
        <f>IFERROR(__xludf.DUMMYFUNCTION("SUM(QUERY(Hospitais_BD!E:Q,""select P where E='""&amp;A10&amp;""' and I = '""&amp;AA2&amp;""'"",1))"),0.0)</f>
        <v>0</v>
      </c>
      <c r="AB10" s="259">
        <f>IFERROR(__xludf.DUMMYFUNCTION("SUM(QUERY(Hospitais_BD!E:Q,""select P where E='""&amp;A17&amp;""' and I = '""&amp;AB2&amp;""'"",1))"),0.0)</f>
        <v>0</v>
      </c>
      <c r="AC10" s="260">
        <f>IFERROR(__xludf.DUMMYFUNCTION("SUM(QUERY(Hospitais_BD!E:Y,""select V where E='""&amp;A10&amp;""'"",1))"),0.0)</f>
        <v>0</v>
      </c>
      <c r="AD10" s="260">
        <f>IFERROR(__xludf.DUMMYFUNCTION("SUM(QUERY(Hospitais_BD!E:Y,""select V where E='""&amp;A10&amp;""' and I= '""&amp;AD2&amp;""'"",1))"),0.0)</f>
        <v>0</v>
      </c>
      <c r="AE10" s="260">
        <f>IFERROR(__xludf.DUMMYFUNCTION("SUM(QUERY(Hospitais_BD!E:Y,""select V where E='""&amp;A10&amp;""' and I= '""&amp;AE2&amp;""'"",1))"),0.0)</f>
        <v>0</v>
      </c>
      <c r="AF10" s="255">
        <f t="shared" ref="AF10:AH10" si="47">Z10-AC10</f>
        <v>0</v>
      </c>
      <c r="AG10" s="255">
        <f t="shared" si="47"/>
        <v>0</v>
      </c>
      <c r="AH10" s="255">
        <f t="shared" si="47"/>
        <v>0</v>
      </c>
      <c r="AI10" s="251"/>
      <c r="AJ10" s="258">
        <f>IFERROR(__xludf.DUMMYFUNCTION("SUM(QUERY(Hospitais_BD!E:Q,""select Q where E='""&amp;A10&amp;""'"",1))"),0.0)</f>
        <v>0</v>
      </c>
      <c r="AK10" s="258">
        <f>IFERROR(__xludf.DUMMYFUNCTION("SUM(QUERY(Hospitais_BD!E:Q,""select Q where E='""&amp;A10&amp;""' and I = '""&amp;AK2&amp;""'"",1))"),0.0)</f>
        <v>0</v>
      </c>
      <c r="AL10" s="259">
        <f>IFERROR(__xludf.DUMMYFUNCTION("SUM(QUERY(Hospitais_BD!E:Q,""select Q where E='""&amp;A10&amp;""' and I = '""&amp;AL2&amp;""'"",1))"),0.0)</f>
        <v>0</v>
      </c>
      <c r="AM10" s="260">
        <f>IFERROR(__xludf.DUMMYFUNCTION("SUM(QUERY(Hospitais_BD!E:Y,""select W where E='""&amp;A10&amp;""'"",1))"),50.0)</f>
        <v>50</v>
      </c>
      <c r="AN10" s="260">
        <f>IFERROR(__xludf.DUMMYFUNCTION("SUM(QUERY(Hospitais_BD!E:Y,""select W where E='""&amp;A10&amp;""' and I= '""&amp;AN2&amp;""'"",1))"),0.0)</f>
        <v>0</v>
      </c>
      <c r="AO10" s="260">
        <f>IFERROR(__xludf.DUMMYFUNCTION("SUM(QUERY(Hospitais_BD!E:Y,""select W where E='""&amp;A10&amp;""' and I= '""&amp;AO2&amp;""'"",1))"),50.0)</f>
        <v>50</v>
      </c>
      <c r="AP10" s="255">
        <f t="shared" ref="AP10:AR10" si="48">AJ10-AM10</f>
        <v>-50</v>
      </c>
      <c r="AQ10" s="255">
        <f t="shared" si="48"/>
        <v>0</v>
      </c>
      <c r="AR10" s="255">
        <f t="shared" si="48"/>
        <v>-50</v>
      </c>
      <c r="AS10" s="251"/>
      <c r="AT10" s="258">
        <f>IFERROR(__xludf.DUMMYFUNCTION("SUM(QUERY(Hospitais_BD!E:R,""select R where E='""&amp;A10&amp;""'"",1))"),0.0)</f>
        <v>0</v>
      </c>
      <c r="AU10" s="258">
        <f>IFERROR(__xludf.DUMMYFUNCTION("SUM(QUERY(Hospitais_BD!E:R,""select R where E='""&amp;A10&amp;""' and I = '""&amp;AU2&amp;""'"",1))"),0.0)</f>
        <v>0</v>
      </c>
      <c r="AV10" s="259">
        <f>IFERROR(__xludf.DUMMYFUNCTION("SUM(QUERY(Hospitais_BD!E:R,""select R where E='""&amp;A10&amp;""' and I = '""&amp;AV2&amp;""'"",1))"),0.0)</f>
        <v>0</v>
      </c>
      <c r="AW10" s="260">
        <f>IFERROR(__xludf.DUMMYFUNCTION("SUM(QUERY(Hospitais_BD!E:Y,""select X where E='""&amp;A10&amp;""'"",1))"),10.0)</f>
        <v>10</v>
      </c>
      <c r="AX10" s="260">
        <f>IFERROR(__xludf.DUMMYFUNCTION("SUM(QUERY(Hospitais_BD!E:Y,""select X where E='""&amp;A10&amp;""' and I = '""&amp;AX2&amp;""'"",1))"),10.0)</f>
        <v>10</v>
      </c>
      <c r="AY10" s="260">
        <f>IFERROR(__xludf.DUMMYFUNCTION("SUM(QUERY(Hospitais_BD!E:Y,""select X where E='""&amp;A10&amp;""' and I = '""&amp;AY2&amp;""'"",1))"),0.0)</f>
        <v>0</v>
      </c>
      <c r="AZ10" s="255">
        <f t="shared" ref="AZ10:BB10" si="49">AT10-AW10</f>
        <v>-10</v>
      </c>
      <c r="BA10" s="255">
        <f t="shared" si="49"/>
        <v>-10</v>
      </c>
      <c r="BB10" s="255">
        <f t="shared" si="49"/>
        <v>0</v>
      </c>
      <c r="BC10" s="251"/>
      <c r="BD10" s="258">
        <f>IFERROR(__xludf.DUMMYFUNCTION("SUM(QUERY(Hospitais_BD!E:S,""select S where E='""&amp;A10&amp;""'"",1))"),0.0)</f>
        <v>0</v>
      </c>
      <c r="BE10" s="258">
        <f>IFERROR(__xludf.DUMMYFUNCTION("SUM(QUERY(Hospitais_BD!E:S,""select S where E='""&amp;A10&amp;""' and I = '""&amp;BE2&amp;""'"",1))"),0.0)</f>
        <v>0</v>
      </c>
      <c r="BF10" s="259">
        <f>IFERROR(__xludf.DUMMYFUNCTION("SUM(QUERY(Hospitais_BD!E:S,""select S where E='""&amp;A10&amp;""' and I = '""&amp;BF2&amp;""'"",1))"),0.0)</f>
        <v>0</v>
      </c>
      <c r="BG10" s="260">
        <f>IFERROR(__xludf.DUMMYFUNCTION("SUM(QUERY(Hospitais_BD!E:Y,""select Y where E='""&amp;A10&amp;""'"",1))"),32.0)</f>
        <v>32</v>
      </c>
      <c r="BH10" s="260">
        <f>IFERROR(__xludf.DUMMYFUNCTION("SUM(QUERY(Hospitais_BD!E:Y,""select Y where E='""&amp;A10&amp;""' and I = '""&amp;BH2&amp;""'"",1))"),32.0)</f>
        <v>32</v>
      </c>
      <c r="BI10" s="260">
        <f>IFERROR(__xludf.DUMMYFUNCTION("SUM(QUERY(Hospitais_BD!E:Y,""select Y where E='""&amp;A10&amp;""' and I = '""&amp;BI2&amp;""'"",1))"),0.0)</f>
        <v>0</v>
      </c>
      <c r="BJ10" s="255">
        <f t="shared" ref="BJ10:BL10" si="50">BD10-BG10</f>
        <v>-32</v>
      </c>
      <c r="BK10" s="255">
        <f t="shared" si="50"/>
        <v>-32</v>
      </c>
      <c r="BL10" s="255">
        <f t="shared" si="50"/>
        <v>0</v>
      </c>
    </row>
    <row r="11">
      <c r="A11" s="241"/>
      <c r="B11" s="261"/>
      <c r="C11" s="261"/>
      <c r="D11" s="261"/>
      <c r="E11" s="241"/>
      <c r="F11" s="258"/>
      <c r="G11" s="258"/>
      <c r="H11" s="258"/>
      <c r="I11" s="260"/>
      <c r="J11" s="260"/>
      <c r="K11" s="260"/>
      <c r="L11" s="255">
        <f t="shared" ref="L11:N11" si="51">F11-I11</f>
        <v>0</v>
      </c>
      <c r="M11" s="255">
        <f t="shared" si="51"/>
        <v>0</v>
      </c>
      <c r="N11" s="255">
        <f t="shared" si="51"/>
        <v>0</v>
      </c>
      <c r="O11" s="251"/>
      <c r="P11" s="258"/>
      <c r="Q11" s="258"/>
      <c r="R11" s="258"/>
      <c r="S11" s="260"/>
      <c r="T11" s="260"/>
      <c r="U11" s="260"/>
      <c r="V11" s="255">
        <f t="shared" ref="V11:X11" si="52">P11-S11</f>
        <v>0</v>
      </c>
      <c r="W11" s="255">
        <f t="shared" si="52"/>
        <v>0</v>
      </c>
      <c r="X11" s="255">
        <f t="shared" si="52"/>
        <v>0</v>
      </c>
      <c r="Y11" s="251"/>
      <c r="Z11" s="258"/>
      <c r="AA11" s="258"/>
      <c r="AB11" s="258"/>
      <c r="AC11" s="260"/>
      <c r="AD11" s="260"/>
      <c r="AE11" s="260"/>
      <c r="AF11" s="255">
        <f t="shared" ref="AF11:AH11" si="53">Z11-AC11</f>
        <v>0</v>
      </c>
      <c r="AG11" s="255">
        <f t="shared" si="53"/>
        <v>0</v>
      </c>
      <c r="AH11" s="255">
        <f t="shared" si="53"/>
        <v>0</v>
      </c>
      <c r="AI11" s="251"/>
      <c r="AJ11" s="258"/>
      <c r="AK11" s="258"/>
      <c r="AL11" s="258"/>
      <c r="AM11" s="260"/>
      <c r="AN11" s="260"/>
      <c r="AO11" s="260"/>
      <c r="AP11" s="255">
        <f t="shared" ref="AP11:AR11" si="54">AJ11-AM11</f>
        <v>0</v>
      </c>
      <c r="AQ11" s="255">
        <f t="shared" si="54"/>
        <v>0</v>
      </c>
      <c r="AR11" s="255">
        <f t="shared" si="54"/>
        <v>0</v>
      </c>
      <c r="AS11" s="251"/>
      <c r="AT11" s="258"/>
      <c r="AU11" s="258"/>
      <c r="AV11" s="258"/>
      <c r="AW11" s="260"/>
      <c r="AX11" s="260"/>
      <c r="AY11" s="260"/>
      <c r="AZ11" s="255">
        <f t="shared" ref="AZ11:BB11" si="55">AT11-AW11</f>
        <v>0</v>
      </c>
      <c r="BA11" s="255">
        <f t="shared" si="55"/>
        <v>0</v>
      </c>
      <c r="BB11" s="255">
        <f t="shared" si="55"/>
        <v>0</v>
      </c>
      <c r="BC11" s="251"/>
      <c r="BD11" s="258"/>
      <c r="BE11" s="258"/>
      <c r="BF11" s="258"/>
      <c r="BG11" s="260"/>
      <c r="BH11" s="260"/>
      <c r="BI11" s="260"/>
      <c r="BJ11" s="255">
        <f t="shared" ref="BJ11:BL11" si="56">BD11-BG11</f>
        <v>0</v>
      </c>
      <c r="BK11" s="255">
        <f t="shared" si="56"/>
        <v>0</v>
      </c>
      <c r="BL11" s="255">
        <f t="shared" si="56"/>
        <v>0</v>
      </c>
    </row>
    <row r="12">
      <c r="A12" s="212" t="s">
        <v>1115</v>
      </c>
      <c r="B12" s="262">
        <f t="shared" ref="B12:D12" si="57">SUM(B14:B21)</f>
        <v>146</v>
      </c>
      <c r="C12" s="262">
        <f t="shared" si="57"/>
        <v>127</v>
      </c>
      <c r="D12" s="262">
        <f t="shared" si="57"/>
        <v>19</v>
      </c>
      <c r="E12" s="241"/>
      <c r="F12" s="248">
        <f t="shared" ref="F12:K12" si="58">SUM(F14:F21,F22)</f>
        <v>0</v>
      </c>
      <c r="G12" s="248">
        <f t="shared" si="58"/>
        <v>0</v>
      </c>
      <c r="H12" s="248">
        <f t="shared" si="58"/>
        <v>0</v>
      </c>
      <c r="I12" s="249">
        <f t="shared" si="58"/>
        <v>6225</v>
      </c>
      <c r="J12" s="249">
        <f t="shared" si="58"/>
        <v>6125</v>
      </c>
      <c r="K12" s="249">
        <f t="shared" si="58"/>
        <v>100</v>
      </c>
      <c r="L12" s="250">
        <f t="shared" ref="L12:N12" si="59">F12-I12</f>
        <v>-6225</v>
      </c>
      <c r="M12" s="250">
        <f t="shared" si="59"/>
        <v>-6125</v>
      </c>
      <c r="N12" s="250">
        <f t="shared" si="59"/>
        <v>-100</v>
      </c>
      <c r="O12" s="251"/>
      <c r="P12" s="248">
        <f t="shared" ref="P12:U12" si="60">SUM(P14:P21,P22)</f>
        <v>0</v>
      </c>
      <c r="Q12" s="248">
        <f t="shared" si="60"/>
        <v>0</v>
      </c>
      <c r="R12" s="248">
        <f t="shared" si="60"/>
        <v>0</v>
      </c>
      <c r="S12" s="249">
        <f t="shared" si="60"/>
        <v>0</v>
      </c>
      <c r="T12" s="249">
        <f t="shared" si="60"/>
        <v>0</v>
      </c>
      <c r="U12" s="249">
        <f t="shared" si="60"/>
        <v>0</v>
      </c>
      <c r="V12" s="250">
        <f t="shared" ref="V12:X12" si="61">P12-S12</f>
        <v>0</v>
      </c>
      <c r="W12" s="250">
        <f t="shared" si="61"/>
        <v>0</v>
      </c>
      <c r="X12" s="250">
        <f t="shared" si="61"/>
        <v>0</v>
      </c>
      <c r="Y12" s="251"/>
      <c r="Z12" s="248">
        <f t="shared" ref="Z12:AE12" si="62">SUM(Z14:Z21,Z22)</f>
        <v>0</v>
      </c>
      <c r="AA12" s="248">
        <f t="shared" si="62"/>
        <v>0</v>
      </c>
      <c r="AB12" s="248">
        <f t="shared" si="62"/>
        <v>0</v>
      </c>
      <c r="AC12" s="249">
        <f t="shared" si="62"/>
        <v>0</v>
      </c>
      <c r="AD12" s="249">
        <f t="shared" si="62"/>
        <v>0</v>
      </c>
      <c r="AE12" s="249">
        <f t="shared" si="62"/>
        <v>0</v>
      </c>
      <c r="AF12" s="250">
        <f t="shared" ref="AF12:AH12" si="63">Z12-AC12</f>
        <v>0</v>
      </c>
      <c r="AG12" s="250">
        <f t="shared" si="63"/>
        <v>0</v>
      </c>
      <c r="AH12" s="250">
        <f t="shared" si="63"/>
        <v>0</v>
      </c>
      <c r="AI12" s="251"/>
      <c r="AJ12" s="248">
        <f t="shared" ref="AJ12:AO12" si="64">SUM(AJ14:AJ21,AJ22)</f>
        <v>0</v>
      </c>
      <c r="AK12" s="248">
        <f t="shared" si="64"/>
        <v>0</v>
      </c>
      <c r="AL12" s="248">
        <f t="shared" si="64"/>
        <v>0</v>
      </c>
      <c r="AM12" s="249">
        <f t="shared" si="64"/>
        <v>425</v>
      </c>
      <c r="AN12" s="249">
        <f t="shared" si="64"/>
        <v>425</v>
      </c>
      <c r="AO12" s="249">
        <f t="shared" si="64"/>
        <v>0</v>
      </c>
      <c r="AP12" s="250">
        <f t="shared" ref="AP12:AR12" si="65">AJ12-AM12</f>
        <v>-425</v>
      </c>
      <c r="AQ12" s="250">
        <f t="shared" si="65"/>
        <v>-425</v>
      </c>
      <c r="AR12" s="250">
        <f t="shared" si="65"/>
        <v>0</v>
      </c>
      <c r="AS12" s="251"/>
      <c r="AT12" s="248">
        <f t="shared" ref="AT12:AY12" si="66">SUM(AT14:AT21,AT22)</f>
        <v>2425</v>
      </c>
      <c r="AU12" s="248">
        <f t="shared" si="66"/>
        <v>2425</v>
      </c>
      <c r="AV12" s="248">
        <f t="shared" si="66"/>
        <v>0</v>
      </c>
      <c r="AW12" s="249">
        <f t="shared" si="66"/>
        <v>50</v>
      </c>
      <c r="AX12" s="249">
        <f t="shared" si="66"/>
        <v>50</v>
      </c>
      <c r="AY12" s="249">
        <f t="shared" si="66"/>
        <v>0</v>
      </c>
      <c r="AZ12" s="250">
        <f t="shared" ref="AZ12:BB12" si="67">AT12-AW12</f>
        <v>2375</v>
      </c>
      <c r="BA12" s="250">
        <f t="shared" si="67"/>
        <v>2375</v>
      </c>
      <c r="BB12" s="250">
        <f t="shared" si="67"/>
        <v>0</v>
      </c>
      <c r="BC12" s="251"/>
      <c r="BD12" s="248">
        <f t="shared" ref="BD12:BI12" si="68">SUM(BD14:BD21,BD22)</f>
        <v>2425</v>
      </c>
      <c r="BE12" s="248">
        <f t="shared" si="68"/>
        <v>2425</v>
      </c>
      <c r="BF12" s="248">
        <f t="shared" si="68"/>
        <v>0</v>
      </c>
      <c r="BG12" s="249">
        <f t="shared" si="68"/>
        <v>130</v>
      </c>
      <c r="BH12" s="249">
        <f t="shared" si="68"/>
        <v>130</v>
      </c>
      <c r="BI12" s="249">
        <f t="shared" si="68"/>
        <v>0</v>
      </c>
      <c r="BJ12" s="250">
        <f t="shared" ref="BJ12:BL12" si="69">BD12-BG12</f>
        <v>2295</v>
      </c>
      <c r="BK12" s="250">
        <f t="shared" si="69"/>
        <v>2295</v>
      </c>
      <c r="BL12" s="250">
        <f t="shared" si="69"/>
        <v>0</v>
      </c>
    </row>
    <row r="13">
      <c r="A13" s="256"/>
      <c r="B13" s="257"/>
      <c r="C13" s="261"/>
      <c r="D13" s="261"/>
      <c r="E13" s="241"/>
      <c r="F13" s="258"/>
      <c r="G13" s="258"/>
      <c r="H13" s="258"/>
      <c r="I13" s="260"/>
      <c r="J13" s="260"/>
      <c r="K13" s="260"/>
      <c r="L13" s="255">
        <f t="shared" ref="L13:N13" si="70">F13-I13</f>
        <v>0</v>
      </c>
      <c r="M13" s="255">
        <f t="shared" si="70"/>
        <v>0</v>
      </c>
      <c r="N13" s="255">
        <f t="shared" si="70"/>
        <v>0</v>
      </c>
      <c r="O13" s="251"/>
      <c r="P13" s="258"/>
      <c r="Q13" s="258"/>
      <c r="R13" s="258"/>
      <c r="S13" s="260"/>
      <c r="T13" s="260"/>
      <c r="U13" s="260"/>
      <c r="V13" s="255">
        <f t="shared" ref="V13:X13" si="71">P13-S13</f>
        <v>0</v>
      </c>
      <c r="W13" s="255">
        <f t="shared" si="71"/>
        <v>0</v>
      </c>
      <c r="X13" s="255">
        <f t="shared" si="71"/>
        <v>0</v>
      </c>
      <c r="Y13" s="251"/>
      <c r="Z13" s="258"/>
      <c r="AA13" s="258"/>
      <c r="AB13" s="258"/>
      <c r="AC13" s="260"/>
      <c r="AD13" s="260"/>
      <c r="AE13" s="260"/>
      <c r="AF13" s="255">
        <f t="shared" ref="AF13:AH13" si="72">Z13-AC13</f>
        <v>0</v>
      </c>
      <c r="AG13" s="255">
        <f t="shared" si="72"/>
        <v>0</v>
      </c>
      <c r="AH13" s="255">
        <f t="shared" si="72"/>
        <v>0</v>
      </c>
      <c r="AI13" s="251"/>
      <c r="AJ13" s="258"/>
      <c r="AK13" s="258"/>
      <c r="AL13" s="258"/>
      <c r="AM13" s="260"/>
      <c r="AN13" s="260"/>
      <c r="AO13" s="260"/>
      <c r="AP13" s="255">
        <f t="shared" ref="AP13:AR13" si="73">AJ13-AM13</f>
        <v>0</v>
      </c>
      <c r="AQ13" s="255">
        <f t="shared" si="73"/>
        <v>0</v>
      </c>
      <c r="AR13" s="255">
        <f t="shared" si="73"/>
        <v>0</v>
      </c>
      <c r="AS13" s="251"/>
      <c r="AT13" s="258"/>
      <c r="AU13" s="258"/>
      <c r="AV13" s="258"/>
      <c r="AW13" s="260"/>
      <c r="AX13" s="260"/>
      <c r="AY13" s="260"/>
      <c r="AZ13" s="255">
        <f t="shared" ref="AZ13:BB13" si="74">AT13-AW13</f>
        <v>0</v>
      </c>
      <c r="BA13" s="255">
        <f t="shared" si="74"/>
        <v>0</v>
      </c>
      <c r="BB13" s="255">
        <f t="shared" si="74"/>
        <v>0</v>
      </c>
      <c r="BC13" s="251"/>
      <c r="BD13" s="258"/>
      <c r="BE13" s="258"/>
      <c r="BF13" s="258"/>
      <c r="BG13" s="260"/>
      <c r="BH13" s="260"/>
      <c r="BI13" s="260"/>
      <c r="BJ13" s="255"/>
      <c r="BK13" s="255">
        <f t="shared" ref="BK13:BL13" si="75">BE13-BH13</f>
        <v>0</v>
      </c>
      <c r="BL13" s="255">
        <f t="shared" si="75"/>
        <v>0</v>
      </c>
    </row>
    <row r="14">
      <c r="A14" s="263" t="s">
        <v>197</v>
      </c>
      <c r="B14" s="264">
        <f>COUNTIF(Hospitais_BD!E:E,A14)</f>
        <v>69</v>
      </c>
      <c r="C14" s="257">
        <f>COUNTIFS(Hospitais_BD!E:E,A14,Hospitais_BD!I:I,C2)</f>
        <v>65</v>
      </c>
      <c r="D14" s="257">
        <f>COUNTIFS(Hospitais_BD!E:E,A14,Hospitais_BD!I:I,D2)</f>
        <v>4</v>
      </c>
      <c r="E14" s="241"/>
      <c r="F14" s="258">
        <f>IFERROR(__xludf.DUMMYFUNCTION("SUM(QUERY(Hospitais_BD!E:Q,""select N where E='""&amp;A14&amp;""'"",1))"),0.0)</f>
        <v>0</v>
      </c>
      <c r="G14" s="258">
        <f>IFERROR(__xludf.DUMMYFUNCTION("SUM(QUERY(Hospitais_BD!E:Q,""select N where E='""&amp;A14&amp;""' and I = '""&amp;G2&amp;""'"",1))"),0.0)</f>
        <v>0</v>
      </c>
      <c r="H14" s="259">
        <f>IFERROR(__xludf.DUMMYFUNCTION("SUM(QUERY(Hospitais_BD!E:Q,""select N where E='""&amp;A14&amp;""' and I= '""&amp;H2&amp;""'"",1))"),0.0)</f>
        <v>0</v>
      </c>
      <c r="I14" s="260">
        <f>IFERROR(__xludf.DUMMYFUNCTION("SUM(QUERY(Hospitais_BD!E:Y,""select T where E='""&amp;A14&amp;""'"",1))"),2095.0)</f>
        <v>2095</v>
      </c>
      <c r="J14" s="260">
        <f>IFERROR(__xludf.DUMMYFUNCTION("SUM(QUERY(Hospitais_BD!E:W,""select T where E='""&amp;A14&amp;""' and I= '""&amp;J2&amp;""'"",1))"),2095.0)</f>
        <v>2095</v>
      </c>
      <c r="K14" s="260">
        <f>IFERROR(__xludf.DUMMYFUNCTION("SUM(QUERY(Hospitais_BD!E:W,""select T where E='""&amp;A14&amp;""' and I= '""&amp;K2&amp;""'"",1))"),0.0)</f>
        <v>0</v>
      </c>
      <c r="L14" s="255">
        <f t="shared" ref="L14:N14" si="76">F14-I14</f>
        <v>-2095</v>
      </c>
      <c r="M14" s="255">
        <f t="shared" si="76"/>
        <v>-2095</v>
      </c>
      <c r="N14" s="255">
        <f t="shared" si="76"/>
        <v>0</v>
      </c>
      <c r="O14" s="251"/>
      <c r="P14" s="258">
        <f>IFERROR(__xludf.DUMMYFUNCTION("SUM(QUERY(Hospitais_BD!E:Q,""select O where E='""&amp;A14&amp;""'"",1))"),0.0)</f>
        <v>0</v>
      </c>
      <c r="Q14" s="258">
        <f>IFERROR(__xludf.DUMMYFUNCTION("SUM(QUERY(Hospitais_BD!E:Q,""select O where E='""&amp;A14&amp;""' and I = '""&amp;Q2&amp;""'"",1))"),0.0)</f>
        <v>0</v>
      </c>
      <c r="R14" s="259">
        <f>IFERROR(__xludf.DUMMYFUNCTION("SUM(QUERY(Hospitais_BD!E:Q,""select O where E='""&amp;A14&amp;""' and I = '""&amp;R2&amp;""'"",1))"),0.0)</f>
        <v>0</v>
      </c>
      <c r="S14" s="260">
        <f>IFERROR(__xludf.DUMMYFUNCTION("SUM(QUERY(Hospitais_BD!E:Y,""select U where E='""&amp;A14&amp;""'"",1))"),0.0)</f>
        <v>0</v>
      </c>
      <c r="T14" s="260">
        <f>IFERROR(__xludf.DUMMYFUNCTION("SUM(QUERY(Hospitais_BD!E:Y,""select U where E='""&amp;A14&amp;""' and I= '""&amp;T2&amp;""'"",1))"),0.0)</f>
        <v>0</v>
      </c>
      <c r="U14" s="260">
        <f>IFERROR(__xludf.DUMMYFUNCTION("SUM(QUERY(Hospitais_BD!E:Y,""select U where E='""&amp;A14&amp;""' and I= '""&amp;U2&amp;""'"",1))"),0.0)</f>
        <v>0</v>
      </c>
      <c r="V14" s="255">
        <f t="shared" ref="V14:X14" si="77">P14-S14</f>
        <v>0</v>
      </c>
      <c r="W14" s="255">
        <f t="shared" si="77"/>
        <v>0</v>
      </c>
      <c r="X14" s="255">
        <f t="shared" si="77"/>
        <v>0</v>
      </c>
      <c r="Y14" s="251"/>
      <c r="Z14" s="258">
        <f>IFERROR(__xludf.DUMMYFUNCTION("SUM(QUERY(Hospitais_BD!E:Q,""select P where E='""&amp;A14&amp;""'"",1))"),0.0)</f>
        <v>0</v>
      </c>
      <c r="AA14" s="258">
        <f>IFERROR(__xludf.DUMMYFUNCTION("SUM(QUERY(Hospitais_BD!E:Q,""select P where E='""&amp;A14&amp;""' and I = '""&amp;AA2&amp;""'"",1))"),0.0)</f>
        <v>0</v>
      </c>
      <c r="AB14" s="259">
        <f>IFERROR(__xludf.DUMMYFUNCTION("SUM(QUERY(Hospitais_BD!E:Q,""select P where E='""&amp;A14&amp;""' and I = '""&amp;AB2&amp;""'"",1))"),0.0)</f>
        <v>0</v>
      </c>
      <c r="AC14" s="260">
        <f>IFERROR(__xludf.DUMMYFUNCTION("SUM(QUERY(Hospitais_BD!E:Y,""select V where E='""&amp;A14&amp;""'"",1))"),0.0)</f>
        <v>0</v>
      </c>
      <c r="AD14" s="260">
        <f>IFERROR(__xludf.DUMMYFUNCTION("SUM(QUERY(Hospitais_BD!E:Y,""select V where E='""&amp;A14&amp;""' and I= '""&amp;AD2&amp;""'"",1))"),0.0)</f>
        <v>0</v>
      </c>
      <c r="AE14" s="260">
        <f>IFERROR(__xludf.DUMMYFUNCTION("SUM(QUERY(Hospitais_BD!E:Y,""select V where E='""&amp;A14&amp;""' and I= '""&amp;AE2&amp;""'"",1))"),0.0)</f>
        <v>0</v>
      </c>
      <c r="AF14" s="255">
        <f t="shared" ref="AF14:AH14" si="78">Z14-AC14</f>
        <v>0</v>
      </c>
      <c r="AG14" s="255">
        <f t="shared" si="78"/>
        <v>0</v>
      </c>
      <c r="AH14" s="255">
        <f t="shared" si="78"/>
        <v>0</v>
      </c>
      <c r="AI14" s="251"/>
      <c r="AJ14" s="258">
        <f>IFERROR(__xludf.DUMMYFUNCTION("SUM(QUERY(Hospitais_BD!E:Q,""select Q where E='""&amp;A14&amp;""'"",1))"),0.0)</f>
        <v>0</v>
      </c>
      <c r="AK14" s="258">
        <f>IFERROR(__xludf.DUMMYFUNCTION("SUM(QUERY(Hospitais_BD!E:Q,""select Q where E='""&amp;A14&amp;""' and I = '""&amp;AK2&amp;""'"",1))"),0.0)</f>
        <v>0</v>
      </c>
      <c r="AL14" s="259">
        <f>IFERROR(__xludf.DUMMYFUNCTION("SUM(QUERY(Hospitais_BD!E:Q,""select Q where E='""&amp;A14&amp;""' and I = '""&amp;AL2&amp;""'"",1))"),0.0)</f>
        <v>0</v>
      </c>
      <c r="AM14" s="260">
        <f>IFERROR(__xludf.DUMMYFUNCTION("SUM(QUERY(Hospitais_BD!E:Y,""select W where E='""&amp;A14&amp;""'"",1))"),150.0)</f>
        <v>150</v>
      </c>
      <c r="AN14" s="260">
        <f>IFERROR(__xludf.DUMMYFUNCTION("SUM(QUERY(Hospitais_BD!E:Y,""select W where E='""&amp;A14&amp;""' and I= '""&amp;AN2&amp;""'"",1))"),150.0)</f>
        <v>150</v>
      </c>
      <c r="AO14" s="260">
        <f>IFERROR(__xludf.DUMMYFUNCTION("SUM(QUERY(Hospitais_BD!E:Y,""select W where E='""&amp;A14&amp;""' and I= '""&amp;AO2&amp;""'"",1))"),0.0)</f>
        <v>0</v>
      </c>
      <c r="AP14" s="255">
        <f t="shared" ref="AP14:AR14" si="79">AJ14-AM14</f>
        <v>-150</v>
      </c>
      <c r="AQ14" s="255">
        <f t="shared" si="79"/>
        <v>-150</v>
      </c>
      <c r="AR14" s="255">
        <f t="shared" si="79"/>
        <v>0</v>
      </c>
      <c r="AS14" s="251"/>
      <c r="AT14" s="258">
        <f>IFERROR(__xludf.DUMMYFUNCTION("SUM(QUERY(Hospitais_BD!E:R,""select R where E='""&amp;A14&amp;""'"",1))"),25.0)</f>
        <v>25</v>
      </c>
      <c r="AU14" s="258">
        <f>IFERROR(__xludf.DUMMYFUNCTION("SUM(QUERY(Hospitais_BD!E:R,""select R where E='""&amp;A14&amp;""' and I = '""&amp;AU2&amp;""'"",1))"),25.0)</f>
        <v>25</v>
      </c>
      <c r="AV14" s="259">
        <f>IFERROR(__xludf.DUMMYFUNCTION("SUM(QUERY(Hospitais_BD!E:R,""select R where E='""&amp;A14&amp;""' and I = '""&amp;AV2&amp;""'"",1))"),0.0)</f>
        <v>0</v>
      </c>
      <c r="AW14" s="260">
        <f>IFERROR(__xludf.DUMMYFUNCTION("SUM(QUERY(Hospitais_BD!E:Y,""select X where E='""&amp;A14&amp;""'"",1))"),0.0)</f>
        <v>0</v>
      </c>
      <c r="AX14" s="260">
        <f>IFERROR(__xludf.DUMMYFUNCTION("SUM(QUERY(Hospitais_BD!E:Y,""select X where E='""&amp;A14&amp;""' and I = '""&amp;AX2&amp;""'"",1))"),0.0)</f>
        <v>0</v>
      </c>
      <c r="AY14" s="260">
        <f>IFERROR(__xludf.DUMMYFUNCTION("SUM(QUERY(Hospitais_BD!E:Y,""select X where E='""&amp;A14&amp;""' and I = '""&amp;AY2&amp;""'"",1))"),0.0)</f>
        <v>0</v>
      </c>
      <c r="AZ14" s="255">
        <f t="shared" ref="AZ14:BB14" si="80">AT14-AW14</f>
        <v>25</v>
      </c>
      <c r="BA14" s="255">
        <f t="shared" si="80"/>
        <v>25</v>
      </c>
      <c r="BB14" s="255">
        <f t="shared" si="80"/>
        <v>0</v>
      </c>
      <c r="BC14" s="251"/>
      <c r="BD14" s="258">
        <f>IFERROR(__xludf.DUMMYFUNCTION("SUM(QUERY(Hospitais_BD!E:S,""select S where E='""&amp;A14&amp;""'"",1))"),25.0)</f>
        <v>25</v>
      </c>
      <c r="BE14" s="258">
        <f>IFERROR(__xludf.DUMMYFUNCTION("SUM(QUERY(Hospitais_BD!E:S,""select S where E='""&amp;A14&amp;""' and I = '""&amp;BE2&amp;""'"",1))"),25.0)</f>
        <v>25</v>
      </c>
      <c r="BF14" s="259">
        <f>IFERROR(__xludf.DUMMYFUNCTION("SUM(QUERY(Hospitais_BD!E:S,""select S where E='""&amp;A14&amp;""' and I = '""&amp;BF2&amp;""'"",1))"),0.0)</f>
        <v>0</v>
      </c>
      <c r="BG14" s="260">
        <f>IFERROR(__xludf.DUMMYFUNCTION("SUM(QUERY(Hospitais_BD!E:Y,""select Y where E='""&amp;A14&amp;""'"",1))"),12.0)</f>
        <v>12</v>
      </c>
      <c r="BH14" s="260">
        <f>IFERROR(__xludf.DUMMYFUNCTION("SUM(QUERY(Hospitais_BD!E:Y,""select Y where E='""&amp;A14&amp;""' and I = '""&amp;BH2&amp;""'"",1))"),12.0)</f>
        <v>12</v>
      </c>
      <c r="BI14" s="260">
        <f>IFERROR(__xludf.DUMMYFUNCTION("SUM(QUERY(Hospitais_BD!E:Y,""select Y where E='""&amp;A14&amp;""' and I = '""&amp;BI2&amp;""'"",1))"),0.0)</f>
        <v>0</v>
      </c>
      <c r="BJ14" s="255">
        <f t="shared" ref="BJ14:BL14" si="81">BD14-BG14</f>
        <v>13</v>
      </c>
      <c r="BK14" s="255">
        <f t="shared" si="81"/>
        <v>13</v>
      </c>
      <c r="BL14" s="255">
        <f t="shared" si="81"/>
        <v>0</v>
      </c>
    </row>
    <row r="15">
      <c r="A15" s="256" t="s">
        <v>63</v>
      </c>
      <c r="B15" s="264">
        <f>COUNTIF(Hospitais_BD!E:E,A15)</f>
        <v>42</v>
      </c>
      <c r="C15" s="257">
        <f>COUNTIFS(Hospitais_BD!E:E,A15,Hospitais_BD!I:I,C2)</f>
        <v>33</v>
      </c>
      <c r="D15" s="257">
        <f>COUNTIFS(Hospitais_BD!E:E,A15,Hospitais_BD!I:I,D2)</f>
        <v>9</v>
      </c>
      <c r="E15" s="241"/>
      <c r="F15" s="258">
        <f>IFERROR(__xludf.DUMMYFUNCTION("SUM(QUERY(Hospitais_BD!E:Q,""select N where E='""&amp;A15&amp;""'"",1))"),0.0)</f>
        <v>0</v>
      </c>
      <c r="G15" s="258">
        <f>IFERROR(__xludf.DUMMYFUNCTION("SUM(QUERY(Hospitais_BD!E:Q,""select N where E='""&amp;A15&amp;""' and I = '""&amp;G2&amp;""'"",1))"),0.0)</f>
        <v>0</v>
      </c>
      <c r="H15" s="259">
        <f>IFERROR(__xludf.DUMMYFUNCTION("SUM(QUERY(Hospitais_BD!E:Q,""select N where E='""&amp;A15&amp;""' and I= '""&amp;H2&amp;""'"",1))"),0.0)</f>
        <v>0</v>
      </c>
      <c r="I15" s="260">
        <f>IFERROR(__xludf.DUMMYFUNCTION("SUM(QUERY(Hospitais_BD!E:Y,""select T where E='""&amp;A15&amp;""'"",1))"),2490.0)</f>
        <v>2490</v>
      </c>
      <c r="J15" s="260">
        <f>IFERROR(__xludf.DUMMYFUNCTION("SUM(QUERY(Hospitais_BD!E:W,""select T where E='""&amp;A15&amp;""' and I= '""&amp;J2&amp;""'"",1))"),2490.0)</f>
        <v>2490</v>
      </c>
      <c r="K15" s="260">
        <f>IFERROR(__xludf.DUMMYFUNCTION("SUM(QUERY(Hospitais_BD!E:W,""select T where E='""&amp;A15&amp;""' and I= '""&amp;K2&amp;""'"",1))"),0.0)</f>
        <v>0</v>
      </c>
      <c r="L15" s="255">
        <f t="shared" ref="L15:N15" si="82">F15-I15</f>
        <v>-2490</v>
      </c>
      <c r="M15" s="255">
        <f t="shared" si="82"/>
        <v>-2490</v>
      </c>
      <c r="N15" s="255">
        <f t="shared" si="82"/>
        <v>0</v>
      </c>
      <c r="O15" s="251"/>
      <c r="P15" s="258">
        <f>IFERROR(__xludf.DUMMYFUNCTION("SUM(QUERY(Hospitais_BD!E:Q,""select O where E='""&amp;A15&amp;""'"",1))"),0.0)</f>
        <v>0</v>
      </c>
      <c r="Q15" s="258">
        <f>IFERROR(__xludf.DUMMYFUNCTION("SUM(QUERY(Hospitais_BD!E:Q,""select O where E='""&amp;A15&amp;""' and I = '""&amp;Q2&amp;""'"",1))"),0.0)</f>
        <v>0</v>
      </c>
      <c r="R15" s="259">
        <f>IFERROR(__xludf.DUMMYFUNCTION("SUM(QUERY(Hospitais_BD!E:Q,""select O where E='""&amp;A15&amp;""' and I = '""&amp;R2&amp;""'"",1))"),0.0)</f>
        <v>0</v>
      </c>
      <c r="S15" s="260">
        <f>IFERROR(__xludf.DUMMYFUNCTION("SUM(QUERY(Hospitais_BD!E:Y,""select U where E='""&amp;A15&amp;""'"",1))"),0.0)</f>
        <v>0</v>
      </c>
      <c r="T15" s="260">
        <f>IFERROR(__xludf.DUMMYFUNCTION("SUM(QUERY(Hospitais_BD!E:Y,""select U where E='""&amp;A15&amp;""' and I= '""&amp;T2&amp;""'"",1))"),0.0)</f>
        <v>0</v>
      </c>
      <c r="U15" s="260">
        <f>IFERROR(__xludf.DUMMYFUNCTION("SUM(QUERY(Hospitais_BD!E:Y,""select U where E='""&amp;A15&amp;""' and I= '""&amp;U2&amp;""'"",1))"),0.0)</f>
        <v>0</v>
      </c>
      <c r="V15" s="255">
        <f t="shared" ref="V15:X15" si="83">P15-S15</f>
        <v>0</v>
      </c>
      <c r="W15" s="255">
        <f t="shared" si="83"/>
        <v>0</v>
      </c>
      <c r="X15" s="255">
        <f t="shared" si="83"/>
        <v>0</v>
      </c>
      <c r="Y15" s="251"/>
      <c r="Z15" s="258">
        <f>IFERROR(__xludf.DUMMYFUNCTION("SUM(QUERY(Hospitais_BD!E:Q,""select P where E='""&amp;A15&amp;""'"",1))"),0.0)</f>
        <v>0</v>
      </c>
      <c r="AA15" s="258">
        <f>IFERROR(__xludf.DUMMYFUNCTION("SUM(QUERY(Hospitais_BD!E:Q,""select P where E='""&amp;A15&amp;""' and I = '""&amp;AA2&amp;""'"",1))"),0.0)</f>
        <v>0</v>
      </c>
      <c r="AB15" s="259">
        <f>IFERROR(__xludf.DUMMYFUNCTION("SUM(QUERY(Hospitais_BD!E:Q,""select P where E='""&amp;A15&amp;""' and I = '""&amp;AB2&amp;""'"",1))"),0.0)</f>
        <v>0</v>
      </c>
      <c r="AC15" s="260">
        <f>IFERROR(__xludf.DUMMYFUNCTION("SUM(QUERY(Hospitais_BD!E:Y,""select V where E='""&amp;A15&amp;""'"",1))"),0.0)</f>
        <v>0</v>
      </c>
      <c r="AD15" s="260">
        <f>IFERROR(__xludf.DUMMYFUNCTION("SUM(QUERY(Hospitais_BD!E:Y,""select V where E='""&amp;A15&amp;""' and I= '""&amp;AD2&amp;""'"",1))"),0.0)</f>
        <v>0</v>
      </c>
      <c r="AE15" s="260">
        <f>IFERROR(__xludf.DUMMYFUNCTION("SUM(QUERY(Hospitais_BD!E:Y,""select V where E='""&amp;A15&amp;""' and I= '""&amp;AE2&amp;""'"",1))"),0.0)</f>
        <v>0</v>
      </c>
      <c r="AF15" s="255">
        <f t="shared" ref="AF15:AH15" si="84">Z15-AC15</f>
        <v>0</v>
      </c>
      <c r="AG15" s="255">
        <f t="shared" si="84"/>
        <v>0</v>
      </c>
      <c r="AH15" s="255">
        <f t="shared" si="84"/>
        <v>0</v>
      </c>
      <c r="AI15" s="251"/>
      <c r="AJ15" s="258">
        <f>IFERROR(__xludf.DUMMYFUNCTION("SUM(QUERY(Hospitais_BD!E:Q,""select Q where E='""&amp;A15&amp;""'"",1))"),0.0)</f>
        <v>0</v>
      </c>
      <c r="AK15" s="258">
        <f>IFERROR(__xludf.DUMMYFUNCTION("SUM(QUERY(Hospitais_BD!E:Q,""select Q where E='""&amp;A15&amp;""' and I = '""&amp;AK2&amp;""'"",1))"),0.0)</f>
        <v>0</v>
      </c>
      <c r="AL15" s="259">
        <f>IFERROR(__xludf.DUMMYFUNCTION("SUM(QUERY(Hospitais_BD!E:Q,""select Q where E='""&amp;A15&amp;""' and I = '""&amp;AL2&amp;""'"",1))"),0.0)</f>
        <v>0</v>
      </c>
      <c r="AM15" s="260">
        <f>IFERROR(__xludf.DUMMYFUNCTION("SUM(QUERY(Hospitais_BD!E:Y,""select W where E='""&amp;A15&amp;""'"",1))"),150.0)</f>
        <v>150</v>
      </c>
      <c r="AN15" s="260">
        <f>IFERROR(__xludf.DUMMYFUNCTION("SUM(QUERY(Hospitais_BD!E:Y,""select W where E='""&amp;A15&amp;""' and I= '""&amp;AN2&amp;""'"",1))"),150.0)</f>
        <v>150</v>
      </c>
      <c r="AO15" s="260">
        <f>IFERROR(__xludf.DUMMYFUNCTION("SUM(QUERY(Hospitais_BD!E:Y,""select W where E='""&amp;A15&amp;""' and I= '""&amp;AO2&amp;""'"",1))"),0.0)</f>
        <v>0</v>
      </c>
      <c r="AP15" s="255">
        <f t="shared" ref="AP15:AR15" si="85">AJ15-AM15</f>
        <v>-150</v>
      </c>
      <c r="AQ15" s="255">
        <f t="shared" si="85"/>
        <v>-150</v>
      </c>
      <c r="AR15" s="255">
        <f t="shared" si="85"/>
        <v>0</v>
      </c>
      <c r="AS15" s="251"/>
      <c r="AT15" s="258">
        <f>IFERROR(__xludf.DUMMYFUNCTION("SUM(QUERY(Hospitais_BD!E:R,""select R where E='""&amp;A15&amp;""'"",1))"),0.0)</f>
        <v>0</v>
      </c>
      <c r="AU15" s="258">
        <f>IFERROR(__xludf.DUMMYFUNCTION("SUM(QUERY(Hospitais_BD!E:R,""select R where E='""&amp;A15&amp;""' and I = '""&amp;AU2&amp;""'"",1))"),0.0)</f>
        <v>0</v>
      </c>
      <c r="AV15" s="259">
        <f>IFERROR(__xludf.DUMMYFUNCTION("SUM(QUERY(Hospitais_BD!E:R,""select R where E='""&amp;A15&amp;""' and I = '""&amp;AV2&amp;""'"",1))"),0.0)</f>
        <v>0</v>
      </c>
      <c r="AW15" s="260">
        <f>IFERROR(__xludf.DUMMYFUNCTION("SUM(QUERY(Hospitais_BD!E:Y,""select X where E='""&amp;A15&amp;""'"",1))"),50.0)</f>
        <v>50</v>
      </c>
      <c r="AX15" s="260">
        <f>IFERROR(__xludf.DUMMYFUNCTION("SUM(QUERY(Hospitais_BD!E:Y,""select X where E='""&amp;A15&amp;""' and I = '""&amp;AX2&amp;""'"",1))"),50.0)</f>
        <v>50</v>
      </c>
      <c r="AY15" s="260">
        <f>IFERROR(__xludf.DUMMYFUNCTION("SUM(QUERY(Hospitais_BD!E:Y,""select X where E='""&amp;A15&amp;""' and I = '""&amp;AY2&amp;""'"",1))"),0.0)</f>
        <v>0</v>
      </c>
      <c r="AZ15" s="255">
        <f t="shared" ref="AZ15:BB15" si="86">AT15-AW15</f>
        <v>-50</v>
      </c>
      <c r="BA15" s="255">
        <f t="shared" si="86"/>
        <v>-50</v>
      </c>
      <c r="BB15" s="255">
        <f t="shared" si="86"/>
        <v>0</v>
      </c>
      <c r="BC15" s="251"/>
      <c r="BD15" s="258">
        <f>IFERROR(__xludf.DUMMYFUNCTION("SUM(QUERY(Hospitais_BD!E:S,""select S where E='""&amp;A15&amp;""'"",1))"),0.0)</f>
        <v>0</v>
      </c>
      <c r="BE15" s="258">
        <f>IFERROR(__xludf.DUMMYFUNCTION("SUM(QUERY(Hospitais_BD!E:S,""select S where E='""&amp;A15&amp;""' and I = '""&amp;BE2&amp;""'"",1))"),0.0)</f>
        <v>0</v>
      </c>
      <c r="BF15" s="259">
        <f>IFERROR(__xludf.DUMMYFUNCTION("SUM(QUERY(Hospitais_BD!E:S,""select S where E='""&amp;A15&amp;""' and I = '""&amp;BF2&amp;""'"",1))"),0.0)</f>
        <v>0</v>
      </c>
      <c r="BG15" s="260">
        <f>IFERROR(__xludf.DUMMYFUNCTION("SUM(QUERY(Hospitais_BD!E:Y,""select Y where E='""&amp;A15&amp;""'"",1))"),68.0)</f>
        <v>68</v>
      </c>
      <c r="BH15" s="260">
        <f>IFERROR(__xludf.DUMMYFUNCTION("SUM(QUERY(Hospitais_BD!E:Y,""select Y where E='""&amp;A15&amp;""' and I = '""&amp;BH2&amp;""'"",1))"),68.0)</f>
        <v>68</v>
      </c>
      <c r="BI15" s="260">
        <f>IFERROR(__xludf.DUMMYFUNCTION("SUM(QUERY(Hospitais_BD!E:Y,""select Y where E='""&amp;A15&amp;""' and I = '""&amp;BI2&amp;""'"",1))"),0.0)</f>
        <v>0</v>
      </c>
      <c r="BJ15" s="255">
        <f t="shared" ref="BJ15:BL15" si="87">BD15-BG15</f>
        <v>-68</v>
      </c>
      <c r="BK15" s="255">
        <f t="shared" si="87"/>
        <v>-68</v>
      </c>
      <c r="BL15" s="255">
        <f t="shared" si="87"/>
        <v>0</v>
      </c>
    </row>
    <row r="16">
      <c r="A16" s="256" t="s">
        <v>324</v>
      </c>
      <c r="B16" s="264">
        <f>COUNTIF(Hospitais_BD!E:E,A16)</f>
        <v>9</v>
      </c>
      <c r="C16" s="257">
        <f>COUNTIFS(Hospitais_BD!E:E,A16,Hospitais_BD!I:I,C2)</f>
        <v>8</v>
      </c>
      <c r="D16" s="257">
        <f>COUNTIFS(Hospitais_BD!E:E,A16,Hospitais_BD!I:I,D2)</f>
        <v>1</v>
      </c>
      <c r="E16" s="241"/>
      <c r="F16" s="258">
        <f>IFERROR(__xludf.DUMMYFUNCTION("SUM(QUERY(Hospitais_BD!E:Q,""select N where E='""&amp;A16&amp;""'"",1))"),0.0)</f>
        <v>0</v>
      </c>
      <c r="G16" s="258">
        <f>IFERROR(__xludf.DUMMYFUNCTION("SUM(QUERY(Hospitais_BD!E:Q,""select N where E='""&amp;A16&amp;""' and I = '""&amp;G2&amp;""'"",1))"),0.0)</f>
        <v>0</v>
      </c>
      <c r="H16" s="259">
        <f>IFERROR(__xludf.DUMMYFUNCTION("SUM(QUERY(Hospitais_BD!E:Q,""select N where E='""&amp;A16&amp;""' and I= '""&amp;H2&amp;""'"",1))"),0.0)</f>
        <v>0</v>
      </c>
      <c r="I16" s="260">
        <f>IFERROR(__xludf.DUMMYFUNCTION("SUM(QUERY(Hospitais_BD!E:Y,""select T where E='""&amp;A16&amp;""'"",1))"),555.0)</f>
        <v>555</v>
      </c>
      <c r="J16" s="260">
        <f>IFERROR(__xludf.DUMMYFUNCTION("SUM(QUERY(Hospitais_BD!E:W,""select T where E='""&amp;A16&amp;""' and I= '""&amp;J2&amp;""'"",1))"),555.0)</f>
        <v>555</v>
      </c>
      <c r="K16" s="260">
        <f>IFERROR(__xludf.DUMMYFUNCTION("SUM(QUERY(Hospitais_BD!E:W,""select T where E='""&amp;A16&amp;""' and I= '""&amp;K2&amp;""'"",1))"),0.0)</f>
        <v>0</v>
      </c>
      <c r="L16" s="255">
        <f t="shared" ref="L16:N16" si="88">F16-I16</f>
        <v>-555</v>
      </c>
      <c r="M16" s="255">
        <f t="shared" si="88"/>
        <v>-555</v>
      </c>
      <c r="N16" s="255">
        <f t="shared" si="88"/>
        <v>0</v>
      </c>
      <c r="O16" s="251"/>
      <c r="P16" s="258">
        <f>IFERROR(__xludf.DUMMYFUNCTION("SUM(QUERY(Hospitais_BD!E:Q,""select O where E='""&amp;A16&amp;""'"",1))"),0.0)</f>
        <v>0</v>
      </c>
      <c r="Q16" s="258">
        <f>IFERROR(__xludf.DUMMYFUNCTION("SUM(QUERY(Hospitais_BD!E:Q,""select O where E='""&amp;A16&amp;""' and I = '""&amp;Q2&amp;""'"",1))"),0.0)</f>
        <v>0</v>
      </c>
      <c r="R16" s="259">
        <f>IFERROR(__xludf.DUMMYFUNCTION("SUM(QUERY(Hospitais_BD!E:Q,""select O where E='""&amp;A16&amp;""' and I = '""&amp;R2&amp;""'"",1))"),0.0)</f>
        <v>0</v>
      </c>
      <c r="S16" s="260">
        <f>IFERROR(__xludf.DUMMYFUNCTION("SUM(QUERY(Hospitais_BD!E:Y,""select U where E='""&amp;A16&amp;""'"",1))"),0.0)</f>
        <v>0</v>
      </c>
      <c r="T16" s="260">
        <f>IFERROR(__xludf.DUMMYFUNCTION("SUM(QUERY(Hospitais_BD!E:Y,""select U where E='""&amp;A16&amp;""' and I= '""&amp;T2&amp;""'"",1))"),0.0)</f>
        <v>0</v>
      </c>
      <c r="U16" s="260">
        <f>IFERROR(__xludf.DUMMYFUNCTION("SUM(QUERY(Hospitais_BD!E:Y,""select U where E='""&amp;A16&amp;""' and I= '""&amp;U2&amp;""'"",1))"),0.0)</f>
        <v>0</v>
      </c>
      <c r="V16" s="255">
        <f t="shared" ref="V16:X16" si="89">P16-S16</f>
        <v>0</v>
      </c>
      <c r="W16" s="255">
        <f t="shared" si="89"/>
        <v>0</v>
      </c>
      <c r="X16" s="255">
        <f t="shared" si="89"/>
        <v>0</v>
      </c>
      <c r="Y16" s="251"/>
      <c r="Z16" s="258">
        <f>IFERROR(__xludf.DUMMYFUNCTION("SUM(QUERY(Hospitais_BD!E:Q,""select P where E='""&amp;A16&amp;""'"",1))"),0.0)</f>
        <v>0</v>
      </c>
      <c r="AA16" s="258">
        <f>IFERROR(__xludf.DUMMYFUNCTION("SUM(QUERY(Hospitais_BD!E:Q,""select P where E='""&amp;A16&amp;""' and I = '""&amp;AA2&amp;""'"",1))"),0.0)</f>
        <v>0</v>
      </c>
      <c r="AB16" s="259">
        <f>IFERROR(__xludf.DUMMYFUNCTION("SUM(QUERY(Hospitais_BD!E:Q,""select P where E='""&amp;A16&amp;""' and I = '""&amp;AB2&amp;""'"",1))"),0.0)</f>
        <v>0</v>
      </c>
      <c r="AC16" s="260">
        <f>IFERROR(__xludf.DUMMYFUNCTION("SUM(QUERY(Hospitais_BD!E:Y,""select V where E='""&amp;A16&amp;""'"",1))"),0.0)</f>
        <v>0</v>
      </c>
      <c r="AD16" s="260">
        <f>IFERROR(__xludf.DUMMYFUNCTION("SUM(QUERY(Hospitais_BD!E:Y,""select V where E='""&amp;A16&amp;""' and I= '""&amp;AD2&amp;""'"",1))"),0.0)</f>
        <v>0</v>
      </c>
      <c r="AE16" s="260">
        <f>IFERROR(__xludf.DUMMYFUNCTION("SUM(QUERY(Hospitais_BD!E:Y,""select V where E='""&amp;A16&amp;""' and I= '""&amp;AE2&amp;""'"",1))"),0.0)</f>
        <v>0</v>
      </c>
      <c r="AF16" s="255">
        <f t="shared" ref="AF16:AH16" si="90">Z16-AC16</f>
        <v>0</v>
      </c>
      <c r="AG16" s="255">
        <f t="shared" si="90"/>
        <v>0</v>
      </c>
      <c r="AH16" s="255">
        <f t="shared" si="90"/>
        <v>0</v>
      </c>
      <c r="AI16" s="251"/>
      <c r="AJ16" s="258">
        <f>IFERROR(__xludf.DUMMYFUNCTION("SUM(QUERY(Hospitais_BD!E:Q,""select Q where E='""&amp;A16&amp;""'"",1))"),0.0)</f>
        <v>0</v>
      </c>
      <c r="AK16" s="258">
        <f>IFERROR(__xludf.DUMMYFUNCTION("SUM(QUERY(Hospitais_BD!E:Q,""select Q where E='""&amp;A16&amp;""' and I = '""&amp;AK2&amp;""'"",1))"),0.0)</f>
        <v>0</v>
      </c>
      <c r="AL16" s="259">
        <f>IFERROR(__xludf.DUMMYFUNCTION("SUM(QUERY(Hospitais_BD!E:Q,""select Q where E='""&amp;A16&amp;""' and I = '""&amp;AL2&amp;""'"",1))"),0.0)</f>
        <v>0</v>
      </c>
      <c r="AM16" s="260">
        <f>IFERROR(__xludf.DUMMYFUNCTION("SUM(QUERY(Hospitais_BD!E:Y,""select W where E='""&amp;A16&amp;""'"",1))"),0.0)</f>
        <v>0</v>
      </c>
      <c r="AN16" s="260">
        <f>IFERROR(__xludf.DUMMYFUNCTION("SUM(QUERY(Hospitais_BD!E:Y,""select W where E='""&amp;A16&amp;""' and I= '""&amp;AN2&amp;""'"",1))"),0.0)</f>
        <v>0</v>
      </c>
      <c r="AO16" s="260">
        <f>IFERROR(__xludf.DUMMYFUNCTION("SUM(QUERY(Hospitais_BD!E:Y,""select W where E='""&amp;A16&amp;""' and I= '""&amp;AO2&amp;""'"",1))"),0.0)</f>
        <v>0</v>
      </c>
      <c r="AP16" s="255">
        <f t="shared" ref="AP16:AR16" si="91">AJ16-AM16</f>
        <v>0</v>
      </c>
      <c r="AQ16" s="255">
        <f t="shared" si="91"/>
        <v>0</v>
      </c>
      <c r="AR16" s="255">
        <f t="shared" si="91"/>
        <v>0</v>
      </c>
      <c r="AS16" s="251"/>
      <c r="AT16" s="258">
        <f>IFERROR(__xludf.DUMMYFUNCTION("SUM(QUERY(Hospitais_BD!E:R,""select R where E='""&amp;A16&amp;""'"",1))"),2400.0)</f>
        <v>2400</v>
      </c>
      <c r="AU16" s="258">
        <f>IFERROR(__xludf.DUMMYFUNCTION("SUM(QUERY(Hospitais_BD!E:R,""select R where E='""&amp;A16&amp;""' and I = '""&amp;AU2&amp;""'"",1))"),2400.0)</f>
        <v>2400</v>
      </c>
      <c r="AV16" s="259">
        <f>IFERROR(__xludf.DUMMYFUNCTION("SUM(QUERY(Hospitais_BD!E:R,""select R where E='""&amp;A16&amp;""' and I = '""&amp;AV2&amp;""'"",1))"),0.0)</f>
        <v>0</v>
      </c>
      <c r="AW16" s="260">
        <f>IFERROR(__xludf.DUMMYFUNCTION("SUM(QUERY(Hospitais_BD!E:Y,""select X where E='""&amp;A16&amp;""'"",1))"),0.0)</f>
        <v>0</v>
      </c>
      <c r="AX16" s="260">
        <f>IFERROR(__xludf.DUMMYFUNCTION("SUM(QUERY(Hospitais_BD!E:Y,""select X where E='""&amp;A16&amp;""' and I = '""&amp;AX2&amp;""'"",1))"),0.0)</f>
        <v>0</v>
      </c>
      <c r="AY16" s="260">
        <f>IFERROR(__xludf.DUMMYFUNCTION("SUM(QUERY(Hospitais_BD!E:Y,""select X where E='""&amp;A16&amp;""' and I = '""&amp;AY2&amp;""'"",1))"),0.0)</f>
        <v>0</v>
      </c>
      <c r="AZ16" s="255">
        <f t="shared" ref="AZ16:BB16" si="92">AT16-AW16</f>
        <v>2400</v>
      </c>
      <c r="BA16" s="255">
        <f t="shared" si="92"/>
        <v>2400</v>
      </c>
      <c r="BB16" s="255">
        <f t="shared" si="92"/>
        <v>0</v>
      </c>
      <c r="BC16" s="251"/>
      <c r="BD16" s="258">
        <f>IFERROR(__xludf.DUMMYFUNCTION("SUM(QUERY(Hospitais_BD!E:S,""select S where E='""&amp;A16&amp;""'"",1))"),2400.0)</f>
        <v>2400</v>
      </c>
      <c r="BE16" s="258">
        <f>IFERROR(__xludf.DUMMYFUNCTION("SUM(QUERY(Hospitais_BD!E:S,""select S where E='""&amp;A16&amp;""' and I = '""&amp;BE2&amp;""'"",1))"),2400.0)</f>
        <v>2400</v>
      </c>
      <c r="BF16" s="259">
        <f>IFERROR(__xludf.DUMMYFUNCTION("SUM(QUERY(Hospitais_BD!E:S,""select S where E='""&amp;A16&amp;""' and I = '""&amp;BF2&amp;""'"",1))"),0.0)</f>
        <v>0</v>
      </c>
      <c r="BG16" s="260">
        <f>IFERROR(__xludf.DUMMYFUNCTION("SUM(QUERY(Hospitais_BD!E:Y,""select Y where E='""&amp;A16&amp;""'"",1))"),50.0)</f>
        <v>50</v>
      </c>
      <c r="BH16" s="260">
        <f>IFERROR(__xludf.DUMMYFUNCTION("SUM(QUERY(Hospitais_BD!E:Y,""select Y where E='""&amp;A16&amp;""' and I = '""&amp;BH2&amp;""'"",1))"),50.0)</f>
        <v>50</v>
      </c>
      <c r="BI16" s="260">
        <f>IFERROR(__xludf.DUMMYFUNCTION("SUM(QUERY(Hospitais_BD!E:Y,""select Y where E='""&amp;A16&amp;""' and I = '""&amp;BI2&amp;""'"",1))"),0.0)</f>
        <v>0</v>
      </c>
      <c r="BJ16" s="255">
        <f t="shared" ref="BJ16:BL16" si="93">BD16-BG16</f>
        <v>2350</v>
      </c>
      <c r="BK16" s="255">
        <f t="shared" si="93"/>
        <v>2350</v>
      </c>
      <c r="BL16" s="255">
        <f t="shared" si="93"/>
        <v>0</v>
      </c>
    </row>
    <row r="17">
      <c r="A17" s="256" t="s">
        <v>38</v>
      </c>
      <c r="B17" s="264">
        <f>COUNTIF(Hospitais_BD!E:E,A17)</f>
        <v>13</v>
      </c>
      <c r="C17" s="257">
        <f>COUNTIFS(Hospitais_BD!E:E,A17,Hospitais_BD!I:I,C2)</f>
        <v>10</v>
      </c>
      <c r="D17" s="257">
        <f>COUNTIFS(Hospitais_BD!E:E,A17,Hospitais_BD!I:I,D2)</f>
        <v>3</v>
      </c>
      <c r="E17" s="241"/>
      <c r="F17" s="258">
        <f>IFERROR(__xludf.DUMMYFUNCTION("SUM(QUERY(Hospitais_BD!E:Q,""select N where E='""&amp;A17&amp;""'"",1))"),0.0)</f>
        <v>0</v>
      </c>
      <c r="G17" s="258">
        <f>IFERROR(__xludf.DUMMYFUNCTION("SUM(QUERY(Hospitais_BD!E:Q,""select N where E='""&amp;A17&amp;""' and I = '""&amp;G2&amp;""'"",1))"),0.0)</f>
        <v>0</v>
      </c>
      <c r="H17" s="259">
        <f>IFERROR(__xludf.DUMMYFUNCTION("SUM(QUERY(Hospitais_BD!E:Q,""select N where E='""&amp;A17&amp;""' and I= '""&amp;H2&amp;""'"",1))"),0.0)</f>
        <v>0</v>
      </c>
      <c r="I17" s="260">
        <f>IFERROR(__xludf.DUMMYFUNCTION("SUM(QUERY(Hospitais_BD!E:Y,""select T where E='""&amp;A17&amp;""'"",1))"),500.0)</f>
        <v>500</v>
      </c>
      <c r="J17" s="260">
        <f>IFERROR(__xludf.DUMMYFUNCTION("SUM(QUERY(Hospitais_BD!E:W,""select T where E='""&amp;A17&amp;""' and I= '""&amp;J2&amp;""'"",1))"),500.0)</f>
        <v>500</v>
      </c>
      <c r="K17" s="260">
        <f>IFERROR(__xludf.DUMMYFUNCTION("SUM(QUERY(Hospitais_BD!E:W,""select T where E='""&amp;A17&amp;""' and I= '""&amp;K2&amp;""'"",1))"),0.0)</f>
        <v>0</v>
      </c>
      <c r="L17" s="255">
        <f t="shared" ref="L17:N17" si="94">F17-I17</f>
        <v>-500</v>
      </c>
      <c r="M17" s="255">
        <f t="shared" si="94"/>
        <v>-500</v>
      </c>
      <c r="N17" s="255">
        <f t="shared" si="94"/>
        <v>0</v>
      </c>
      <c r="O17" s="251"/>
      <c r="P17" s="258">
        <f>IFERROR(__xludf.DUMMYFUNCTION("SUM(QUERY(Hospitais_BD!E:Q,""select O where E='""&amp;A17&amp;""'"",1))"),0.0)</f>
        <v>0</v>
      </c>
      <c r="Q17" s="258">
        <f>IFERROR(__xludf.DUMMYFUNCTION("SUM(QUERY(Hospitais_BD!E:Q,""select O where E='""&amp;A17&amp;""' and I = '""&amp;Q2&amp;""'"",1))"),0.0)</f>
        <v>0</v>
      </c>
      <c r="R17" s="259">
        <f>IFERROR(__xludf.DUMMYFUNCTION("SUM(QUERY(Hospitais_BD!E:Q,""select O where E='""&amp;A17&amp;""' and I = '""&amp;R2&amp;""'"",1))"),0.0)</f>
        <v>0</v>
      </c>
      <c r="S17" s="260">
        <f>IFERROR(__xludf.DUMMYFUNCTION("SUM(QUERY(Hospitais_BD!E:Y,""select U where E='""&amp;A17&amp;""'"",1))"),0.0)</f>
        <v>0</v>
      </c>
      <c r="T17" s="260">
        <f>IFERROR(__xludf.DUMMYFUNCTION("SUM(QUERY(Hospitais_BD!E:Y,""select U where E='""&amp;A17&amp;""' and I= '""&amp;T2&amp;""'"",1))"),0.0)</f>
        <v>0</v>
      </c>
      <c r="U17" s="260">
        <f>IFERROR(__xludf.DUMMYFUNCTION("SUM(QUERY(Hospitais_BD!E:Y,""select U where E='""&amp;A17&amp;""' and I= '""&amp;U2&amp;""'"",1))"),0.0)</f>
        <v>0</v>
      </c>
      <c r="V17" s="255">
        <f t="shared" ref="V17:X17" si="95">P17-S17</f>
        <v>0</v>
      </c>
      <c r="W17" s="255">
        <f t="shared" si="95"/>
        <v>0</v>
      </c>
      <c r="X17" s="255">
        <f t="shared" si="95"/>
        <v>0</v>
      </c>
      <c r="Y17" s="251"/>
      <c r="Z17" s="258">
        <f>IFERROR(__xludf.DUMMYFUNCTION("SUM(QUERY(Hospitais_BD!E:Q,""select P where E='""&amp;A17&amp;""'"",1))"),0.0)</f>
        <v>0</v>
      </c>
      <c r="AA17" s="258">
        <f>IFERROR(__xludf.DUMMYFUNCTION("SUM(QUERY(Hospitais_BD!E:Q,""select P where E='""&amp;A17&amp;""' and I = '""&amp;AA2&amp;""'"",1))"),0.0)</f>
        <v>0</v>
      </c>
      <c r="AB17" s="259">
        <f>IFERROR(__xludf.DUMMYFUNCTION("SUM(QUERY(Hospitais_BD!E:Q,""select P where E='""&amp;A17&amp;""' and I = '""&amp;AB2&amp;""'"",1))"),0.0)</f>
        <v>0</v>
      </c>
      <c r="AC17" s="260">
        <f>IFERROR(__xludf.DUMMYFUNCTION("SUM(QUERY(Hospitais_BD!E:Y,""select V where E='""&amp;A17&amp;""'"",1))"),0.0)</f>
        <v>0</v>
      </c>
      <c r="AD17" s="260">
        <f>IFERROR(__xludf.DUMMYFUNCTION("SUM(QUERY(Hospitais_BD!E:Y,""select V where E='""&amp;A17&amp;""' and I= '""&amp;AD2&amp;""'"",1))"),0.0)</f>
        <v>0</v>
      </c>
      <c r="AE17" s="260">
        <f>IFERROR(__xludf.DUMMYFUNCTION("SUM(QUERY(Hospitais_BD!E:Y,""select V where E='""&amp;A17&amp;""' and I= '""&amp;AE2&amp;""'"",1))"),0.0)</f>
        <v>0</v>
      </c>
      <c r="AF17" s="255">
        <f t="shared" ref="AF17:AH17" si="96">Z17-AC17</f>
        <v>0</v>
      </c>
      <c r="AG17" s="255">
        <f t="shared" si="96"/>
        <v>0</v>
      </c>
      <c r="AH17" s="255">
        <f t="shared" si="96"/>
        <v>0</v>
      </c>
      <c r="AI17" s="251"/>
      <c r="AJ17" s="258">
        <f>IFERROR(__xludf.DUMMYFUNCTION("SUM(QUERY(Hospitais_BD!E:Q,""select Q where E='""&amp;A17&amp;""'"",1))"),0.0)</f>
        <v>0</v>
      </c>
      <c r="AK17" s="258">
        <f>IFERROR(__xludf.DUMMYFUNCTION("SUM(QUERY(Hospitais_BD!E:Q,""select Q where E='""&amp;A17&amp;""' and I = '""&amp;AK2&amp;""'"",1))"),0.0)</f>
        <v>0</v>
      </c>
      <c r="AL17" s="259">
        <f>IFERROR(__xludf.DUMMYFUNCTION("SUM(QUERY(Hospitais_BD!E:Q,""select Q where E='""&amp;A17&amp;""' and I = '""&amp;AL2&amp;""'"",1))"),0.0)</f>
        <v>0</v>
      </c>
      <c r="AM17" s="260">
        <f>IFERROR(__xludf.DUMMYFUNCTION("SUM(QUERY(Hospitais_BD!E:Y,""select W where E='""&amp;A17&amp;""'"",1))"),0.0)</f>
        <v>0</v>
      </c>
      <c r="AN17" s="260">
        <f>IFERROR(__xludf.DUMMYFUNCTION("SUM(QUERY(Hospitais_BD!E:Y,""select W where E='""&amp;A17&amp;""' and I= '""&amp;AN2&amp;""'"",1))"),0.0)</f>
        <v>0</v>
      </c>
      <c r="AO17" s="260">
        <f>IFERROR(__xludf.DUMMYFUNCTION("SUM(QUERY(Hospitais_BD!E:Y,""select W where E='""&amp;A17&amp;""' and I= '""&amp;AO2&amp;""'"",1))"),0.0)</f>
        <v>0</v>
      </c>
      <c r="AP17" s="255">
        <f t="shared" ref="AP17:AR17" si="97">AJ17-AM17</f>
        <v>0</v>
      </c>
      <c r="AQ17" s="255">
        <f t="shared" si="97"/>
        <v>0</v>
      </c>
      <c r="AR17" s="255">
        <f t="shared" si="97"/>
        <v>0</v>
      </c>
      <c r="AS17" s="251"/>
      <c r="AT17" s="258">
        <f>IFERROR(__xludf.DUMMYFUNCTION("SUM(QUERY(Hospitais_BD!E:R,""select R where E='""&amp;A17&amp;""'"",1))"),0.0)</f>
        <v>0</v>
      </c>
      <c r="AU17" s="258">
        <f>IFERROR(__xludf.DUMMYFUNCTION("SUM(QUERY(Hospitais_BD!E:R,""select R where E='""&amp;A17&amp;""' and I = '""&amp;AU2&amp;""'"",1))"),0.0)</f>
        <v>0</v>
      </c>
      <c r="AV17" s="259">
        <f>IFERROR(__xludf.DUMMYFUNCTION("SUM(QUERY(Hospitais_BD!E:R,""select R where E='""&amp;A17&amp;""' and I = '""&amp;AV2&amp;""'"",1))"),0.0)</f>
        <v>0</v>
      </c>
      <c r="AW17" s="260">
        <f>IFERROR(__xludf.DUMMYFUNCTION("SUM(QUERY(Hospitais_BD!E:Y,""select X where E='""&amp;A17&amp;""'"",1))"),0.0)</f>
        <v>0</v>
      </c>
      <c r="AX17" s="260">
        <f>IFERROR(__xludf.DUMMYFUNCTION("SUM(QUERY(Hospitais_BD!E:Y,""select X where E='""&amp;A17&amp;""' and I = '""&amp;AX2&amp;""'"",1))"),0.0)</f>
        <v>0</v>
      </c>
      <c r="AY17" s="260">
        <f>IFERROR(__xludf.DUMMYFUNCTION("SUM(QUERY(Hospitais_BD!E:Y,""select X where E='""&amp;A17&amp;""' and I = '""&amp;AY2&amp;""'"",1))"),0.0)</f>
        <v>0</v>
      </c>
      <c r="AZ17" s="255">
        <f t="shared" ref="AZ17:BB17" si="98">AT17-AW17</f>
        <v>0</v>
      </c>
      <c r="BA17" s="255">
        <f t="shared" si="98"/>
        <v>0</v>
      </c>
      <c r="BB17" s="255">
        <f t="shared" si="98"/>
        <v>0</v>
      </c>
      <c r="BC17" s="251"/>
      <c r="BD17" s="258">
        <f>IFERROR(__xludf.DUMMYFUNCTION("SUM(QUERY(Hospitais_BD!E:S,""select S where E='""&amp;A17&amp;""'"",1))"),0.0)</f>
        <v>0</v>
      </c>
      <c r="BE17" s="258">
        <f>IFERROR(__xludf.DUMMYFUNCTION("SUM(QUERY(Hospitais_BD!E:S,""select S where E='""&amp;A17&amp;""' and I = '""&amp;BE2&amp;""'"",1))"),0.0)</f>
        <v>0</v>
      </c>
      <c r="BF17" s="259">
        <f>IFERROR(__xludf.DUMMYFUNCTION("SUM(QUERY(Hospitais_BD!E:S,""select S where E='""&amp;A17&amp;""' and I = '""&amp;BF2&amp;""'"",1))"),0.0)</f>
        <v>0</v>
      </c>
      <c r="BG17" s="260">
        <f>IFERROR(__xludf.DUMMYFUNCTION("SUM(QUERY(Hospitais_BD!E:Y,""select Y where E='""&amp;A17&amp;""'"",1))"),0.0)</f>
        <v>0</v>
      </c>
      <c r="BH17" s="260">
        <f>IFERROR(__xludf.DUMMYFUNCTION("SUM(QUERY(Hospitais_BD!E:Y,""select Y where E='""&amp;A17&amp;""' and I = '""&amp;BH2&amp;""'"",1))"),0.0)</f>
        <v>0</v>
      </c>
      <c r="BI17" s="260">
        <f>IFERROR(__xludf.DUMMYFUNCTION("SUM(QUERY(Hospitais_BD!E:Y,""select Y where E='""&amp;A17&amp;""' and I = '""&amp;BI2&amp;""'"",1))"),0.0)</f>
        <v>0</v>
      </c>
      <c r="BJ17" s="255">
        <f t="shared" ref="BJ17:BL17" si="99">BD17-BG17</f>
        <v>0</v>
      </c>
      <c r="BK17" s="255">
        <f t="shared" si="99"/>
        <v>0</v>
      </c>
      <c r="BL17" s="255">
        <f t="shared" si="99"/>
        <v>0</v>
      </c>
    </row>
    <row r="18">
      <c r="A18" s="256" t="s">
        <v>235</v>
      </c>
      <c r="B18" s="264">
        <f>COUNTIF(Hospitais_BD!E:E,A18)</f>
        <v>2</v>
      </c>
      <c r="C18" s="257">
        <f>COUNTIFS(Hospitais_BD!E:E,A18,Hospitais_BD!I:I,C2)</f>
        <v>1</v>
      </c>
      <c r="D18" s="257">
        <f>COUNTIFS(Hospitais_BD!E:E,A18,Hospitais_BD!I:I,D2)</f>
        <v>1</v>
      </c>
      <c r="E18" s="241"/>
      <c r="F18" s="258">
        <f>IFERROR(__xludf.DUMMYFUNCTION("SUM(QUERY(Hospitais_BD!E:Q,""select N where E='""&amp;A18&amp;""'"",1))"),0.0)</f>
        <v>0</v>
      </c>
      <c r="G18" s="258">
        <f>IFERROR(__xludf.DUMMYFUNCTION("SUM(QUERY(Hospitais_BD!E:Q,""select N where E='""&amp;A18&amp;""' and I = '""&amp;G2&amp;""'"",1))"),0.0)</f>
        <v>0</v>
      </c>
      <c r="H18" s="259">
        <f>IFERROR(__xludf.DUMMYFUNCTION("SUM(QUERY(Hospitais_BD!E:Q,""select N where E='""&amp;A18&amp;""' and I= '""&amp;H2&amp;""'"",1))"),0.0)</f>
        <v>0</v>
      </c>
      <c r="I18" s="260">
        <f>IFERROR(__xludf.DUMMYFUNCTION("SUM(QUERY(Hospitais_BD!E:Y,""select T where E='""&amp;A18&amp;""'"",1))"),200.0)</f>
        <v>200</v>
      </c>
      <c r="J18" s="260">
        <f>IFERROR(__xludf.DUMMYFUNCTION("SUM(QUERY(Hospitais_BD!E:W,""select T where E='""&amp;A18&amp;""' and I= '""&amp;J2&amp;""'"",1))"),100.0)</f>
        <v>100</v>
      </c>
      <c r="K18" s="260">
        <f>IFERROR(__xludf.DUMMYFUNCTION("SUM(QUERY(Hospitais_BD!E:W,""select T where E='""&amp;A18&amp;""' and I= '""&amp;K2&amp;""'"",1))"),100.0)</f>
        <v>100</v>
      </c>
      <c r="L18" s="255">
        <f t="shared" ref="L18:N18" si="100">F18-I18</f>
        <v>-200</v>
      </c>
      <c r="M18" s="255">
        <f t="shared" si="100"/>
        <v>-100</v>
      </c>
      <c r="N18" s="255">
        <f t="shared" si="100"/>
        <v>-100</v>
      </c>
      <c r="O18" s="251"/>
      <c r="P18" s="258">
        <f>IFERROR(__xludf.DUMMYFUNCTION("SUM(QUERY(Hospitais_BD!E:Q,""select O where E='""&amp;A18&amp;""'"",1))"),0.0)</f>
        <v>0</v>
      </c>
      <c r="Q18" s="258">
        <f>IFERROR(__xludf.DUMMYFUNCTION("SUM(QUERY(Hospitais_BD!E:Q,""select O where E='""&amp;A18&amp;""' and I = '""&amp;Q2&amp;""'"",1))"),0.0)</f>
        <v>0</v>
      </c>
      <c r="R18" s="259">
        <f>IFERROR(__xludf.DUMMYFUNCTION("SUM(QUERY(Hospitais_BD!E:Q,""select O where E='""&amp;A18&amp;""' and I = '""&amp;R2&amp;""'"",1))"),0.0)</f>
        <v>0</v>
      </c>
      <c r="S18" s="260">
        <f>IFERROR(__xludf.DUMMYFUNCTION("SUM(QUERY(Hospitais_BD!E:Y,""select U where E='""&amp;A18&amp;""'"",1))"),0.0)</f>
        <v>0</v>
      </c>
      <c r="T18" s="260">
        <f>IFERROR(__xludf.DUMMYFUNCTION("SUM(QUERY(Hospitais_BD!E:Y,""select U where E='""&amp;A18&amp;""' and I= '""&amp;T2&amp;""'"",1))"),0.0)</f>
        <v>0</v>
      </c>
      <c r="U18" s="260">
        <f>IFERROR(__xludf.DUMMYFUNCTION("SUM(QUERY(Hospitais_BD!E:Y,""select U where E='""&amp;A18&amp;""' and I= '""&amp;U2&amp;""'"",1))"),0.0)</f>
        <v>0</v>
      </c>
      <c r="V18" s="255">
        <f t="shared" ref="V18:X18" si="101">P18-S18</f>
        <v>0</v>
      </c>
      <c r="W18" s="255">
        <f t="shared" si="101"/>
        <v>0</v>
      </c>
      <c r="X18" s="255">
        <f t="shared" si="101"/>
        <v>0</v>
      </c>
      <c r="Y18" s="251"/>
      <c r="Z18" s="258">
        <f>IFERROR(__xludf.DUMMYFUNCTION("SUM(QUERY(Hospitais_BD!E:Q,""select P where E='""&amp;A18&amp;""'"",1))"),0.0)</f>
        <v>0</v>
      </c>
      <c r="AA18" s="258">
        <f>IFERROR(__xludf.DUMMYFUNCTION("SUM(QUERY(Hospitais_BD!E:Q,""select P where E='""&amp;A18&amp;""' and I = '""&amp;AA2&amp;""'"",1))"),0.0)</f>
        <v>0</v>
      </c>
      <c r="AB18" s="259">
        <f>IFERROR(__xludf.DUMMYFUNCTION("SUM(QUERY(Hospitais_BD!E:Q,""select P where E='""&amp;A18&amp;""' and I = '""&amp;AB2&amp;""'"",1))"),0.0)</f>
        <v>0</v>
      </c>
      <c r="AC18" s="260">
        <f>IFERROR(__xludf.DUMMYFUNCTION("SUM(QUERY(Hospitais_BD!E:Y,""select V where E='""&amp;A18&amp;""'"",1))"),0.0)</f>
        <v>0</v>
      </c>
      <c r="AD18" s="260">
        <f>IFERROR(__xludf.DUMMYFUNCTION("SUM(QUERY(Hospitais_BD!E:Y,""select V where E='""&amp;A18&amp;""' and I= '""&amp;AD2&amp;""'"",1))"),0.0)</f>
        <v>0</v>
      </c>
      <c r="AE18" s="260">
        <f>IFERROR(__xludf.DUMMYFUNCTION("SUM(QUERY(Hospitais_BD!E:Y,""select V where E='""&amp;A18&amp;""' and I= '""&amp;AE2&amp;""'"",1))"),0.0)</f>
        <v>0</v>
      </c>
      <c r="AF18" s="255">
        <f t="shared" ref="AF18:AH18" si="102">Z18-AC18</f>
        <v>0</v>
      </c>
      <c r="AG18" s="255">
        <f t="shared" si="102"/>
        <v>0</v>
      </c>
      <c r="AH18" s="255">
        <f t="shared" si="102"/>
        <v>0</v>
      </c>
      <c r="AI18" s="251"/>
      <c r="AJ18" s="258">
        <f>IFERROR(__xludf.DUMMYFUNCTION("SUM(QUERY(Hospitais_BD!E:Q,""select Q where E='""&amp;A18&amp;""'"",1))"),0.0)</f>
        <v>0</v>
      </c>
      <c r="AK18" s="258">
        <f>IFERROR(__xludf.DUMMYFUNCTION("SUM(QUERY(Hospitais_BD!E:Q,""select Q where E='""&amp;A18&amp;""' and I = '""&amp;AK2&amp;""'"",1))"),0.0)</f>
        <v>0</v>
      </c>
      <c r="AL18" s="259">
        <f>IFERROR(__xludf.DUMMYFUNCTION("SUM(QUERY(Hospitais_BD!E:Q,""select Q where E='""&amp;A18&amp;""' and I = '""&amp;AL2&amp;""'"",1))"),0.0)</f>
        <v>0</v>
      </c>
      <c r="AM18" s="260">
        <f>IFERROR(__xludf.DUMMYFUNCTION("SUM(QUERY(Hospitais_BD!E:Y,""select W where E='""&amp;A18&amp;""'"",1))"),100.0)</f>
        <v>100</v>
      </c>
      <c r="AN18" s="260">
        <f>IFERROR(__xludf.DUMMYFUNCTION("SUM(QUERY(Hospitais_BD!E:Y,""select W where E='""&amp;A18&amp;""' and I= '""&amp;AN2&amp;""'"",1))"),100.0)</f>
        <v>100</v>
      </c>
      <c r="AO18" s="260">
        <f>IFERROR(__xludf.DUMMYFUNCTION("SUM(QUERY(Hospitais_BD!E:Y,""select W where E='""&amp;A18&amp;""' and I= '""&amp;AO2&amp;""'"",1))"),0.0)</f>
        <v>0</v>
      </c>
      <c r="AP18" s="255">
        <f t="shared" ref="AP18:AR18" si="103">AJ18-AM18</f>
        <v>-100</v>
      </c>
      <c r="AQ18" s="255">
        <f t="shared" si="103"/>
        <v>-100</v>
      </c>
      <c r="AR18" s="255">
        <f t="shared" si="103"/>
        <v>0</v>
      </c>
      <c r="AS18" s="251"/>
      <c r="AT18" s="258">
        <f>IFERROR(__xludf.DUMMYFUNCTION("SUM(QUERY(Hospitais_BD!E:R,""select R where E='""&amp;A18&amp;""'"",1))"),0.0)</f>
        <v>0</v>
      </c>
      <c r="AU18" s="258">
        <f>IFERROR(__xludf.DUMMYFUNCTION("SUM(QUERY(Hospitais_BD!E:R,""select R where E='""&amp;A18&amp;""' and I = '""&amp;AU2&amp;""'"",1))"),0.0)</f>
        <v>0</v>
      </c>
      <c r="AV18" s="259">
        <f>IFERROR(__xludf.DUMMYFUNCTION("SUM(QUERY(Hospitais_BD!E:R,""select R where E='""&amp;A18&amp;""' and I = '""&amp;AV2&amp;""'"",1))"),0.0)</f>
        <v>0</v>
      </c>
      <c r="AW18" s="260">
        <f>IFERROR(__xludf.DUMMYFUNCTION("SUM(QUERY(Hospitais_BD!E:Y,""select X where E='""&amp;A18&amp;""'"",1))"),0.0)</f>
        <v>0</v>
      </c>
      <c r="AX18" s="260">
        <f>IFERROR(__xludf.DUMMYFUNCTION("SUM(QUERY(Hospitais_BD!E:Y,""select X where E='""&amp;A18&amp;""' and I = '""&amp;AX2&amp;""'"",1))"),0.0)</f>
        <v>0</v>
      </c>
      <c r="AY18" s="260">
        <f>IFERROR(__xludf.DUMMYFUNCTION("SUM(QUERY(Hospitais_BD!E:Y,""select X where E='""&amp;A18&amp;""' and I = '""&amp;AY2&amp;""'"",1))"),0.0)</f>
        <v>0</v>
      </c>
      <c r="AZ18" s="255">
        <f t="shared" ref="AZ18:BB18" si="104">AT18-AW18</f>
        <v>0</v>
      </c>
      <c r="BA18" s="255">
        <f t="shared" si="104"/>
        <v>0</v>
      </c>
      <c r="BB18" s="255">
        <f t="shared" si="104"/>
        <v>0</v>
      </c>
      <c r="BC18" s="251"/>
      <c r="BD18" s="258">
        <f>IFERROR(__xludf.DUMMYFUNCTION("SUM(QUERY(Hospitais_BD!E:S,""select S where E='""&amp;A18&amp;""'"",1))"),0.0)</f>
        <v>0</v>
      </c>
      <c r="BE18" s="258">
        <f>IFERROR(__xludf.DUMMYFUNCTION("SUM(QUERY(Hospitais_BD!E:S,""select S where E='""&amp;A18&amp;""' and I = '""&amp;BE2&amp;""'"",1))"),0.0)</f>
        <v>0</v>
      </c>
      <c r="BF18" s="259">
        <f>IFERROR(__xludf.DUMMYFUNCTION("SUM(QUERY(Hospitais_BD!E:S,""select S where E='""&amp;A18&amp;""' and I = '""&amp;BF2&amp;""'"",1))"),0.0)</f>
        <v>0</v>
      </c>
      <c r="BG18" s="260">
        <f>IFERROR(__xludf.DUMMYFUNCTION("SUM(QUERY(Hospitais_BD!E:Y,""select Y where E='""&amp;A18&amp;""'"",1))"),0.0)</f>
        <v>0</v>
      </c>
      <c r="BH18" s="260">
        <f>IFERROR(__xludf.DUMMYFUNCTION("SUM(QUERY(Hospitais_BD!E:Y,""select Y where E='""&amp;A18&amp;""' and I = '""&amp;BH2&amp;""'"",1))"),0.0)</f>
        <v>0</v>
      </c>
      <c r="BI18" s="260">
        <f>IFERROR(__xludf.DUMMYFUNCTION("SUM(QUERY(Hospitais_BD!E:Y,""select Y where E='""&amp;A18&amp;""' and I = '""&amp;BI2&amp;""'"",1))"),0.0)</f>
        <v>0</v>
      </c>
      <c r="BJ18" s="255">
        <f t="shared" ref="BJ18:BL18" si="105">BD18-BG18</f>
        <v>0</v>
      </c>
      <c r="BK18" s="255">
        <f t="shared" si="105"/>
        <v>0</v>
      </c>
      <c r="BL18" s="255">
        <f t="shared" si="105"/>
        <v>0</v>
      </c>
    </row>
    <row r="19">
      <c r="A19" s="186" t="s">
        <v>838</v>
      </c>
      <c r="B19" s="264">
        <f>COUNTIF(Hospitais_BD!E:E,A19)</f>
        <v>1</v>
      </c>
      <c r="C19" s="257">
        <f>COUNTIFS(Hospitais_BD!E:E,A19,Hospitais_BD!I:I,C2)</f>
        <v>1</v>
      </c>
      <c r="D19" s="257">
        <f>COUNTIFS(Hospitais_BD!E:E,A19,Hospitais_BD!I:I,D7)</f>
        <v>0</v>
      </c>
      <c r="E19" s="241"/>
      <c r="F19" s="258">
        <f>IFERROR(__xludf.DUMMYFUNCTION("SUM(QUERY(Hospitais_BD!E:Q,""select N where E='""&amp;A19&amp;""'"",1))"),0.0)</f>
        <v>0</v>
      </c>
      <c r="G19" s="258">
        <f>IFERROR(__xludf.DUMMYFUNCTION("SUM(QUERY(Hospitais_BD!E:Q,""select N where E='""&amp;A19&amp;""' and I = '""&amp;G2&amp;""'"",1))"),0.0)</f>
        <v>0</v>
      </c>
      <c r="H19" s="259">
        <f>IFERROR(__xludf.DUMMYFUNCTION("SUM(QUERY(Hospitais_BD!E:Q,""select N where E='""&amp;A19&amp;""' and I= '""&amp;H2&amp;""'"",1))"),0.0)</f>
        <v>0</v>
      </c>
      <c r="I19" s="260">
        <f>IFERROR(__xludf.DUMMYFUNCTION("SUM(QUERY(Hospitais_BD!E:Y,""select T where E='""&amp;A19&amp;""'"",1))"),50.0)</f>
        <v>50</v>
      </c>
      <c r="J19" s="260">
        <f>IFERROR(__xludf.DUMMYFUNCTION("SUM(QUERY(Hospitais_BD!E:W,""select T where E='""&amp;A19&amp;""' and I= '""&amp;J2&amp;""'"",1))"),50.0)</f>
        <v>50</v>
      </c>
      <c r="K19" s="260">
        <f>IFERROR(__xludf.DUMMYFUNCTION("SUM(QUERY(Hospitais_BD!E:W,""select T where E='""&amp;A19&amp;""' and I= '""&amp;K2&amp;""'"",1))"),0.0)</f>
        <v>0</v>
      </c>
      <c r="L19" s="255">
        <f t="shared" ref="L19:N19" si="106">F19-I19</f>
        <v>-50</v>
      </c>
      <c r="M19" s="255">
        <f t="shared" si="106"/>
        <v>-50</v>
      </c>
      <c r="N19" s="255">
        <f t="shared" si="106"/>
        <v>0</v>
      </c>
      <c r="O19" s="251"/>
      <c r="P19" s="258">
        <f>IFERROR(__xludf.DUMMYFUNCTION("SUM(QUERY(Hospitais_BD!E:Q,""select O where E='""&amp;A19&amp;""'"",1))"),0.0)</f>
        <v>0</v>
      </c>
      <c r="Q19" s="258">
        <f>IFERROR(__xludf.DUMMYFUNCTION("SUM(QUERY(Hospitais_BD!E:Q,""select O where E='""&amp;A19&amp;""' and I = '""&amp;Q2&amp;""'"",1))"),0.0)</f>
        <v>0</v>
      </c>
      <c r="R19" s="259">
        <f>IFERROR(__xludf.DUMMYFUNCTION("SUM(QUERY(Hospitais_BD!E:Q,""select O where E='""&amp;A19&amp;""' and I = '""&amp;R2&amp;""'"",1))"),0.0)</f>
        <v>0</v>
      </c>
      <c r="S19" s="260">
        <f>IFERROR(__xludf.DUMMYFUNCTION("SUM(QUERY(Hospitais_BD!E:Y,""select U where E='""&amp;A19&amp;""'"",1))"),0.0)</f>
        <v>0</v>
      </c>
      <c r="T19" s="260">
        <f>IFERROR(__xludf.DUMMYFUNCTION("SUM(QUERY(Hospitais_BD!E:Y,""select U where E='""&amp;A19&amp;""' and I= '""&amp;T2&amp;""'"",1))"),0.0)</f>
        <v>0</v>
      </c>
      <c r="U19" s="260">
        <f>IFERROR(__xludf.DUMMYFUNCTION("SUM(QUERY(Hospitais_BD!E:Y,""select U where E='""&amp;A19&amp;""' and I= '""&amp;U2&amp;""'"",1))"),0.0)</f>
        <v>0</v>
      </c>
      <c r="V19" s="255">
        <f t="shared" ref="V19:X19" si="107">P19-S19</f>
        <v>0</v>
      </c>
      <c r="W19" s="255">
        <f t="shared" si="107"/>
        <v>0</v>
      </c>
      <c r="X19" s="255">
        <f t="shared" si="107"/>
        <v>0</v>
      </c>
      <c r="Y19" s="251"/>
      <c r="Z19" s="258">
        <f>IFERROR(__xludf.DUMMYFUNCTION("SUM(QUERY(Hospitais_BD!E:Q,""select P where E='""&amp;A19&amp;""'"",1))"),0.0)</f>
        <v>0</v>
      </c>
      <c r="AA19" s="258">
        <f>IFERROR(__xludf.DUMMYFUNCTION("SUM(QUERY(Hospitais_BD!E:Q,""select P where E='""&amp;A19&amp;""' and I = '""&amp;AA2&amp;""'"",1))"),0.0)</f>
        <v>0</v>
      </c>
      <c r="AB19" s="259">
        <f>IFERROR(__xludf.DUMMYFUNCTION("SUM(QUERY(Hospitais_BD!E:Q,""select P where E='""&amp;A19&amp;""' and I = '""&amp;AB2&amp;""'"",1))"),0.0)</f>
        <v>0</v>
      </c>
      <c r="AC19" s="260">
        <f>IFERROR(__xludf.DUMMYFUNCTION("SUM(QUERY(Hospitais_BD!E:Y,""select V where E='""&amp;A19&amp;""'"",1))"),0.0)</f>
        <v>0</v>
      </c>
      <c r="AD19" s="260">
        <f>IFERROR(__xludf.DUMMYFUNCTION("SUM(QUERY(Hospitais_BD!E:Y,""select V where E='""&amp;A19&amp;""' and I= '""&amp;AD2&amp;""'"",1))"),0.0)</f>
        <v>0</v>
      </c>
      <c r="AE19" s="260">
        <f>IFERROR(__xludf.DUMMYFUNCTION("SUM(QUERY(Hospitais_BD!E:Y,""select V where E='""&amp;A19&amp;""' and I= '""&amp;AE2&amp;""'"",1))"),0.0)</f>
        <v>0</v>
      </c>
      <c r="AF19" s="255">
        <f t="shared" ref="AF19:AH19" si="108">Z19-AC19</f>
        <v>0</v>
      </c>
      <c r="AG19" s="255">
        <f t="shared" si="108"/>
        <v>0</v>
      </c>
      <c r="AH19" s="255">
        <f t="shared" si="108"/>
        <v>0</v>
      </c>
      <c r="AI19" s="251"/>
      <c r="AJ19" s="258">
        <f>IFERROR(__xludf.DUMMYFUNCTION("SUM(QUERY(Hospitais_BD!E:Q,""select Q where E='""&amp;A19&amp;""'"",1))"),0.0)</f>
        <v>0</v>
      </c>
      <c r="AK19" s="258">
        <f>IFERROR(__xludf.DUMMYFUNCTION("SUM(QUERY(Hospitais_BD!E:Q,""select Q where E='""&amp;A19&amp;""' and I = '""&amp;AK2&amp;""'"",1))"),0.0)</f>
        <v>0</v>
      </c>
      <c r="AL19" s="259">
        <f>IFERROR(__xludf.DUMMYFUNCTION("SUM(QUERY(Hospitais_BD!E:Q,""select Q where E='""&amp;A19&amp;""' and I = '""&amp;AL2&amp;""'"",1))"),0.0)</f>
        <v>0</v>
      </c>
      <c r="AM19" s="260">
        <f>IFERROR(__xludf.DUMMYFUNCTION("SUM(QUERY(Hospitais_BD!E:Y,""select W where E='""&amp;A19&amp;""'"",1))"),0.0)</f>
        <v>0</v>
      </c>
      <c r="AN19" s="260">
        <f>IFERROR(__xludf.DUMMYFUNCTION("SUM(QUERY(Hospitais_BD!E:Y,""select W where E='""&amp;A19&amp;""' and I= '""&amp;AN2&amp;""'"",1))"),0.0)</f>
        <v>0</v>
      </c>
      <c r="AO19" s="260">
        <f>IFERROR(__xludf.DUMMYFUNCTION("SUM(QUERY(Hospitais_BD!E:Y,""select W where E='""&amp;A19&amp;""' and I= '""&amp;AO2&amp;""'"",1))"),0.0)</f>
        <v>0</v>
      </c>
      <c r="AP19" s="255">
        <f t="shared" ref="AP19:AR19" si="109">AJ19-AM19</f>
        <v>0</v>
      </c>
      <c r="AQ19" s="255">
        <f t="shared" si="109"/>
        <v>0</v>
      </c>
      <c r="AR19" s="255">
        <f t="shared" si="109"/>
        <v>0</v>
      </c>
      <c r="AS19" s="251"/>
      <c r="AT19" s="258">
        <f>IFERROR(__xludf.DUMMYFUNCTION("SUM(QUERY(Hospitais_BD!E:R,""select R where E='""&amp;A19&amp;""'"",1))"),0.0)</f>
        <v>0</v>
      </c>
      <c r="AU19" s="258">
        <f>IFERROR(__xludf.DUMMYFUNCTION("SUM(QUERY(Hospitais_BD!E:R,""select R where E='""&amp;A19&amp;""' and I = '""&amp;AU2&amp;""'"",1))"),0.0)</f>
        <v>0</v>
      </c>
      <c r="AV19" s="259">
        <f>IFERROR(__xludf.DUMMYFUNCTION("SUM(QUERY(Hospitais_BD!E:R,""select R where E='""&amp;A19&amp;""' and I = '""&amp;AV2&amp;""'"",1))"),0.0)</f>
        <v>0</v>
      </c>
      <c r="AW19" s="260">
        <f>IFERROR(__xludf.DUMMYFUNCTION("SUM(QUERY(Hospitais_BD!E:Y,""select X where E='""&amp;A19&amp;""'"",1))"),0.0)</f>
        <v>0</v>
      </c>
      <c r="AX19" s="260">
        <f>IFERROR(__xludf.DUMMYFUNCTION("SUM(QUERY(Hospitais_BD!E:Y,""select X where E='""&amp;A19&amp;""' and I = '""&amp;AX2&amp;""'"",1))"),0.0)</f>
        <v>0</v>
      </c>
      <c r="AY19" s="260">
        <f>IFERROR(__xludf.DUMMYFUNCTION("SUM(QUERY(Hospitais_BD!E:Y,""select X where E='""&amp;A19&amp;""' and I = '""&amp;AY2&amp;""'"",1))"),0.0)</f>
        <v>0</v>
      </c>
      <c r="AZ19" s="255">
        <f t="shared" ref="AZ19:BB19" si="110">AT19-AW19</f>
        <v>0</v>
      </c>
      <c r="BA19" s="255">
        <f t="shared" si="110"/>
        <v>0</v>
      </c>
      <c r="BB19" s="255">
        <f t="shared" si="110"/>
        <v>0</v>
      </c>
      <c r="BC19" s="251"/>
      <c r="BD19" s="258">
        <f>IFERROR(__xludf.DUMMYFUNCTION("SUM(QUERY(Hospitais_BD!E:S,""select S where E='""&amp;A19&amp;""'"",1))"),0.0)</f>
        <v>0</v>
      </c>
      <c r="BE19" s="258">
        <f>IFERROR(__xludf.DUMMYFUNCTION("SUM(QUERY(Hospitais_BD!E:S,""select S where E='""&amp;A19&amp;""' and I = '""&amp;BE2&amp;""'"",1))"),0.0)</f>
        <v>0</v>
      </c>
      <c r="BF19" s="259">
        <f>IFERROR(__xludf.DUMMYFUNCTION("SUM(QUERY(Hospitais_BD!E:S,""select S where E='""&amp;A19&amp;""' and I = '""&amp;BF2&amp;""'"",1))"),0.0)</f>
        <v>0</v>
      </c>
      <c r="BG19" s="260">
        <f>IFERROR(__xludf.DUMMYFUNCTION("SUM(QUERY(Hospitais_BD!E:Y,""select Y where E='""&amp;A19&amp;""'"",1))"),0.0)</f>
        <v>0</v>
      </c>
      <c r="BH19" s="260">
        <f>IFERROR(__xludf.DUMMYFUNCTION("SUM(QUERY(Hospitais_BD!E:Y,""select Y where E='""&amp;A19&amp;""' and I = '""&amp;BH2&amp;""'"",1))"),0.0)</f>
        <v>0</v>
      </c>
      <c r="BI19" s="260">
        <f>IFERROR(__xludf.DUMMYFUNCTION("SUM(QUERY(Hospitais_BD!E:Y,""select Y where E='""&amp;A19&amp;""' and I = '""&amp;BI2&amp;""'"",1))"),0.0)</f>
        <v>0</v>
      </c>
      <c r="BJ19" s="255">
        <f t="shared" ref="BJ19:BL19" si="111">BD19-BG19</f>
        <v>0</v>
      </c>
      <c r="BK19" s="255">
        <f t="shared" si="111"/>
        <v>0</v>
      </c>
      <c r="BL19" s="255">
        <f t="shared" si="111"/>
        <v>0</v>
      </c>
    </row>
    <row r="20">
      <c r="A20" s="256" t="s">
        <v>1116</v>
      </c>
      <c r="B20" s="264">
        <f>COUNTIF(Hospitais_BD!E:E,A20)</f>
        <v>0</v>
      </c>
      <c r="C20" s="257">
        <f>COUNTIFS(Hospitais_BD!E:E,A20,Hospitais_BD!I:I,C2)</f>
        <v>0</v>
      </c>
      <c r="D20" s="257">
        <f>COUNTIFS(Hospitais_BD!E:E,A20,Hospitais_BD!I:I,D2)</f>
        <v>0</v>
      </c>
      <c r="E20" s="241"/>
      <c r="F20" s="258">
        <f>IFERROR(__xludf.DUMMYFUNCTION("SUM(QUERY(Hospitais_BD!E:Q,""select N where E='""&amp;A20&amp;""'"",1))"),0.0)</f>
        <v>0</v>
      </c>
      <c r="G20" s="258">
        <f>IFERROR(__xludf.DUMMYFUNCTION("SUM(QUERY(Hospitais_BD!E:Q,""select N where E='""&amp;A20&amp;""' and I = '""&amp;G2&amp;""'"",1))"),0.0)</f>
        <v>0</v>
      </c>
      <c r="H20" s="259">
        <f>IFERROR(__xludf.DUMMYFUNCTION("SUM(QUERY(Hospitais_BD!E:Q,""select N where E='""&amp;A20&amp;""' and I= '""&amp;H2&amp;""'"",1))"),0.0)</f>
        <v>0</v>
      </c>
      <c r="I20" s="260">
        <f>IFERROR(__xludf.DUMMYFUNCTION("SUM(QUERY(Hospitais_BD!E:Y,""select T where E='""&amp;A20&amp;""'"",1))"),0.0)</f>
        <v>0</v>
      </c>
      <c r="J20" s="260">
        <f>IFERROR(__xludf.DUMMYFUNCTION("SUM(QUERY(Hospitais_BD!E:W,""select T where E='""&amp;A20&amp;""' and I= '""&amp;J2&amp;""'"",1))"),0.0)</f>
        <v>0</v>
      </c>
      <c r="K20" s="260">
        <f>IFERROR(__xludf.DUMMYFUNCTION("SUM(QUERY(Hospitais_BD!E:W,""select T where E='""&amp;A20&amp;""' and I= '""&amp;K2&amp;""'"",1))"),0.0)</f>
        <v>0</v>
      </c>
      <c r="L20" s="255">
        <f t="shared" ref="L20:N20" si="112">F20-I20</f>
        <v>0</v>
      </c>
      <c r="M20" s="255">
        <f t="shared" si="112"/>
        <v>0</v>
      </c>
      <c r="N20" s="255">
        <f t="shared" si="112"/>
        <v>0</v>
      </c>
      <c r="O20" s="251"/>
      <c r="P20" s="258">
        <f>IFERROR(__xludf.DUMMYFUNCTION("SUM(QUERY(Hospitais_BD!E:Q,""select O where E='""&amp;A20&amp;""'"",1))"),0.0)</f>
        <v>0</v>
      </c>
      <c r="Q20" s="258">
        <f>IFERROR(__xludf.DUMMYFUNCTION("SUM(QUERY(Hospitais_BD!E:Q,""select O where E='""&amp;A20&amp;""' and I = '""&amp;Q2&amp;""'"",1))"),0.0)</f>
        <v>0</v>
      </c>
      <c r="R20" s="259">
        <f>IFERROR(__xludf.DUMMYFUNCTION("SUM(QUERY(Hospitais_BD!E:Q,""select O where E='""&amp;A20&amp;""' and I = '""&amp;R2&amp;""'"",1))"),0.0)</f>
        <v>0</v>
      </c>
      <c r="S20" s="260">
        <f>IFERROR(__xludf.DUMMYFUNCTION("SUM(QUERY(Hospitais_BD!E:Y,""select U where E='""&amp;A20&amp;""'"",1))"),0.0)</f>
        <v>0</v>
      </c>
      <c r="T20" s="260">
        <f>IFERROR(__xludf.DUMMYFUNCTION("SUM(QUERY(Hospitais_BD!E:Y,""select U where E='""&amp;A20&amp;""' and I= '""&amp;T2&amp;""'"",1))"),0.0)</f>
        <v>0</v>
      </c>
      <c r="U20" s="260">
        <f>IFERROR(__xludf.DUMMYFUNCTION("SUM(QUERY(Hospitais_BD!E:Y,""select U where E='""&amp;A20&amp;""' and I= '""&amp;U2&amp;""'"",1))"),0.0)</f>
        <v>0</v>
      </c>
      <c r="V20" s="255">
        <f t="shared" ref="V20:X20" si="113">P20-S20</f>
        <v>0</v>
      </c>
      <c r="W20" s="255">
        <f t="shared" si="113"/>
        <v>0</v>
      </c>
      <c r="X20" s="255">
        <f t="shared" si="113"/>
        <v>0</v>
      </c>
      <c r="Y20" s="251"/>
      <c r="Z20" s="258">
        <f>IFERROR(__xludf.DUMMYFUNCTION("SUM(QUERY(Hospitais_BD!E:Q,""select P where E='""&amp;A20&amp;""'"",1))"),0.0)</f>
        <v>0</v>
      </c>
      <c r="AA20" s="258">
        <f>IFERROR(__xludf.DUMMYFUNCTION("SUM(QUERY(Hospitais_BD!E:Q,""select P where E='""&amp;A20&amp;""' and I = '""&amp;AA2&amp;""'"",1))"),0.0)</f>
        <v>0</v>
      </c>
      <c r="AB20" s="259">
        <f>IFERROR(__xludf.DUMMYFUNCTION("SUM(QUERY(Hospitais_BD!E:Q,""select P where E='""&amp;A20&amp;""' and I = '""&amp;AB2&amp;""'"",1))"),0.0)</f>
        <v>0</v>
      </c>
      <c r="AC20" s="260">
        <f>IFERROR(__xludf.DUMMYFUNCTION("SUM(QUERY(Hospitais_BD!E:Y,""select V where E='""&amp;A20&amp;""'"",1))"),0.0)</f>
        <v>0</v>
      </c>
      <c r="AD20" s="260">
        <f>IFERROR(__xludf.DUMMYFUNCTION("SUM(QUERY(Hospitais_BD!E:Y,""select V where E='""&amp;A20&amp;""' and I= '""&amp;AD2&amp;""'"",1))"),0.0)</f>
        <v>0</v>
      </c>
      <c r="AE20" s="260">
        <f>IFERROR(__xludf.DUMMYFUNCTION("SUM(QUERY(Hospitais_BD!E:Y,""select V where E='""&amp;A20&amp;""' and I= '""&amp;AE2&amp;""'"",1))"),0.0)</f>
        <v>0</v>
      </c>
      <c r="AF20" s="255">
        <f t="shared" ref="AF20:AH20" si="114">Z20-AC20</f>
        <v>0</v>
      </c>
      <c r="AG20" s="255">
        <f t="shared" si="114"/>
        <v>0</v>
      </c>
      <c r="AH20" s="255">
        <f t="shared" si="114"/>
        <v>0</v>
      </c>
      <c r="AI20" s="251"/>
      <c r="AJ20" s="258">
        <f>IFERROR(__xludf.DUMMYFUNCTION("SUM(QUERY(Hospitais_BD!E:Q,""select Q where E='""&amp;A20&amp;""'"",1))"),0.0)</f>
        <v>0</v>
      </c>
      <c r="AK20" s="258">
        <f>IFERROR(__xludf.DUMMYFUNCTION("SUM(QUERY(Hospitais_BD!E:Q,""select Q where E='""&amp;A20&amp;""' and I = '""&amp;AK2&amp;""'"",1))"),0.0)</f>
        <v>0</v>
      </c>
      <c r="AL20" s="259">
        <f>IFERROR(__xludf.DUMMYFUNCTION("SUM(QUERY(Hospitais_BD!E:Q,""select Q where E='""&amp;A20&amp;""' and I = '""&amp;AL2&amp;""'"",1))"),0.0)</f>
        <v>0</v>
      </c>
      <c r="AM20" s="260">
        <f>IFERROR(__xludf.DUMMYFUNCTION("SUM(QUERY(Hospitais_BD!E:Y,""select W where E='""&amp;A20&amp;""'"",1))"),0.0)</f>
        <v>0</v>
      </c>
      <c r="AN20" s="260">
        <f>IFERROR(__xludf.DUMMYFUNCTION("SUM(QUERY(Hospitais_BD!E:Y,""select W where E='""&amp;A20&amp;""' and I= '""&amp;AN2&amp;""'"",1))"),0.0)</f>
        <v>0</v>
      </c>
      <c r="AO20" s="260">
        <f>IFERROR(__xludf.DUMMYFUNCTION("SUM(QUERY(Hospitais_BD!E:Y,""select W where E='""&amp;A20&amp;""' and I= '""&amp;AO2&amp;""'"",1))"),0.0)</f>
        <v>0</v>
      </c>
      <c r="AP20" s="255">
        <f t="shared" ref="AP20:AR20" si="115">AJ20-AM20</f>
        <v>0</v>
      </c>
      <c r="AQ20" s="255">
        <f t="shared" si="115"/>
        <v>0</v>
      </c>
      <c r="AR20" s="255">
        <f t="shared" si="115"/>
        <v>0</v>
      </c>
      <c r="AS20" s="251"/>
      <c r="AT20" s="258">
        <f>IFERROR(__xludf.DUMMYFUNCTION("SUM(QUERY(Hospitais_BD!E:R,""select R where E='""&amp;A20&amp;""'"",1))"),0.0)</f>
        <v>0</v>
      </c>
      <c r="AU20" s="258">
        <f>IFERROR(__xludf.DUMMYFUNCTION("SUM(QUERY(Hospitais_BD!E:R,""select R where E='""&amp;A20&amp;""' and I = '""&amp;AU2&amp;""'"",1))"),0.0)</f>
        <v>0</v>
      </c>
      <c r="AV20" s="259">
        <f>IFERROR(__xludf.DUMMYFUNCTION("SUM(QUERY(Hospitais_BD!E:R,""select R where E='""&amp;A20&amp;""' and I = '""&amp;AV2&amp;""'"",1))"),0.0)</f>
        <v>0</v>
      </c>
      <c r="AW20" s="260">
        <f>IFERROR(__xludf.DUMMYFUNCTION("SUM(QUERY(Hospitais_BD!E:Y,""select X where E='""&amp;A20&amp;""'"",1))"),0.0)</f>
        <v>0</v>
      </c>
      <c r="AX20" s="260">
        <f>IFERROR(__xludf.DUMMYFUNCTION("SUM(QUERY(Hospitais_BD!E:Y,""select X where E='""&amp;A20&amp;""' and I = '""&amp;AX2&amp;""'"",1))"),0.0)</f>
        <v>0</v>
      </c>
      <c r="AY20" s="260">
        <f>IFERROR(__xludf.DUMMYFUNCTION("SUM(QUERY(Hospitais_BD!E:Y,""select X where E='""&amp;A20&amp;""' and I = '""&amp;AY2&amp;""'"",1))"),0.0)</f>
        <v>0</v>
      </c>
      <c r="AZ20" s="255">
        <f t="shared" ref="AZ20:BB20" si="116">AT20-AW20</f>
        <v>0</v>
      </c>
      <c r="BA20" s="255">
        <f t="shared" si="116"/>
        <v>0</v>
      </c>
      <c r="BB20" s="255">
        <f t="shared" si="116"/>
        <v>0</v>
      </c>
      <c r="BC20" s="251"/>
      <c r="BD20" s="258">
        <f>IFERROR(__xludf.DUMMYFUNCTION("SUM(QUERY(Hospitais_BD!E:S,""select S where E='""&amp;A20&amp;""'"",1))"),0.0)</f>
        <v>0</v>
      </c>
      <c r="BE20" s="258">
        <f>IFERROR(__xludf.DUMMYFUNCTION("SUM(QUERY(Hospitais_BD!E:S,""select S where E='""&amp;A20&amp;""' and I = '""&amp;BE2&amp;""'"",1))"),0.0)</f>
        <v>0</v>
      </c>
      <c r="BF20" s="259">
        <f>IFERROR(__xludf.DUMMYFUNCTION("SUM(QUERY(Hospitais_BD!E:S,""select S where E='""&amp;A20&amp;""' and I = '""&amp;BF2&amp;""'"",1))"),0.0)</f>
        <v>0</v>
      </c>
      <c r="BG20" s="260">
        <f>IFERROR(__xludf.DUMMYFUNCTION("SUM(QUERY(Hospitais_BD!E:Y,""select Y where E='""&amp;A20&amp;""'"",1))"),0.0)</f>
        <v>0</v>
      </c>
      <c r="BH20" s="260">
        <f>IFERROR(__xludf.DUMMYFUNCTION("SUM(QUERY(Hospitais_BD!E:Y,""select Y where E='""&amp;A20&amp;""' and I = '""&amp;BH2&amp;""'"",1))"),0.0)</f>
        <v>0</v>
      </c>
      <c r="BI20" s="260">
        <f>IFERROR(__xludf.DUMMYFUNCTION("SUM(QUERY(Hospitais_BD!E:Y,""select Y where E='""&amp;A20&amp;""' and I = '""&amp;BI2&amp;""'"",1))"),0.0)</f>
        <v>0</v>
      </c>
      <c r="BJ20" s="255">
        <f t="shared" ref="BJ20:BL20" si="117">BD20-BG20</f>
        <v>0</v>
      </c>
      <c r="BK20" s="255">
        <f t="shared" si="117"/>
        <v>0</v>
      </c>
      <c r="BL20" s="255">
        <f t="shared" si="117"/>
        <v>0</v>
      </c>
    </row>
    <row r="21">
      <c r="A21" s="256" t="s">
        <v>479</v>
      </c>
      <c r="B21" s="264">
        <f>COUNTIF(Hospitais_BD!E:E,A21)</f>
        <v>10</v>
      </c>
      <c r="C21" s="257">
        <f>COUNTIFS(Hospitais_BD!E:E,A21,Hospitais_BD!I:I,C2)</f>
        <v>9</v>
      </c>
      <c r="D21" s="257">
        <f>COUNTIFS(Hospitais_BD!E:E,A21,Hospitais_BD!I:I,D2)</f>
        <v>1</v>
      </c>
      <c r="E21" s="241"/>
      <c r="F21" s="258">
        <f>IFERROR(__xludf.DUMMYFUNCTION("SUM(QUERY(Hospitais_BD!E:Q,""select N where E='""&amp;A21&amp;""'"",1))"),0.0)</f>
        <v>0</v>
      </c>
      <c r="G21" s="258">
        <f>IFERROR(__xludf.DUMMYFUNCTION("SUM(QUERY(Hospitais_BD!E:Q,""select N where E='""&amp;A21&amp;""' and I = '""&amp;G2&amp;""'"",1))"),0.0)</f>
        <v>0</v>
      </c>
      <c r="H21" s="259">
        <f>IFERROR(__xludf.DUMMYFUNCTION("SUM(QUERY(Hospitais_BD!E:Q,""select N where E='""&amp;A21&amp;""' and I= '""&amp;H2&amp;""'"",1))"),0.0)</f>
        <v>0</v>
      </c>
      <c r="I21" s="260">
        <f>IFERROR(__xludf.DUMMYFUNCTION("SUM(QUERY(Hospitais_BD!E:Y,""select T where E='""&amp;A21&amp;""'"",1))"),300.0)</f>
        <v>300</v>
      </c>
      <c r="J21" s="260">
        <f>IFERROR(__xludf.DUMMYFUNCTION("SUM(QUERY(Hospitais_BD!E:W,""select T where E='""&amp;A21&amp;""' and I= '""&amp;J2&amp;""'"",1))"),300.0)</f>
        <v>300</v>
      </c>
      <c r="K21" s="260">
        <f>IFERROR(__xludf.DUMMYFUNCTION("SUM(QUERY(Hospitais_BD!E:W,""select T where E='""&amp;A21&amp;""' and I= '""&amp;K2&amp;""'"",1))"),0.0)</f>
        <v>0</v>
      </c>
      <c r="L21" s="255">
        <f t="shared" ref="L21:N21" si="118">F21-I21</f>
        <v>-300</v>
      </c>
      <c r="M21" s="255">
        <f t="shared" si="118"/>
        <v>-300</v>
      </c>
      <c r="N21" s="255">
        <f t="shared" si="118"/>
        <v>0</v>
      </c>
      <c r="O21" s="251"/>
      <c r="P21" s="258">
        <f>IFERROR(__xludf.DUMMYFUNCTION("SUM(QUERY(Hospitais_BD!E:Q,""select O where E='""&amp;A21&amp;""'"",1))"),0.0)</f>
        <v>0</v>
      </c>
      <c r="Q21" s="258">
        <f>IFERROR(__xludf.DUMMYFUNCTION("SUM(QUERY(Hospitais_BD!E:Q,""select O where E='""&amp;A21&amp;""' and I = '""&amp;Q2&amp;""'"",1))"),0.0)</f>
        <v>0</v>
      </c>
      <c r="R21" s="259">
        <f>IFERROR(__xludf.DUMMYFUNCTION("SUM(QUERY(Hospitais_BD!E:Q,""select O where E='""&amp;A21&amp;""' and I = '""&amp;R2&amp;""'"",1))"),0.0)</f>
        <v>0</v>
      </c>
      <c r="S21" s="260">
        <f>IFERROR(__xludf.DUMMYFUNCTION("SUM(QUERY(Hospitais_BD!E:Y,""select U where E='""&amp;A21&amp;""'"",1))"),0.0)</f>
        <v>0</v>
      </c>
      <c r="T21" s="260">
        <f>IFERROR(__xludf.DUMMYFUNCTION("SUM(QUERY(Hospitais_BD!E:Y,""select U where E='""&amp;A21&amp;""' and I= '""&amp;T2&amp;""'"",1))"),0.0)</f>
        <v>0</v>
      </c>
      <c r="U21" s="260">
        <f>IFERROR(__xludf.DUMMYFUNCTION("SUM(QUERY(Hospitais_BD!E:Y,""select U where E='""&amp;A21&amp;""' and I= '""&amp;U2&amp;""'"",1))"),0.0)</f>
        <v>0</v>
      </c>
      <c r="V21" s="255">
        <f t="shared" ref="V21:X21" si="119">P21-S21</f>
        <v>0</v>
      </c>
      <c r="W21" s="255">
        <f t="shared" si="119"/>
        <v>0</v>
      </c>
      <c r="X21" s="255">
        <f t="shared" si="119"/>
        <v>0</v>
      </c>
      <c r="Y21" s="251"/>
      <c r="Z21" s="258">
        <f>IFERROR(__xludf.DUMMYFUNCTION("SUM(QUERY(Hospitais_BD!E:Q,""select P where E='""&amp;A21&amp;""'"",1))"),0.0)</f>
        <v>0</v>
      </c>
      <c r="AA21" s="258">
        <f>IFERROR(__xludf.DUMMYFUNCTION("SUM(QUERY(Hospitais_BD!E:Q,""select P where E='""&amp;A21&amp;""' and I = '""&amp;AA2&amp;""'"",1))"),0.0)</f>
        <v>0</v>
      </c>
      <c r="AB21" s="259">
        <f>IFERROR(__xludf.DUMMYFUNCTION("SUM(QUERY(Hospitais_BD!E:Q,""select P where E='""&amp;A21&amp;""' and I = '""&amp;AB2&amp;""'"",1))"),0.0)</f>
        <v>0</v>
      </c>
      <c r="AC21" s="260">
        <f>IFERROR(__xludf.DUMMYFUNCTION("SUM(QUERY(Hospitais_BD!E:Y,""select V where E='""&amp;A21&amp;""'"",1))"),0.0)</f>
        <v>0</v>
      </c>
      <c r="AD21" s="260">
        <f>IFERROR(__xludf.DUMMYFUNCTION("SUM(QUERY(Hospitais_BD!E:Y,""select V where E='""&amp;A21&amp;""' and I= '""&amp;AD2&amp;""'"",1))"),0.0)</f>
        <v>0</v>
      </c>
      <c r="AE21" s="260">
        <f>IFERROR(__xludf.DUMMYFUNCTION("SUM(QUERY(Hospitais_BD!E:Y,""select V where E='""&amp;A21&amp;""' and I= '""&amp;AE2&amp;""'"",1))"),0.0)</f>
        <v>0</v>
      </c>
      <c r="AF21" s="255">
        <f t="shared" ref="AF21:AH21" si="120">Z21-AC21</f>
        <v>0</v>
      </c>
      <c r="AG21" s="255">
        <f t="shared" si="120"/>
        <v>0</v>
      </c>
      <c r="AH21" s="255">
        <f t="shared" si="120"/>
        <v>0</v>
      </c>
      <c r="AI21" s="251"/>
      <c r="AJ21" s="258">
        <f>IFERROR(__xludf.DUMMYFUNCTION("SUM(QUERY(Hospitais_BD!E:Q,""select Q where E='""&amp;A21&amp;""'"",1))"),0.0)</f>
        <v>0</v>
      </c>
      <c r="AK21" s="258">
        <f>IFERROR(__xludf.DUMMYFUNCTION("SUM(QUERY(Hospitais_BD!E:Q,""select Q where E='""&amp;A21&amp;""' and I = '""&amp;AK2&amp;""'"",1))"),0.0)</f>
        <v>0</v>
      </c>
      <c r="AL21" s="259">
        <f>IFERROR(__xludf.DUMMYFUNCTION("SUM(QUERY(Hospitais_BD!E:Q,""select Q where E='""&amp;A21&amp;""' and I = '""&amp;AL2&amp;""'"",1))"),0.0)</f>
        <v>0</v>
      </c>
      <c r="AM21" s="260">
        <f>IFERROR(__xludf.DUMMYFUNCTION("SUM(QUERY(Hospitais_BD!E:Y,""select W where E='""&amp;A21&amp;""'"",1))"),25.0)</f>
        <v>25</v>
      </c>
      <c r="AN21" s="260">
        <f>IFERROR(__xludf.DUMMYFUNCTION("SUM(QUERY(Hospitais_BD!E:Y,""select W where E='""&amp;A21&amp;""' and I= '""&amp;AN2&amp;""'"",1))"),25.0)</f>
        <v>25</v>
      </c>
      <c r="AO21" s="260">
        <f>IFERROR(__xludf.DUMMYFUNCTION("SUM(QUERY(Hospitais_BD!E:Y,""select W where E='""&amp;A21&amp;""' and I= '""&amp;AO2&amp;""'"",1))"),0.0)</f>
        <v>0</v>
      </c>
      <c r="AP21" s="255">
        <f t="shared" ref="AP21:AR21" si="121">AJ21-AM21</f>
        <v>-25</v>
      </c>
      <c r="AQ21" s="255">
        <f t="shared" si="121"/>
        <v>-25</v>
      </c>
      <c r="AR21" s="255">
        <f t="shared" si="121"/>
        <v>0</v>
      </c>
      <c r="AS21" s="251"/>
      <c r="AT21" s="258">
        <f>IFERROR(__xludf.DUMMYFUNCTION("SUM(QUERY(Hospitais_BD!E:R,""select R where E='""&amp;A21&amp;""'"",1))"),0.0)</f>
        <v>0</v>
      </c>
      <c r="AU21" s="258">
        <f>IFERROR(__xludf.DUMMYFUNCTION("SUM(QUERY(Hospitais_BD!E:R,""select R where E='""&amp;A21&amp;""' and I = '""&amp;AU2&amp;""'"",1))"),0.0)</f>
        <v>0</v>
      </c>
      <c r="AV21" s="259">
        <f>IFERROR(__xludf.DUMMYFUNCTION("SUM(QUERY(Hospitais_BD!E:R,""select R where E='""&amp;A21&amp;""' and I = '""&amp;AV2&amp;""'"",1))"),0.0)</f>
        <v>0</v>
      </c>
      <c r="AW21" s="260">
        <f>IFERROR(__xludf.DUMMYFUNCTION("SUM(QUERY(Hospitais_BD!E:Y,""select X where E='""&amp;A21&amp;""'"",1))"),0.0)</f>
        <v>0</v>
      </c>
      <c r="AX21" s="260">
        <f>IFERROR(__xludf.DUMMYFUNCTION("SUM(QUERY(Hospitais_BD!E:Y,""select X where E='""&amp;A21&amp;""' and I = '""&amp;AX2&amp;""'"",1))"),0.0)</f>
        <v>0</v>
      </c>
      <c r="AY21" s="260">
        <f>IFERROR(__xludf.DUMMYFUNCTION("SUM(QUERY(Hospitais_BD!E:Y,""select X where E='""&amp;A21&amp;""' and I = '""&amp;AY2&amp;""'"",1))"),0.0)</f>
        <v>0</v>
      </c>
      <c r="AZ21" s="255">
        <f t="shared" ref="AZ21:BB21" si="122">AT21-AW21</f>
        <v>0</v>
      </c>
      <c r="BA21" s="255">
        <f t="shared" si="122"/>
        <v>0</v>
      </c>
      <c r="BB21" s="255">
        <f t="shared" si="122"/>
        <v>0</v>
      </c>
      <c r="BC21" s="251"/>
      <c r="BD21" s="258">
        <f>IFERROR(__xludf.DUMMYFUNCTION("SUM(QUERY(Hospitais_BD!E:S,""select S where E='""&amp;A21&amp;""'"",1))"),0.0)</f>
        <v>0</v>
      </c>
      <c r="BE21" s="258">
        <f>IFERROR(__xludf.DUMMYFUNCTION("SUM(QUERY(Hospitais_BD!E:S,""select S where E='""&amp;A21&amp;""' and I = '""&amp;BE2&amp;""'"",1))"),0.0)</f>
        <v>0</v>
      </c>
      <c r="BF21" s="259">
        <f>IFERROR(__xludf.DUMMYFUNCTION("SUM(QUERY(Hospitais_BD!E:S,""select S where E='""&amp;A21&amp;""' and I = '""&amp;BF2&amp;""'"",1))"),0.0)</f>
        <v>0</v>
      </c>
      <c r="BG21" s="260">
        <f>IFERROR(__xludf.DUMMYFUNCTION("SUM(QUERY(Hospitais_BD!E:Y,""select Y where E='""&amp;A21&amp;""'"",1))"),0.0)</f>
        <v>0</v>
      </c>
      <c r="BH21" s="260">
        <f>IFERROR(__xludf.DUMMYFUNCTION("SUM(QUERY(Hospitais_BD!E:Y,""select Y where E='""&amp;A21&amp;""' and I = '""&amp;BH2&amp;""'"",1))"),0.0)</f>
        <v>0</v>
      </c>
      <c r="BI21" s="260">
        <f>IFERROR(__xludf.DUMMYFUNCTION("SUM(QUERY(Hospitais_BD!E:Y,""select Y where E='""&amp;A21&amp;""' and I = '""&amp;BI2&amp;""'"",1))"),0.0)</f>
        <v>0</v>
      </c>
      <c r="BJ21" s="255">
        <f t="shared" ref="BJ21:BL21" si="123">BD21-BG21</f>
        <v>0</v>
      </c>
      <c r="BK21" s="255">
        <f t="shared" si="123"/>
        <v>0</v>
      </c>
      <c r="BL21" s="255">
        <f t="shared" si="123"/>
        <v>0</v>
      </c>
    </row>
    <row r="22">
      <c r="A22" s="265" t="s">
        <v>153</v>
      </c>
      <c r="B22" s="264">
        <f>COUNTIF(Hospitais_BD!E:E,A22)</f>
        <v>29</v>
      </c>
      <c r="C22" s="261">
        <f>COUNTIFS(Hospitais_BD!E:E,A22,Hospitais_BD!I:I,C2)</f>
        <v>24</v>
      </c>
      <c r="D22" s="261">
        <f>COUNTIFS(Hospitais_BD!E:E,A22,Hospitais_BD!I:I,D2)</f>
        <v>5</v>
      </c>
      <c r="E22" s="241"/>
      <c r="F22" s="258">
        <f>IFERROR(__xludf.DUMMYFUNCTION("SUM(QUERY(Hospitais_BD!E:Q,""select N where E='""&amp;A22&amp;""'"",1))"),0.0)</f>
        <v>0</v>
      </c>
      <c r="G22" s="258">
        <f>IFERROR(__xludf.DUMMYFUNCTION("SUM(QUERY(Hospitais_BD!E:Q,""select N where E='""&amp;A22&amp;""' and I = '""&amp;G2&amp;""'"",1))"),0.0)</f>
        <v>0</v>
      </c>
      <c r="H22" s="259">
        <f>IFERROR(__xludf.DUMMYFUNCTION("SUM(QUERY(Hospitais_BD!E:Q,""select N where E='""&amp;A22&amp;""' and I= '""&amp;H2&amp;""'"",1))"),0.0)</f>
        <v>0</v>
      </c>
      <c r="I22" s="260">
        <f>IFERROR(__xludf.DUMMYFUNCTION("SUM(QUERY(Hospitais_BD!E:Y,""select T where E='""&amp;A22&amp;""'"",1))"),35.0)</f>
        <v>35</v>
      </c>
      <c r="J22" s="260">
        <f>IFERROR(__xludf.DUMMYFUNCTION("SUM(QUERY(Hospitais_BD!E:W,""select T where E='""&amp;A22&amp;""' and I= '""&amp;J2&amp;""'"",1))"),35.0)</f>
        <v>35</v>
      </c>
      <c r="K22" s="260">
        <f>IFERROR(__xludf.DUMMYFUNCTION("SUM(QUERY(Hospitais_BD!E:W,""select T where E='""&amp;A22&amp;""' and I= '""&amp;K2&amp;""'"",1))"),0.0)</f>
        <v>0</v>
      </c>
      <c r="L22" s="255">
        <f t="shared" ref="L22:N22" si="124">F22-I22</f>
        <v>-35</v>
      </c>
      <c r="M22" s="255">
        <f t="shared" si="124"/>
        <v>-35</v>
      </c>
      <c r="N22" s="255">
        <f t="shared" si="124"/>
        <v>0</v>
      </c>
      <c r="O22" s="251"/>
      <c r="P22" s="258">
        <f>IFERROR(__xludf.DUMMYFUNCTION("SUM(QUERY(Hospitais_BD!E:Q,""select O where E='""&amp;A22&amp;""'"",1))"),0.0)</f>
        <v>0</v>
      </c>
      <c r="Q22" s="258">
        <f>IFERROR(__xludf.DUMMYFUNCTION("SUM(QUERY(Hospitais_BD!E:Q,""select O where E='""&amp;A22&amp;""' and I = '""&amp;Q2&amp;""'"",1))"),0.0)</f>
        <v>0</v>
      </c>
      <c r="R22" s="259">
        <f>IFERROR(__xludf.DUMMYFUNCTION("SUM(QUERY(Hospitais_BD!E:Q,""select O where E='""&amp;A22&amp;""' and I = '""&amp;R2&amp;""'"",1))"),0.0)</f>
        <v>0</v>
      </c>
      <c r="S22" s="260">
        <f>IFERROR(__xludf.DUMMYFUNCTION("SUM(QUERY(Hospitais_BD!E:Y,""select U where E='""&amp;A22&amp;""'"",1))"),0.0)</f>
        <v>0</v>
      </c>
      <c r="T22" s="260">
        <f>IFERROR(__xludf.DUMMYFUNCTION("SUM(QUERY(Hospitais_BD!E:Y,""select U where E='""&amp;A22&amp;""' and I= '""&amp;T2&amp;""'"",1))"),0.0)</f>
        <v>0</v>
      </c>
      <c r="U22" s="260">
        <f>IFERROR(__xludf.DUMMYFUNCTION("SUM(QUERY(Hospitais_BD!E:Y,""select U where E='""&amp;A22&amp;""' and I= '""&amp;U2&amp;""'"",1))"),0.0)</f>
        <v>0</v>
      </c>
      <c r="V22" s="255">
        <f t="shared" ref="V22:X22" si="125">P22-S22</f>
        <v>0</v>
      </c>
      <c r="W22" s="255">
        <f t="shared" si="125"/>
        <v>0</v>
      </c>
      <c r="X22" s="255">
        <f t="shared" si="125"/>
        <v>0</v>
      </c>
      <c r="Y22" s="251"/>
      <c r="Z22" s="258">
        <f>IFERROR(__xludf.DUMMYFUNCTION("SUM(QUERY(Hospitais_BD!E:Q,""select P where E='""&amp;A22&amp;""'"",1))"),0.0)</f>
        <v>0</v>
      </c>
      <c r="AA22" s="258">
        <f>IFERROR(__xludf.DUMMYFUNCTION("SUM(QUERY(Hospitais_BD!E:Q,""select P where E='""&amp;A22&amp;""' and I = '""&amp;AA2&amp;""'"",1))"),0.0)</f>
        <v>0</v>
      </c>
      <c r="AB22" s="259">
        <f>IFERROR(__xludf.DUMMYFUNCTION("SUM(QUERY(Hospitais_BD!E:Q,""select P where E='""&amp;A22&amp;""' and I = '""&amp;AB2&amp;""'"",1))"),0.0)</f>
        <v>0</v>
      </c>
      <c r="AC22" s="260">
        <f>IFERROR(__xludf.DUMMYFUNCTION("SUM(QUERY(Hospitais_BD!E:Y,""select V where E='""&amp;A22&amp;""'"",1))"),0.0)</f>
        <v>0</v>
      </c>
      <c r="AD22" s="260">
        <f>IFERROR(__xludf.DUMMYFUNCTION("SUM(QUERY(Hospitais_BD!E:Y,""select V where E='""&amp;A22&amp;""' and I= '""&amp;AD2&amp;""'"",1))"),0.0)</f>
        <v>0</v>
      </c>
      <c r="AE22" s="260">
        <f>IFERROR(__xludf.DUMMYFUNCTION("SUM(QUERY(Hospitais_BD!E:Y,""select V where E='""&amp;A22&amp;""' and I= '""&amp;AE2&amp;""'"",1))"),0.0)</f>
        <v>0</v>
      </c>
      <c r="AF22" s="255">
        <f t="shared" ref="AF22:AH22" si="126">Z22-AC22</f>
        <v>0</v>
      </c>
      <c r="AG22" s="255">
        <f t="shared" si="126"/>
        <v>0</v>
      </c>
      <c r="AH22" s="255">
        <f t="shared" si="126"/>
        <v>0</v>
      </c>
      <c r="AI22" s="251"/>
      <c r="AJ22" s="258">
        <f>IFERROR(__xludf.DUMMYFUNCTION("SUM(QUERY(Hospitais_BD!E:Q,""select Q where E='""&amp;A22&amp;""'"",1))"),0.0)</f>
        <v>0</v>
      </c>
      <c r="AK22" s="258">
        <f>IFERROR(__xludf.DUMMYFUNCTION("SUM(QUERY(Hospitais_BD!E:Q,""select Q where E='""&amp;A22&amp;""' and I = '""&amp;AK2&amp;""'"",1))"),0.0)</f>
        <v>0</v>
      </c>
      <c r="AL22" s="259">
        <f>IFERROR(__xludf.DUMMYFUNCTION("SUM(QUERY(Hospitais_BD!E:Q,""select Q where E='""&amp;A22&amp;""' and I = '""&amp;AL2&amp;""'"",1))"),0.0)</f>
        <v>0</v>
      </c>
      <c r="AM22" s="260">
        <f>IFERROR(__xludf.DUMMYFUNCTION("SUM(QUERY(Hospitais_BD!E:Y,""select W where E='""&amp;A22&amp;""'"",1))"),0.0)</f>
        <v>0</v>
      </c>
      <c r="AN22" s="260">
        <f>IFERROR(__xludf.DUMMYFUNCTION("SUM(QUERY(Hospitais_BD!E:Y,""select W where E='""&amp;A22&amp;""' and I= '""&amp;AN2&amp;""'"",1))"),0.0)</f>
        <v>0</v>
      </c>
      <c r="AO22" s="260">
        <f>IFERROR(__xludf.DUMMYFUNCTION("SUM(QUERY(Hospitais_BD!E:Y,""select W where E='""&amp;A22&amp;""' and I= '""&amp;AO2&amp;""'"",1))"),0.0)</f>
        <v>0</v>
      </c>
      <c r="AP22" s="255">
        <f t="shared" ref="AP22:AR22" si="127">AJ22-AM22</f>
        <v>0</v>
      </c>
      <c r="AQ22" s="255">
        <f t="shared" si="127"/>
        <v>0</v>
      </c>
      <c r="AR22" s="255">
        <f t="shared" si="127"/>
        <v>0</v>
      </c>
      <c r="AS22" s="251"/>
      <c r="AT22" s="258">
        <f>IFERROR(__xludf.DUMMYFUNCTION("SUM(QUERY(Hospitais_BD!E:R,""select R where E='""&amp;A22&amp;""'"",1))"),0.0)</f>
        <v>0</v>
      </c>
      <c r="AU22" s="258">
        <f>IFERROR(__xludf.DUMMYFUNCTION("SUM(QUERY(Hospitais_BD!E:R,""select R where E='""&amp;A22&amp;""' and I = '""&amp;AU2&amp;""'"",1))"),0.0)</f>
        <v>0</v>
      </c>
      <c r="AV22" s="259">
        <f>IFERROR(__xludf.DUMMYFUNCTION("SUM(QUERY(Hospitais_BD!E:R,""select R where E='""&amp;A22&amp;""' and I = '""&amp;AV2&amp;""'"",1))"),0.0)</f>
        <v>0</v>
      </c>
      <c r="AW22" s="260">
        <f>IFERROR(__xludf.DUMMYFUNCTION("SUM(QUERY(Hospitais_BD!E:Y,""select X where E='""&amp;A22&amp;""'"",1))"),0.0)</f>
        <v>0</v>
      </c>
      <c r="AX22" s="260">
        <f>IFERROR(__xludf.DUMMYFUNCTION("SUM(QUERY(Hospitais_BD!E:Y,""select X where E='""&amp;A22&amp;""' and I = '""&amp;AX2&amp;""'"",1))"),0.0)</f>
        <v>0</v>
      </c>
      <c r="AY22" s="260">
        <f>IFERROR(__xludf.DUMMYFUNCTION("SUM(QUERY(Hospitais_BD!E:Y,""select X where E='""&amp;A22&amp;""' and I = '""&amp;AY2&amp;""'"",1))"),0.0)</f>
        <v>0</v>
      </c>
      <c r="AZ22" s="255">
        <f t="shared" ref="AZ22:BB22" si="128">AT22-AW22</f>
        <v>0</v>
      </c>
      <c r="BA22" s="255">
        <f t="shared" si="128"/>
        <v>0</v>
      </c>
      <c r="BB22" s="255">
        <f t="shared" si="128"/>
        <v>0</v>
      </c>
      <c r="BC22" s="251"/>
      <c r="BD22" s="258">
        <f>IFERROR(__xludf.DUMMYFUNCTION("SUM(QUERY(Hospitais_BD!E:S,""select S where E='""&amp;A22&amp;""'"",1))"),0.0)</f>
        <v>0</v>
      </c>
      <c r="BE22" s="258">
        <f>IFERROR(__xludf.DUMMYFUNCTION("SUM(QUERY(Hospitais_BD!E:S,""select S where E='""&amp;A22&amp;""' and I = '""&amp;BE2&amp;""'"",1))"),0.0)</f>
        <v>0</v>
      </c>
      <c r="BF22" s="259">
        <f>IFERROR(__xludf.DUMMYFUNCTION("SUM(QUERY(Hospitais_BD!E:S,""select S where E='""&amp;A22&amp;""' and I = '""&amp;BF2&amp;""'"",1))"),0.0)</f>
        <v>0</v>
      </c>
      <c r="BG22" s="260">
        <f>IFERROR(__xludf.DUMMYFUNCTION("SUM(QUERY(Hospitais_BD!E:Y,""select Y where E='""&amp;A22&amp;""'"",1))"),0.0)</f>
        <v>0</v>
      </c>
      <c r="BH22" s="260">
        <f>IFERROR(__xludf.DUMMYFUNCTION("SUM(QUERY(Hospitais_BD!E:Y,""select Y where E='""&amp;A22&amp;""' and I = '""&amp;BH2&amp;""'"",1))"),0.0)</f>
        <v>0</v>
      </c>
      <c r="BI22" s="260">
        <f>IFERROR(__xludf.DUMMYFUNCTION("SUM(QUERY(Hospitais_BD!E:Y,""select Y where E='""&amp;A22&amp;""' and I = '""&amp;BI2&amp;""'"",1))"),0.0)</f>
        <v>0</v>
      </c>
      <c r="BJ22" s="255">
        <f t="shared" ref="BJ22:BL22" si="129">BD22-BG22</f>
        <v>0</v>
      </c>
      <c r="BK22" s="255">
        <f t="shared" si="129"/>
        <v>0</v>
      </c>
      <c r="BL22" s="255">
        <f t="shared" si="129"/>
        <v>0</v>
      </c>
    </row>
  </sheetData>
  <mergeCells count="6">
    <mergeCell ref="F1:N1"/>
    <mergeCell ref="P1:X1"/>
    <mergeCell ref="Z1:AH1"/>
    <mergeCell ref="AJ1:AR1"/>
    <mergeCell ref="AT1:BB1"/>
    <mergeCell ref="BD1:BL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0.75" customHeight="1">
      <c r="A1" s="266" t="str">
        <f>IFERROR(__xludf.DUMMYFUNCTION("QUERY(Hospitais_BD!A:AI,""select * where T+U+V+W+X+Y &gt; 0"",1)"),"Data")</f>
        <v>Data</v>
      </c>
      <c r="B1" s="266" t="str">
        <f>IFERROR(__xludf.DUMMYFUNCTION("""COMPUTED_VALUE"""),"Hora")</f>
        <v>Hora</v>
      </c>
      <c r="C1" s="266" t="str">
        <f>IFERROR(__xludf.DUMMYFUNCTION("""COMPUTED_VALUE"""),"Hospital nº")</f>
        <v>Hospital nº</v>
      </c>
      <c r="D1" s="266" t="str">
        <f>IFERROR(__xludf.DUMMYFUNCTION("""COMPUTED_VALUE"""),"Hospital")</f>
        <v>Hospital</v>
      </c>
      <c r="E1" s="266" t="str">
        <f>IFERROR(__xludf.DUMMYFUNCTION("""COMPUTED_VALUE"""),"Regiao")</f>
        <v>Regiao</v>
      </c>
      <c r="F1" s="266" t="str">
        <f>IFERROR(__xludf.DUMMYFUNCTION("""COMPUTED_VALUE"""),"Municipio")</f>
        <v>Municipio</v>
      </c>
      <c r="G1" s="266" t="str">
        <f>IFERROR(__xludf.DUMMYFUNCTION("""COMPUTED_VALUE"""),"Bairro")</f>
        <v>Bairro</v>
      </c>
      <c r="H1" s="266" t="str">
        <f>IFERROR(__xludf.DUMMYFUNCTION("""COMPUTED_VALUE"""),"Nivel")</f>
        <v>Nivel</v>
      </c>
      <c r="I1" s="266" t="str">
        <f>IFERROR(__xludf.DUMMYFUNCTION("""COMPUTED_VALUE"""),"Tipo")</f>
        <v>Tipo</v>
      </c>
      <c r="J1" s="266" t="str">
        <f>IFERROR(__xludf.DUMMYFUNCTION("""COMPUTED_VALUE"""),"Observacoes")</f>
        <v>Observacoes</v>
      </c>
      <c r="K1" s="266" t="str">
        <f>IFERROR(__xludf.DUMMYFUNCTION("""COMPUTED_VALUE"""),"Nome contato")</f>
        <v>Nome contato</v>
      </c>
      <c r="L1" s="266" t="str">
        <f>IFERROR(__xludf.DUMMYFUNCTION("""COMPUTED_VALUE"""),"Telefone contato")</f>
        <v>Telefone contato</v>
      </c>
      <c r="M1" s="266" t="str">
        <f>IFERROR(__xludf.DUMMYFUNCTION("""COMPUTED_VALUE"""),"E-mail")</f>
        <v>E-mail</v>
      </c>
      <c r="N1" s="266" t="str">
        <f>IFERROR(__xludf.DUMMYFUNCTION("""COMPUTED_VALUE"""),"Demanda 
Face Shields")</f>
        <v>Demanda 
Face Shields</v>
      </c>
      <c r="O1" s="266" t="str">
        <f>IFERROR(__xludf.DUMMYFUNCTION("""COMPUTED_VALUE"""),"Demanda
N-95")</f>
        <v>Demanda
N-95</v>
      </c>
      <c r="P1" s="266" t="str">
        <f>IFERROR(__xludf.DUMMYFUNCTION("""COMPUTED_VALUE"""),"Demanda
Suporte")</f>
        <v>Demanda
Suporte</v>
      </c>
      <c r="Q1" s="266" t="str">
        <f>IFERROR(__xludf.DUMMYFUNCTION("""COMPUTED_VALUE"""),"Demanda
Oculos ")</f>
        <v>Demanda
Oculos </v>
      </c>
      <c r="R1" s="266" t="str">
        <f>IFERROR(__xludf.DUMMYFUNCTION("""COMPUTED_VALUE"""),"Demanda 
Alcool Gel(L)")</f>
        <v>Demanda 
Alcool Gel(L)</v>
      </c>
      <c r="S1" s="266" t="str">
        <f>IFERROR(__xludf.DUMMYFUNCTION("""COMPUTED_VALUE"""),"Demanda
Alcool Líq(L)")</f>
        <v>Demanda
Alcool Líq(L)</v>
      </c>
      <c r="T1" s="266" t="str">
        <f>IFERROR(__xludf.DUMMYFUNCTION("""COMPUTED_VALUE"""),"Entregues
Face Shields")</f>
        <v>Entregues
Face Shields</v>
      </c>
      <c r="U1" s="266" t="str">
        <f>IFERROR(__xludf.DUMMYFUNCTION("""COMPUTED_VALUE"""),"Entregues
N-95")</f>
        <v>Entregues
N-95</v>
      </c>
      <c r="V1" s="266" t="str">
        <f>IFERROR(__xludf.DUMMYFUNCTION("""COMPUTED_VALUE"""),"Entregues
Suporte")</f>
        <v>Entregues
Suporte</v>
      </c>
      <c r="W1" s="266" t="str">
        <f>IFERROR(__xludf.DUMMYFUNCTION("""COMPUTED_VALUE"""),"Entregues
Oculos")</f>
        <v>Entregues
Oculos</v>
      </c>
      <c r="X1" s="266" t="str">
        <f>IFERROR(__xludf.DUMMYFUNCTION("""COMPUTED_VALUE"""),"Entrega 
Alcool Líq")</f>
        <v>Entrega 
Alcool Líq</v>
      </c>
      <c r="Y1" s="266" t="str">
        <f>IFERROR(__xludf.DUMMYFUNCTION("""COMPUTED_VALUE"""),"Entrega 
Alcool Líq.")</f>
        <v>Entrega 
Alcool Líq.</v>
      </c>
      <c r="Z1" s="266" t="str">
        <f>IFERROR(__xludf.DUMMYFUNCTION("""COMPUTED_VALUE"""),"Falta
Face Shields")</f>
        <v>Falta
Face Shields</v>
      </c>
      <c r="AA1" s="266" t="str">
        <f>IFERROR(__xludf.DUMMYFUNCTION("""COMPUTED_VALUE"""),"Falta
N-95")</f>
        <v>Falta
N-95</v>
      </c>
      <c r="AB1" s="266" t="str">
        <f>IFERROR(__xludf.DUMMYFUNCTION("""COMPUTED_VALUE"""),"Falta
Suporte")</f>
        <v>Falta
Suporte</v>
      </c>
      <c r="AC1" s="266" t="str">
        <f>IFERROR(__xludf.DUMMYFUNCTION("""COMPUTED_VALUE"""),"Falta
Oculos")</f>
        <v>Falta
Oculos</v>
      </c>
      <c r="AD1" s="267" t="str">
        <f>IFERROR(__xludf.DUMMYFUNCTION("""COMPUTED_VALUE"""),"Falta Alcool
Gel(L)")</f>
        <v>Falta Alcool
Gel(L)</v>
      </c>
      <c r="AE1" s="267" t="str">
        <f>IFERROR(__xludf.DUMMYFUNCTION("""COMPUTED_VALUE"""),"Falta Alcool
Líq.(L)")</f>
        <v>Falta Alcool
Líq.(L)</v>
      </c>
      <c r="AF1" s="267" t="str">
        <f>IFERROR(__xludf.DUMMYFUNCTION("""COMPUTED_VALUE"""),"LAT/LON")</f>
        <v>LAT/LON</v>
      </c>
      <c r="AG1" s="267" t="str">
        <f>IFERROR(__xludf.DUMMYFUNCTION("""COMPUTED_VALUE"""),"Numero 
de Casos")</f>
        <v>Numero 
de Casos</v>
      </c>
      <c r="AH1" s="267" t="str">
        <f>IFERROR(__xludf.DUMMYFUNCTION("""COMPUTED_VALUE"""),"Leitos 
de Uti")</f>
        <v>Leitos 
de Uti</v>
      </c>
      <c r="AI1" s="267" t="str">
        <f>IFERROR(__xludf.DUMMYFUNCTION("""COMPUTED_VALUE"""),"Leitos de 
Campanha")</f>
        <v>Leitos de 
Campanha</v>
      </c>
      <c r="AJ1" s="267" t="s">
        <v>1117</v>
      </c>
    </row>
    <row r="2" ht="22.5" customHeight="1">
      <c r="A2" s="170" t="str">
        <f>IFERROR(__xludf.DUMMYFUNCTION("""COMPUTED_VALUE"""),"")</f>
        <v/>
      </c>
      <c r="B2" s="170" t="str">
        <f>IFERROR(__xludf.DUMMYFUNCTION("""COMPUTED_VALUE"""),"")</f>
        <v/>
      </c>
      <c r="C2" s="170">
        <f>IFERROR(__xludf.DUMMYFUNCTION("""COMPUTED_VALUE"""),4.0)</f>
        <v>4</v>
      </c>
      <c r="D2" s="170" t="str">
        <f>IFERROR(__xludf.DUMMYFUNCTION("""COMPUTED_VALUE"""),"Casa de Saúde São José")</f>
        <v>Casa de Saúde São José</v>
      </c>
      <c r="E2" s="170" t="str">
        <f>IFERROR(__xludf.DUMMYFUNCTION("""COMPUTED_VALUE"""),"ZONA SUL")</f>
        <v>ZONA SUL</v>
      </c>
      <c r="F2" s="170" t="str">
        <f>IFERROR(__xludf.DUMMYFUNCTION("""COMPUTED_VALUE"""),"Rio de Janeiro")</f>
        <v>Rio de Janeiro</v>
      </c>
      <c r="G2" s="170" t="str">
        <f>IFERROR(__xludf.DUMMYFUNCTION("""COMPUTED_VALUE"""),"Humaita")</f>
        <v>Humaita</v>
      </c>
      <c r="H2" s="170" t="str">
        <f>IFERROR(__xludf.DUMMYFUNCTION("""COMPUTED_VALUE"""),"Unidade básica - BAIXA COMPLEXIDADE")</f>
        <v>Unidade básica - BAIXA COMPLEXIDADE</v>
      </c>
      <c r="I2" s="170" t="str">
        <f>IFERROR(__xludf.DUMMYFUNCTION("""COMPUTED_VALUE"""),"Privado")</f>
        <v>Privado</v>
      </c>
      <c r="J2" s="170" t="str">
        <f>IFERROR(__xludf.DUMMYFUNCTION("""COMPUTED_VALUE"""),"")</f>
        <v/>
      </c>
      <c r="K2" s="170" t="str">
        <f>IFERROR(__xludf.DUMMYFUNCTION("""COMPUTED_VALUE"""),"")</f>
        <v/>
      </c>
      <c r="L2" s="170" t="str">
        <f>IFERROR(__xludf.DUMMYFUNCTION("""COMPUTED_VALUE"""),"")</f>
        <v/>
      </c>
      <c r="M2" s="170" t="str">
        <f>IFERROR(__xludf.DUMMYFUNCTION("""COMPUTED_VALUE"""),"")</f>
        <v/>
      </c>
      <c r="N2" s="170">
        <f>IFERROR(__xludf.DUMMYFUNCTION("""COMPUTED_VALUE"""),0.0)</f>
        <v>0</v>
      </c>
      <c r="O2" s="170">
        <f>IFERROR(__xludf.DUMMYFUNCTION("""COMPUTED_VALUE"""),0.0)</f>
        <v>0</v>
      </c>
      <c r="P2" s="170">
        <f>IFERROR(__xludf.DUMMYFUNCTION("""COMPUTED_VALUE"""),0.0)</f>
        <v>0</v>
      </c>
      <c r="Q2" s="170">
        <f>IFERROR(__xludf.DUMMYFUNCTION("""COMPUTED_VALUE"""),0.0)</f>
        <v>0</v>
      </c>
      <c r="R2" s="170">
        <f>IFERROR(__xludf.DUMMYFUNCTION("""COMPUTED_VALUE"""),0.0)</f>
        <v>0</v>
      </c>
      <c r="S2" s="170">
        <f>IFERROR(__xludf.DUMMYFUNCTION("""COMPUTED_VALUE"""),0.0)</f>
        <v>0</v>
      </c>
      <c r="T2" s="170">
        <f>IFERROR(__xludf.DUMMYFUNCTION("""COMPUTED_VALUE"""),20.0)</f>
        <v>20</v>
      </c>
      <c r="U2" s="170">
        <f>IFERROR(__xludf.DUMMYFUNCTION("""COMPUTED_VALUE"""),0.0)</f>
        <v>0</v>
      </c>
      <c r="V2" s="170">
        <f>IFERROR(__xludf.DUMMYFUNCTION("""COMPUTED_VALUE"""),0.0)</f>
        <v>0</v>
      </c>
      <c r="W2" s="170">
        <f>IFERROR(__xludf.DUMMYFUNCTION("""COMPUTED_VALUE"""),0.0)</f>
        <v>0</v>
      </c>
      <c r="X2" s="170">
        <f>IFERROR(__xludf.DUMMYFUNCTION("""COMPUTED_VALUE"""),0.0)</f>
        <v>0</v>
      </c>
      <c r="Y2" s="170">
        <f>IFERROR(__xludf.DUMMYFUNCTION("""COMPUTED_VALUE"""),0.0)</f>
        <v>0</v>
      </c>
      <c r="Z2" s="170">
        <f>IFERROR(__xludf.DUMMYFUNCTION("""COMPUTED_VALUE"""),-20.0)</f>
        <v>-20</v>
      </c>
      <c r="AA2" s="170">
        <f>IFERROR(__xludf.DUMMYFUNCTION("""COMPUTED_VALUE"""),0.0)</f>
        <v>0</v>
      </c>
      <c r="AB2" s="170">
        <f>IFERROR(__xludf.DUMMYFUNCTION("""COMPUTED_VALUE"""),0.0)</f>
        <v>0</v>
      </c>
      <c r="AC2" s="170">
        <f>IFERROR(__xludf.DUMMYFUNCTION("""COMPUTED_VALUE"""),0.0)</f>
        <v>0</v>
      </c>
      <c r="AD2" s="170">
        <f>IFERROR(__xludf.DUMMYFUNCTION("""COMPUTED_VALUE"""),0.0)</f>
        <v>0</v>
      </c>
      <c r="AE2" s="170">
        <f>IFERROR(__xludf.DUMMYFUNCTION("""COMPUTED_VALUE"""),0.0)</f>
        <v>0</v>
      </c>
      <c r="AF2" s="170" t="str">
        <f>IFERROR(__xludf.DUMMYFUNCTION("""COMPUTED_VALUE"""),"-22.957929,-43.1983377")</f>
        <v>-22.957929,-43.1983377</v>
      </c>
      <c r="AG2" s="170">
        <f>IFERROR(__xludf.DUMMYFUNCTION("""COMPUTED_VALUE"""),0.0)</f>
        <v>0</v>
      </c>
      <c r="AH2" s="170">
        <f>IFERROR(__xludf.DUMMYFUNCTION("""COMPUTED_VALUE"""),0.0)</f>
        <v>0</v>
      </c>
      <c r="AI2" s="170">
        <f>IFERROR(__xludf.DUMMYFUNCTION("""COMPUTED_VALUE"""),0.0)</f>
        <v>0</v>
      </c>
      <c r="AJ2" s="170">
        <f>IFERROR(__xludf.DUMMYFUNCTION("ROWS(QUERY(Entregas_BD!D:AM,""select D where D ='""&amp;D2&amp;""'"",1))-1"),1.0)</f>
        <v>1</v>
      </c>
    </row>
    <row r="3" ht="22.5" customHeight="1">
      <c r="A3" s="268" t="str">
        <f>IFERROR(__xludf.DUMMYFUNCTION("""COMPUTED_VALUE"""),"")</f>
        <v/>
      </c>
      <c r="B3" s="268" t="str">
        <f>IFERROR(__xludf.DUMMYFUNCTION("""COMPUTED_VALUE"""),"")</f>
        <v/>
      </c>
      <c r="C3" s="268">
        <f>IFERROR(__xludf.DUMMYFUNCTION("""COMPUTED_VALUE"""),8.0)</f>
        <v>8</v>
      </c>
      <c r="D3" s="268" t="str">
        <f>IFERROR(__xludf.DUMMYFUNCTION("""COMPUTED_VALUE"""),"CER Leblon")</f>
        <v>CER Leblon</v>
      </c>
      <c r="E3" s="268" t="str">
        <f>IFERROR(__xludf.DUMMYFUNCTION("""COMPUTED_VALUE"""),"ZONA SUL")</f>
        <v>ZONA SUL</v>
      </c>
      <c r="F3" s="268" t="str">
        <f>IFERROR(__xludf.DUMMYFUNCTION("""COMPUTED_VALUE"""),"Rio de Janeiro")</f>
        <v>Rio de Janeiro</v>
      </c>
      <c r="G3" s="268" t="str">
        <f>IFERROR(__xludf.DUMMYFUNCTION("""COMPUTED_VALUE"""),"Leblon")</f>
        <v>Leblon</v>
      </c>
      <c r="H3" s="268" t="str">
        <f>IFERROR(__xludf.DUMMYFUNCTION("""COMPUTED_VALUE"""),"Grande emergência - MÉDIA COMPLEXIDADE")</f>
        <v>Grande emergência - MÉDIA COMPLEXIDADE</v>
      </c>
      <c r="I3" s="268" t="str">
        <f>IFERROR(__xludf.DUMMYFUNCTION("""COMPUTED_VALUE"""),"Público")</f>
        <v>Público</v>
      </c>
      <c r="J3" s="268" t="str">
        <f>IFERROR(__xludf.DUMMYFUNCTION("""COMPUTED_VALUE"""),"")</f>
        <v/>
      </c>
      <c r="K3" s="268" t="str">
        <f>IFERROR(__xludf.DUMMYFUNCTION("""COMPUTED_VALUE"""),"")</f>
        <v/>
      </c>
      <c r="L3" s="268" t="str">
        <f>IFERROR(__xludf.DUMMYFUNCTION("""COMPUTED_VALUE"""),"")</f>
        <v/>
      </c>
      <c r="M3" s="268" t="str">
        <f>IFERROR(__xludf.DUMMYFUNCTION("""COMPUTED_VALUE"""),"")</f>
        <v/>
      </c>
      <c r="N3" s="268">
        <f>IFERROR(__xludf.DUMMYFUNCTION("""COMPUTED_VALUE"""),0.0)</f>
        <v>0</v>
      </c>
      <c r="O3" s="268">
        <f>IFERROR(__xludf.DUMMYFUNCTION("""COMPUTED_VALUE"""),0.0)</f>
        <v>0</v>
      </c>
      <c r="P3" s="268">
        <f>IFERROR(__xludf.DUMMYFUNCTION("""COMPUTED_VALUE"""),0.0)</f>
        <v>0</v>
      </c>
      <c r="Q3" s="268">
        <f>IFERROR(__xludf.DUMMYFUNCTION("""COMPUTED_VALUE"""),0.0)</f>
        <v>0</v>
      </c>
      <c r="R3" s="268">
        <f>IFERROR(__xludf.DUMMYFUNCTION("""COMPUTED_VALUE"""),0.0)</f>
        <v>0</v>
      </c>
      <c r="S3" s="268">
        <f>IFERROR(__xludf.DUMMYFUNCTION("""COMPUTED_VALUE"""),0.0)</f>
        <v>0</v>
      </c>
      <c r="T3" s="268">
        <f>IFERROR(__xludf.DUMMYFUNCTION("""COMPUTED_VALUE"""),250.0)</f>
        <v>250</v>
      </c>
      <c r="U3" s="268">
        <f>IFERROR(__xludf.DUMMYFUNCTION("""COMPUTED_VALUE"""),0.0)</f>
        <v>0</v>
      </c>
      <c r="V3" s="268">
        <f>IFERROR(__xludf.DUMMYFUNCTION("""COMPUTED_VALUE"""),0.0)</f>
        <v>0</v>
      </c>
      <c r="W3" s="268">
        <f>IFERROR(__xludf.DUMMYFUNCTION("""COMPUTED_VALUE"""),0.0)</f>
        <v>0</v>
      </c>
      <c r="X3" s="268">
        <f>IFERROR(__xludf.DUMMYFUNCTION("""COMPUTED_VALUE"""),0.0)</f>
        <v>0</v>
      </c>
      <c r="Y3" s="268">
        <f>IFERROR(__xludf.DUMMYFUNCTION("""COMPUTED_VALUE"""),0.0)</f>
        <v>0</v>
      </c>
      <c r="Z3" s="268">
        <f>IFERROR(__xludf.DUMMYFUNCTION("""COMPUTED_VALUE"""),-250.0)</f>
        <v>-250</v>
      </c>
      <c r="AA3" s="268">
        <f>IFERROR(__xludf.DUMMYFUNCTION("""COMPUTED_VALUE"""),0.0)</f>
        <v>0</v>
      </c>
      <c r="AB3" s="268">
        <f>IFERROR(__xludf.DUMMYFUNCTION("""COMPUTED_VALUE"""),0.0)</f>
        <v>0</v>
      </c>
      <c r="AC3" s="268">
        <f>IFERROR(__xludf.DUMMYFUNCTION("""COMPUTED_VALUE"""),0.0)</f>
        <v>0</v>
      </c>
      <c r="AD3" s="268">
        <f>IFERROR(__xludf.DUMMYFUNCTION("""COMPUTED_VALUE"""),0.0)</f>
        <v>0</v>
      </c>
      <c r="AE3" s="268">
        <f>IFERROR(__xludf.DUMMYFUNCTION("""COMPUTED_VALUE"""),0.0)</f>
        <v>0</v>
      </c>
      <c r="AF3" s="268" t="str">
        <f>IFERROR(__xludf.DUMMYFUNCTION("""COMPUTED_VALUE"""),"-22.9771638,-43.2235966")</f>
        <v>-22.9771638,-43.2235966</v>
      </c>
      <c r="AG3" s="268">
        <f>IFERROR(__xludf.DUMMYFUNCTION("""COMPUTED_VALUE"""),0.0)</f>
        <v>0</v>
      </c>
      <c r="AH3" s="268">
        <f>IFERROR(__xludf.DUMMYFUNCTION("""COMPUTED_VALUE"""),0.0)</f>
        <v>0</v>
      </c>
      <c r="AI3" s="268">
        <f>IFERROR(__xludf.DUMMYFUNCTION("""COMPUTED_VALUE"""),0.0)</f>
        <v>0</v>
      </c>
      <c r="AJ3" s="268">
        <f>IFERROR(__xludf.DUMMYFUNCTION("ROWS(QUERY(Entregas_BD!D:AM,""select D where D ='""&amp;D3&amp;""'"",1))-1"),2.0)</f>
        <v>2</v>
      </c>
    </row>
    <row r="4" ht="22.5" customHeight="1">
      <c r="A4" s="170" t="str">
        <f>IFERROR(__xludf.DUMMYFUNCTION("""COMPUTED_VALUE"""),"")</f>
        <v/>
      </c>
      <c r="B4" s="170" t="str">
        <f>IFERROR(__xludf.DUMMYFUNCTION("""COMPUTED_VALUE"""),"")</f>
        <v/>
      </c>
      <c r="C4" s="170">
        <f>IFERROR(__xludf.DUMMYFUNCTION("""COMPUTED_VALUE"""),14.0)</f>
        <v>14</v>
      </c>
      <c r="D4" s="170" t="str">
        <f>IFERROR(__xludf.DUMMYFUNCTION("""COMPUTED_VALUE"""),"Clinica da Familia Felippe Cardoso")</f>
        <v>Clinica da Familia Felippe Cardoso</v>
      </c>
      <c r="E4" s="170" t="str">
        <f>IFERROR(__xludf.DUMMYFUNCTION("""COMPUTED_VALUE"""),"ZONA NORTE")</f>
        <v>ZONA NORTE</v>
      </c>
      <c r="F4" s="170" t="str">
        <f>IFERROR(__xludf.DUMMYFUNCTION("""COMPUTED_VALUE"""),"Rio de Janeiro")</f>
        <v>Rio de Janeiro</v>
      </c>
      <c r="G4" s="170" t="str">
        <f>IFERROR(__xludf.DUMMYFUNCTION("""COMPUTED_VALUE"""),"Penha")</f>
        <v>Penha</v>
      </c>
      <c r="H4" s="170" t="str">
        <f>IFERROR(__xludf.DUMMYFUNCTION("""COMPUTED_VALUE"""),"Unidade básica - BAIXA COMPLEXIDADE")</f>
        <v>Unidade básica - BAIXA COMPLEXIDADE</v>
      </c>
      <c r="I4" s="170" t="str">
        <f>IFERROR(__xludf.DUMMYFUNCTION("""COMPUTED_VALUE"""),"Público")</f>
        <v>Público</v>
      </c>
      <c r="J4" s="170" t="str">
        <f>IFERROR(__xludf.DUMMYFUNCTION("""COMPUTED_VALUE"""),"")</f>
        <v/>
      </c>
      <c r="K4" s="170" t="str">
        <f>IFERROR(__xludf.DUMMYFUNCTION("""COMPUTED_VALUE"""),"")</f>
        <v/>
      </c>
      <c r="L4" s="170" t="str">
        <f>IFERROR(__xludf.DUMMYFUNCTION("""COMPUTED_VALUE"""),"")</f>
        <v/>
      </c>
      <c r="M4" s="170" t="str">
        <f>IFERROR(__xludf.DUMMYFUNCTION("""COMPUTED_VALUE"""),"")</f>
        <v/>
      </c>
      <c r="N4" s="170">
        <f>IFERROR(__xludf.DUMMYFUNCTION("""COMPUTED_VALUE"""),0.0)</f>
        <v>0</v>
      </c>
      <c r="O4" s="170">
        <f>IFERROR(__xludf.DUMMYFUNCTION("""COMPUTED_VALUE"""),0.0)</f>
        <v>0</v>
      </c>
      <c r="P4" s="170">
        <f>IFERROR(__xludf.DUMMYFUNCTION("""COMPUTED_VALUE"""),0.0)</f>
        <v>0</v>
      </c>
      <c r="Q4" s="170">
        <f>IFERROR(__xludf.DUMMYFUNCTION("""COMPUTED_VALUE"""),0.0)</f>
        <v>0</v>
      </c>
      <c r="R4" s="170">
        <f>IFERROR(__xludf.DUMMYFUNCTION("""COMPUTED_VALUE"""),0.0)</f>
        <v>0</v>
      </c>
      <c r="S4" s="170">
        <f>IFERROR(__xludf.DUMMYFUNCTION("""COMPUTED_VALUE"""),0.0)</f>
        <v>0</v>
      </c>
      <c r="T4" s="170">
        <f>IFERROR(__xludf.DUMMYFUNCTION("""COMPUTED_VALUE"""),50.0)</f>
        <v>50</v>
      </c>
      <c r="U4" s="170">
        <f>IFERROR(__xludf.DUMMYFUNCTION("""COMPUTED_VALUE"""),0.0)</f>
        <v>0</v>
      </c>
      <c r="V4" s="170">
        <f>IFERROR(__xludf.DUMMYFUNCTION("""COMPUTED_VALUE"""),0.0)</f>
        <v>0</v>
      </c>
      <c r="W4" s="170">
        <f>IFERROR(__xludf.DUMMYFUNCTION("""COMPUTED_VALUE"""),0.0)</f>
        <v>0</v>
      </c>
      <c r="X4" s="170">
        <f>IFERROR(__xludf.DUMMYFUNCTION("""COMPUTED_VALUE"""),30.0)</f>
        <v>30</v>
      </c>
      <c r="Y4" s="170">
        <f>IFERROR(__xludf.DUMMYFUNCTION("""COMPUTED_VALUE"""),0.0)</f>
        <v>0</v>
      </c>
      <c r="Z4" s="170">
        <f>IFERROR(__xludf.DUMMYFUNCTION("""COMPUTED_VALUE"""),-50.0)</f>
        <v>-50</v>
      </c>
      <c r="AA4" s="170">
        <f>IFERROR(__xludf.DUMMYFUNCTION("""COMPUTED_VALUE"""),0.0)</f>
        <v>0</v>
      </c>
      <c r="AB4" s="170">
        <f>IFERROR(__xludf.DUMMYFUNCTION("""COMPUTED_VALUE"""),0.0)</f>
        <v>0</v>
      </c>
      <c r="AC4" s="170">
        <f>IFERROR(__xludf.DUMMYFUNCTION("""COMPUTED_VALUE"""),0.0)</f>
        <v>0</v>
      </c>
      <c r="AD4" s="170">
        <f>IFERROR(__xludf.DUMMYFUNCTION("""COMPUTED_VALUE"""),0.0)</f>
        <v>0</v>
      </c>
      <c r="AE4" s="170">
        <f>IFERROR(__xludf.DUMMYFUNCTION("""COMPUTED_VALUE"""),-30.0)</f>
        <v>-30</v>
      </c>
      <c r="AF4" s="170" t="str">
        <f>IFERROR(__xludf.DUMMYFUNCTION("""COMPUTED_VALUE"""),"-22.8427552,-43.2789656")</f>
        <v>-22.8427552,-43.2789656</v>
      </c>
      <c r="AG4" s="170">
        <f>IFERROR(__xludf.DUMMYFUNCTION("""COMPUTED_VALUE"""),0.0)</f>
        <v>0</v>
      </c>
      <c r="AH4" s="170">
        <f>IFERROR(__xludf.DUMMYFUNCTION("""COMPUTED_VALUE"""),0.0)</f>
        <v>0</v>
      </c>
      <c r="AI4" s="170">
        <f>IFERROR(__xludf.DUMMYFUNCTION("""COMPUTED_VALUE"""),0.0)</f>
        <v>0</v>
      </c>
      <c r="AJ4" s="170">
        <f>IFERROR(__xludf.DUMMYFUNCTION("ROWS(QUERY(Entregas_BD!D:AM,""select D where D ='""&amp;D4&amp;""'"",1))-1"),1.0)</f>
        <v>1</v>
      </c>
    </row>
    <row r="5" ht="22.5" customHeight="1">
      <c r="A5" s="268" t="str">
        <f>IFERROR(__xludf.DUMMYFUNCTION("""COMPUTED_VALUE"""),"")</f>
        <v/>
      </c>
      <c r="B5" s="268" t="str">
        <f>IFERROR(__xludf.DUMMYFUNCTION("""COMPUTED_VALUE"""),"")</f>
        <v/>
      </c>
      <c r="C5" s="268">
        <f>IFERROR(__xludf.DUMMYFUNCTION("""COMPUTED_VALUE"""),15.0)</f>
        <v>15</v>
      </c>
      <c r="D5" s="268" t="str">
        <f>IFERROR(__xludf.DUMMYFUNCTION("""COMPUTED_VALUE"""),"Clínica Da família João Batista Chagas")</f>
        <v>Clínica Da família João Batista Chagas</v>
      </c>
      <c r="E5" s="268" t="str">
        <f>IFERROR(__xludf.DUMMYFUNCTION("""COMPUTED_VALUE"""),"ZONA OESTE")</f>
        <v>ZONA OESTE</v>
      </c>
      <c r="F5" s="268" t="str">
        <f>IFERROR(__xludf.DUMMYFUNCTION("""COMPUTED_VALUE"""),"Rio de Janeiro")</f>
        <v>Rio de Janeiro</v>
      </c>
      <c r="G5" s="268" t="str">
        <f>IFERROR(__xludf.DUMMYFUNCTION("""COMPUTED_VALUE"""),"Paciência proximo a Santa Cruz")</f>
        <v>Paciência proximo a Santa Cruz</v>
      </c>
      <c r="H5" s="268" t="str">
        <f>IFERROR(__xludf.DUMMYFUNCTION("""COMPUTED_VALUE"""),"Unidade básica - BAIXA COMPLEXIDADE")</f>
        <v>Unidade básica - BAIXA COMPLEXIDADE</v>
      </c>
      <c r="I5" s="268" t="str">
        <f>IFERROR(__xludf.DUMMYFUNCTION("""COMPUTED_VALUE"""),"Público")</f>
        <v>Público</v>
      </c>
      <c r="J5" s="268" t="str">
        <f>IFERROR(__xludf.DUMMYFUNCTION("""COMPUTED_VALUE"""),"")</f>
        <v/>
      </c>
      <c r="K5" s="268" t="str">
        <f>IFERROR(__xludf.DUMMYFUNCTION("""COMPUTED_VALUE"""),"")</f>
        <v/>
      </c>
      <c r="L5" s="268" t="str">
        <f>IFERROR(__xludf.DUMMYFUNCTION("""COMPUTED_VALUE"""),"")</f>
        <v/>
      </c>
      <c r="M5" s="268" t="str">
        <f>IFERROR(__xludf.DUMMYFUNCTION("""COMPUTED_VALUE"""),"")</f>
        <v/>
      </c>
      <c r="N5" s="268">
        <f>IFERROR(__xludf.DUMMYFUNCTION("""COMPUTED_VALUE"""),0.0)</f>
        <v>0</v>
      </c>
      <c r="O5" s="268">
        <f>IFERROR(__xludf.DUMMYFUNCTION("""COMPUTED_VALUE"""),0.0)</f>
        <v>0</v>
      </c>
      <c r="P5" s="268">
        <f>IFERROR(__xludf.DUMMYFUNCTION("""COMPUTED_VALUE"""),0.0)</f>
        <v>0</v>
      </c>
      <c r="Q5" s="268">
        <f>IFERROR(__xludf.DUMMYFUNCTION("""COMPUTED_VALUE"""),0.0)</f>
        <v>0</v>
      </c>
      <c r="R5" s="268">
        <f>IFERROR(__xludf.DUMMYFUNCTION("""COMPUTED_VALUE"""),0.0)</f>
        <v>0</v>
      </c>
      <c r="S5" s="268">
        <f>IFERROR(__xludf.DUMMYFUNCTION("""COMPUTED_VALUE"""),0.0)</f>
        <v>0</v>
      </c>
      <c r="T5" s="268">
        <f>IFERROR(__xludf.DUMMYFUNCTION("""COMPUTED_VALUE"""),25.0)</f>
        <v>25</v>
      </c>
      <c r="U5" s="268">
        <f>IFERROR(__xludf.DUMMYFUNCTION("""COMPUTED_VALUE"""),0.0)</f>
        <v>0</v>
      </c>
      <c r="V5" s="268">
        <f>IFERROR(__xludf.DUMMYFUNCTION("""COMPUTED_VALUE"""),0.0)</f>
        <v>0</v>
      </c>
      <c r="W5" s="268">
        <f>IFERROR(__xludf.DUMMYFUNCTION("""COMPUTED_VALUE"""),0.0)</f>
        <v>0</v>
      </c>
      <c r="X5" s="268">
        <f>IFERROR(__xludf.DUMMYFUNCTION("""COMPUTED_VALUE"""),50.0)</f>
        <v>50</v>
      </c>
      <c r="Y5" s="268">
        <f>IFERROR(__xludf.DUMMYFUNCTION("""COMPUTED_VALUE"""),0.0)</f>
        <v>0</v>
      </c>
      <c r="Z5" s="268">
        <f>IFERROR(__xludf.DUMMYFUNCTION("""COMPUTED_VALUE"""),-25.0)</f>
        <v>-25</v>
      </c>
      <c r="AA5" s="268">
        <f>IFERROR(__xludf.DUMMYFUNCTION("""COMPUTED_VALUE"""),0.0)</f>
        <v>0</v>
      </c>
      <c r="AB5" s="268">
        <f>IFERROR(__xludf.DUMMYFUNCTION("""COMPUTED_VALUE"""),0.0)</f>
        <v>0</v>
      </c>
      <c r="AC5" s="268">
        <f>IFERROR(__xludf.DUMMYFUNCTION("""COMPUTED_VALUE"""),0.0)</f>
        <v>0</v>
      </c>
      <c r="AD5" s="268">
        <f>IFERROR(__xludf.DUMMYFUNCTION("""COMPUTED_VALUE"""),0.0)</f>
        <v>0</v>
      </c>
      <c r="AE5" s="268">
        <f>IFERROR(__xludf.DUMMYFUNCTION("""COMPUTED_VALUE"""),-50.0)</f>
        <v>-50</v>
      </c>
      <c r="AF5" s="268" t="str">
        <f>IFERROR(__xludf.DUMMYFUNCTION("""COMPUTED_VALUE"""),"-22.9328133,-43.6368045")</f>
        <v>-22.9328133,-43.6368045</v>
      </c>
      <c r="AG5" s="268">
        <f>IFERROR(__xludf.DUMMYFUNCTION("""COMPUTED_VALUE"""),0.0)</f>
        <v>0</v>
      </c>
      <c r="AH5" s="268">
        <f>IFERROR(__xludf.DUMMYFUNCTION("""COMPUTED_VALUE"""),0.0)</f>
        <v>0</v>
      </c>
      <c r="AI5" s="268">
        <f>IFERROR(__xludf.DUMMYFUNCTION("""COMPUTED_VALUE"""),0.0)</f>
        <v>0</v>
      </c>
      <c r="AJ5" s="268">
        <f>IFERROR(__xludf.DUMMYFUNCTION("ROWS(QUERY(Entregas_BD!D:AM,""select D where D ='""&amp;D5&amp;""'"",1))-1"),1.0)</f>
        <v>1</v>
      </c>
    </row>
    <row r="6" ht="22.5" customHeight="1">
      <c r="A6" s="170" t="str">
        <f>IFERROR(__xludf.DUMMYFUNCTION("""COMPUTED_VALUE"""),"")</f>
        <v/>
      </c>
      <c r="B6" s="170" t="str">
        <f>IFERROR(__xludf.DUMMYFUNCTION("""COMPUTED_VALUE"""),"")</f>
        <v/>
      </c>
      <c r="C6" s="170">
        <f>IFERROR(__xludf.DUMMYFUNCTION("""COMPUTED_VALUE"""),16.0)</f>
        <v>16</v>
      </c>
      <c r="D6" s="170" t="str">
        <f>IFERROR(__xludf.DUMMYFUNCTION("""COMPUTED_VALUE"""),"Clínica da Família Mário Dias de Alencar")</f>
        <v>Clínica da Família Mário Dias de Alencar</v>
      </c>
      <c r="E6" s="170" t="str">
        <f>IFERROR(__xludf.DUMMYFUNCTION("""COMPUTED_VALUE"""),"ZONA OESTE")</f>
        <v>ZONA OESTE</v>
      </c>
      <c r="F6" s="170" t="str">
        <f>IFERROR(__xludf.DUMMYFUNCTION("""COMPUTED_VALUE"""),"Rio de Janeiro")</f>
        <v>Rio de Janeiro</v>
      </c>
      <c r="G6" s="170" t="str">
        <f>IFERROR(__xludf.DUMMYFUNCTION("""COMPUTED_VALUE"""),"Senador Camara")</f>
        <v>Senador Camara</v>
      </c>
      <c r="H6" s="170" t="str">
        <f>IFERROR(__xludf.DUMMYFUNCTION("""COMPUTED_VALUE"""),"Unidade básica - BAIXA COMPLEXIDADE")</f>
        <v>Unidade básica - BAIXA COMPLEXIDADE</v>
      </c>
      <c r="I6" s="170" t="str">
        <f>IFERROR(__xludf.DUMMYFUNCTION("""COMPUTED_VALUE"""),"Público")</f>
        <v>Público</v>
      </c>
      <c r="J6" s="170" t="str">
        <f>IFERROR(__xludf.DUMMYFUNCTION("""COMPUTED_VALUE"""),"")</f>
        <v/>
      </c>
      <c r="K6" s="170" t="str">
        <f>IFERROR(__xludf.DUMMYFUNCTION("""COMPUTED_VALUE"""),"")</f>
        <v/>
      </c>
      <c r="L6" s="170" t="str">
        <f>IFERROR(__xludf.DUMMYFUNCTION("""COMPUTED_VALUE"""),"")</f>
        <v/>
      </c>
      <c r="M6" s="170" t="str">
        <f>IFERROR(__xludf.DUMMYFUNCTION("""COMPUTED_VALUE"""),"")</f>
        <v/>
      </c>
      <c r="N6" s="170">
        <f>IFERROR(__xludf.DUMMYFUNCTION("""COMPUTED_VALUE"""),0.0)</f>
        <v>0</v>
      </c>
      <c r="O6" s="170">
        <f>IFERROR(__xludf.DUMMYFUNCTION("""COMPUTED_VALUE"""),0.0)</f>
        <v>0</v>
      </c>
      <c r="P6" s="170">
        <f>IFERROR(__xludf.DUMMYFUNCTION("""COMPUTED_VALUE"""),0.0)</f>
        <v>0</v>
      </c>
      <c r="Q6" s="170">
        <f>IFERROR(__xludf.DUMMYFUNCTION("""COMPUTED_VALUE"""),0.0)</f>
        <v>0</v>
      </c>
      <c r="R6" s="170">
        <f>IFERROR(__xludf.DUMMYFUNCTION("""COMPUTED_VALUE"""),0.0)</f>
        <v>0</v>
      </c>
      <c r="S6" s="170">
        <f>IFERROR(__xludf.DUMMYFUNCTION("""COMPUTED_VALUE"""),0.0)</f>
        <v>0</v>
      </c>
      <c r="T6" s="170">
        <f>IFERROR(__xludf.DUMMYFUNCTION("""COMPUTED_VALUE"""),25.0)</f>
        <v>25</v>
      </c>
      <c r="U6" s="170">
        <f>IFERROR(__xludf.DUMMYFUNCTION("""COMPUTED_VALUE"""),0.0)</f>
        <v>0</v>
      </c>
      <c r="V6" s="170">
        <f>IFERROR(__xludf.DUMMYFUNCTION("""COMPUTED_VALUE"""),0.0)</f>
        <v>0</v>
      </c>
      <c r="W6" s="170">
        <f>IFERROR(__xludf.DUMMYFUNCTION("""COMPUTED_VALUE"""),0.0)</f>
        <v>0</v>
      </c>
      <c r="X6" s="170">
        <f>IFERROR(__xludf.DUMMYFUNCTION("""COMPUTED_VALUE"""),50.0)</f>
        <v>50</v>
      </c>
      <c r="Y6" s="170">
        <f>IFERROR(__xludf.DUMMYFUNCTION("""COMPUTED_VALUE"""),0.0)</f>
        <v>0</v>
      </c>
      <c r="Z6" s="170">
        <f>IFERROR(__xludf.DUMMYFUNCTION("""COMPUTED_VALUE"""),-25.0)</f>
        <v>-25</v>
      </c>
      <c r="AA6" s="170">
        <f>IFERROR(__xludf.DUMMYFUNCTION("""COMPUTED_VALUE"""),0.0)</f>
        <v>0</v>
      </c>
      <c r="AB6" s="170">
        <f>IFERROR(__xludf.DUMMYFUNCTION("""COMPUTED_VALUE"""),0.0)</f>
        <v>0</v>
      </c>
      <c r="AC6" s="170">
        <f>IFERROR(__xludf.DUMMYFUNCTION("""COMPUTED_VALUE"""),0.0)</f>
        <v>0</v>
      </c>
      <c r="AD6" s="170">
        <f>IFERROR(__xludf.DUMMYFUNCTION("""COMPUTED_VALUE"""),0.0)</f>
        <v>0</v>
      </c>
      <c r="AE6" s="170">
        <f>IFERROR(__xludf.DUMMYFUNCTION("""COMPUTED_VALUE"""),-50.0)</f>
        <v>-50</v>
      </c>
      <c r="AF6" s="170" t="str">
        <f>IFERROR(__xludf.DUMMYFUNCTION("""COMPUTED_VALUE"""),"-22.8942385,-43.4884003")</f>
        <v>-22.8942385,-43.4884003</v>
      </c>
      <c r="AG6" s="170">
        <f>IFERROR(__xludf.DUMMYFUNCTION("""COMPUTED_VALUE"""),0.0)</f>
        <v>0</v>
      </c>
      <c r="AH6" s="170">
        <f>IFERROR(__xludf.DUMMYFUNCTION("""COMPUTED_VALUE"""),0.0)</f>
        <v>0</v>
      </c>
      <c r="AI6" s="170">
        <f>IFERROR(__xludf.DUMMYFUNCTION("""COMPUTED_VALUE"""),0.0)</f>
        <v>0</v>
      </c>
      <c r="AJ6" s="170">
        <f>IFERROR(__xludf.DUMMYFUNCTION("ROWS(QUERY(Entregas_BD!D:AM,""select D where D ='""&amp;D6&amp;""'"",1))-1"),1.0)</f>
        <v>1</v>
      </c>
    </row>
    <row r="7" ht="22.5" customHeight="1">
      <c r="A7" s="268" t="str">
        <f>IFERROR(__xludf.DUMMYFUNCTION("""COMPUTED_VALUE"""),"")</f>
        <v/>
      </c>
      <c r="B7" s="268" t="str">
        <f>IFERROR(__xludf.DUMMYFUNCTION("""COMPUTED_VALUE"""),"")</f>
        <v/>
      </c>
      <c r="C7" s="268">
        <f>IFERROR(__xludf.DUMMYFUNCTION("""COMPUTED_VALUE"""),17.0)</f>
        <v>17</v>
      </c>
      <c r="D7" s="268" t="str">
        <f>IFERROR(__xludf.DUMMYFUNCTION("""COMPUTED_VALUE"""),"Clínica da Família Nélio de Oliveira")</f>
        <v>Clínica da Família Nélio de Oliveira</v>
      </c>
      <c r="E7" s="268" t="str">
        <f>IFERROR(__xludf.DUMMYFUNCTION("""COMPUTED_VALUE"""),"CENTRO")</f>
        <v>CENTRO</v>
      </c>
      <c r="F7" s="268" t="str">
        <f>IFERROR(__xludf.DUMMYFUNCTION("""COMPUTED_VALUE"""),"Rio de Janeiro")</f>
        <v>Rio de Janeiro</v>
      </c>
      <c r="G7" s="268" t="str">
        <f>IFERROR(__xludf.DUMMYFUNCTION("""COMPUTED_VALUE"""),"Gamboa")</f>
        <v>Gamboa</v>
      </c>
      <c r="H7" s="268" t="str">
        <f>IFERROR(__xludf.DUMMYFUNCTION("""COMPUTED_VALUE"""),"Unidade básica - BAIXA COMPLEXIDADE")</f>
        <v>Unidade básica - BAIXA COMPLEXIDADE</v>
      </c>
      <c r="I7" s="268" t="str">
        <f>IFERROR(__xludf.DUMMYFUNCTION("""COMPUTED_VALUE"""),"Público")</f>
        <v>Público</v>
      </c>
      <c r="J7" s="268" t="str">
        <f>IFERROR(__xludf.DUMMYFUNCTION("""COMPUTED_VALUE"""),"")</f>
        <v/>
      </c>
      <c r="K7" s="268" t="str">
        <f>IFERROR(__xludf.DUMMYFUNCTION("""COMPUTED_VALUE"""),"")</f>
        <v/>
      </c>
      <c r="L7" s="268" t="str">
        <f>IFERROR(__xludf.DUMMYFUNCTION("""COMPUTED_VALUE"""),"")</f>
        <v/>
      </c>
      <c r="M7" s="268" t="str">
        <f>IFERROR(__xludf.DUMMYFUNCTION("""COMPUTED_VALUE"""),"")</f>
        <v/>
      </c>
      <c r="N7" s="268">
        <f>IFERROR(__xludf.DUMMYFUNCTION("""COMPUTED_VALUE"""),0.0)</f>
        <v>0</v>
      </c>
      <c r="O7" s="268">
        <f>IFERROR(__xludf.DUMMYFUNCTION("""COMPUTED_VALUE"""),0.0)</f>
        <v>0</v>
      </c>
      <c r="P7" s="268">
        <f>IFERROR(__xludf.DUMMYFUNCTION("""COMPUTED_VALUE"""),0.0)</f>
        <v>0</v>
      </c>
      <c r="Q7" s="268">
        <f>IFERROR(__xludf.DUMMYFUNCTION("""COMPUTED_VALUE"""),0.0)</f>
        <v>0</v>
      </c>
      <c r="R7" s="268">
        <f>IFERROR(__xludf.DUMMYFUNCTION("""COMPUTED_VALUE"""),0.0)</f>
        <v>0</v>
      </c>
      <c r="S7" s="268">
        <f>IFERROR(__xludf.DUMMYFUNCTION("""COMPUTED_VALUE"""),0.0)</f>
        <v>0</v>
      </c>
      <c r="T7" s="268">
        <f>IFERROR(__xludf.DUMMYFUNCTION("""COMPUTED_VALUE"""),25.0)</f>
        <v>25</v>
      </c>
      <c r="U7" s="268">
        <f>IFERROR(__xludf.DUMMYFUNCTION("""COMPUTED_VALUE"""),0.0)</f>
        <v>0</v>
      </c>
      <c r="V7" s="268">
        <f>IFERROR(__xludf.DUMMYFUNCTION("""COMPUTED_VALUE"""),0.0)</f>
        <v>0</v>
      </c>
      <c r="W7" s="268">
        <f>IFERROR(__xludf.DUMMYFUNCTION("""COMPUTED_VALUE"""),0.0)</f>
        <v>0</v>
      </c>
      <c r="X7" s="268">
        <f>IFERROR(__xludf.DUMMYFUNCTION("""COMPUTED_VALUE"""),0.0)</f>
        <v>0</v>
      </c>
      <c r="Y7" s="268">
        <f>IFERROR(__xludf.DUMMYFUNCTION("""COMPUTED_VALUE"""),0.0)</f>
        <v>0</v>
      </c>
      <c r="Z7" s="268">
        <f>IFERROR(__xludf.DUMMYFUNCTION("""COMPUTED_VALUE"""),-25.0)</f>
        <v>-25</v>
      </c>
      <c r="AA7" s="268">
        <f>IFERROR(__xludf.DUMMYFUNCTION("""COMPUTED_VALUE"""),0.0)</f>
        <v>0</v>
      </c>
      <c r="AB7" s="268">
        <f>IFERROR(__xludf.DUMMYFUNCTION("""COMPUTED_VALUE"""),0.0)</f>
        <v>0</v>
      </c>
      <c r="AC7" s="268">
        <f>IFERROR(__xludf.DUMMYFUNCTION("""COMPUTED_VALUE"""),0.0)</f>
        <v>0</v>
      </c>
      <c r="AD7" s="268">
        <f>IFERROR(__xludf.DUMMYFUNCTION("""COMPUTED_VALUE"""),0.0)</f>
        <v>0</v>
      </c>
      <c r="AE7" s="268">
        <f>IFERROR(__xludf.DUMMYFUNCTION("""COMPUTED_VALUE"""),0.0)</f>
        <v>0</v>
      </c>
      <c r="AF7" s="268" t="str">
        <f>IFERROR(__xludf.DUMMYFUNCTION("""COMPUTED_VALUE"""),"-22.8974365,-43.1961145")</f>
        <v>-22.8974365,-43.1961145</v>
      </c>
      <c r="AG7" s="268">
        <f>IFERROR(__xludf.DUMMYFUNCTION("""COMPUTED_VALUE"""),0.0)</f>
        <v>0</v>
      </c>
      <c r="AH7" s="268">
        <f>IFERROR(__xludf.DUMMYFUNCTION("""COMPUTED_VALUE"""),0.0)</f>
        <v>0</v>
      </c>
      <c r="AI7" s="268">
        <f>IFERROR(__xludf.DUMMYFUNCTION("""COMPUTED_VALUE"""),0.0)</f>
        <v>0</v>
      </c>
      <c r="AJ7" s="268">
        <f>IFERROR(__xludf.DUMMYFUNCTION("ROWS(QUERY(Entregas_BD!D:AM,""select D where D ='""&amp;D7&amp;""'"",1))-1"),1.0)</f>
        <v>1</v>
      </c>
    </row>
    <row r="8" ht="22.5" customHeight="1">
      <c r="A8" s="170" t="str">
        <f>IFERROR(__xludf.DUMMYFUNCTION("""COMPUTED_VALUE"""),"")</f>
        <v/>
      </c>
      <c r="B8" s="170" t="str">
        <f>IFERROR(__xludf.DUMMYFUNCTION("""COMPUTED_VALUE"""),"")</f>
        <v/>
      </c>
      <c r="C8" s="170">
        <f>IFERROR(__xludf.DUMMYFUNCTION("""COMPUTED_VALUE"""),21.0)</f>
        <v>21</v>
      </c>
      <c r="D8" s="170" t="str">
        <f>IFERROR(__xludf.DUMMYFUNCTION("""COMPUTED_VALUE"""),"CMS Albert Sabin")</f>
        <v>CMS Albert Sabin</v>
      </c>
      <c r="E8" s="170" t="str">
        <f>IFERROR(__xludf.DUMMYFUNCTION("""COMPUTED_VALUE"""),"ZONA SUL")</f>
        <v>ZONA SUL</v>
      </c>
      <c r="F8" s="170" t="str">
        <f>IFERROR(__xludf.DUMMYFUNCTION("""COMPUTED_VALUE"""),"Rio de Janeiro")</f>
        <v>Rio de Janeiro</v>
      </c>
      <c r="G8" s="170" t="str">
        <f>IFERROR(__xludf.DUMMYFUNCTION("""COMPUTED_VALUE"""),"Rocinha")</f>
        <v>Rocinha</v>
      </c>
      <c r="H8" s="170" t="str">
        <f>IFERROR(__xludf.DUMMYFUNCTION("""COMPUTED_VALUE"""),"Unidade básica - BAIXA COMPLEXIDADE")</f>
        <v>Unidade básica - BAIXA COMPLEXIDADE</v>
      </c>
      <c r="I8" s="170" t="str">
        <f>IFERROR(__xludf.DUMMYFUNCTION("""COMPUTED_VALUE"""),"Público")</f>
        <v>Público</v>
      </c>
      <c r="J8" s="170" t="str">
        <f>IFERROR(__xludf.DUMMYFUNCTION("""COMPUTED_VALUE"""),"")</f>
        <v/>
      </c>
      <c r="K8" s="170" t="str">
        <f>IFERROR(__xludf.DUMMYFUNCTION("""COMPUTED_VALUE"""),"")</f>
        <v/>
      </c>
      <c r="L8" s="170" t="str">
        <f>IFERROR(__xludf.DUMMYFUNCTION("""COMPUTED_VALUE"""),"")</f>
        <v/>
      </c>
      <c r="M8" s="170" t="str">
        <f>IFERROR(__xludf.DUMMYFUNCTION("""COMPUTED_VALUE"""),"")</f>
        <v/>
      </c>
      <c r="N8" s="170">
        <f>IFERROR(__xludf.DUMMYFUNCTION("""COMPUTED_VALUE"""),0.0)</f>
        <v>0</v>
      </c>
      <c r="O8" s="170">
        <f>IFERROR(__xludf.DUMMYFUNCTION("""COMPUTED_VALUE"""),0.0)</f>
        <v>0</v>
      </c>
      <c r="P8" s="170">
        <f>IFERROR(__xludf.DUMMYFUNCTION("""COMPUTED_VALUE"""),0.0)</f>
        <v>0</v>
      </c>
      <c r="Q8" s="170">
        <f>IFERROR(__xludf.DUMMYFUNCTION("""COMPUTED_VALUE"""),0.0)</f>
        <v>0</v>
      </c>
      <c r="R8" s="170">
        <f>IFERROR(__xludf.DUMMYFUNCTION("""COMPUTED_VALUE"""),0.0)</f>
        <v>0</v>
      </c>
      <c r="S8" s="170">
        <f>IFERROR(__xludf.DUMMYFUNCTION("""COMPUTED_VALUE"""),0.0)</f>
        <v>0</v>
      </c>
      <c r="T8" s="170">
        <f>IFERROR(__xludf.DUMMYFUNCTION("""COMPUTED_VALUE"""),20.0)</f>
        <v>20</v>
      </c>
      <c r="U8" s="170">
        <f>IFERROR(__xludf.DUMMYFUNCTION("""COMPUTED_VALUE"""),0.0)</f>
        <v>0</v>
      </c>
      <c r="V8" s="170">
        <f>IFERROR(__xludf.DUMMYFUNCTION("""COMPUTED_VALUE"""),0.0)</f>
        <v>0</v>
      </c>
      <c r="W8" s="170">
        <f>IFERROR(__xludf.DUMMYFUNCTION("""COMPUTED_VALUE"""),0.0)</f>
        <v>0</v>
      </c>
      <c r="X8" s="170">
        <f>IFERROR(__xludf.DUMMYFUNCTION("""COMPUTED_VALUE"""),0.0)</f>
        <v>0</v>
      </c>
      <c r="Y8" s="170">
        <f>IFERROR(__xludf.DUMMYFUNCTION("""COMPUTED_VALUE"""),0.0)</f>
        <v>0</v>
      </c>
      <c r="Z8" s="170">
        <f>IFERROR(__xludf.DUMMYFUNCTION("""COMPUTED_VALUE"""),-20.0)</f>
        <v>-20</v>
      </c>
      <c r="AA8" s="170">
        <f>IFERROR(__xludf.DUMMYFUNCTION("""COMPUTED_VALUE"""),0.0)</f>
        <v>0</v>
      </c>
      <c r="AB8" s="170">
        <f>IFERROR(__xludf.DUMMYFUNCTION("""COMPUTED_VALUE"""),0.0)</f>
        <v>0</v>
      </c>
      <c r="AC8" s="170">
        <f>IFERROR(__xludf.DUMMYFUNCTION("""COMPUTED_VALUE"""),0.0)</f>
        <v>0</v>
      </c>
      <c r="AD8" s="170">
        <f>IFERROR(__xludf.DUMMYFUNCTION("""COMPUTED_VALUE"""),0.0)</f>
        <v>0</v>
      </c>
      <c r="AE8" s="170">
        <f>IFERROR(__xludf.DUMMYFUNCTION("""COMPUTED_VALUE"""),0.0)</f>
        <v>0</v>
      </c>
      <c r="AF8" s="170" t="str">
        <f>IFERROR(__xludf.DUMMYFUNCTION("""COMPUTED_VALUE"""),"-22.9858747,-43.2452175")</f>
        <v>-22.9858747,-43.2452175</v>
      </c>
      <c r="AG8" s="170">
        <f>IFERROR(__xludf.DUMMYFUNCTION("""COMPUTED_VALUE"""),0.0)</f>
        <v>0</v>
      </c>
      <c r="AH8" s="170">
        <f>IFERROR(__xludf.DUMMYFUNCTION("""COMPUTED_VALUE"""),0.0)</f>
        <v>0</v>
      </c>
      <c r="AI8" s="170">
        <f>IFERROR(__xludf.DUMMYFUNCTION("""COMPUTED_VALUE"""),0.0)</f>
        <v>0</v>
      </c>
      <c r="AJ8" s="170">
        <f>IFERROR(__xludf.DUMMYFUNCTION("ROWS(QUERY(Entregas_BD!D:AM,""select D where D ='""&amp;D8&amp;""'"",1))-1"),1.0)</f>
        <v>1</v>
      </c>
    </row>
    <row r="9" ht="22.5" customHeight="1">
      <c r="A9" s="268" t="str">
        <f>IFERROR(__xludf.DUMMYFUNCTION("""COMPUTED_VALUE"""),"")</f>
        <v/>
      </c>
      <c r="B9" s="268" t="str">
        <f>IFERROR(__xludf.DUMMYFUNCTION("""COMPUTED_VALUE"""),"")</f>
        <v/>
      </c>
      <c r="C9" s="268">
        <f>IFERROR(__xludf.DUMMYFUNCTION("""COMPUTED_VALUE"""),22.0)</f>
        <v>22</v>
      </c>
      <c r="D9" s="268" t="str">
        <f>IFERROR(__xludf.DUMMYFUNCTION("""COMPUTED_VALUE"""),"CMS Alice Toledo Tibiriçá")</f>
        <v>CMS Alice Toledo Tibiriçá</v>
      </c>
      <c r="E9" s="268" t="str">
        <f>IFERROR(__xludf.DUMMYFUNCTION("""COMPUTED_VALUE"""),"ZONA NORTE")</f>
        <v>ZONA NORTE</v>
      </c>
      <c r="F9" s="268" t="str">
        <f>IFERROR(__xludf.DUMMYFUNCTION("""COMPUTED_VALUE"""),"Rio de Janeiro")</f>
        <v>Rio de Janeiro</v>
      </c>
      <c r="G9" s="268" t="str">
        <f>IFERROR(__xludf.DUMMYFUNCTION("""COMPUTED_VALUE"""),"Iraja")</f>
        <v>Iraja</v>
      </c>
      <c r="H9" s="268" t="str">
        <f>IFERROR(__xludf.DUMMYFUNCTION("""COMPUTED_VALUE"""),"Unidade básica - BAIXA COMPLEXIDADE")</f>
        <v>Unidade básica - BAIXA COMPLEXIDADE</v>
      </c>
      <c r="I9" s="268" t="str">
        <f>IFERROR(__xludf.DUMMYFUNCTION("""COMPUTED_VALUE"""),"Público")</f>
        <v>Público</v>
      </c>
      <c r="J9" s="268" t="str">
        <f>IFERROR(__xludf.DUMMYFUNCTION("""COMPUTED_VALUE"""),"")</f>
        <v/>
      </c>
      <c r="K9" s="268" t="str">
        <f>IFERROR(__xludf.DUMMYFUNCTION("""COMPUTED_VALUE"""),"")</f>
        <v/>
      </c>
      <c r="L9" s="268" t="str">
        <f>IFERROR(__xludf.DUMMYFUNCTION("""COMPUTED_VALUE"""),"")</f>
        <v/>
      </c>
      <c r="M9" s="268" t="str">
        <f>IFERROR(__xludf.DUMMYFUNCTION("""COMPUTED_VALUE"""),"")</f>
        <v/>
      </c>
      <c r="N9" s="268">
        <f>IFERROR(__xludf.DUMMYFUNCTION("""COMPUTED_VALUE"""),0.0)</f>
        <v>0</v>
      </c>
      <c r="O9" s="268">
        <f>IFERROR(__xludf.DUMMYFUNCTION("""COMPUTED_VALUE"""),0.0)</f>
        <v>0</v>
      </c>
      <c r="P9" s="268">
        <f>IFERROR(__xludf.DUMMYFUNCTION("""COMPUTED_VALUE"""),0.0)</f>
        <v>0</v>
      </c>
      <c r="Q9" s="268">
        <f>IFERROR(__xludf.DUMMYFUNCTION("""COMPUTED_VALUE"""),0.0)</f>
        <v>0</v>
      </c>
      <c r="R9" s="268">
        <f>IFERROR(__xludf.DUMMYFUNCTION("""COMPUTED_VALUE"""),0.0)</f>
        <v>0</v>
      </c>
      <c r="S9" s="268">
        <f>IFERROR(__xludf.DUMMYFUNCTION("""COMPUTED_VALUE"""),0.0)</f>
        <v>0</v>
      </c>
      <c r="T9" s="268">
        <f>IFERROR(__xludf.DUMMYFUNCTION("""COMPUTED_VALUE"""),20.0)</f>
        <v>20</v>
      </c>
      <c r="U9" s="268">
        <f>IFERROR(__xludf.DUMMYFUNCTION("""COMPUTED_VALUE"""),0.0)</f>
        <v>0</v>
      </c>
      <c r="V9" s="268">
        <f>IFERROR(__xludf.DUMMYFUNCTION("""COMPUTED_VALUE"""),0.0)</f>
        <v>0</v>
      </c>
      <c r="W9" s="268">
        <f>IFERROR(__xludf.DUMMYFUNCTION("""COMPUTED_VALUE"""),0.0)</f>
        <v>0</v>
      </c>
      <c r="X9" s="268">
        <f>IFERROR(__xludf.DUMMYFUNCTION("""COMPUTED_VALUE"""),0.0)</f>
        <v>0</v>
      </c>
      <c r="Y9" s="268">
        <f>IFERROR(__xludf.DUMMYFUNCTION("""COMPUTED_VALUE"""),0.0)</f>
        <v>0</v>
      </c>
      <c r="Z9" s="268">
        <f>IFERROR(__xludf.DUMMYFUNCTION("""COMPUTED_VALUE"""),-20.0)</f>
        <v>-20</v>
      </c>
      <c r="AA9" s="268">
        <f>IFERROR(__xludf.DUMMYFUNCTION("""COMPUTED_VALUE"""),0.0)</f>
        <v>0</v>
      </c>
      <c r="AB9" s="268">
        <f>IFERROR(__xludf.DUMMYFUNCTION("""COMPUTED_VALUE"""),0.0)</f>
        <v>0</v>
      </c>
      <c r="AC9" s="268">
        <f>IFERROR(__xludf.DUMMYFUNCTION("""COMPUTED_VALUE"""),0.0)</f>
        <v>0</v>
      </c>
      <c r="AD9" s="268">
        <f>IFERROR(__xludf.DUMMYFUNCTION("""COMPUTED_VALUE"""),0.0)</f>
        <v>0</v>
      </c>
      <c r="AE9" s="268">
        <f>IFERROR(__xludf.DUMMYFUNCTION("""COMPUTED_VALUE"""),0.0)</f>
        <v>0</v>
      </c>
      <c r="AF9" s="268" t="str">
        <f>IFERROR(__xludf.DUMMYFUNCTION("""COMPUTED_VALUE"""),"-22.8304095,-43.32879")</f>
        <v>-22.8304095,-43.32879</v>
      </c>
      <c r="AG9" s="268">
        <f>IFERROR(__xludf.DUMMYFUNCTION("""COMPUTED_VALUE"""),0.0)</f>
        <v>0</v>
      </c>
      <c r="AH9" s="268">
        <f>IFERROR(__xludf.DUMMYFUNCTION("""COMPUTED_VALUE"""),0.0)</f>
        <v>0</v>
      </c>
      <c r="AI9" s="268">
        <f>IFERROR(__xludf.DUMMYFUNCTION("""COMPUTED_VALUE"""),0.0)</f>
        <v>0</v>
      </c>
      <c r="AJ9" s="268">
        <f>IFERROR(__xludf.DUMMYFUNCTION("ROWS(QUERY(Entregas_BD!D:AM,""select D where D ='""&amp;D9&amp;""'"",1))-1"),1.0)</f>
        <v>1</v>
      </c>
    </row>
    <row r="10" ht="22.5" customHeight="1">
      <c r="A10" s="170" t="str">
        <f>IFERROR(__xludf.DUMMYFUNCTION("""COMPUTED_VALUE"""),"")</f>
        <v/>
      </c>
      <c r="B10" s="170" t="str">
        <f>IFERROR(__xludf.DUMMYFUNCTION("""COMPUTED_VALUE"""),"")</f>
        <v/>
      </c>
      <c r="C10" s="170">
        <f>IFERROR(__xludf.DUMMYFUNCTION("""COMPUTED_VALUE"""),24.0)</f>
        <v>24</v>
      </c>
      <c r="D10" s="170" t="str">
        <f>IFERROR(__xludf.DUMMYFUNCTION("""COMPUTED_VALUE"""),"CMS Cecília Donnangelo")</f>
        <v>CMS Cecília Donnangelo</v>
      </c>
      <c r="E10" s="170" t="str">
        <f>IFERROR(__xludf.DUMMYFUNCTION("""COMPUTED_VALUE"""),"ZONA OESTE")</f>
        <v>ZONA OESTE</v>
      </c>
      <c r="F10" s="170" t="str">
        <f>IFERROR(__xludf.DUMMYFUNCTION("""COMPUTED_VALUE"""),"Rio de Janeiro")</f>
        <v>Rio de Janeiro</v>
      </c>
      <c r="G10" s="170" t="str">
        <f>IFERROR(__xludf.DUMMYFUNCTION("""COMPUTED_VALUE"""),"Vargem grande")</f>
        <v>Vargem grande</v>
      </c>
      <c r="H10" s="170" t="str">
        <f>IFERROR(__xludf.DUMMYFUNCTION("""COMPUTED_VALUE"""),"Unidade básica - BAIXA COMPLEXIDADE")</f>
        <v>Unidade básica - BAIXA COMPLEXIDADE</v>
      </c>
      <c r="I10" s="170" t="str">
        <f>IFERROR(__xludf.DUMMYFUNCTION("""COMPUTED_VALUE"""),"Público")</f>
        <v>Público</v>
      </c>
      <c r="J10" s="170" t="str">
        <f>IFERROR(__xludf.DUMMYFUNCTION("""COMPUTED_VALUE"""),"")</f>
        <v/>
      </c>
      <c r="K10" s="170" t="str">
        <f>IFERROR(__xludf.DUMMYFUNCTION("""COMPUTED_VALUE"""),"")</f>
        <v/>
      </c>
      <c r="L10" s="170" t="str">
        <f>IFERROR(__xludf.DUMMYFUNCTION("""COMPUTED_VALUE"""),"")</f>
        <v/>
      </c>
      <c r="M10" s="170" t="str">
        <f>IFERROR(__xludf.DUMMYFUNCTION("""COMPUTED_VALUE"""),"")</f>
        <v/>
      </c>
      <c r="N10" s="170">
        <f>IFERROR(__xludf.DUMMYFUNCTION("""COMPUTED_VALUE"""),0.0)</f>
        <v>0</v>
      </c>
      <c r="O10" s="170">
        <f>IFERROR(__xludf.DUMMYFUNCTION("""COMPUTED_VALUE"""),0.0)</f>
        <v>0</v>
      </c>
      <c r="P10" s="170">
        <f>IFERROR(__xludf.DUMMYFUNCTION("""COMPUTED_VALUE"""),0.0)</f>
        <v>0</v>
      </c>
      <c r="Q10" s="170">
        <f>IFERROR(__xludf.DUMMYFUNCTION("""COMPUTED_VALUE"""),0.0)</f>
        <v>0</v>
      </c>
      <c r="R10" s="170">
        <f>IFERROR(__xludf.DUMMYFUNCTION("""COMPUTED_VALUE"""),0.0)</f>
        <v>0</v>
      </c>
      <c r="S10" s="170">
        <f>IFERROR(__xludf.DUMMYFUNCTION("""COMPUTED_VALUE"""),0.0)</f>
        <v>0</v>
      </c>
      <c r="T10" s="170">
        <f>IFERROR(__xludf.DUMMYFUNCTION("""COMPUTED_VALUE"""),20.0)</f>
        <v>20</v>
      </c>
      <c r="U10" s="170">
        <f>IFERROR(__xludf.DUMMYFUNCTION("""COMPUTED_VALUE"""),0.0)</f>
        <v>0</v>
      </c>
      <c r="V10" s="170">
        <f>IFERROR(__xludf.DUMMYFUNCTION("""COMPUTED_VALUE"""),0.0)</f>
        <v>0</v>
      </c>
      <c r="W10" s="170">
        <f>IFERROR(__xludf.DUMMYFUNCTION("""COMPUTED_VALUE"""),0.0)</f>
        <v>0</v>
      </c>
      <c r="X10" s="170">
        <f>IFERROR(__xludf.DUMMYFUNCTION("""COMPUTED_VALUE"""),0.0)</f>
        <v>0</v>
      </c>
      <c r="Y10" s="170">
        <f>IFERROR(__xludf.DUMMYFUNCTION("""COMPUTED_VALUE"""),0.0)</f>
        <v>0</v>
      </c>
      <c r="Z10" s="170">
        <f>IFERROR(__xludf.DUMMYFUNCTION("""COMPUTED_VALUE"""),-20.0)</f>
        <v>-20</v>
      </c>
      <c r="AA10" s="170">
        <f>IFERROR(__xludf.DUMMYFUNCTION("""COMPUTED_VALUE"""),0.0)</f>
        <v>0</v>
      </c>
      <c r="AB10" s="170">
        <f>IFERROR(__xludf.DUMMYFUNCTION("""COMPUTED_VALUE"""),0.0)</f>
        <v>0</v>
      </c>
      <c r="AC10" s="170">
        <f>IFERROR(__xludf.DUMMYFUNCTION("""COMPUTED_VALUE"""),0.0)</f>
        <v>0</v>
      </c>
      <c r="AD10" s="170">
        <f>IFERROR(__xludf.DUMMYFUNCTION("""COMPUTED_VALUE"""),0.0)</f>
        <v>0</v>
      </c>
      <c r="AE10" s="170">
        <f>IFERROR(__xludf.DUMMYFUNCTION("""COMPUTED_VALUE"""),0.0)</f>
        <v>0</v>
      </c>
      <c r="AF10" s="170" t="str">
        <f>IFERROR(__xludf.DUMMYFUNCTION("""COMPUTED_VALUE"""),"-22.986818,-43.477035")</f>
        <v>-22.986818,-43.477035</v>
      </c>
      <c r="AG10" s="170">
        <f>IFERROR(__xludf.DUMMYFUNCTION("""COMPUTED_VALUE"""),0.0)</f>
        <v>0</v>
      </c>
      <c r="AH10" s="170">
        <f>IFERROR(__xludf.DUMMYFUNCTION("""COMPUTED_VALUE"""),0.0)</f>
        <v>0</v>
      </c>
      <c r="AI10" s="170">
        <f>IFERROR(__xludf.DUMMYFUNCTION("""COMPUTED_VALUE"""),0.0)</f>
        <v>0</v>
      </c>
      <c r="AJ10" s="170">
        <f>IFERROR(__xludf.DUMMYFUNCTION("ROWS(QUERY(Entregas_BD!D:AM,""select D where D ='""&amp;D10&amp;""'"",1))-1"),1.0)</f>
        <v>1</v>
      </c>
    </row>
    <row r="11" ht="22.5" customHeight="1">
      <c r="A11" s="268" t="str">
        <f>IFERROR(__xludf.DUMMYFUNCTION("""COMPUTED_VALUE"""),"")</f>
        <v/>
      </c>
      <c r="B11" s="268" t="str">
        <f>IFERROR(__xludf.DUMMYFUNCTION("""COMPUTED_VALUE"""),"")</f>
        <v/>
      </c>
      <c r="C11" s="268">
        <f>IFERROR(__xludf.DUMMYFUNCTION("""COMPUTED_VALUE"""),25.0)</f>
        <v>25</v>
      </c>
      <c r="D11" s="268" t="str">
        <f>IFERROR(__xludf.DUMMYFUNCTION("""COMPUTED_VALUE"""),"CMS Harvey Ribeiro de Souza Filho")</f>
        <v>CMS Harvey Ribeiro de Souza Filho</v>
      </c>
      <c r="E11" s="268" t="str">
        <f>IFERROR(__xludf.DUMMYFUNCTION("""COMPUTED_VALUE"""),"ZONA OESTE")</f>
        <v>ZONA OESTE</v>
      </c>
      <c r="F11" s="268" t="str">
        <f>IFERROR(__xludf.DUMMYFUNCTION("""COMPUTED_VALUE"""),"Rio de Janeiro")</f>
        <v>Rio de Janeiro</v>
      </c>
      <c r="G11" s="268" t="str">
        <f>IFERROR(__xludf.DUMMYFUNCTION("""COMPUTED_VALUE"""),"Recreio dos Bandeirantes")</f>
        <v>Recreio dos Bandeirantes</v>
      </c>
      <c r="H11" s="268" t="str">
        <f>IFERROR(__xludf.DUMMYFUNCTION("""COMPUTED_VALUE"""),"Grande emergência - MÉDIA COMPLEXIDADE")</f>
        <v>Grande emergência - MÉDIA COMPLEXIDADE</v>
      </c>
      <c r="I11" s="268" t="str">
        <f>IFERROR(__xludf.DUMMYFUNCTION("""COMPUTED_VALUE"""),"Público")</f>
        <v>Público</v>
      </c>
      <c r="J11" s="268" t="str">
        <f>IFERROR(__xludf.DUMMYFUNCTION("""COMPUTED_VALUE"""),"")</f>
        <v/>
      </c>
      <c r="K11" s="268" t="str">
        <f>IFERROR(__xludf.DUMMYFUNCTION("""COMPUTED_VALUE"""),"")</f>
        <v/>
      </c>
      <c r="L11" s="268" t="str">
        <f>IFERROR(__xludf.DUMMYFUNCTION("""COMPUTED_VALUE"""),"")</f>
        <v/>
      </c>
      <c r="M11" s="268" t="str">
        <f>IFERROR(__xludf.DUMMYFUNCTION("""COMPUTED_VALUE"""),"")</f>
        <v/>
      </c>
      <c r="N11" s="268">
        <f>IFERROR(__xludf.DUMMYFUNCTION("""COMPUTED_VALUE"""),0.0)</f>
        <v>0</v>
      </c>
      <c r="O11" s="268">
        <f>IFERROR(__xludf.DUMMYFUNCTION("""COMPUTED_VALUE"""),0.0)</f>
        <v>0</v>
      </c>
      <c r="P11" s="268">
        <f>IFERROR(__xludf.DUMMYFUNCTION("""COMPUTED_VALUE"""),0.0)</f>
        <v>0</v>
      </c>
      <c r="Q11" s="268">
        <f>IFERROR(__xludf.DUMMYFUNCTION("""COMPUTED_VALUE"""),0.0)</f>
        <v>0</v>
      </c>
      <c r="R11" s="268">
        <f>IFERROR(__xludf.DUMMYFUNCTION("""COMPUTED_VALUE"""),0.0)</f>
        <v>0</v>
      </c>
      <c r="S11" s="268">
        <f>IFERROR(__xludf.DUMMYFUNCTION("""COMPUTED_VALUE"""),0.0)</f>
        <v>0</v>
      </c>
      <c r="T11" s="268">
        <f>IFERROR(__xludf.DUMMYFUNCTION("""COMPUTED_VALUE"""),25.0)</f>
        <v>25</v>
      </c>
      <c r="U11" s="268">
        <f>IFERROR(__xludf.DUMMYFUNCTION("""COMPUTED_VALUE"""),0.0)</f>
        <v>0</v>
      </c>
      <c r="V11" s="268">
        <f>IFERROR(__xludf.DUMMYFUNCTION("""COMPUTED_VALUE"""),0.0)</f>
        <v>0</v>
      </c>
      <c r="W11" s="268">
        <f>IFERROR(__xludf.DUMMYFUNCTION("""COMPUTED_VALUE"""),0.0)</f>
        <v>0</v>
      </c>
      <c r="X11" s="268">
        <f>IFERROR(__xludf.DUMMYFUNCTION("""COMPUTED_VALUE"""),0.0)</f>
        <v>0</v>
      </c>
      <c r="Y11" s="268">
        <f>IFERROR(__xludf.DUMMYFUNCTION("""COMPUTED_VALUE"""),0.0)</f>
        <v>0</v>
      </c>
      <c r="Z11" s="268">
        <f>IFERROR(__xludf.DUMMYFUNCTION("""COMPUTED_VALUE"""),-25.0)</f>
        <v>-25</v>
      </c>
      <c r="AA11" s="268">
        <f>IFERROR(__xludf.DUMMYFUNCTION("""COMPUTED_VALUE"""),0.0)</f>
        <v>0</v>
      </c>
      <c r="AB11" s="268">
        <f>IFERROR(__xludf.DUMMYFUNCTION("""COMPUTED_VALUE"""),0.0)</f>
        <v>0</v>
      </c>
      <c r="AC11" s="268">
        <f>IFERROR(__xludf.DUMMYFUNCTION("""COMPUTED_VALUE"""),0.0)</f>
        <v>0</v>
      </c>
      <c r="AD11" s="268">
        <f>IFERROR(__xludf.DUMMYFUNCTION("""COMPUTED_VALUE"""),0.0)</f>
        <v>0</v>
      </c>
      <c r="AE11" s="268">
        <f>IFERROR(__xludf.DUMMYFUNCTION("""COMPUTED_VALUE"""),0.0)</f>
        <v>0</v>
      </c>
      <c r="AF11" s="268" t="str">
        <f>IFERROR(__xludf.DUMMYFUNCTION("""COMPUTED_VALUE"""),"-23.0201619,-43.4826765")</f>
        <v>-23.0201619,-43.4826765</v>
      </c>
      <c r="AG11" s="268">
        <f>IFERROR(__xludf.DUMMYFUNCTION("""COMPUTED_VALUE"""),0.0)</f>
        <v>0</v>
      </c>
      <c r="AH11" s="268">
        <f>IFERROR(__xludf.DUMMYFUNCTION("""COMPUTED_VALUE"""),0.0)</f>
        <v>0</v>
      </c>
      <c r="AI11" s="268">
        <f>IFERROR(__xludf.DUMMYFUNCTION("""COMPUTED_VALUE"""),0.0)</f>
        <v>0</v>
      </c>
      <c r="AJ11" s="268">
        <f>IFERROR(__xludf.DUMMYFUNCTION("ROWS(QUERY(Entregas_BD!D:AM,""select D where D ='""&amp;D11&amp;""'"",1))-1"),1.0)</f>
        <v>1</v>
      </c>
    </row>
    <row r="12" ht="22.5" customHeight="1">
      <c r="A12" s="170" t="str">
        <f>IFERROR(__xludf.DUMMYFUNCTION("""COMPUTED_VALUE"""),"")</f>
        <v/>
      </c>
      <c r="B12" s="170" t="str">
        <f>IFERROR(__xludf.DUMMYFUNCTION("""COMPUTED_VALUE"""),"")</f>
        <v/>
      </c>
      <c r="C12" s="170">
        <f>IFERROR(__xludf.DUMMYFUNCTION("""COMPUTED_VALUE"""),26.0)</f>
        <v>26</v>
      </c>
      <c r="D12" s="170" t="str">
        <f>IFERROR(__xludf.DUMMYFUNCTION("""COMPUTED_VALUE"""),"CMS Jose Breves dos Santos")</f>
        <v>CMS Jose Breves dos Santos</v>
      </c>
      <c r="E12" s="170" t="str">
        <f>IFERROR(__xludf.DUMMYFUNCTION("""COMPUTED_VALUE"""),"ZONA NORTE")</f>
        <v>ZONA NORTE</v>
      </c>
      <c r="F12" s="170" t="str">
        <f>IFERROR(__xludf.DUMMYFUNCTION("""COMPUTED_VALUE"""),"Rio de Janeiro")</f>
        <v>Rio de Janeiro</v>
      </c>
      <c r="G12" s="170" t="str">
        <f>IFERROR(__xludf.DUMMYFUNCTION("""COMPUTED_VALUE"""),"Cordovil")</f>
        <v>Cordovil</v>
      </c>
      <c r="H12" s="170" t="str">
        <f>IFERROR(__xludf.DUMMYFUNCTION("""COMPUTED_VALUE"""),"Unidade básica - BAIXA COMPLEXIDADE")</f>
        <v>Unidade básica - BAIXA COMPLEXIDADE</v>
      </c>
      <c r="I12" s="170" t="str">
        <f>IFERROR(__xludf.DUMMYFUNCTION("""COMPUTED_VALUE"""),"Público")</f>
        <v>Público</v>
      </c>
      <c r="J12" s="170" t="str">
        <f>IFERROR(__xludf.DUMMYFUNCTION("""COMPUTED_VALUE"""),"")</f>
        <v/>
      </c>
      <c r="K12" s="170" t="str">
        <f>IFERROR(__xludf.DUMMYFUNCTION("""COMPUTED_VALUE"""),"")</f>
        <v/>
      </c>
      <c r="L12" s="170" t="str">
        <f>IFERROR(__xludf.DUMMYFUNCTION("""COMPUTED_VALUE"""),"")</f>
        <v/>
      </c>
      <c r="M12" s="170" t="str">
        <f>IFERROR(__xludf.DUMMYFUNCTION("""COMPUTED_VALUE"""),"")</f>
        <v/>
      </c>
      <c r="N12" s="170">
        <f>IFERROR(__xludf.DUMMYFUNCTION("""COMPUTED_VALUE"""),0.0)</f>
        <v>0</v>
      </c>
      <c r="O12" s="170">
        <f>IFERROR(__xludf.DUMMYFUNCTION("""COMPUTED_VALUE"""),0.0)</f>
        <v>0</v>
      </c>
      <c r="P12" s="170">
        <f>IFERROR(__xludf.DUMMYFUNCTION("""COMPUTED_VALUE"""),0.0)</f>
        <v>0</v>
      </c>
      <c r="Q12" s="170">
        <f>IFERROR(__xludf.DUMMYFUNCTION("""COMPUTED_VALUE"""),0.0)</f>
        <v>0</v>
      </c>
      <c r="R12" s="170">
        <f>IFERROR(__xludf.DUMMYFUNCTION("""COMPUTED_VALUE"""),0.0)</f>
        <v>0</v>
      </c>
      <c r="S12" s="170">
        <f>IFERROR(__xludf.DUMMYFUNCTION("""COMPUTED_VALUE"""),0.0)</f>
        <v>0</v>
      </c>
      <c r="T12" s="170">
        <f>IFERROR(__xludf.DUMMYFUNCTION("""COMPUTED_VALUE"""),20.0)</f>
        <v>20</v>
      </c>
      <c r="U12" s="170">
        <f>IFERROR(__xludf.DUMMYFUNCTION("""COMPUTED_VALUE"""),0.0)</f>
        <v>0</v>
      </c>
      <c r="V12" s="170">
        <f>IFERROR(__xludf.DUMMYFUNCTION("""COMPUTED_VALUE"""),0.0)</f>
        <v>0</v>
      </c>
      <c r="W12" s="170">
        <f>IFERROR(__xludf.DUMMYFUNCTION("""COMPUTED_VALUE"""),0.0)</f>
        <v>0</v>
      </c>
      <c r="X12" s="170">
        <f>IFERROR(__xludf.DUMMYFUNCTION("""COMPUTED_VALUE"""),0.0)</f>
        <v>0</v>
      </c>
      <c r="Y12" s="170">
        <f>IFERROR(__xludf.DUMMYFUNCTION("""COMPUTED_VALUE"""),0.0)</f>
        <v>0</v>
      </c>
      <c r="Z12" s="170">
        <f>IFERROR(__xludf.DUMMYFUNCTION("""COMPUTED_VALUE"""),-20.0)</f>
        <v>-20</v>
      </c>
      <c r="AA12" s="170">
        <f>IFERROR(__xludf.DUMMYFUNCTION("""COMPUTED_VALUE"""),0.0)</f>
        <v>0</v>
      </c>
      <c r="AB12" s="170">
        <f>IFERROR(__xludf.DUMMYFUNCTION("""COMPUTED_VALUE"""),0.0)</f>
        <v>0</v>
      </c>
      <c r="AC12" s="170">
        <f>IFERROR(__xludf.DUMMYFUNCTION("""COMPUTED_VALUE"""),0.0)</f>
        <v>0</v>
      </c>
      <c r="AD12" s="170">
        <f>IFERROR(__xludf.DUMMYFUNCTION("""COMPUTED_VALUE"""),0.0)</f>
        <v>0</v>
      </c>
      <c r="AE12" s="170">
        <f>IFERROR(__xludf.DUMMYFUNCTION("""COMPUTED_VALUE"""),0.0)</f>
        <v>0</v>
      </c>
      <c r="AF12" s="170" t="str">
        <f>IFERROR(__xludf.DUMMYFUNCTION("""COMPUTED_VALUE"""),"-22.8170123,-43.2895397")</f>
        <v>-22.8170123,-43.2895397</v>
      </c>
      <c r="AG12" s="170">
        <f>IFERROR(__xludf.DUMMYFUNCTION("""COMPUTED_VALUE"""),0.0)</f>
        <v>0</v>
      </c>
      <c r="AH12" s="170">
        <f>IFERROR(__xludf.DUMMYFUNCTION("""COMPUTED_VALUE"""),0.0)</f>
        <v>0</v>
      </c>
      <c r="AI12" s="170">
        <f>IFERROR(__xludf.DUMMYFUNCTION("""COMPUTED_VALUE"""),0.0)</f>
        <v>0</v>
      </c>
      <c r="AJ12" s="170">
        <f>IFERROR(__xludf.DUMMYFUNCTION("ROWS(QUERY(Entregas_BD!D:AM,""select D where D ='""&amp;D12&amp;""'"",1))-1"),1.0)</f>
        <v>1</v>
      </c>
    </row>
    <row r="13" ht="22.5" customHeight="1">
      <c r="A13" s="268" t="str">
        <f>IFERROR(__xludf.DUMMYFUNCTION("""COMPUTED_VALUE"""),"")</f>
        <v/>
      </c>
      <c r="B13" s="268" t="str">
        <f>IFERROR(__xludf.DUMMYFUNCTION("""COMPUTED_VALUE"""),"")</f>
        <v/>
      </c>
      <c r="C13" s="268">
        <f>IFERROR(__xludf.DUMMYFUNCTION("""COMPUTED_VALUE"""),27.0)</f>
        <v>27</v>
      </c>
      <c r="D13" s="268" t="str">
        <f>IFERROR(__xludf.DUMMYFUNCTION("""COMPUTED_VALUE"""),"CMS Manoel José Ferreira")</f>
        <v>CMS Manoel José Ferreira</v>
      </c>
      <c r="E13" s="268" t="str">
        <f>IFERROR(__xludf.DUMMYFUNCTION("""COMPUTED_VALUE"""),"ZONA SUL")</f>
        <v>ZONA SUL</v>
      </c>
      <c r="F13" s="268" t="str">
        <f>IFERROR(__xludf.DUMMYFUNCTION("""COMPUTED_VALUE"""),"Rio de Janeiro")</f>
        <v>Rio de Janeiro</v>
      </c>
      <c r="G13" s="268" t="str">
        <f>IFERROR(__xludf.DUMMYFUNCTION("""COMPUTED_VALUE"""),"Catete")</f>
        <v>Catete</v>
      </c>
      <c r="H13" s="268" t="str">
        <f>IFERROR(__xludf.DUMMYFUNCTION("""COMPUTED_VALUE"""),"Unidade básica - BAIXA COMPLEXIDADE")</f>
        <v>Unidade básica - BAIXA COMPLEXIDADE</v>
      </c>
      <c r="I13" s="268" t="str">
        <f>IFERROR(__xludf.DUMMYFUNCTION("""COMPUTED_VALUE"""),"Público")</f>
        <v>Público</v>
      </c>
      <c r="J13" s="268" t="str">
        <f>IFERROR(__xludf.DUMMYFUNCTION("""COMPUTED_VALUE"""),"")</f>
        <v/>
      </c>
      <c r="K13" s="268" t="str">
        <f>IFERROR(__xludf.DUMMYFUNCTION("""COMPUTED_VALUE"""),"")</f>
        <v/>
      </c>
      <c r="L13" s="268" t="str">
        <f>IFERROR(__xludf.DUMMYFUNCTION("""COMPUTED_VALUE"""),"")</f>
        <v/>
      </c>
      <c r="M13" s="268" t="str">
        <f>IFERROR(__xludf.DUMMYFUNCTION("""COMPUTED_VALUE"""),"")</f>
        <v/>
      </c>
      <c r="N13" s="268">
        <f>IFERROR(__xludf.DUMMYFUNCTION("""COMPUTED_VALUE"""),0.0)</f>
        <v>0</v>
      </c>
      <c r="O13" s="268">
        <f>IFERROR(__xludf.DUMMYFUNCTION("""COMPUTED_VALUE"""),0.0)</f>
        <v>0</v>
      </c>
      <c r="P13" s="268">
        <f>IFERROR(__xludf.DUMMYFUNCTION("""COMPUTED_VALUE"""),0.0)</f>
        <v>0</v>
      </c>
      <c r="Q13" s="268">
        <f>IFERROR(__xludf.DUMMYFUNCTION("""COMPUTED_VALUE"""),0.0)</f>
        <v>0</v>
      </c>
      <c r="R13" s="268">
        <f>IFERROR(__xludf.DUMMYFUNCTION("""COMPUTED_VALUE"""),0.0)</f>
        <v>0</v>
      </c>
      <c r="S13" s="268">
        <f>IFERROR(__xludf.DUMMYFUNCTION("""COMPUTED_VALUE"""),0.0)</f>
        <v>0</v>
      </c>
      <c r="T13" s="268">
        <f>IFERROR(__xludf.DUMMYFUNCTION("""COMPUTED_VALUE"""),20.0)</f>
        <v>20</v>
      </c>
      <c r="U13" s="268">
        <f>IFERROR(__xludf.DUMMYFUNCTION("""COMPUTED_VALUE"""),0.0)</f>
        <v>0</v>
      </c>
      <c r="V13" s="268">
        <f>IFERROR(__xludf.DUMMYFUNCTION("""COMPUTED_VALUE"""),0.0)</f>
        <v>0</v>
      </c>
      <c r="W13" s="268">
        <f>IFERROR(__xludf.DUMMYFUNCTION("""COMPUTED_VALUE"""),0.0)</f>
        <v>0</v>
      </c>
      <c r="X13" s="268">
        <f>IFERROR(__xludf.DUMMYFUNCTION("""COMPUTED_VALUE"""),0.0)</f>
        <v>0</v>
      </c>
      <c r="Y13" s="268">
        <f>IFERROR(__xludf.DUMMYFUNCTION("""COMPUTED_VALUE"""),0.0)</f>
        <v>0</v>
      </c>
      <c r="Z13" s="268">
        <f>IFERROR(__xludf.DUMMYFUNCTION("""COMPUTED_VALUE"""),-20.0)</f>
        <v>-20</v>
      </c>
      <c r="AA13" s="268">
        <f>IFERROR(__xludf.DUMMYFUNCTION("""COMPUTED_VALUE"""),0.0)</f>
        <v>0</v>
      </c>
      <c r="AB13" s="268">
        <f>IFERROR(__xludf.DUMMYFUNCTION("""COMPUTED_VALUE"""),0.0)</f>
        <v>0</v>
      </c>
      <c r="AC13" s="268">
        <f>IFERROR(__xludf.DUMMYFUNCTION("""COMPUTED_VALUE"""),0.0)</f>
        <v>0</v>
      </c>
      <c r="AD13" s="268">
        <f>IFERROR(__xludf.DUMMYFUNCTION("""COMPUTED_VALUE"""),0.0)</f>
        <v>0</v>
      </c>
      <c r="AE13" s="268">
        <f>IFERROR(__xludf.DUMMYFUNCTION("""COMPUTED_VALUE"""),0.0)</f>
        <v>0</v>
      </c>
      <c r="AF13" s="268" t="str">
        <f>IFERROR(__xludf.DUMMYFUNCTION("""COMPUTED_VALUE"""),"-22.9260359,-43.1786045")</f>
        <v>-22.9260359,-43.1786045</v>
      </c>
      <c r="AG13" s="268">
        <f>IFERROR(__xludf.DUMMYFUNCTION("""COMPUTED_VALUE"""),0.0)</f>
        <v>0</v>
      </c>
      <c r="AH13" s="268">
        <f>IFERROR(__xludf.DUMMYFUNCTION("""COMPUTED_VALUE"""),0.0)</f>
        <v>0</v>
      </c>
      <c r="AI13" s="268">
        <f>IFERROR(__xludf.DUMMYFUNCTION("""COMPUTED_VALUE"""),0.0)</f>
        <v>0</v>
      </c>
      <c r="AJ13" s="268">
        <f>IFERROR(__xludf.DUMMYFUNCTION("ROWS(QUERY(Entregas_BD!D:AM,""select D where D ='""&amp;D13&amp;""'"",1))-1"),1.0)</f>
        <v>1</v>
      </c>
    </row>
    <row r="14" ht="22.5" customHeight="1">
      <c r="A14" s="170" t="str">
        <f>IFERROR(__xludf.DUMMYFUNCTION("""COMPUTED_VALUE"""),"")</f>
        <v/>
      </c>
      <c r="B14" s="170" t="str">
        <f>IFERROR(__xludf.DUMMYFUNCTION("""COMPUTED_VALUE"""),"")</f>
        <v/>
      </c>
      <c r="C14" s="170">
        <f>IFERROR(__xludf.DUMMYFUNCTION("""COMPUTED_VALUE"""),28.0)</f>
        <v>28</v>
      </c>
      <c r="D14" s="170" t="str">
        <f>IFERROR(__xludf.DUMMYFUNCTION("""COMPUTED_VALUE"""),"CMS Padre Miguel ")</f>
        <v>CMS Padre Miguel </v>
      </c>
      <c r="E14" s="170" t="str">
        <f>IFERROR(__xludf.DUMMYFUNCTION("""COMPUTED_VALUE"""),"ZONA OESTE")</f>
        <v>ZONA OESTE</v>
      </c>
      <c r="F14" s="170" t="str">
        <f>IFERROR(__xludf.DUMMYFUNCTION("""COMPUTED_VALUE"""),"Rio de Janeiro")</f>
        <v>Rio de Janeiro</v>
      </c>
      <c r="G14" s="170" t="str">
        <f>IFERROR(__xludf.DUMMYFUNCTION("""COMPUTED_VALUE"""),"Padre Miguel")</f>
        <v>Padre Miguel</v>
      </c>
      <c r="H14" s="170" t="str">
        <f>IFERROR(__xludf.DUMMYFUNCTION("""COMPUTED_VALUE"""),"Unidade básica - BAIXA COMPLEXIDADE")</f>
        <v>Unidade básica - BAIXA COMPLEXIDADE</v>
      </c>
      <c r="I14" s="170" t="str">
        <f>IFERROR(__xludf.DUMMYFUNCTION("""COMPUTED_VALUE"""),"Público")</f>
        <v>Público</v>
      </c>
      <c r="J14" s="170" t="str">
        <f>IFERROR(__xludf.DUMMYFUNCTION("""COMPUTED_VALUE"""),"")</f>
        <v/>
      </c>
      <c r="K14" s="170" t="str">
        <f>IFERROR(__xludf.DUMMYFUNCTION("""COMPUTED_VALUE"""),"")</f>
        <v/>
      </c>
      <c r="L14" s="170" t="str">
        <f>IFERROR(__xludf.DUMMYFUNCTION("""COMPUTED_VALUE"""),"")</f>
        <v/>
      </c>
      <c r="M14" s="170" t="str">
        <f>IFERROR(__xludf.DUMMYFUNCTION("""COMPUTED_VALUE"""),"")</f>
        <v/>
      </c>
      <c r="N14" s="170">
        <f>IFERROR(__xludf.DUMMYFUNCTION("""COMPUTED_VALUE"""),0.0)</f>
        <v>0</v>
      </c>
      <c r="O14" s="170">
        <f>IFERROR(__xludf.DUMMYFUNCTION("""COMPUTED_VALUE"""),0.0)</f>
        <v>0</v>
      </c>
      <c r="P14" s="170">
        <f>IFERROR(__xludf.DUMMYFUNCTION("""COMPUTED_VALUE"""),0.0)</f>
        <v>0</v>
      </c>
      <c r="Q14" s="170">
        <f>IFERROR(__xludf.DUMMYFUNCTION("""COMPUTED_VALUE"""),0.0)</f>
        <v>0</v>
      </c>
      <c r="R14" s="170">
        <f>IFERROR(__xludf.DUMMYFUNCTION("""COMPUTED_VALUE"""),0.0)</f>
        <v>0</v>
      </c>
      <c r="S14" s="170">
        <f>IFERROR(__xludf.DUMMYFUNCTION("""COMPUTED_VALUE"""),0.0)</f>
        <v>0</v>
      </c>
      <c r="T14" s="170">
        <f>IFERROR(__xludf.DUMMYFUNCTION("""COMPUTED_VALUE"""),20.0)</f>
        <v>20</v>
      </c>
      <c r="U14" s="170">
        <f>IFERROR(__xludf.DUMMYFUNCTION("""COMPUTED_VALUE"""),0.0)</f>
        <v>0</v>
      </c>
      <c r="V14" s="170">
        <f>IFERROR(__xludf.DUMMYFUNCTION("""COMPUTED_VALUE"""),0.0)</f>
        <v>0</v>
      </c>
      <c r="W14" s="170">
        <f>IFERROR(__xludf.DUMMYFUNCTION("""COMPUTED_VALUE"""),0.0)</f>
        <v>0</v>
      </c>
      <c r="X14" s="170">
        <f>IFERROR(__xludf.DUMMYFUNCTION("""COMPUTED_VALUE"""),0.0)</f>
        <v>0</v>
      </c>
      <c r="Y14" s="170">
        <f>IFERROR(__xludf.DUMMYFUNCTION("""COMPUTED_VALUE"""),0.0)</f>
        <v>0</v>
      </c>
      <c r="Z14" s="170">
        <f>IFERROR(__xludf.DUMMYFUNCTION("""COMPUTED_VALUE"""),-20.0)</f>
        <v>-20</v>
      </c>
      <c r="AA14" s="170">
        <f>IFERROR(__xludf.DUMMYFUNCTION("""COMPUTED_VALUE"""),0.0)</f>
        <v>0</v>
      </c>
      <c r="AB14" s="170">
        <f>IFERROR(__xludf.DUMMYFUNCTION("""COMPUTED_VALUE"""),0.0)</f>
        <v>0</v>
      </c>
      <c r="AC14" s="170">
        <f>IFERROR(__xludf.DUMMYFUNCTION("""COMPUTED_VALUE"""),0.0)</f>
        <v>0</v>
      </c>
      <c r="AD14" s="170">
        <f>IFERROR(__xludf.DUMMYFUNCTION("""COMPUTED_VALUE"""),0.0)</f>
        <v>0</v>
      </c>
      <c r="AE14" s="170">
        <f>IFERROR(__xludf.DUMMYFUNCTION("""COMPUTED_VALUE"""),0.0)</f>
        <v>0</v>
      </c>
      <c r="AF14" s="170" t="str">
        <f>IFERROR(__xludf.DUMMYFUNCTION("""COMPUTED_VALUE"""),"-22.8729377,-43.4486948")</f>
        <v>-22.8729377,-43.4486948</v>
      </c>
      <c r="AG14" s="170">
        <f>IFERROR(__xludf.DUMMYFUNCTION("""COMPUTED_VALUE"""),0.0)</f>
        <v>0</v>
      </c>
      <c r="AH14" s="170">
        <f>IFERROR(__xludf.DUMMYFUNCTION("""COMPUTED_VALUE"""),0.0)</f>
        <v>0</v>
      </c>
      <c r="AI14" s="170">
        <f>IFERROR(__xludf.DUMMYFUNCTION("""COMPUTED_VALUE"""),0.0)</f>
        <v>0</v>
      </c>
      <c r="AJ14" s="170">
        <f>IFERROR(__xludf.DUMMYFUNCTION("ROWS(QUERY(Entregas_BD!D:AM,""select D where D ='""&amp;D14&amp;""'"",1))-1"),1.0)</f>
        <v>1</v>
      </c>
    </row>
    <row r="15" ht="22.5" customHeight="1">
      <c r="A15" s="268" t="str">
        <f>IFERROR(__xludf.DUMMYFUNCTION("""COMPUTED_VALUE"""),"")</f>
        <v/>
      </c>
      <c r="B15" s="268" t="str">
        <f>IFERROR(__xludf.DUMMYFUNCTION("""COMPUTED_VALUE"""),"")</f>
        <v/>
      </c>
      <c r="C15" s="268">
        <f>IFERROR(__xludf.DUMMYFUNCTION("""COMPUTED_VALUE"""),29.0)</f>
        <v>29</v>
      </c>
      <c r="D15" s="268" t="str">
        <f>IFERROR(__xludf.DUMMYFUNCTION("""COMPUTED_VALUE"""),"CMS PINDARO DE CARVALHO RODRIGUES")</f>
        <v>CMS PINDARO DE CARVALHO RODRIGUES</v>
      </c>
      <c r="E15" s="268" t="str">
        <f>IFERROR(__xludf.DUMMYFUNCTION("""COMPUTED_VALUE"""),"ZONA SUL")</f>
        <v>ZONA SUL</v>
      </c>
      <c r="F15" s="268" t="str">
        <f>IFERROR(__xludf.DUMMYFUNCTION("""COMPUTED_VALUE"""),"Rio de Janeiro")</f>
        <v>Rio de Janeiro</v>
      </c>
      <c r="G15" s="268" t="str">
        <f>IFERROR(__xludf.DUMMYFUNCTION("""COMPUTED_VALUE"""),"GAVEA")</f>
        <v>GAVEA</v>
      </c>
      <c r="H15" s="268" t="str">
        <f>IFERROR(__xludf.DUMMYFUNCTION("""COMPUTED_VALUE"""),"Unidade básica - BAIXA COMPLEXIDADE")</f>
        <v>Unidade básica - BAIXA COMPLEXIDADE</v>
      </c>
      <c r="I15" s="268" t="str">
        <f>IFERROR(__xludf.DUMMYFUNCTION("""COMPUTED_VALUE"""),"Público")</f>
        <v>Público</v>
      </c>
      <c r="J15" s="268" t="str">
        <f>IFERROR(__xludf.DUMMYFUNCTION("""COMPUTED_VALUE"""),"")</f>
        <v/>
      </c>
      <c r="K15" s="268" t="str">
        <f>IFERROR(__xludf.DUMMYFUNCTION("""COMPUTED_VALUE"""),"")</f>
        <v/>
      </c>
      <c r="L15" s="268" t="str">
        <f>IFERROR(__xludf.DUMMYFUNCTION("""COMPUTED_VALUE"""),"")</f>
        <v/>
      </c>
      <c r="M15" s="268" t="str">
        <f>IFERROR(__xludf.DUMMYFUNCTION("""COMPUTED_VALUE"""),"")</f>
        <v/>
      </c>
      <c r="N15" s="268">
        <f>IFERROR(__xludf.DUMMYFUNCTION("""COMPUTED_VALUE"""),0.0)</f>
        <v>0</v>
      </c>
      <c r="O15" s="268">
        <f>IFERROR(__xludf.DUMMYFUNCTION("""COMPUTED_VALUE"""),0.0)</f>
        <v>0</v>
      </c>
      <c r="P15" s="268">
        <f>IFERROR(__xludf.DUMMYFUNCTION("""COMPUTED_VALUE"""),0.0)</f>
        <v>0</v>
      </c>
      <c r="Q15" s="268">
        <f>IFERROR(__xludf.DUMMYFUNCTION("""COMPUTED_VALUE"""),0.0)</f>
        <v>0</v>
      </c>
      <c r="R15" s="268">
        <f>IFERROR(__xludf.DUMMYFUNCTION("""COMPUTED_VALUE"""),0.0)</f>
        <v>0</v>
      </c>
      <c r="S15" s="268">
        <f>IFERROR(__xludf.DUMMYFUNCTION("""COMPUTED_VALUE"""),0.0)</f>
        <v>0</v>
      </c>
      <c r="T15" s="268">
        <f>IFERROR(__xludf.DUMMYFUNCTION("""COMPUTED_VALUE"""),20.0)</f>
        <v>20</v>
      </c>
      <c r="U15" s="268">
        <f>IFERROR(__xludf.DUMMYFUNCTION("""COMPUTED_VALUE"""),0.0)</f>
        <v>0</v>
      </c>
      <c r="V15" s="268">
        <f>IFERROR(__xludf.DUMMYFUNCTION("""COMPUTED_VALUE"""),0.0)</f>
        <v>0</v>
      </c>
      <c r="W15" s="268">
        <f>IFERROR(__xludf.DUMMYFUNCTION("""COMPUTED_VALUE"""),0.0)</f>
        <v>0</v>
      </c>
      <c r="X15" s="268">
        <f>IFERROR(__xludf.DUMMYFUNCTION("""COMPUTED_VALUE"""),0.0)</f>
        <v>0</v>
      </c>
      <c r="Y15" s="268">
        <f>IFERROR(__xludf.DUMMYFUNCTION("""COMPUTED_VALUE"""),0.0)</f>
        <v>0</v>
      </c>
      <c r="Z15" s="268">
        <f>IFERROR(__xludf.DUMMYFUNCTION("""COMPUTED_VALUE"""),-20.0)</f>
        <v>-20</v>
      </c>
      <c r="AA15" s="268">
        <f>IFERROR(__xludf.DUMMYFUNCTION("""COMPUTED_VALUE"""),0.0)</f>
        <v>0</v>
      </c>
      <c r="AB15" s="268">
        <f>IFERROR(__xludf.DUMMYFUNCTION("""COMPUTED_VALUE"""),0.0)</f>
        <v>0</v>
      </c>
      <c r="AC15" s="268">
        <f>IFERROR(__xludf.DUMMYFUNCTION("""COMPUTED_VALUE"""),0.0)</f>
        <v>0</v>
      </c>
      <c r="AD15" s="268">
        <f>IFERROR(__xludf.DUMMYFUNCTION("""COMPUTED_VALUE"""),0.0)</f>
        <v>0</v>
      </c>
      <c r="AE15" s="268">
        <f>IFERROR(__xludf.DUMMYFUNCTION("""COMPUTED_VALUE"""),0.0)</f>
        <v>0</v>
      </c>
      <c r="AF15" s="268" t="str">
        <f>IFERROR(__xludf.DUMMYFUNCTION("""COMPUTED_VALUE"""),"-22.9796829,-43.2295469")</f>
        <v>-22.9796829,-43.2295469</v>
      </c>
      <c r="AG15" s="268">
        <f>IFERROR(__xludf.DUMMYFUNCTION("""COMPUTED_VALUE"""),0.0)</f>
        <v>0</v>
      </c>
      <c r="AH15" s="268">
        <f>IFERROR(__xludf.DUMMYFUNCTION("""COMPUTED_VALUE"""),0.0)</f>
        <v>0</v>
      </c>
      <c r="AI15" s="268">
        <f>IFERROR(__xludf.DUMMYFUNCTION("""COMPUTED_VALUE"""),0.0)</f>
        <v>0</v>
      </c>
      <c r="AJ15" s="268">
        <f>IFERROR(__xludf.DUMMYFUNCTION("ROWS(QUERY(Entregas_BD!D:AM,""select D where D ='""&amp;D15&amp;""'"",1))-1"),1.0)</f>
        <v>1</v>
      </c>
    </row>
    <row r="16" ht="22.5" customHeight="1">
      <c r="A16" s="170" t="str">
        <f>IFERROR(__xludf.DUMMYFUNCTION("""COMPUTED_VALUE"""),"")</f>
        <v/>
      </c>
      <c r="B16" s="170" t="str">
        <f>IFERROR(__xludf.DUMMYFUNCTION("""COMPUTED_VALUE"""),"")</f>
        <v/>
      </c>
      <c r="C16" s="170">
        <f>IFERROR(__xludf.DUMMYFUNCTION("""COMPUTED_VALUE"""),30.0)</f>
        <v>30</v>
      </c>
      <c r="D16" s="170" t="str">
        <f>IFERROR(__xludf.DUMMYFUNCTION("""COMPUTED_VALUE"""),"CMS Salles Netto")</f>
        <v>CMS Salles Netto</v>
      </c>
      <c r="E16" s="170" t="str">
        <f>IFERROR(__xludf.DUMMYFUNCTION("""COMPUTED_VALUE"""),"ZONA NORTE")</f>
        <v>ZONA NORTE</v>
      </c>
      <c r="F16" s="170" t="str">
        <f>IFERROR(__xludf.DUMMYFUNCTION("""COMPUTED_VALUE"""),"Rio de Janeiro")</f>
        <v>Rio de Janeiro</v>
      </c>
      <c r="G16" s="170" t="str">
        <f>IFERROR(__xludf.DUMMYFUNCTION("""COMPUTED_VALUE"""),"Rio Comprido")</f>
        <v>Rio Comprido</v>
      </c>
      <c r="H16" s="170" t="str">
        <f>IFERROR(__xludf.DUMMYFUNCTION("""COMPUTED_VALUE"""),"Unidade básica - BAIXA COMPLEXIDADE")</f>
        <v>Unidade básica - BAIXA COMPLEXIDADE</v>
      </c>
      <c r="I16" s="170" t="str">
        <f>IFERROR(__xludf.DUMMYFUNCTION("""COMPUTED_VALUE"""),"Público")</f>
        <v>Público</v>
      </c>
      <c r="J16" s="170" t="str">
        <f>IFERROR(__xludf.DUMMYFUNCTION("""COMPUTED_VALUE"""),"")</f>
        <v/>
      </c>
      <c r="K16" s="170" t="str">
        <f>IFERROR(__xludf.DUMMYFUNCTION("""COMPUTED_VALUE"""),"")</f>
        <v/>
      </c>
      <c r="L16" s="170" t="str">
        <f>IFERROR(__xludf.DUMMYFUNCTION("""COMPUTED_VALUE"""),"")</f>
        <v/>
      </c>
      <c r="M16" s="170" t="str">
        <f>IFERROR(__xludf.DUMMYFUNCTION("""COMPUTED_VALUE"""),"")</f>
        <v/>
      </c>
      <c r="N16" s="170">
        <f>IFERROR(__xludf.DUMMYFUNCTION("""COMPUTED_VALUE"""),0.0)</f>
        <v>0</v>
      </c>
      <c r="O16" s="170">
        <f>IFERROR(__xludf.DUMMYFUNCTION("""COMPUTED_VALUE"""),0.0)</f>
        <v>0</v>
      </c>
      <c r="P16" s="170">
        <f>IFERROR(__xludf.DUMMYFUNCTION("""COMPUTED_VALUE"""),0.0)</f>
        <v>0</v>
      </c>
      <c r="Q16" s="170">
        <f>IFERROR(__xludf.DUMMYFUNCTION("""COMPUTED_VALUE"""),0.0)</f>
        <v>0</v>
      </c>
      <c r="R16" s="170">
        <f>IFERROR(__xludf.DUMMYFUNCTION("""COMPUTED_VALUE"""),0.0)</f>
        <v>0</v>
      </c>
      <c r="S16" s="170">
        <f>IFERROR(__xludf.DUMMYFUNCTION("""COMPUTED_VALUE"""),0.0)</f>
        <v>0</v>
      </c>
      <c r="T16" s="170">
        <f>IFERROR(__xludf.DUMMYFUNCTION("""COMPUTED_VALUE"""),20.0)</f>
        <v>20</v>
      </c>
      <c r="U16" s="170">
        <f>IFERROR(__xludf.DUMMYFUNCTION("""COMPUTED_VALUE"""),0.0)</f>
        <v>0</v>
      </c>
      <c r="V16" s="170">
        <f>IFERROR(__xludf.DUMMYFUNCTION("""COMPUTED_VALUE"""),0.0)</f>
        <v>0</v>
      </c>
      <c r="W16" s="170">
        <f>IFERROR(__xludf.DUMMYFUNCTION("""COMPUTED_VALUE"""),0.0)</f>
        <v>0</v>
      </c>
      <c r="X16" s="170">
        <f>IFERROR(__xludf.DUMMYFUNCTION("""COMPUTED_VALUE"""),0.0)</f>
        <v>0</v>
      </c>
      <c r="Y16" s="170">
        <f>IFERROR(__xludf.DUMMYFUNCTION("""COMPUTED_VALUE"""),0.0)</f>
        <v>0</v>
      </c>
      <c r="Z16" s="170">
        <f>IFERROR(__xludf.DUMMYFUNCTION("""COMPUTED_VALUE"""),-20.0)</f>
        <v>-20</v>
      </c>
      <c r="AA16" s="170">
        <f>IFERROR(__xludf.DUMMYFUNCTION("""COMPUTED_VALUE"""),0.0)</f>
        <v>0</v>
      </c>
      <c r="AB16" s="170">
        <f>IFERROR(__xludf.DUMMYFUNCTION("""COMPUTED_VALUE"""),0.0)</f>
        <v>0</v>
      </c>
      <c r="AC16" s="170">
        <f>IFERROR(__xludf.DUMMYFUNCTION("""COMPUTED_VALUE"""),0.0)</f>
        <v>0</v>
      </c>
      <c r="AD16" s="170">
        <f>IFERROR(__xludf.DUMMYFUNCTION("""COMPUTED_VALUE"""),0.0)</f>
        <v>0</v>
      </c>
      <c r="AE16" s="170">
        <f>IFERROR(__xludf.DUMMYFUNCTION("""COMPUTED_VALUE"""),0.0)</f>
        <v>0</v>
      </c>
      <c r="AF16" s="170" t="str">
        <f>IFERROR(__xludf.DUMMYFUNCTION("""COMPUTED_VALUE"""),"-22.9249739,-43.2089467")</f>
        <v>-22.9249739,-43.2089467</v>
      </c>
      <c r="AG16" s="170">
        <f>IFERROR(__xludf.DUMMYFUNCTION("""COMPUTED_VALUE"""),0.0)</f>
        <v>0</v>
      </c>
      <c r="AH16" s="170">
        <f>IFERROR(__xludf.DUMMYFUNCTION("""COMPUTED_VALUE"""),0.0)</f>
        <v>0</v>
      </c>
      <c r="AI16" s="170">
        <f>IFERROR(__xludf.DUMMYFUNCTION("""COMPUTED_VALUE"""),0.0)</f>
        <v>0</v>
      </c>
      <c r="AJ16" s="170">
        <f>IFERROR(__xludf.DUMMYFUNCTION("ROWS(QUERY(Entregas_BD!D:AM,""select D where D ='""&amp;D16&amp;""'"",1))-1"),1.0)</f>
        <v>1</v>
      </c>
    </row>
    <row r="17" ht="22.5" customHeight="1">
      <c r="A17" s="268" t="str">
        <f>IFERROR(__xludf.DUMMYFUNCTION("""COMPUTED_VALUE"""),"")</f>
        <v/>
      </c>
      <c r="B17" s="268" t="str">
        <f>IFERROR(__xludf.DUMMYFUNCTION("""COMPUTED_VALUE"""),"")</f>
        <v/>
      </c>
      <c r="C17" s="268">
        <f>IFERROR(__xludf.DUMMYFUNCTION("""COMPUTED_VALUE"""),34.0)</f>
        <v>34</v>
      </c>
      <c r="D17" s="268" t="str">
        <f>IFERROR(__xludf.DUMMYFUNCTION("""COMPUTED_VALUE"""),"Corpo de Bombeiros - DSE")</f>
        <v>Corpo de Bombeiros - DSE</v>
      </c>
      <c r="E17" s="268" t="str">
        <f>IFERROR(__xludf.DUMMYFUNCTION("""COMPUTED_VALUE"""),"ZONA SUL")</f>
        <v>ZONA SUL</v>
      </c>
      <c r="F17" s="268" t="str">
        <f>IFERROR(__xludf.DUMMYFUNCTION("""COMPUTED_VALUE"""),"Rio de Janeiro")</f>
        <v>Rio de Janeiro</v>
      </c>
      <c r="G17" s="268" t="str">
        <f>IFERROR(__xludf.DUMMYFUNCTION("""COMPUTED_VALUE"""),"Catete")</f>
        <v>Catete</v>
      </c>
      <c r="H17" s="268" t="str">
        <f>IFERROR(__xludf.DUMMYFUNCTION("""COMPUTED_VALUE"""),"Unidade básica - BAIXA COMPLEXIDADE")</f>
        <v>Unidade básica - BAIXA COMPLEXIDADE</v>
      </c>
      <c r="I17" s="268" t="str">
        <f>IFERROR(__xludf.DUMMYFUNCTION("""COMPUTED_VALUE"""),"Público")</f>
        <v>Público</v>
      </c>
      <c r="J17" s="268" t="str">
        <f>IFERROR(__xludf.DUMMYFUNCTION("""COMPUTED_VALUE"""),"")</f>
        <v/>
      </c>
      <c r="K17" s="268" t="str">
        <f>IFERROR(__xludf.DUMMYFUNCTION("""COMPUTED_VALUE"""),"")</f>
        <v/>
      </c>
      <c r="L17" s="268" t="str">
        <f>IFERROR(__xludf.DUMMYFUNCTION("""COMPUTED_VALUE"""),"")</f>
        <v/>
      </c>
      <c r="M17" s="268" t="str">
        <f>IFERROR(__xludf.DUMMYFUNCTION("""COMPUTED_VALUE"""),"")</f>
        <v/>
      </c>
      <c r="N17" s="268">
        <f>IFERROR(__xludf.DUMMYFUNCTION("""COMPUTED_VALUE"""),0.0)</f>
        <v>0</v>
      </c>
      <c r="O17" s="268">
        <f>IFERROR(__xludf.DUMMYFUNCTION("""COMPUTED_VALUE"""),0.0)</f>
        <v>0</v>
      </c>
      <c r="P17" s="268">
        <f>IFERROR(__xludf.DUMMYFUNCTION("""COMPUTED_VALUE"""),0.0)</f>
        <v>0</v>
      </c>
      <c r="Q17" s="268">
        <f>IFERROR(__xludf.DUMMYFUNCTION("""COMPUTED_VALUE"""),0.0)</f>
        <v>0</v>
      </c>
      <c r="R17" s="268">
        <f>IFERROR(__xludf.DUMMYFUNCTION("""COMPUTED_VALUE"""),0.0)</f>
        <v>0</v>
      </c>
      <c r="S17" s="268">
        <f>IFERROR(__xludf.DUMMYFUNCTION("""COMPUTED_VALUE"""),0.0)</f>
        <v>0</v>
      </c>
      <c r="T17" s="268">
        <f>IFERROR(__xludf.DUMMYFUNCTION("""COMPUTED_VALUE"""),100.0)</f>
        <v>100</v>
      </c>
      <c r="U17" s="268">
        <f>IFERROR(__xludf.DUMMYFUNCTION("""COMPUTED_VALUE"""),0.0)</f>
        <v>0</v>
      </c>
      <c r="V17" s="268">
        <f>IFERROR(__xludf.DUMMYFUNCTION("""COMPUTED_VALUE"""),0.0)</f>
        <v>0</v>
      </c>
      <c r="W17" s="268">
        <f>IFERROR(__xludf.DUMMYFUNCTION("""COMPUTED_VALUE"""),0.0)</f>
        <v>0</v>
      </c>
      <c r="X17" s="268">
        <f>IFERROR(__xludf.DUMMYFUNCTION("""COMPUTED_VALUE"""),0.0)</f>
        <v>0</v>
      </c>
      <c r="Y17" s="268">
        <f>IFERROR(__xludf.DUMMYFUNCTION("""COMPUTED_VALUE"""),0.0)</f>
        <v>0</v>
      </c>
      <c r="Z17" s="268">
        <f>IFERROR(__xludf.DUMMYFUNCTION("""COMPUTED_VALUE"""),-100.0)</f>
        <v>-100</v>
      </c>
      <c r="AA17" s="268">
        <f>IFERROR(__xludf.DUMMYFUNCTION("""COMPUTED_VALUE"""),0.0)</f>
        <v>0</v>
      </c>
      <c r="AB17" s="268">
        <f>IFERROR(__xludf.DUMMYFUNCTION("""COMPUTED_VALUE"""),0.0)</f>
        <v>0</v>
      </c>
      <c r="AC17" s="268">
        <f>IFERROR(__xludf.DUMMYFUNCTION("""COMPUTED_VALUE"""),0.0)</f>
        <v>0</v>
      </c>
      <c r="AD17" s="268">
        <f>IFERROR(__xludf.DUMMYFUNCTION("""COMPUTED_VALUE"""),0.0)</f>
        <v>0</v>
      </c>
      <c r="AE17" s="268">
        <f>IFERROR(__xludf.DUMMYFUNCTION("""COMPUTED_VALUE"""),0.0)</f>
        <v>0</v>
      </c>
      <c r="AF17" s="268" t="str">
        <f>IFERROR(__xludf.DUMMYFUNCTION("""COMPUTED_VALUE"""),"-22.9337418,-43.1798339")</f>
        <v>-22.9337418,-43.1798339</v>
      </c>
      <c r="AG17" s="268">
        <f>IFERROR(__xludf.DUMMYFUNCTION("""COMPUTED_VALUE"""),0.0)</f>
        <v>0</v>
      </c>
      <c r="AH17" s="268">
        <f>IFERROR(__xludf.DUMMYFUNCTION("""COMPUTED_VALUE"""),0.0)</f>
        <v>0</v>
      </c>
      <c r="AI17" s="268">
        <f>IFERROR(__xludf.DUMMYFUNCTION("""COMPUTED_VALUE"""),0.0)</f>
        <v>0</v>
      </c>
      <c r="AJ17" s="268">
        <f>IFERROR(__xludf.DUMMYFUNCTION("ROWS(QUERY(Entregas_BD!D:AM,""select D where D ='""&amp;D17&amp;""'"",1))-1"),1.0)</f>
        <v>1</v>
      </c>
    </row>
    <row r="18" ht="22.5" customHeight="1">
      <c r="A18" s="170" t="str">
        <f>IFERROR(__xludf.DUMMYFUNCTION("""COMPUTED_VALUE"""),"")</f>
        <v/>
      </c>
      <c r="B18" s="170" t="str">
        <f>IFERROR(__xludf.DUMMYFUNCTION("""COMPUTED_VALUE"""),"")</f>
        <v/>
      </c>
      <c r="C18" s="170">
        <f>IFERROR(__xludf.DUMMYFUNCTION("""COMPUTED_VALUE"""),36.0)</f>
        <v>36</v>
      </c>
      <c r="D18" s="170" t="str">
        <f>IFERROR(__xludf.DUMMYFUNCTION("""COMPUTED_VALUE"""),"Cruz Vermelha Brasileira Filial Rio de Janeiro")</f>
        <v>Cruz Vermelha Brasileira Filial Rio de Janeiro</v>
      </c>
      <c r="E18" s="170" t="str">
        <f>IFERROR(__xludf.DUMMYFUNCTION("""COMPUTED_VALUE"""),"CENTRO")</f>
        <v>CENTRO</v>
      </c>
      <c r="F18" s="170" t="str">
        <f>IFERROR(__xludf.DUMMYFUNCTION("""COMPUTED_VALUE"""),"Rio de Janeiro")</f>
        <v>Rio de Janeiro</v>
      </c>
      <c r="G18" s="170" t="str">
        <f>IFERROR(__xludf.DUMMYFUNCTION("""COMPUTED_VALUE"""),"Centro")</f>
        <v>Centro</v>
      </c>
      <c r="H18" s="170" t="str">
        <f>IFERROR(__xludf.DUMMYFUNCTION("""COMPUTED_VALUE"""),"Referência - ALTA COMPLEXIDADE")</f>
        <v>Referência - ALTA COMPLEXIDADE</v>
      </c>
      <c r="I18" s="170" t="str">
        <f>IFERROR(__xludf.DUMMYFUNCTION("""COMPUTED_VALUE"""),"Público")</f>
        <v>Público</v>
      </c>
      <c r="J18" s="170" t="str">
        <f>IFERROR(__xludf.DUMMYFUNCTION("""COMPUTED_VALUE"""),"")</f>
        <v/>
      </c>
      <c r="K18" s="170" t="str">
        <f>IFERROR(__xludf.DUMMYFUNCTION("""COMPUTED_VALUE"""),"")</f>
        <v/>
      </c>
      <c r="L18" s="170" t="str">
        <f>IFERROR(__xludf.DUMMYFUNCTION("""COMPUTED_VALUE"""),"")</f>
        <v/>
      </c>
      <c r="M18" s="170" t="str">
        <f>IFERROR(__xludf.DUMMYFUNCTION("""COMPUTED_VALUE"""),"")</f>
        <v/>
      </c>
      <c r="N18" s="170">
        <f>IFERROR(__xludf.DUMMYFUNCTION("""COMPUTED_VALUE"""),0.0)</f>
        <v>0</v>
      </c>
      <c r="O18" s="170">
        <f>IFERROR(__xludf.DUMMYFUNCTION("""COMPUTED_VALUE"""),0.0)</f>
        <v>0</v>
      </c>
      <c r="P18" s="170">
        <f>IFERROR(__xludf.DUMMYFUNCTION("""COMPUTED_VALUE"""),0.0)</f>
        <v>0</v>
      </c>
      <c r="Q18" s="170">
        <f>IFERROR(__xludf.DUMMYFUNCTION("""COMPUTED_VALUE"""),0.0)</f>
        <v>0</v>
      </c>
      <c r="R18" s="170">
        <f>IFERROR(__xludf.DUMMYFUNCTION("""COMPUTED_VALUE"""),0.0)</f>
        <v>0</v>
      </c>
      <c r="S18" s="170">
        <f>IFERROR(__xludf.DUMMYFUNCTION("""COMPUTED_VALUE"""),0.0)</f>
        <v>0</v>
      </c>
      <c r="T18" s="170">
        <f>IFERROR(__xludf.DUMMYFUNCTION("""COMPUTED_VALUE"""),70.0)</f>
        <v>70</v>
      </c>
      <c r="U18" s="170">
        <f>IFERROR(__xludf.DUMMYFUNCTION("""COMPUTED_VALUE"""),0.0)</f>
        <v>0</v>
      </c>
      <c r="V18" s="170">
        <f>IFERROR(__xludf.DUMMYFUNCTION("""COMPUTED_VALUE"""),0.0)</f>
        <v>0</v>
      </c>
      <c r="W18" s="170">
        <f>IFERROR(__xludf.DUMMYFUNCTION("""COMPUTED_VALUE"""),0.0)</f>
        <v>0</v>
      </c>
      <c r="X18" s="170">
        <f>IFERROR(__xludf.DUMMYFUNCTION("""COMPUTED_VALUE"""),0.0)</f>
        <v>0</v>
      </c>
      <c r="Y18" s="170">
        <f>IFERROR(__xludf.DUMMYFUNCTION("""COMPUTED_VALUE"""),0.0)</f>
        <v>0</v>
      </c>
      <c r="Z18" s="170">
        <f>IFERROR(__xludf.DUMMYFUNCTION("""COMPUTED_VALUE"""),-70.0)</f>
        <v>-70</v>
      </c>
      <c r="AA18" s="170">
        <f>IFERROR(__xludf.DUMMYFUNCTION("""COMPUTED_VALUE"""),0.0)</f>
        <v>0</v>
      </c>
      <c r="AB18" s="170">
        <f>IFERROR(__xludf.DUMMYFUNCTION("""COMPUTED_VALUE"""),0.0)</f>
        <v>0</v>
      </c>
      <c r="AC18" s="170">
        <f>IFERROR(__xludf.DUMMYFUNCTION("""COMPUTED_VALUE"""),0.0)</f>
        <v>0</v>
      </c>
      <c r="AD18" s="170">
        <f>IFERROR(__xludf.DUMMYFUNCTION("""COMPUTED_VALUE"""),0.0)</f>
        <v>0</v>
      </c>
      <c r="AE18" s="170">
        <f>IFERROR(__xludf.DUMMYFUNCTION("""COMPUTED_VALUE"""),0.0)</f>
        <v>0</v>
      </c>
      <c r="AF18" s="170" t="str">
        <f>IFERROR(__xludf.DUMMYFUNCTION("""COMPUTED_VALUE"""),"-22.9114807,-43.1879897")</f>
        <v>-22.9114807,-43.1879897</v>
      </c>
      <c r="AG18" s="170">
        <f>IFERROR(__xludf.DUMMYFUNCTION("""COMPUTED_VALUE"""),0.0)</f>
        <v>0</v>
      </c>
      <c r="AH18" s="170">
        <f>IFERROR(__xludf.DUMMYFUNCTION("""COMPUTED_VALUE"""),0.0)</f>
        <v>0</v>
      </c>
      <c r="AI18" s="170">
        <f>IFERROR(__xludf.DUMMYFUNCTION("""COMPUTED_VALUE"""),0.0)</f>
        <v>0</v>
      </c>
      <c r="AJ18" s="170">
        <f>IFERROR(__xludf.DUMMYFUNCTION("ROWS(QUERY(Entregas_BD!D:AM,""select D where D ='""&amp;D18&amp;""'"",1))-1"),1.0)</f>
        <v>1</v>
      </c>
    </row>
    <row r="19" ht="22.5" customHeight="1">
      <c r="A19" s="268" t="str">
        <f>IFERROR(__xludf.DUMMYFUNCTION("""COMPUTED_VALUE"""),"")</f>
        <v/>
      </c>
      <c r="B19" s="268" t="str">
        <f>IFERROR(__xludf.DUMMYFUNCTION("""COMPUTED_VALUE"""),"")</f>
        <v/>
      </c>
      <c r="C19" s="268">
        <f>IFERROR(__xludf.DUMMYFUNCTION("""COMPUTED_VALUE"""),42.0)</f>
        <v>42</v>
      </c>
      <c r="D19" s="268" t="str">
        <f>IFERROR(__xludf.DUMMYFUNCTION("""COMPUTED_VALUE"""),"Hemorio")</f>
        <v>Hemorio</v>
      </c>
      <c r="E19" s="268" t="str">
        <f>IFERROR(__xludf.DUMMYFUNCTION("""COMPUTED_VALUE"""),"CENTRO")</f>
        <v>CENTRO</v>
      </c>
      <c r="F19" s="268" t="str">
        <f>IFERROR(__xludf.DUMMYFUNCTION("""COMPUTED_VALUE"""),"Rio de Janeiro")</f>
        <v>Rio de Janeiro</v>
      </c>
      <c r="G19" s="268" t="str">
        <f>IFERROR(__xludf.DUMMYFUNCTION("""COMPUTED_VALUE"""),"Centro")</f>
        <v>Centro</v>
      </c>
      <c r="H19" s="268" t="str">
        <f>IFERROR(__xludf.DUMMYFUNCTION("""COMPUTED_VALUE"""),"Grande emergência - MÉDIA COMPLEXIDADE")</f>
        <v>Grande emergência - MÉDIA COMPLEXIDADE</v>
      </c>
      <c r="I19" s="268" t="str">
        <f>IFERROR(__xludf.DUMMYFUNCTION("""COMPUTED_VALUE"""),"Público")</f>
        <v>Público</v>
      </c>
      <c r="J19" s="268" t="str">
        <f>IFERROR(__xludf.DUMMYFUNCTION("""COMPUTED_VALUE"""),"")</f>
        <v/>
      </c>
      <c r="K19" s="268" t="str">
        <f>IFERROR(__xludf.DUMMYFUNCTION("""COMPUTED_VALUE"""),"")</f>
        <v/>
      </c>
      <c r="L19" s="268" t="str">
        <f>IFERROR(__xludf.DUMMYFUNCTION("""COMPUTED_VALUE"""),"")</f>
        <v/>
      </c>
      <c r="M19" s="268" t="str">
        <f>IFERROR(__xludf.DUMMYFUNCTION("""COMPUTED_VALUE"""),"")</f>
        <v/>
      </c>
      <c r="N19" s="268">
        <f>IFERROR(__xludf.DUMMYFUNCTION("""COMPUTED_VALUE"""),0.0)</f>
        <v>0</v>
      </c>
      <c r="O19" s="268">
        <f>IFERROR(__xludf.DUMMYFUNCTION("""COMPUTED_VALUE"""),0.0)</f>
        <v>0</v>
      </c>
      <c r="P19" s="268">
        <f>IFERROR(__xludf.DUMMYFUNCTION("""COMPUTED_VALUE"""),0.0)</f>
        <v>0</v>
      </c>
      <c r="Q19" s="268">
        <f>IFERROR(__xludf.DUMMYFUNCTION("""COMPUTED_VALUE"""),0.0)</f>
        <v>0</v>
      </c>
      <c r="R19" s="268">
        <f>IFERROR(__xludf.DUMMYFUNCTION("""COMPUTED_VALUE"""),0.0)</f>
        <v>0</v>
      </c>
      <c r="S19" s="268">
        <f>IFERROR(__xludf.DUMMYFUNCTION("""COMPUTED_VALUE"""),0.0)</f>
        <v>0</v>
      </c>
      <c r="T19" s="268">
        <f>IFERROR(__xludf.DUMMYFUNCTION("""COMPUTED_VALUE"""),100.0)</f>
        <v>100</v>
      </c>
      <c r="U19" s="268">
        <f>IFERROR(__xludf.DUMMYFUNCTION("""COMPUTED_VALUE"""),0.0)</f>
        <v>0</v>
      </c>
      <c r="V19" s="268">
        <f>IFERROR(__xludf.DUMMYFUNCTION("""COMPUTED_VALUE"""),0.0)</f>
        <v>0</v>
      </c>
      <c r="W19" s="268">
        <f>IFERROR(__xludf.DUMMYFUNCTION("""COMPUTED_VALUE"""),0.0)</f>
        <v>0</v>
      </c>
      <c r="X19" s="268">
        <f>IFERROR(__xludf.DUMMYFUNCTION("""COMPUTED_VALUE"""),0.0)</f>
        <v>0</v>
      </c>
      <c r="Y19" s="268">
        <f>IFERROR(__xludf.DUMMYFUNCTION("""COMPUTED_VALUE"""),0.0)</f>
        <v>0</v>
      </c>
      <c r="Z19" s="268">
        <f>IFERROR(__xludf.DUMMYFUNCTION("""COMPUTED_VALUE"""),-100.0)</f>
        <v>-100</v>
      </c>
      <c r="AA19" s="268">
        <f>IFERROR(__xludf.DUMMYFUNCTION("""COMPUTED_VALUE"""),0.0)</f>
        <v>0</v>
      </c>
      <c r="AB19" s="268">
        <f>IFERROR(__xludf.DUMMYFUNCTION("""COMPUTED_VALUE"""),0.0)</f>
        <v>0</v>
      </c>
      <c r="AC19" s="268">
        <f>IFERROR(__xludf.DUMMYFUNCTION("""COMPUTED_VALUE"""),0.0)</f>
        <v>0</v>
      </c>
      <c r="AD19" s="268">
        <f>IFERROR(__xludf.DUMMYFUNCTION("""COMPUTED_VALUE"""),0.0)</f>
        <v>0</v>
      </c>
      <c r="AE19" s="268">
        <f>IFERROR(__xludf.DUMMYFUNCTION("""COMPUTED_VALUE"""),0.0)</f>
        <v>0</v>
      </c>
      <c r="AF19" s="268" t="str">
        <f>IFERROR(__xludf.DUMMYFUNCTION("""COMPUTED_VALUE"""),"-22.90891,-43.189642")</f>
        <v>-22.90891,-43.189642</v>
      </c>
      <c r="AG19" s="268">
        <f>IFERROR(__xludf.DUMMYFUNCTION("""COMPUTED_VALUE"""),0.0)</f>
        <v>0</v>
      </c>
      <c r="AH19" s="268">
        <f>IFERROR(__xludf.DUMMYFUNCTION("""COMPUTED_VALUE"""),0.0)</f>
        <v>0</v>
      </c>
      <c r="AI19" s="268">
        <f>IFERROR(__xludf.DUMMYFUNCTION("""COMPUTED_VALUE"""),0.0)</f>
        <v>0</v>
      </c>
      <c r="AJ19" s="268">
        <f>IFERROR(__xludf.DUMMYFUNCTION("ROWS(QUERY(Entregas_BD!D:AM,""select D where D ='""&amp;D19&amp;""'"",1))-1"),1.0)</f>
        <v>1</v>
      </c>
    </row>
    <row r="20" ht="22.5" customHeight="1">
      <c r="A20" s="170" t="str">
        <f>IFERROR(__xludf.DUMMYFUNCTION("""COMPUTED_VALUE"""),"")</f>
        <v/>
      </c>
      <c r="B20" s="170" t="str">
        <f>IFERROR(__xludf.DUMMYFUNCTION("""COMPUTED_VALUE"""),"")</f>
        <v/>
      </c>
      <c r="C20" s="170">
        <f>IFERROR(__xludf.DUMMYFUNCTION("""COMPUTED_VALUE"""),43.0)</f>
        <v>43</v>
      </c>
      <c r="D20" s="170" t="str">
        <f>IFERROR(__xludf.DUMMYFUNCTION("""COMPUTED_VALUE"""),"Hospital Federal de Bonsucesso")</f>
        <v>Hospital Federal de Bonsucesso</v>
      </c>
      <c r="E20" s="170" t="str">
        <f>IFERROR(__xludf.DUMMYFUNCTION("""COMPUTED_VALUE"""),"ZONA NORTE")</f>
        <v>ZONA NORTE</v>
      </c>
      <c r="F20" s="170" t="str">
        <f>IFERROR(__xludf.DUMMYFUNCTION("""COMPUTED_VALUE"""),"Rio de Janeiro")</f>
        <v>Rio de Janeiro</v>
      </c>
      <c r="G20" s="170" t="str">
        <f>IFERROR(__xludf.DUMMYFUNCTION("""COMPUTED_VALUE"""),"Bonsucesso")</f>
        <v>Bonsucesso</v>
      </c>
      <c r="H20" s="170" t="str">
        <f>IFERROR(__xludf.DUMMYFUNCTION("""COMPUTED_VALUE"""),"Referência - ALTA COMPLEXIDADE")</f>
        <v>Referência - ALTA COMPLEXIDADE</v>
      </c>
      <c r="I20" s="170" t="str">
        <f>IFERROR(__xludf.DUMMYFUNCTION("""COMPUTED_VALUE"""),"Público")</f>
        <v>Público</v>
      </c>
      <c r="J20" s="170" t="str">
        <f>IFERROR(__xludf.DUMMYFUNCTION("""COMPUTED_VALUE"""),"")</f>
        <v/>
      </c>
      <c r="K20" s="170" t="str">
        <f>IFERROR(__xludf.DUMMYFUNCTION("""COMPUTED_VALUE"""),"")</f>
        <v/>
      </c>
      <c r="L20" s="170" t="str">
        <f>IFERROR(__xludf.DUMMYFUNCTION("""COMPUTED_VALUE"""),"")</f>
        <v/>
      </c>
      <c r="M20" s="170" t="str">
        <f>IFERROR(__xludf.DUMMYFUNCTION("""COMPUTED_VALUE"""),"")</f>
        <v/>
      </c>
      <c r="N20" s="170">
        <f>IFERROR(__xludf.DUMMYFUNCTION("""COMPUTED_VALUE"""),0.0)</f>
        <v>0</v>
      </c>
      <c r="O20" s="170">
        <f>IFERROR(__xludf.DUMMYFUNCTION("""COMPUTED_VALUE"""),0.0)</f>
        <v>0</v>
      </c>
      <c r="P20" s="170">
        <f>IFERROR(__xludf.DUMMYFUNCTION("""COMPUTED_VALUE"""),0.0)</f>
        <v>0</v>
      </c>
      <c r="Q20" s="170">
        <f>IFERROR(__xludf.DUMMYFUNCTION("""COMPUTED_VALUE"""),0.0)</f>
        <v>0</v>
      </c>
      <c r="R20" s="170">
        <f>IFERROR(__xludf.DUMMYFUNCTION("""COMPUTED_VALUE"""),0.0)</f>
        <v>0</v>
      </c>
      <c r="S20" s="170">
        <f>IFERROR(__xludf.DUMMYFUNCTION("""COMPUTED_VALUE"""),0.0)</f>
        <v>0</v>
      </c>
      <c r="T20" s="170">
        <f>IFERROR(__xludf.DUMMYFUNCTION("""COMPUTED_VALUE"""),220.0)</f>
        <v>220</v>
      </c>
      <c r="U20" s="170">
        <f>IFERROR(__xludf.DUMMYFUNCTION("""COMPUTED_VALUE"""),0.0)</f>
        <v>0</v>
      </c>
      <c r="V20" s="170">
        <f>IFERROR(__xludf.DUMMYFUNCTION("""COMPUTED_VALUE"""),0.0)</f>
        <v>0</v>
      </c>
      <c r="W20" s="170">
        <f>IFERROR(__xludf.DUMMYFUNCTION("""COMPUTED_VALUE"""),100.0)</f>
        <v>100</v>
      </c>
      <c r="X20" s="170">
        <f>IFERROR(__xludf.DUMMYFUNCTION("""COMPUTED_VALUE"""),0.0)</f>
        <v>0</v>
      </c>
      <c r="Y20" s="170">
        <f>IFERROR(__xludf.DUMMYFUNCTION("""COMPUTED_VALUE"""),0.0)</f>
        <v>0</v>
      </c>
      <c r="Z20" s="170">
        <f>IFERROR(__xludf.DUMMYFUNCTION("""COMPUTED_VALUE"""),-220.0)</f>
        <v>-220</v>
      </c>
      <c r="AA20" s="170">
        <f>IFERROR(__xludf.DUMMYFUNCTION("""COMPUTED_VALUE"""),0.0)</f>
        <v>0</v>
      </c>
      <c r="AB20" s="170">
        <f>IFERROR(__xludf.DUMMYFUNCTION("""COMPUTED_VALUE"""),0.0)</f>
        <v>0</v>
      </c>
      <c r="AC20" s="170">
        <f>IFERROR(__xludf.DUMMYFUNCTION("""COMPUTED_VALUE"""),-100.0)</f>
        <v>-100</v>
      </c>
      <c r="AD20" s="170">
        <f>IFERROR(__xludf.DUMMYFUNCTION("""COMPUTED_VALUE"""),0.0)</f>
        <v>0</v>
      </c>
      <c r="AE20" s="170">
        <f>IFERROR(__xludf.DUMMYFUNCTION("""COMPUTED_VALUE"""),0.0)</f>
        <v>0</v>
      </c>
      <c r="AF20" s="170" t="str">
        <f>IFERROR(__xludf.DUMMYFUNCTION("""COMPUTED_VALUE"""),"-22.8671366,-43.2483857")</f>
        <v>-22.8671366,-43.2483857</v>
      </c>
      <c r="AG20" s="170">
        <f>IFERROR(__xludf.DUMMYFUNCTION("""COMPUTED_VALUE"""),0.0)</f>
        <v>0</v>
      </c>
      <c r="AH20" s="170">
        <f>IFERROR(__xludf.DUMMYFUNCTION("""COMPUTED_VALUE"""),0.0)</f>
        <v>0</v>
      </c>
      <c r="AI20" s="170">
        <f>IFERROR(__xludf.DUMMYFUNCTION("""COMPUTED_VALUE"""),0.0)</f>
        <v>0</v>
      </c>
      <c r="AJ20" s="170">
        <f>IFERROR(__xludf.DUMMYFUNCTION("ROWS(QUERY(Entregas_BD!D:AM,""select D where D ='""&amp;D20&amp;""'"",1))-1"),2.0)</f>
        <v>2</v>
      </c>
    </row>
    <row r="21" ht="22.5" customHeight="1">
      <c r="A21" s="268" t="str">
        <f>IFERROR(__xludf.DUMMYFUNCTION("""COMPUTED_VALUE"""),"")</f>
        <v/>
      </c>
      <c r="B21" s="268" t="str">
        <f>IFERROR(__xludf.DUMMYFUNCTION("""COMPUTED_VALUE"""),"")</f>
        <v/>
      </c>
      <c r="C21" s="268">
        <f>IFERROR(__xludf.DUMMYFUNCTION("""COMPUTED_VALUE"""),45.0)</f>
        <v>45</v>
      </c>
      <c r="D21" s="268" t="str">
        <f>IFERROR(__xludf.DUMMYFUNCTION("""COMPUTED_VALUE"""),"Hospital Central Aristarcho Pessoa")</f>
        <v>Hospital Central Aristarcho Pessoa</v>
      </c>
      <c r="E21" s="268" t="str">
        <f>IFERROR(__xludf.DUMMYFUNCTION("""COMPUTED_VALUE"""),"CENTRO")</f>
        <v>CENTRO</v>
      </c>
      <c r="F21" s="268" t="str">
        <f>IFERROR(__xludf.DUMMYFUNCTION("""COMPUTED_VALUE"""),"Rio de Janeiro")</f>
        <v>Rio de Janeiro</v>
      </c>
      <c r="G21" s="268" t="str">
        <f>IFERROR(__xludf.DUMMYFUNCTION("""COMPUTED_VALUE"""),"Rio Comprido")</f>
        <v>Rio Comprido</v>
      </c>
      <c r="H21" s="268" t="str">
        <f>IFERROR(__xludf.DUMMYFUNCTION("""COMPUTED_VALUE"""),"Referência - ALTA COMPLEXIDADE")</f>
        <v>Referência - ALTA COMPLEXIDADE</v>
      </c>
      <c r="I21" s="268" t="str">
        <f>IFERROR(__xludf.DUMMYFUNCTION("""COMPUTED_VALUE"""),"Público")</f>
        <v>Público</v>
      </c>
      <c r="J21" s="268" t="str">
        <f>IFERROR(__xludf.DUMMYFUNCTION("""COMPUTED_VALUE"""),"")</f>
        <v/>
      </c>
      <c r="K21" s="268" t="str">
        <f>IFERROR(__xludf.DUMMYFUNCTION("""COMPUTED_VALUE"""),"")</f>
        <v/>
      </c>
      <c r="L21" s="268" t="str">
        <f>IFERROR(__xludf.DUMMYFUNCTION("""COMPUTED_VALUE"""),"")</f>
        <v/>
      </c>
      <c r="M21" s="268" t="str">
        <f>IFERROR(__xludf.DUMMYFUNCTION("""COMPUTED_VALUE"""),"")</f>
        <v/>
      </c>
      <c r="N21" s="268">
        <f>IFERROR(__xludf.DUMMYFUNCTION("""COMPUTED_VALUE"""),0.0)</f>
        <v>0</v>
      </c>
      <c r="O21" s="268">
        <f>IFERROR(__xludf.DUMMYFUNCTION("""COMPUTED_VALUE"""),0.0)</f>
        <v>0</v>
      </c>
      <c r="P21" s="268">
        <f>IFERROR(__xludf.DUMMYFUNCTION("""COMPUTED_VALUE"""),0.0)</f>
        <v>0</v>
      </c>
      <c r="Q21" s="268">
        <f>IFERROR(__xludf.DUMMYFUNCTION("""COMPUTED_VALUE"""),0.0)</f>
        <v>0</v>
      </c>
      <c r="R21" s="268">
        <f>IFERROR(__xludf.DUMMYFUNCTION("""COMPUTED_VALUE"""),0.0)</f>
        <v>0</v>
      </c>
      <c r="S21" s="268">
        <f>IFERROR(__xludf.DUMMYFUNCTION("""COMPUTED_VALUE"""),0.0)</f>
        <v>0</v>
      </c>
      <c r="T21" s="268">
        <f>IFERROR(__xludf.DUMMYFUNCTION("""COMPUTED_VALUE"""),100.0)</f>
        <v>100</v>
      </c>
      <c r="U21" s="268">
        <f>IFERROR(__xludf.DUMMYFUNCTION("""COMPUTED_VALUE"""),0.0)</f>
        <v>0</v>
      </c>
      <c r="V21" s="268">
        <f>IFERROR(__xludf.DUMMYFUNCTION("""COMPUTED_VALUE"""),0.0)</f>
        <v>0</v>
      </c>
      <c r="W21" s="268">
        <f>IFERROR(__xludf.DUMMYFUNCTION("""COMPUTED_VALUE"""),0.0)</f>
        <v>0</v>
      </c>
      <c r="X21" s="268">
        <f>IFERROR(__xludf.DUMMYFUNCTION("""COMPUTED_VALUE"""),0.0)</f>
        <v>0</v>
      </c>
      <c r="Y21" s="268">
        <f>IFERROR(__xludf.DUMMYFUNCTION("""COMPUTED_VALUE"""),0.0)</f>
        <v>0</v>
      </c>
      <c r="Z21" s="268">
        <f>IFERROR(__xludf.DUMMYFUNCTION("""COMPUTED_VALUE"""),-100.0)</f>
        <v>-100</v>
      </c>
      <c r="AA21" s="268">
        <f>IFERROR(__xludf.DUMMYFUNCTION("""COMPUTED_VALUE"""),0.0)</f>
        <v>0</v>
      </c>
      <c r="AB21" s="268">
        <f>IFERROR(__xludf.DUMMYFUNCTION("""COMPUTED_VALUE"""),0.0)</f>
        <v>0</v>
      </c>
      <c r="AC21" s="268">
        <f>IFERROR(__xludf.DUMMYFUNCTION("""COMPUTED_VALUE"""),0.0)</f>
        <v>0</v>
      </c>
      <c r="AD21" s="268">
        <f>IFERROR(__xludf.DUMMYFUNCTION("""COMPUTED_VALUE"""),0.0)</f>
        <v>0</v>
      </c>
      <c r="AE21" s="268">
        <f>IFERROR(__xludf.DUMMYFUNCTION("""COMPUTED_VALUE"""),0.0)</f>
        <v>0</v>
      </c>
      <c r="AF21" s="268" t="str">
        <f>IFERROR(__xludf.DUMMYFUNCTION("""COMPUTED_VALUE"""),"-22.931474,-43.2097388")</f>
        <v>-22.931474,-43.2097388</v>
      </c>
      <c r="AG21" s="268">
        <f>IFERROR(__xludf.DUMMYFUNCTION("""COMPUTED_VALUE"""),0.0)</f>
        <v>0</v>
      </c>
      <c r="AH21" s="268">
        <f>IFERROR(__xludf.DUMMYFUNCTION("""COMPUTED_VALUE"""),0.0)</f>
        <v>0</v>
      </c>
      <c r="AI21" s="268">
        <f>IFERROR(__xludf.DUMMYFUNCTION("""COMPUTED_VALUE"""),0.0)</f>
        <v>0</v>
      </c>
      <c r="AJ21" s="268">
        <f>IFERROR(__xludf.DUMMYFUNCTION("ROWS(QUERY(Entregas_BD!D:AM,""select D where D ='""&amp;D21&amp;""'"",1))-1"),1.0)</f>
        <v>1</v>
      </c>
    </row>
    <row r="22" ht="22.5" customHeight="1">
      <c r="A22" s="170" t="str">
        <f>IFERROR(__xludf.DUMMYFUNCTION("""COMPUTED_VALUE"""),"")</f>
        <v/>
      </c>
      <c r="B22" s="170" t="str">
        <f>IFERROR(__xludf.DUMMYFUNCTION("""COMPUTED_VALUE"""),"")</f>
        <v/>
      </c>
      <c r="C22" s="170">
        <f>IFERROR(__xludf.DUMMYFUNCTION("""COMPUTED_VALUE"""),46.0)</f>
        <v>46</v>
      </c>
      <c r="D22" s="170" t="str">
        <f>IFERROR(__xludf.DUMMYFUNCTION("""COMPUTED_VALUE"""),"Hospital Central da Polícia Militar do Estado do Rio de Janeiro")</f>
        <v>Hospital Central da Polícia Militar do Estado do Rio de Janeiro</v>
      </c>
      <c r="E22" s="170" t="str">
        <f>IFERROR(__xludf.DUMMYFUNCTION("""COMPUTED_VALUE"""),"CENTRO")</f>
        <v>CENTRO</v>
      </c>
      <c r="F22" s="170" t="str">
        <f>IFERROR(__xludf.DUMMYFUNCTION("""COMPUTED_VALUE"""),"Rio de Janeiro")</f>
        <v>Rio de Janeiro</v>
      </c>
      <c r="G22" s="170" t="str">
        <f>IFERROR(__xludf.DUMMYFUNCTION("""COMPUTED_VALUE"""),"Estacio")</f>
        <v>Estacio</v>
      </c>
      <c r="H22" s="170" t="str">
        <f>IFERROR(__xludf.DUMMYFUNCTION("""COMPUTED_VALUE"""),"Unidade básica - BAIXA COMPLEXIDADE")</f>
        <v>Unidade básica - BAIXA COMPLEXIDADE</v>
      </c>
      <c r="I22" s="170" t="str">
        <f>IFERROR(__xludf.DUMMYFUNCTION("""COMPUTED_VALUE"""),"Público")</f>
        <v>Público</v>
      </c>
      <c r="J22" s="170" t="str">
        <f>IFERROR(__xludf.DUMMYFUNCTION("""COMPUTED_VALUE"""),"")</f>
        <v/>
      </c>
      <c r="K22" s="170" t="str">
        <f>IFERROR(__xludf.DUMMYFUNCTION("""COMPUTED_VALUE"""),"")</f>
        <v/>
      </c>
      <c r="L22" s="170" t="str">
        <f>IFERROR(__xludf.DUMMYFUNCTION("""COMPUTED_VALUE"""),"")</f>
        <v/>
      </c>
      <c r="M22" s="170" t="str">
        <f>IFERROR(__xludf.DUMMYFUNCTION("""COMPUTED_VALUE"""),"")</f>
        <v/>
      </c>
      <c r="N22" s="170">
        <f>IFERROR(__xludf.DUMMYFUNCTION("""COMPUTED_VALUE"""),0.0)</f>
        <v>0</v>
      </c>
      <c r="O22" s="170">
        <f>IFERROR(__xludf.DUMMYFUNCTION("""COMPUTED_VALUE"""),0.0)</f>
        <v>0</v>
      </c>
      <c r="P22" s="170">
        <f>IFERROR(__xludf.DUMMYFUNCTION("""COMPUTED_VALUE"""),0.0)</f>
        <v>0</v>
      </c>
      <c r="Q22" s="170">
        <f>IFERROR(__xludf.DUMMYFUNCTION("""COMPUTED_VALUE"""),0.0)</f>
        <v>0</v>
      </c>
      <c r="R22" s="170">
        <f>IFERROR(__xludf.DUMMYFUNCTION("""COMPUTED_VALUE"""),0.0)</f>
        <v>0</v>
      </c>
      <c r="S22" s="170">
        <f>IFERROR(__xludf.DUMMYFUNCTION("""COMPUTED_VALUE"""),0.0)</f>
        <v>0</v>
      </c>
      <c r="T22" s="170">
        <f>IFERROR(__xludf.DUMMYFUNCTION("""COMPUTED_VALUE"""),100.0)</f>
        <v>100</v>
      </c>
      <c r="U22" s="170">
        <f>IFERROR(__xludf.DUMMYFUNCTION("""COMPUTED_VALUE"""),0.0)</f>
        <v>0</v>
      </c>
      <c r="V22" s="170">
        <f>IFERROR(__xludf.DUMMYFUNCTION("""COMPUTED_VALUE"""),0.0)</f>
        <v>0</v>
      </c>
      <c r="W22" s="170">
        <f>IFERROR(__xludf.DUMMYFUNCTION("""COMPUTED_VALUE"""),0.0)</f>
        <v>0</v>
      </c>
      <c r="X22" s="170">
        <f>IFERROR(__xludf.DUMMYFUNCTION("""COMPUTED_VALUE"""),0.0)</f>
        <v>0</v>
      </c>
      <c r="Y22" s="170">
        <f>IFERROR(__xludf.DUMMYFUNCTION("""COMPUTED_VALUE"""),0.0)</f>
        <v>0</v>
      </c>
      <c r="Z22" s="170">
        <f>IFERROR(__xludf.DUMMYFUNCTION("""COMPUTED_VALUE"""),-100.0)</f>
        <v>-100</v>
      </c>
      <c r="AA22" s="170">
        <f>IFERROR(__xludf.DUMMYFUNCTION("""COMPUTED_VALUE"""),0.0)</f>
        <v>0</v>
      </c>
      <c r="AB22" s="170">
        <f>IFERROR(__xludf.DUMMYFUNCTION("""COMPUTED_VALUE"""),0.0)</f>
        <v>0</v>
      </c>
      <c r="AC22" s="170">
        <f>IFERROR(__xludf.DUMMYFUNCTION("""COMPUTED_VALUE"""),0.0)</f>
        <v>0</v>
      </c>
      <c r="AD22" s="170">
        <f>IFERROR(__xludf.DUMMYFUNCTION("""COMPUTED_VALUE"""),0.0)</f>
        <v>0</v>
      </c>
      <c r="AE22" s="170">
        <f>IFERROR(__xludf.DUMMYFUNCTION("""COMPUTED_VALUE"""),0.0)</f>
        <v>0</v>
      </c>
      <c r="AF22" s="170" t="str">
        <f>IFERROR(__xludf.DUMMYFUNCTION("""COMPUTED_VALUE"""),"-22.9130065,-43.2038426")</f>
        <v>-22.9130065,-43.2038426</v>
      </c>
      <c r="AG22" s="170">
        <f>IFERROR(__xludf.DUMMYFUNCTION("""COMPUTED_VALUE"""),0.0)</f>
        <v>0</v>
      </c>
      <c r="AH22" s="170">
        <f>IFERROR(__xludf.DUMMYFUNCTION("""COMPUTED_VALUE"""),0.0)</f>
        <v>0</v>
      </c>
      <c r="AI22" s="170">
        <f>IFERROR(__xludf.DUMMYFUNCTION("""COMPUTED_VALUE"""),0.0)</f>
        <v>0</v>
      </c>
      <c r="AJ22" s="170">
        <f>IFERROR(__xludf.DUMMYFUNCTION("ROWS(QUERY(Entregas_BD!D:AM,""select D where D ='""&amp;D22&amp;""'"",1))-1"),1.0)</f>
        <v>1</v>
      </c>
    </row>
    <row r="23" ht="22.5" customHeight="1">
      <c r="A23" s="268" t="str">
        <f>IFERROR(__xludf.DUMMYFUNCTION("""COMPUTED_VALUE"""),"")</f>
        <v/>
      </c>
      <c r="B23" s="268" t="str">
        <f>IFERROR(__xludf.DUMMYFUNCTION("""COMPUTED_VALUE"""),"")</f>
        <v/>
      </c>
      <c r="C23" s="268">
        <f>IFERROR(__xludf.DUMMYFUNCTION("""COMPUTED_VALUE"""),50.0)</f>
        <v>50</v>
      </c>
      <c r="D23" s="268" t="str">
        <f>IFERROR(__xludf.DUMMYFUNCTION("""COMPUTED_VALUE"""),"Hospital da Gamboa")</f>
        <v>Hospital da Gamboa</v>
      </c>
      <c r="E23" s="268" t="str">
        <f>IFERROR(__xludf.DUMMYFUNCTION("""COMPUTED_VALUE"""),"CENTRO")</f>
        <v>CENTRO</v>
      </c>
      <c r="F23" s="268" t="str">
        <f>IFERROR(__xludf.DUMMYFUNCTION("""COMPUTED_VALUE"""),"Rio de Janeiro")</f>
        <v>Rio de Janeiro</v>
      </c>
      <c r="G23" s="268" t="str">
        <f>IFERROR(__xludf.DUMMYFUNCTION("""COMPUTED_VALUE"""),"Gamboa")</f>
        <v>Gamboa</v>
      </c>
      <c r="H23" s="268" t="str">
        <f>IFERROR(__xludf.DUMMYFUNCTION("""COMPUTED_VALUE"""),"Unidade básica - BAIXA COMPLEXIDADE")</f>
        <v>Unidade básica - BAIXA COMPLEXIDADE</v>
      </c>
      <c r="I23" s="268" t="str">
        <f>IFERROR(__xludf.DUMMYFUNCTION("""COMPUTED_VALUE"""),"Privado")</f>
        <v>Privado</v>
      </c>
      <c r="J23" s="268" t="str">
        <f>IFERROR(__xludf.DUMMYFUNCTION("""COMPUTED_VALUE"""),"")</f>
        <v/>
      </c>
      <c r="K23" s="268" t="str">
        <f>IFERROR(__xludf.DUMMYFUNCTION("""COMPUTED_VALUE"""),"")</f>
        <v/>
      </c>
      <c r="L23" s="268" t="str">
        <f>IFERROR(__xludf.DUMMYFUNCTION("""COMPUTED_VALUE"""),"")</f>
        <v/>
      </c>
      <c r="M23" s="268" t="str">
        <f>IFERROR(__xludf.DUMMYFUNCTION("""COMPUTED_VALUE"""),"")</f>
        <v/>
      </c>
      <c r="N23" s="268">
        <f>IFERROR(__xludf.DUMMYFUNCTION("""COMPUTED_VALUE"""),0.0)</f>
        <v>0</v>
      </c>
      <c r="O23" s="268">
        <f>IFERROR(__xludf.DUMMYFUNCTION("""COMPUTED_VALUE"""),0.0)</f>
        <v>0</v>
      </c>
      <c r="P23" s="268">
        <f>IFERROR(__xludf.DUMMYFUNCTION("""COMPUTED_VALUE"""),0.0)</f>
        <v>0</v>
      </c>
      <c r="Q23" s="268">
        <f>IFERROR(__xludf.DUMMYFUNCTION("""COMPUTED_VALUE"""),0.0)</f>
        <v>0</v>
      </c>
      <c r="R23" s="268">
        <f>IFERROR(__xludf.DUMMYFUNCTION("""COMPUTED_VALUE"""),0.0)</f>
        <v>0</v>
      </c>
      <c r="S23" s="268">
        <f>IFERROR(__xludf.DUMMYFUNCTION("""COMPUTED_VALUE"""),0.0)</f>
        <v>0</v>
      </c>
      <c r="T23" s="268">
        <f>IFERROR(__xludf.DUMMYFUNCTION("""COMPUTED_VALUE"""),100.0)</f>
        <v>100</v>
      </c>
      <c r="U23" s="268">
        <f>IFERROR(__xludf.DUMMYFUNCTION("""COMPUTED_VALUE"""),0.0)</f>
        <v>0</v>
      </c>
      <c r="V23" s="268">
        <f>IFERROR(__xludf.DUMMYFUNCTION("""COMPUTED_VALUE"""),0.0)</f>
        <v>0</v>
      </c>
      <c r="W23" s="268">
        <f>IFERROR(__xludf.DUMMYFUNCTION("""COMPUTED_VALUE"""),50.0)</f>
        <v>50</v>
      </c>
      <c r="X23" s="268">
        <f>IFERROR(__xludf.DUMMYFUNCTION("""COMPUTED_VALUE"""),0.0)</f>
        <v>0</v>
      </c>
      <c r="Y23" s="268">
        <f>IFERROR(__xludf.DUMMYFUNCTION("""COMPUTED_VALUE"""),0.0)</f>
        <v>0</v>
      </c>
      <c r="Z23" s="268">
        <f>IFERROR(__xludf.DUMMYFUNCTION("""COMPUTED_VALUE"""),-100.0)</f>
        <v>-100</v>
      </c>
      <c r="AA23" s="268">
        <f>IFERROR(__xludf.DUMMYFUNCTION("""COMPUTED_VALUE"""),0.0)</f>
        <v>0</v>
      </c>
      <c r="AB23" s="268">
        <f>IFERROR(__xludf.DUMMYFUNCTION("""COMPUTED_VALUE"""),0.0)</f>
        <v>0</v>
      </c>
      <c r="AC23" s="268">
        <f>IFERROR(__xludf.DUMMYFUNCTION("""COMPUTED_VALUE"""),-50.0)</f>
        <v>-50</v>
      </c>
      <c r="AD23" s="268">
        <f>IFERROR(__xludf.DUMMYFUNCTION("""COMPUTED_VALUE"""),0.0)</f>
        <v>0</v>
      </c>
      <c r="AE23" s="268">
        <f>IFERROR(__xludf.DUMMYFUNCTION("""COMPUTED_VALUE"""),0.0)</f>
        <v>0</v>
      </c>
      <c r="AF23" s="268" t="str">
        <f>IFERROR(__xludf.DUMMYFUNCTION("""COMPUTED_VALUE"""),"-22.8959723,-43.20011340000001")</f>
        <v>-22.8959723,-43.20011340000001</v>
      </c>
      <c r="AG23" s="268">
        <f>IFERROR(__xludf.DUMMYFUNCTION("""COMPUTED_VALUE"""),0.0)</f>
        <v>0</v>
      </c>
      <c r="AH23" s="268">
        <f>IFERROR(__xludf.DUMMYFUNCTION("""COMPUTED_VALUE"""),0.0)</f>
        <v>0</v>
      </c>
      <c r="AI23" s="268">
        <f>IFERROR(__xludf.DUMMYFUNCTION("""COMPUTED_VALUE"""),0.0)</f>
        <v>0</v>
      </c>
      <c r="AJ23" s="268">
        <f>IFERROR(__xludf.DUMMYFUNCTION("ROWS(QUERY(Entregas_BD!D:AM,""select D where D ='""&amp;D23&amp;""'"",1))-1"),1.0)</f>
        <v>1</v>
      </c>
    </row>
    <row r="24" ht="22.5" customHeight="1">
      <c r="A24" s="170" t="str">
        <f>IFERROR(__xludf.DUMMYFUNCTION("""COMPUTED_VALUE"""),"")</f>
        <v/>
      </c>
      <c r="B24" s="170" t="str">
        <f>IFERROR(__xludf.DUMMYFUNCTION("""COMPUTED_VALUE"""),"")</f>
        <v/>
      </c>
      <c r="C24" s="170">
        <f>IFERROR(__xludf.DUMMYFUNCTION("""COMPUTED_VALUE"""),52.0)</f>
        <v>52</v>
      </c>
      <c r="D24" s="170" t="str">
        <f>IFERROR(__xludf.DUMMYFUNCTION("""COMPUTED_VALUE"""),"Hospital da Mulher Mariska Ribeiro")</f>
        <v>Hospital da Mulher Mariska Ribeiro</v>
      </c>
      <c r="E24" s="170" t="str">
        <f>IFERROR(__xludf.DUMMYFUNCTION("""COMPUTED_VALUE"""),"ZONA OESTE")</f>
        <v>ZONA OESTE</v>
      </c>
      <c r="F24" s="170" t="str">
        <f>IFERROR(__xludf.DUMMYFUNCTION("""COMPUTED_VALUE"""),"Rio de Janeiro")</f>
        <v>Rio de Janeiro</v>
      </c>
      <c r="G24" s="170" t="str">
        <f>IFERROR(__xludf.DUMMYFUNCTION("""COMPUTED_VALUE"""),"Bangu")</f>
        <v>Bangu</v>
      </c>
      <c r="H24" s="170" t="str">
        <f>IFERROR(__xludf.DUMMYFUNCTION("""COMPUTED_VALUE"""),"Grande emergência - MÉDIA COMPLEXIDADE")</f>
        <v>Grande emergência - MÉDIA COMPLEXIDADE</v>
      </c>
      <c r="I24" s="170" t="str">
        <f>IFERROR(__xludf.DUMMYFUNCTION("""COMPUTED_VALUE"""),"Público")</f>
        <v>Público</v>
      </c>
      <c r="J24" s="170" t="str">
        <f>IFERROR(__xludf.DUMMYFUNCTION("""COMPUTED_VALUE"""),"")</f>
        <v/>
      </c>
      <c r="K24" s="170" t="str">
        <f>IFERROR(__xludf.DUMMYFUNCTION("""COMPUTED_VALUE"""),"")</f>
        <v/>
      </c>
      <c r="L24" s="170" t="str">
        <f>IFERROR(__xludf.DUMMYFUNCTION("""COMPUTED_VALUE"""),"")</f>
        <v/>
      </c>
      <c r="M24" s="170" t="str">
        <f>IFERROR(__xludf.DUMMYFUNCTION("""COMPUTED_VALUE"""),"")</f>
        <v/>
      </c>
      <c r="N24" s="170">
        <f>IFERROR(__xludf.DUMMYFUNCTION("""COMPUTED_VALUE"""),0.0)</f>
        <v>0</v>
      </c>
      <c r="O24" s="170">
        <f>IFERROR(__xludf.DUMMYFUNCTION("""COMPUTED_VALUE"""),0.0)</f>
        <v>0</v>
      </c>
      <c r="P24" s="170">
        <f>IFERROR(__xludf.DUMMYFUNCTION("""COMPUTED_VALUE"""),0.0)</f>
        <v>0</v>
      </c>
      <c r="Q24" s="170">
        <f>IFERROR(__xludf.DUMMYFUNCTION("""COMPUTED_VALUE"""),0.0)</f>
        <v>0</v>
      </c>
      <c r="R24" s="170">
        <f>IFERROR(__xludf.DUMMYFUNCTION("""COMPUTED_VALUE"""),0.0)</f>
        <v>0</v>
      </c>
      <c r="S24" s="170">
        <f>IFERROR(__xludf.DUMMYFUNCTION("""COMPUTED_VALUE"""),0.0)</f>
        <v>0</v>
      </c>
      <c r="T24" s="170">
        <f>IFERROR(__xludf.DUMMYFUNCTION("""COMPUTED_VALUE"""),20.0)</f>
        <v>20</v>
      </c>
      <c r="U24" s="170">
        <f>IFERROR(__xludf.DUMMYFUNCTION("""COMPUTED_VALUE"""),0.0)</f>
        <v>0</v>
      </c>
      <c r="V24" s="170">
        <f>IFERROR(__xludf.DUMMYFUNCTION("""COMPUTED_VALUE"""),0.0)</f>
        <v>0</v>
      </c>
      <c r="W24" s="170">
        <f>IFERROR(__xludf.DUMMYFUNCTION("""COMPUTED_VALUE"""),0.0)</f>
        <v>0</v>
      </c>
      <c r="X24" s="170">
        <f>IFERROR(__xludf.DUMMYFUNCTION("""COMPUTED_VALUE"""),0.0)</f>
        <v>0</v>
      </c>
      <c r="Y24" s="170">
        <f>IFERROR(__xludf.DUMMYFUNCTION("""COMPUTED_VALUE"""),0.0)</f>
        <v>0</v>
      </c>
      <c r="Z24" s="170">
        <f>IFERROR(__xludf.DUMMYFUNCTION("""COMPUTED_VALUE"""),-20.0)</f>
        <v>-20</v>
      </c>
      <c r="AA24" s="170">
        <f>IFERROR(__xludf.DUMMYFUNCTION("""COMPUTED_VALUE"""),0.0)</f>
        <v>0</v>
      </c>
      <c r="AB24" s="170">
        <f>IFERROR(__xludf.DUMMYFUNCTION("""COMPUTED_VALUE"""),0.0)</f>
        <v>0</v>
      </c>
      <c r="AC24" s="170">
        <f>IFERROR(__xludf.DUMMYFUNCTION("""COMPUTED_VALUE"""),0.0)</f>
        <v>0</v>
      </c>
      <c r="AD24" s="170">
        <f>IFERROR(__xludf.DUMMYFUNCTION("""COMPUTED_VALUE"""),0.0)</f>
        <v>0</v>
      </c>
      <c r="AE24" s="170">
        <f>IFERROR(__xludf.DUMMYFUNCTION("""COMPUTED_VALUE"""),0.0)</f>
        <v>0</v>
      </c>
      <c r="AF24" s="170" t="str">
        <f>IFERROR(__xludf.DUMMYFUNCTION("""COMPUTED_VALUE"""),"-22.876212,-43.472908")</f>
        <v>-22.876212,-43.472908</v>
      </c>
      <c r="AG24" s="170">
        <f>IFERROR(__xludf.DUMMYFUNCTION("""COMPUTED_VALUE"""),0.0)</f>
        <v>0</v>
      </c>
      <c r="AH24" s="170">
        <f>IFERROR(__xludf.DUMMYFUNCTION("""COMPUTED_VALUE"""),0.0)</f>
        <v>0</v>
      </c>
      <c r="AI24" s="170">
        <f>IFERROR(__xludf.DUMMYFUNCTION("""COMPUTED_VALUE"""),0.0)</f>
        <v>0</v>
      </c>
      <c r="AJ24" s="170">
        <f>IFERROR(__xludf.DUMMYFUNCTION("ROWS(QUERY(Entregas_BD!D:AM,""select D where D ='""&amp;D24&amp;""'"",1))-1"),1.0)</f>
        <v>1</v>
      </c>
    </row>
    <row r="25" ht="22.5" customHeight="1">
      <c r="A25" s="268" t="str">
        <f>IFERROR(__xludf.DUMMYFUNCTION("""COMPUTED_VALUE"""),"")</f>
        <v/>
      </c>
      <c r="B25" s="268" t="str">
        <f>IFERROR(__xludf.DUMMYFUNCTION("""COMPUTED_VALUE"""),"")</f>
        <v/>
      </c>
      <c r="C25" s="268">
        <f>IFERROR(__xludf.DUMMYFUNCTION("""COMPUTED_VALUE"""),53.0)</f>
        <v>53</v>
      </c>
      <c r="D25" s="268" t="str">
        <f>IFERROR(__xludf.DUMMYFUNCTION("""COMPUTED_VALUE"""),"Hospital da Policia Militar de Niteroi")</f>
        <v>Hospital da Policia Militar de Niteroi</v>
      </c>
      <c r="E25" s="268" t="str">
        <f>IFERROR(__xludf.DUMMYFUNCTION("""COMPUTED_VALUE"""),"REGIAO METROPOLITANA")</f>
        <v>REGIAO METROPOLITANA</v>
      </c>
      <c r="F25" s="268" t="str">
        <f>IFERROR(__xludf.DUMMYFUNCTION("""COMPUTED_VALUE"""),"Niterói")</f>
        <v>Niterói</v>
      </c>
      <c r="G25" s="268" t="str">
        <f>IFERROR(__xludf.DUMMYFUNCTION("""COMPUTED_VALUE"""),"Santa Rosa")</f>
        <v>Santa Rosa</v>
      </c>
      <c r="H25" s="268" t="str">
        <f>IFERROR(__xludf.DUMMYFUNCTION("""COMPUTED_VALUE"""),"Unidade básica - BAIXA COMPLEXIDADE")</f>
        <v>Unidade básica - BAIXA COMPLEXIDADE</v>
      </c>
      <c r="I25" s="268" t="str">
        <f>IFERROR(__xludf.DUMMYFUNCTION("""COMPUTED_VALUE"""),"Público")</f>
        <v>Público</v>
      </c>
      <c r="J25" s="268" t="str">
        <f>IFERROR(__xludf.DUMMYFUNCTION("""COMPUTED_VALUE"""),"")</f>
        <v/>
      </c>
      <c r="K25" s="268" t="str">
        <f>IFERROR(__xludf.DUMMYFUNCTION("""COMPUTED_VALUE"""),"")</f>
        <v/>
      </c>
      <c r="L25" s="268" t="str">
        <f>IFERROR(__xludf.DUMMYFUNCTION("""COMPUTED_VALUE"""),"")</f>
        <v/>
      </c>
      <c r="M25" s="268" t="str">
        <f>IFERROR(__xludf.DUMMYFUNCTION("""COMPUTED_VALUE"""),"")</f>
        <v/>
      </c>
      <c r="N25" s="268">
        <f>IFERROR(__xludf.DUMMYFUNCTION("""COMPUTED_VALUE"""),0.0)</f>
        <v>0</v>
      </c>
      <c r="O25" s="268">
        <f>IFERROR(__xludf.DUMMYFUNCTION("""COMPUTED_VALUE"""),0.0)</f>
        <v>0</v>
      </c>
      <c r="P25" s="268">
        <f>IFERROR(__xludf.DUMMYFUNCTION("""COMPUTED_VALUE"""),0.0)</f>
        <v>0</v>
      </c>
      <c r="Q25" s="268">
        <f>IFERROR(__xludf.DUMMYFUNCTION("""COMPUTED_VALUE"""),0.0)</f>
        <v>0</v>
      </c>
      <c r="R25" s="268">
        <f>IFERROR(__xludf.DUMMYFUNCTION("""COMPUTED_VALUE"""),0.0)</f>
        <v>0</v>
      </c>
      <c r="S25" s="268">
        <f>IFERROR(__xludf.DUMMYFUNCTION("""COMPUTED_VALUE"""),0.0)</f>
        <v>0</v>
      </c>
      <c r="T25" s="268">
        <f>IFERROR(__xludf.DUMMYFUNCTION("""COMPUTED_VALUE"""),100.0)</f>
        <v>100</v>
      </c>
      <c r="U25" s="268">
        <f>IFERROR(__xludf.DUMMYFUNCTION("""COMPUTED_VALUE"""),0.0)</f>
        <v>0</v>
      </c>
      <c r="V25" s="268">
        <f>IFERROR(__xludf.DUMMYFUNCTION("""COMPUTED_VALUE"""),0.0)</f>
        <v>0</v>
      </c>
      <c r="W25" s="268">
        <f>IFERROR(__xludf.DUMMYFUNCTION("""COMPUTED_VALUE"""),0.0)</f>
        <v>0</v>
      </c>
      <c r="X25" s="268">
        <f>IFERROR(__xludf.DUMMYFUNCTION("""COMPUTED_VALUE"""),0.0)</f>
        <v>0</v>
      </c>
      <c r="Y25" s="268">
        <f>IFERROR(__xludf.DUMMYFUNCTION("""COMPUTED_VALUE"""),0.0)</f>
        <v>0</v>
      </c>
      <c r="Z25" s="268">
        <f>IFERROR(__xludf.DUMMYFUNCTION("""COMPUTED_VALUE"""),-100.0)</f>
        <v>-100</v>
      </c>
      <c r="AA25" s="268">
        <f>IFERROR(__xludf.DUMMYFUNCTION("""COMPUTED_VALUE"""),0.0)</f>
        <v>0</v>
      </c>
      <c r="AB25" s="268">
        <f>IFERROR(__xludf.DUMMYFUNCTION("""COMPUTED_VALUE"""),0.0)</f>
        <v>0</v>
      </c>
      <c r="AC25" s="268">
        <f>IFERROR(__xludf.DUMMYFUNCTION("""COMPUTED_VALUE"""),0.0)</f>
        <v>0</v>
      </c>
      <c r="AD25" s="268">
        <f>IFERROR(__xludf.DUMMYFUNCTION("""COMPUTED_VALUE"""),0.0)</f>
        <v>0</v>
      </c>
      <c r="AE25" s="268">
        <f>IFERROR(__xludf.DUMMYFUNCTION("""COMPUTED_VALUE"""),0.0)</f>
        <v>0</v>
      </c>
      <c r="AF25" s="268" t="str">
        <f>IFERROR(__xludf.DUMMYFUNCTION("""COMPUTED_VALUE"""),"-22.89845,-43.092113")</f>
        <v>-22.89845,-43.092113</v>
      </c>
      <c r="AG25" s="268">
        <f>IFERROR(__xludf.DUMMYFUNCTION("""COMPUTED_VALUE"""),0.0)</f>
        <v>0</v>
      </c>
      <c r="AH25" s="268">
        <f>IFERROR(__xludf.DUMMYFUNCTION("""COMPUTED_VALUE"""),0.0)</f>
        <v>0</v>
      </c>
      <c r="AI25" s="268">
        <f>IFERROR(__xludf.DUMMYFUNCTION("""COMPUTED_VALUE"""),0.0)</f>
        <v>0</v>
      </c>
      <c r="AJ25" s="268">
        <f>IFERROR(__xludf.DUMMYFUNCTION("ROWS(QUERY(Entregas_BD!D:AM,""select D where D ='""&amp;D25&amp;""'"",1))-1"),1.0)</f>
        <v>1</v>
      </c>
    </row>
    <row r="26" ht="22.5" customHeight="1">
      <c r="A26" s="170" t="str">
        <f>IFERROR(__xludf.DUMMYFUNCTION("""COMPUTED_VALUE"""),"")</f>
        <v/>
      </c>
      <c r="B26" s="170" t="str">
        <f>IFERROR(__xludf.DUMMYFUNCTION("""COMPUTED_VALUE"""),"")</f>
        <v/>
      </c>
      <c r="C26" s="170">
        <f>IFERROR(__xludf.DUMMYFUNCTION("""COMPUTED_VALUE"""),56.0)</f>
        <v>56</v>
      </c>
      <c r="D26" s="170" t="str">
        <f>IFERROR(__xludf.DUMMYFUNCTION("""COMPUTED_VALUE"""),"Hospital do Câncer 1 - INCA")</f>
        <v>Hospital do Câncer 1 - INCA</v>
      </c>
      <c r="E26" s="170" t="str">
        <f>IFERROR(__xludf.DUMMYFUNCTION("""COMPUTED_VALUE"""),"CENTRO")</f>
        <v>CENTRO</v>
      </c>
      <c r="F26" s="170" t="str">
        <f>IFERROR(__xludf.DUMMYFUNCTION("""COMPUTED_VALUE"""),"Rio de Janeiro")</f>
        <v>Rio de Janeiro</v>
      </c>
      <c r="G26" s="170" t="str">
        <f>IFERROR(__xludf.DUMMYFUNCTION("""COMPUTED_VALUE"""),"centro")</f>
        <v>centro</v>
      </c>
      <c r="H26" s="170" t="str">
        <f>IFERROR(__xludf.DUMMYFUNCTION("""COMPUTED_VALUE"""),"Unidade básica - BAIXA COMPLEXIDADE")</f>
        <v>Unidade básica - BAIXA COMPLEXIDADE</v>
      </c>
      <c r="I26" s="170" t="str">
        <f>IFERROR(__xludf.DUMMYFUNCTION("""COMPUTED_VALUE"""),"Público")</f>
        <v>Público</v>
      </c>
      <c r="J26" s="170" t="str">
        <f>IFERROR(__xludf.DUMMYFUNCTION("""COMPUTED_VALUE"""),"")</f>
        <v/>
      </c>
      <c r="K26" s="170" t="str">
        <f>IFERROR(__xludf.DUMMYFUNCTION("""COMPUTED_VALUE"""),"")</f>
        <v/>
      </c>
      <c r="L26" s="170" t="str">
        <f>IFERROR(__xludf.DUMMYFUNCTION("""COMPUTED_VALUE"""),"")</f>
        <v/>
      </c>
      <c r="M26" s="170" t="str">
        <f>IFERROR(__xludf.DUMMYFUNCTION("""COMPUTED_VALUE"""),"")</f>
        <v/>
      </c>
      <c r="N26" s="170">
        <f>IFERROR(__xludf.DUMMYFUNCTION("""COMPUTED_VALUE"""),0.0)</f>
        <v>0</v>
      </c>
      <c r="O26" s="170">
        <f>IFERROR(__xludf.DUMMYFUNCTION("""COMPUTED_VALUE"""),0.0)</f>
        <v>0</v>
      </c>
      <c r="P26" s="170">
        <f>IFERROR(__xludf.DUMMYFUNCTION("""COMPUTED_VALUE"""),0.0)</f>
        <v>0</v>
      </c>
      <c r="Q26" s="170">
        <f>IFERROR(__xludf.DUMMYFUNCTION("""COMPUTED_VALUE"""),0.0)</f>
        <v>0</v>
      </c>
      <c r="R26" s="170">
        <f>IFERROR(__xludf.DUMMYFUNCTION("""COMPUTED_VALUE"""),0.0)</f>
        <v>0</v>
      </c>
      <c r="S26" s="170">
        <f>IFERROR(__xludf.DUMMYFUNCTION("""COMPUTED_VALUE"""),0.0)</f>
        <v>0</v>
      </c>
      <c r="T26" s="170">
        <f>IFERROR(__xludf.DUMMYFUNCTION("""COMPUTED_VALUE"""),100.0)</f>
        <v>100</v>
      </c>
      <c r="U26" s="170">
        <f>IFERROR(__xludf.DUMMYFUNCTION("""COMPUTED_VALUE"""),0.0)</f>
        <v>0</v>
      </c>
      <c r="V26" s="170">
        <f>IFERROR(__xludf.DUMMYFUNCTION("""COMPUTED_VALUE"""),0.0)</f>
        <v>0</v>
      </c>
      <c r="W26" s="170">
        <f>IFERROR(__xludf.DUMMYFUNCTION("""COMPUTED_VALUE"""),0.0)</f>
        <v>0</v>
      </c>
      <c r="X26" s="170">
        <f>IFERROR(__xludf.DUMMYFUNCTION("""COMPUTED_VALUE"""),0.0)</f>
        <v>0</v>
      </c>
      <c r="Y26" s="170">
        <f>IFERROR(__xludf.DUMMYFUNCTION("""COMPUTED_VALUE"""),0.0)</f>
        <v>0</v>
      </c>
      <c r="Z26" s="170">
        <f>IFERROR(__xludf.DUMMYFUNCTION("""COMPUTED_VALUE"""),-100.0)</f>
        <v>-100</v>
      </c>
      <c r="AA26" s="170">
        <f>IFERROR(__xludf.DUMMYFUNCTION("""COMPUTED_VALUE"""),0.0)</f>
        <v>0</v>
      </c>
      <c r="AB26" s="170">
        <f>IFERROR(__xludf.DUMMYFUNCTION("""COMPUTED_VALUE"""),0.0)</f>
        <v>0</v>
      </c>
      <c r="AC26" s="170">
        <f>IFERROR(__xludf.DUMMYFUNCTION("""COMPUTED_VALUE"""),0.0)</f>
        <v>0</v>
      </c>
      <c r="AD26" s="170">
        <f>IFERROR(__xludf.DUMMYFUNCTION("""COMPUTED_VALUE"""),0.0)</f>
        <v>0</v>
      </c>
      <c r="AE26" s="170">
        <f>IFERROR(__xludf.DUMMYFUNCTION("""COMPUTED_VALUE"""),0.0)</f>
        <v>0</v>
      </c>
      <c r="AF26" s="170" t="str">
        <f>IFERROR(__xludf.DUMMYFUNCTION("""COMPUTED_VALUE"""),"-22.9123649,-43.1885825")</f>
        <v>-22.9123649,-43.1885825</v>
      </c>
      <c r="AG26" s="170">
        <f>IFERROR(__xludf.DUMMYFUNCTION("""COMPUTED_VALUE"""),0.0)</f>
        <v>0</v>
      </c>
      <c r="AH26" s="170">
        <f>IFERROR(__xludf.DUMMYFUNCTION("""COMPUTED_VALUE"""),0.0)</f>
        <v>0</v>
      </c>
      <c r="AI26" s="170">
        <f>IFERROR(__xludf.DUMMYFUNCTION("""COMPUTED_VALUE"""),0.0)</f>
        <v>0</v>
      </c>
      <c r="AJ26" s="170">
        <f>IFERROR(__xludf.DUMMYFUNCTION("ROWS(QUERY(Entregas_BD!D:AM,""select D where D ='""&amp;D26&amp;""'"",1))-1"),2.0)</f>
        <v>2</v>
      </c>
    </row>
    <row r="27" ht="22.5" customHeight="1">
      <c r="A27" s="268" t="str">
        <f>IFERROR(__xludf.DUMMYFUNCTION("""COMPUTED_VALUE"""),"")</f>
        <v/>
      </c>
      <c r="B27" s="268" t="str">
        <f>IFERROR(__xludf.DUMMYFUNCTION("""COMPUTED_VALUE"""),"")</f>
        <v/>
      </c>
      <c r="C27" s="268">
        <f>IFERROR(__xludf.DUMMYFUNCTION("""COMPUTED_VALUE"""),57.0)</f>
        <v>57</v>
      </c>
      <c r="D27" s="268" t="str">
        <f>IFERROR(__xludf.DUMMYFUNCTION("""COMPUTED_VALUE"""),"Hospital do Câncer 2 - INCA")</f>
        <v>Hospital do Câncer 2 - INCA</v>
      </c>
      <c r="E27" s="268" t="str">
        <f>IFERROR(__xludf.DUMMYFUNCTION("""COMPUTED_VALUE"""),"CENTRO")</f>
        <v>CENTRO</v>
      </c>
      <c r="F27" s="268" t="str">
        <f>IFERROR(__xludf.DUMMYFUNCTION("""COMPUTED_VALUE"""),"Rio de Janeiro")</f>
        <v>Rio de Janeiro</v>
      </c>
      <c r="G27" s="268" t="str">
        <f>IFERROR(__xludf.DUMMYFUNCTION("""COMPUTED_VALUE"""),"Santo Cristo")</f>
        <v>Santo Cristo</v>
      </c>
      <c r="H27" s="268" t="str">
        <f>IFERROR(__xludf.DUMMYFUNCTION("""COMPUTED_VALUE"""),"Unidade básica - BAIXA COMPLEXIDADE")</f>
        <v>Unidade básica - BAIXA COMPLEXIDADE</v>
      </c>
      <c r="I27" s="268" t="str">
        <f>IFERROR(__xludf.DUMMYFUNCTION("""COMPUTED_VALUE"""),"Público")</f>
        <v>Público</v>
      </c>
      <c r="J27" s="268" t="str">
        <f>IFERROR(__xludf.DUMMYFUNCTION("""COMPUTED_VALUE"""),"")</f>
        <v/>
      </c>
      <c r="K27" s="268" t="str">
        <f>IFERROR(__xludf.DUMMYFUNCTION("""COMPUTED_VALUE"""),"")</f>
        <v/>
      </c>
      <c r="L27" s="268" t="str">
        <f>IFERROR(__xludf.DUMMYFUNCTION("""COMPUTED_VALUE"""),"")</f>
        <v/>
      </c>
      <c r="M27" s="268" t="str">
        <f>IFERROR(__xludf.DUMMYFUNCTION("""COMPUTED_VALUE"""),"")</f>
        <v/>
      </c>
      <c r="N27" s="268">
        <f>IFERROR(__xludf.DUMMYFUNCTION("""COMPUTED_VALUE"""),0.0)</f>
        <v>0</v>
      </c>
      <c r="O27" s="268">
        <f>IFERROR(__xludf.DUMMYFUNCTION("""COMPUTED_VALUE"""),0.0)</f>
        <v>0</v>
      </c>
      <c r="P27" s="268">
        <f>IFERROR(__xludf.DUMMYFUNCTION("""COMPUTED_VALUE"""),0.0)</f>
        <v>0</v>
      </c>
      <c r="Q27" s="268">
        <f>IFERROR(__xludf.DUMMYFUNCTION("""COMPUTED_VALUE"""),0.0)</f>
        <v>0</v>
      </c>
      <c r="R27" s="268">
        <f>IFERROR(__xludf.DUMMYFUNCTION("""COMPUTED_VALUE"""),0.0)</f>
        <v>0</v>
      </c>
      <c r="S27" s="268">
        <f>IFERROR(__xludf.DUMMYFUNCTION("""COMPUTED_VALUE"""),0.0)</f>
        <v>0</v>
      </c>
      <c r="T27" s="268">
        <f>IFERROR(__xludf.DUMMYFUNCTION("""COMPUTED_VALUE"""),50.0)</f>
        <v>50</v>
      </c>
      <c r="U27" s="268">
        <f>IFERROR(__xludf.DUMMYFUNCTION("""COMPUTED_VALUE"""),0.0)</f>
        <v>0</v>
      </c>
      <c r="V27" s="268">
        <f>IFERROR(__xludf.DUMMYFUNCTION("""COMPUTED_VALUE"""),0.0)</f>
        <v>0</v>
      </c>
      <c r="W27" s="268">
        <f>IFERROR(__xludf.DUMMYFUNCTION("""COMPUTED_VALUE"""),0.0)</f>
        <v>0</v>
      </c>
      <c r="X27" s="268">
        <f>IFERROR(__xludf.DUMMYFUNCTION("""COMPUTED_VALUE"""),0.0)</f>
        <v>0</v>
      </c>
      <c r="Y27" s="268">
        <f>IFERROR(__xludf.DUMMYFUNCTION("""COMPUTED_VALUE"""),0.0)</f>
        <v>0</v>
      </c>
      <c r="Z27" s="268">
        <f>IFERROR(__xludf.DUMMYFUNCTION("""COMPUTED_VALUE"""),-50.0)</f>
        <v>-50</v>
      </c>
      <c r="AA27" s="268">
        <f>IFERROR(__xludf.DUMMYFUNCTION("""COMPUTED_VALUE"""),0.0)</f>
        <v>0</v>
      </c>
      <c r="AB27" s="268">
        <f>IFERROR(__xludf.DUMMYFUNCTION("""COMPUTED_VALUE"""),0.0)</f>
        <v>0</v>
      </c>
      <c r="AC27" s="268">
        <f>IFERROR(__xludf.DUMMYFUNCTION("""COMPUTED_VALUE"""),0.0)</f>
        <v>0</v>
      </c>
      <c r="AD27" s="268">
        <f>IFERROR(__xludf.DUMMYFUNCTION("""COMPUTED_VALUE"""),0.0)</f>
        <v>0</v>
      </c>
      <c r="AE27" s="268">
        <f>IFERROR(__xludf.DUMMYFUNCTION("""COMPUTED_VALUE"""),0.0)</f>
        <v>0</v>
      </c>
      <c r="AF27" s="268" t="str">
        <f>IFERROR(__xludf.DUMMYFUNCTION("""COMPUTED_VALUE"""),"-22.899855,-43.2079464")</f>
        <v>-22.899855,-43.2079464</v>
      </c>
      <c r="AG27" s="268">
        <f>IFERROR(__xludf.DUMMYFUNCTION("""COMPUTED_VALUE"""),0.0)</f>
        <v>0</v>
      </c>
      <c r="AH27" s="268">
        <f>IFERROR(__xludf.DUMMYFUNCTION("""COMPUTED_VALUE"""),0.0)</f>
        <v>0</v>
      </c>
      <c r="AI27" s="268">
        <f>IFERROR(__xludf.DUMMYFUNCTION("""COMPUTED_VALUE"""),0.0)</f>
        <v>0</v>
      </c>
      <c r="AJ27" s="268">
        <f>IFERROR(__xludf.DUMMYFUNCTION("ROWS(QUERY(Entregas_BD!D:AM,""select D where D ='""&amp;D27&amp;""'"",1))-1"),1.0)</f>
        <v>1</v>
      </c>
    </row>
    <row r="28" ht="22.5" customHeight="1">
      <c r="A28" s="170" t="str">
        <f>IFERROR(__xludf.DUMMYFUNCTION("""COMPUTED_VALUE"""),"")</f>
        <v/>
      </c>
      <c r="B28" s="170" t="str">
        <f>IFERROR(__xludf.DUMMYFUNCTION("""COMPUTED_VALUE"""),"")</f>
        <v/>
      </c>
      <c r="C28" s="170">
        <f>IFERROR(__xludf.DUMMYFUNCTION("""COMPUTED_VALUE"""),58.0)</f>
        <v>58</v>
      </c>
      <c r="D28" s="170" t="str">
        <f>IFERROR(__xludf.DUMMYFUNCTION("""COMPUTED_VALUE"""),"Hospital do Câncer 3 - INCA")</f>
        <v>Hospital do Câncer 3 - INCA</v>
      </c>
      <c r="E28" s="170" t="str">
        <f>IFERROR(__xludf.DUMMYFUNCTION("""COMPUTED_VALUE"""),"ZONA NORTE")</f>
        <v>ZONA NORTE</v>
      </c>
      <c r="F28" s="170" t="str">
        <f>IFERROR(__xludf.DUMMYFUNCTION("""COMPUTED_VALUE"""),"Rio de Janeiro")</f>
        <v>Rio de Janeiro</v>
      </c>
      <c r="G28" s="170" t="str">
        <f>IFERROR(__xludf.DUMMYFUNCTION("""COMPUTED_VALUE"""),"Vila Isabel")</f>
        <v>Vila Isabel</v>
      </c>
      <c r="H28" s="170" t="str">
        <f>IFERROR(__xludf.DUMMYFUNCTION("""COMPUTED_VALUE"""),"Unidade básica - BAIXA COMPLEXIDADE")</f>
        <v>Unidade básica - BAIXA COMPLEXIDADE</v>
      </c>
      <c r="I28" s="170" t="str">
        <f>IFERROR(__xludf.DUMMYFUNCTION("""COMPUTED_VALUE"""),"Público")</f>
        <v>Público</v>
      </c>
      <c r="J28" s="170" t="str">
        <f>IFERROR(__xludf.DUMMYFUNCTION("""COMPUTED_VALUE"""),"")</f>
        <v/>
      </c>
      <c r="K28" s="170" t="str">
        <f>IFERROR(__xludf.DUMMYFUNCTION("""COMPUTED_VALUE"""),"")</f>
        <v/>
      </c>
      <c r="L28" s="170" t="str">
        <f>IFERROR(__xludf.DUMMYFUNCTION("""COMPUTED_VALUE"""),"")</f>
        <v/>
      </c>
      <c r="M28" s="170" t="str">
        <f>IFERROR(__xludf.DUMMYFUNCTION("""COMPUTED_VALUE"""),"")</f>
        <v/>
      </c>
      <c r="N28" s="170">
        <f>IFERROR(__xludf.DUMMYFUNCTION("""COMPUTED_VALUE"""),0.0)</f>
        <v>0</v>
      </c>
      <c r="O28" s="170">
        <f>IFERROR(__xludf.DUMMYFUNCTION("""COMPUTED_VALUE"""),0.0)</f>
        <v>0</v>
      </c>
      <c r="P28" s="170">
        <f>IFERROR(__xludf.DUMMYFUNCTION("""COMPUTED_VALUE"""),0.0)</f>
        <v>0</v>
      </c>
      <c r="Q28" s="170">
        <f>IFERROR(__xludf.DUMMYFUNCTION("""COMPUTED_VALUE"""),0.0)</f>
        <v>0</v>
      </c>
      <c r="R28" s="170">
        <f>IFERROR(__xludf.DUMMYFUNCTION("""COMPUTED_VALUE"""),0.0)</f>
        <v>0</v>
      </c>
      <c r="S28" s="170">
        <f>IFERROR(__xludf.DUMMYFUNCTION("""COMPUTED_VALUE"""),0.0)</f>
        <v>0</v>
      </c>
      <c r="T28" s="170">
        <f>IFERROR(__xludf.DUMMYFUNCTION("""COMPUTED_VALUE"""),100.0)</f>
        <v>100</v>
      </c>
      <c r="U28" s="170">
        <f>IFERROR(__xludf.DUMMYFUNCTION("""COMPUTED_VALUE"""),0.0)</f>
        <v>0</v>
      </c>
      <c r="V28" s="170">
        <f>IFERROR(__xludf.DUMMYFUNCTION("""COMPUTED_VALUE"""),0.0)</f>
        <v>0</v>
      </c>
      <c r="W28" s="170">
        <f>IFERROR(__xludf.DUMMYFUNCTION("""COMPUTED_VALUE"""),0.0)</f>
        <v>0</v>
      </c>
      <c r="X28" s="170">
        <f>IFERROR(__xludf.DUMMYFUNCTION("""COMPUTED_VALUE"""),0.0)</f>
        <v>0</v>
      </c>
      <c r="Y28" s="170">
        <f>IFERROR(__xludf.DUMMYFUNCTION("""COMPUTED_VALUE"""),0.0)</f>
        <v>0</v>
      </c>
      <c r="Z28" s="170">
        <f>IFERROR(__xludf.DUMMYFUNCTION("""COMPUTED_VALUE"""),-100.0)</f>
        <v>-100</v>
      </c>
      <c r="AA28" s="170">
        <f>IFERROR(__xludf.DUMMYFUNCTION("""COMPUTED_VALUE"""),0.0)</f>
        <v>0</v>
      </c>
      <c r="AB28" s="170">
        <f>IFERROR(__xludf.DUMMYFUNCTION("""COMPUTED_VALUE"""),0.0)</f>
        <v>0</v>
      </c>
      <c r="AC28" s="170">
        <f>IFERROR(__xludf.DUMMYFUNCTION("""COMPUTED_VALUE"""),0.0)</f>
        <v>0</v>
      </c>
      <c r="AD28" s="170">
        <f>IFERROR(__xludf.DUMMYFUNCTION("""COMPUTED_VALUE"""),0.0)</f>
        <v>0</v>
      </c>
      <c r="AE28" s="170">
        <f>IFERROR(__xludf.DUMMYFUNCTION("""COMPUTED_VALUE"""),0.0)</f>
        <v>0</v>
      </c>
      <c r="AF28" s="170" t="str">
        <f>IFERROR(__xludf.DUMMYFUNCTION("""COMPUTED_VALUE"""),"-22.9162572,-43.2581724")</f>
        <v>-22.9162572,-43.2581724</v>
      </c>
      <c r="AG28" s="170">
        <f>IFERROR(__xludf.DUMMYFUNCTION("""COMPUTED_VALUE"""),0.0)</f>
        <v>0</v>
      </c>
      <c r="AH28" s="170">
        <f>IFERROR(__xludf.DUMMYFUNCTION("""COMPUTED_VALUE"""),0.0)</f>
        <v>0</v>
      </c>
      <c r="AI28" s="170">
        <f>IFERROR(__xludf.DUMMYFUNCTION("""COMPUTED_VALUE"""),0.0)</f>
        <v>0</v>
      </c>
      <c r="AJ28" s="170">
        <f>IFERROR(__xludf.DUMMYFUNCTION("ROWS(QUERY(Entregas_BD!D:AM,""select D where D ='""&amp;D28&amp;""'"",1))-1"),2.0)</f>
        <v>2</v>
      </c>
    </row>
    <row r="29" ht="22.5" customHeight="1">
      <c r="A29" s="268" t="str">
        <f>IFERROR(__xludf.DUMMYFUNCTION("""COMPUTED_VALUE"""),"")</f>
        <v/>
      </c>
      <c r="B29" s="268" t="str">
        <f>IFERROR(__xludf.DUMMYFUNCTION("""COMPUTED_VALUE"""),"")</f>
        <v/>
      </c>
      <c r="C29" s="268">
        <f>IFERROR(__xludf.DUMMYFUNCTION("""COMPUTED_VALUE"""),59.0)</f>
        <v>59</v>
      </c>
      <c r="D29" s="268" t="str">
        <f>IFERROR(__xludf.DUMMYFUNCTION("""COMPUTED_VALUE"""),"Hospital do Câncer 4 - INCA")</f>
        <v>Hospital do Câncer 4 - INCA</v>
      </c>
      <c r="E29" s="268" t="str">
        <f>IFERROR(__xludf.DUMMYFUNCTION("""COMPUTED_VALUE"""),"ZONA NORTE")</f>
        <v>ZONA NORTE</v>
      </c>
      <c r="F29" s="268" t="str">
        <f>IFERROR(__xludf.DUMMYFUNCTION("""COMPUTED_VALUE"""),"Rio de Janeiro")</f>
        <v>Rio de Janeiro</v>
      </c>
      <c r="G29" s="268" t="str">
        <f>IFERROR(__xludf.DUMMYFUNCTION("""COMPUTED_VALUE"""),"Vila Isabel")</f>
        <v>Vila Isabel</v>
      </c>
      <c r="H29" s="268" t="str">
        <f>IFERROR(__xludf.DUMMYFUNCTION("""COMPUTED_VALUE"""),"Unidade básica - BAIXA COMPLEXIDADE")</f>
        <v>Unidade básica - BAIXA COMPLEXIDADE</v>
      </c>
      <c r="I29" s="268" t="str">
        <f>IFERROR(__xludf.DUMMYFUNCTION("""COMPUTED_VALUE"""),"Público")</f>
        <v>Público</v>
      </c>
      <c r="J29" s="268" t="str">
        <f>IFERROR(__xludf.DUMMYFUNCTION("""COMPUTED_VALUE"""),"")</f>
        <v/>
      </c>
      <c r="K29" s="268" t="str">
        <f>IFERROR(__xludf.DUMMYFUNCTION("""COMPUTED_VALUE"""),"")</f>
        <v/>
      </c>
      <c r="L29" s="268" t="str">
        <f>IFERROR(__xludf.DUMMYFUNCTION("""COMPUTED_VALUE"""),"")</f>
        <v/>
      </c>
      <c r="M29" s="268" t="str">
        <f>IFERROR(__xludf.DUMMYFUNCTION("""COMPUTED_VALUE"""),"")</f>
        <v/>
      </c>
      <c r="N29" s="268">
        <f>IFERROR(__xludf.DUMMYFUNCTION("""COMPUTED_VALUE"""),0.0)</f>
        <v>0</v>
      </c>
      <c r="O29" s="268">
        <f>IFERROR(__xludf.DUMMYFUNCTION("""COMPUTED_VALUE"""),0.0)</f>
        <v>0</v>
      </c>
      <c r="P29" s="268">
        <f>IFERROR(__xludf.DUMMYFUNCTION("""COMPUTED_VALUE"""),0.0)</f>
        <v>0</v>
      </c>
      <c r="Q29" s="268">
        <f>IFERROR(__xludf.DUMMYFUNCTION("""COMPUTED_VALUE"""),0.0)</f>
        <v>0</v>
      </c>
      <c r="R29" s="268">
        <f>IFERROR(__xludf.DUMMYFUNCTION("""COMPUTED_VALUE"""),0.0)</f>
        <v>0</v>
      </c>
      <c r="S29" s="268">
        <f>IFERROR(__xludf.DUMMYFUNCTION("""COMPUTED_VALUE"""),0.0)</f>
        <v>0</v>
      </c>
      <c r="T29" s="268">
        <f>IFERROR(__xludf.DUMMYFUNCTION("""COMPUTED_VALUE"""),50.0)</f>
        <v>50</v>
      </c>
      <c r="U29" s="268">
        <f>IFERROR(__xludf.DUMMYFUNCTION("""COMPUTED_VALUE"""),0.0)</f>
        <v>0</v>
      </c>
      <c r="V29" s="268">
        <f>IFERROR(__xludf.DUMMYFUNCTION("""COMPUTED_VALUE"""),0.0)</f>
        <v>0</v>
      </c>
      <c r="W29" s="268">
        <f>IFERROR(__xludf.DUMMYFUNCTION("""COMPUTED_VALUE"""),0.0)</f>
        <v>0</v>
      </c>
      <c r="X29" s="268">
        <f>IFERROR(__xludf.DUMMYFUNCTION("""COMPUTED_VALUE"""),0.0)</f>
        <v>0</v>
      </c>
      <c r="Y29" s="268">
        <f>IFERROR(__xludf.DUMMYFUNCTION("""COMPUTED_VALUE"""),0.0)</f>
        <v>0</v>
      </c>
      <c r="Z29" s="268">
        <f>IFERROR(__xludf.DUMMYFUNCTION("""COMPUTED_VALUE"""),-50.0)</f>
        <v>-50</v>
      </c>
      <c r="AA29" s="268">
        <f>IFERROR(__xludf.DUMMYFUNCTION("""COMPUTED_VALUE"""),0.0)</f>
        <v>0</v>
      </c>
      <c r="AB29" s="268">
        <f>IFERROR(__xludf.DUMMYFUNCTION("""COMPUTED_VALUE"""),0.0)</f>
        <v>0</v>
      </c>
      <c r="AC29" s="268">
        <f>IFERROR(__xludf.DUMMYFUNCTION("""COMPUTED_VALUE"""),0.0)</f>
        <v>0</v>
      </c>
      <c r="AD29" s="268">
        <f>IFERROR(__xludf.DUMMYFUNCTION("""COMPUTED_VALUE"""),0.0)</f>
        <v>0</v>
      </c>
      <c r="AE29" s="268">
        <f>IFERROR(__xludf.DUMMYFUNCTION("""COMPUTED_VALUE"""),0.0)</f>
        <v>0</v>
      </c>
      <c r="AF29" s="268" t="str">
        <f>IFERROR(__xludf.DUMMYFUNCTION("""COMPUTED_VALUE"""),"-22.9166827,-43.2584564")</f>
        <v>-22.9166827,-43.2584564</v>
      </c>
      <c r="AG29" s="268">
        <f>IFERROR(__xludf.DUMMYFUNCTION("""COMPUTED_VALUE"""),0.0)</f>
        <v>0</v>
      </c>
      <c r="AH29" s="268">
        <f>IFERROR(__xludf.DUMMYFUNCTION("""COMPUTED_VALUE"""),0.0)</f>
        <v>0</v>
      </c>
      <c r="AI29" s="268">
        <f>IFERROR(__xludf.DUMMYFUNCTION("""COMPUTED_VALUE"""),0.0)</f>
        <v>0</v>
      </c>
      <c r="AJ29" s="268">
        <f>IFERROR(__xludf.DUMMYFUNCTION("ROWS(QUERY(Entregas_BD!D:AM,""select D where D ='""&amp;D29&amp;""'"",1))-1"),1.0)</f>
        <v>1</v>
      </c>
    </row>
    <row r="30" ht="22.5" customHeight="1">
      <c r="A30" s="170" t="str">
        <f>IFERROR(__xludf.DUMMYFUNCTION("""COMPUTED_VALUE"""),"")</f>
        <v/>
      </c>
      <c r="B30" s="170" t="str">
        <f>IFERROR(__xludf.DUMMYFUNCTION("""COMPUTED_VALUE"""),"")</f>
        <v/>
      </c>
      <c r="C30" s="170">
        <f>IFERROR(__xludf.DUMMYFUNCTION("""COMPUTED_VALUE"""),63.0)</f>
        <v>63</v>
      </c>
      <c r="D30" s="170" t="str">
        <f>IFERROR(__xludf.DUMMYFUNCTION("""COMPUTED_VALUE"""),"Hospital Escola de Valença")</f>
        <v>Hospital Escola de Valença</v>
      </c>
      <c r="E30" s="170" t="str">
        <f>IFERROR(__xludf.DUMMYFUNCTION("""COMPUTED_VALUE"""),"REGIAO MEDIO PARAIBA")</f>
        <v>REGIAO MEDIO PARAIBA</v>
      </c>
      <c r="F30" s="170" t="str">
        <f>IFERROR(__xludf.DUMMYFUNCTION("""COMPUTED_VALUE"""),"Valença")</f>
        <v>Valença</v>
      </c>
      <c r="G30" s="170" t="str">
        <f>IFERROR(__xludf.DUMMYFUNCTION("""COMPUTED_VALUE"""),"Centro ")</f>
        <v>Centro </v>
      </c>
      <c r="H30" s="170" t="str">
        <f>IFERROR(__xludf.DUMMYFUNCTION("""COMPUTED_VALUE"""),"Referência - ALTA COMPLEXIDADE")</f>
        <v>Referência - ALTA COMPLEXIDADE</v>
      </c>
      <c r="I30" s="170" t="str">
        <f>IFERROR(__xludf.DUMMYFUNCTION("""COMPUTED_VALUE"""),"Privado")</f>
        <v>Privado</v>
      </c>
      <c r="J30" s="170" t="str">
        <f>IFERROR(__xludf.DUMMYFUNCTION("""COMPUTED_VALUE"""),"")</f>
        <v/>
      </c>
      <c r="K30" s="170" t="str">
        <f>IFERROR(__xludf.DUMMYFUNCTION("""COMPUTED_VALUE"""),"")</f>
        <v/>
      </c>
      <c r="L30" s="170" t="str">
        <f>IFERROR(__xludf.DUMMYFUNCTION("""COMPUTED_VALUE"""),"")</f>
        <v/>
      </c>
      <c r="M30" s="170" t="str">
        <f>IFERROR(__xludf.DUMMYFUNCTION("""COMPUTED_VALUE"""),"")</f>
        <v/>
      </c>
      <c r="N30" s="170">
        <f>IFERROR(__xludf.DUMMYFUNCTION("""COMPUTED_VALUE"""),0.0)</f>
        <v>0</v>
      </c>
      <c r="O30" s="170">
        <f>IFERROR(__xludf.DUMMYFUNCTION("""COMPUTED_VALUE"""),0.0)</f>
        <v>0</v>
      </c>
      <c r="P30" s="170">
        <f>IFERROR(__xludf.DUMMYFUNCTION("""COMPUTED_VALUE"""),0.0)</f>
        <v>0</v>
      </c>
      <c r="Q30" s="170">
        <f>IFERROR(__xludf.DUMMYFUNCTION("""COMPUTED_VALUE"""),0.0)</f>
        <v>0</v>
      </c>
      <c r="R30" s="170">
        <f>IFERROR(__xludf.DUMMYFUNCTION("""COMPUTED_VALUE"""),0.0)</f>
        <v>0</v>
      </c>
      <c r="S30" s="170">
        <f>IFERROR(__xludf.DUMMYFUNCTION("""COMPUTED_VALUE"""),0.0)</f>
        <v>0</v>
      </c>
      <c r="T30" s="170">
        <f>IFERROR(__xludf.DUMMYFUNCTION("""COMPUTED_VALUE"""),100.0)</f>
        <v>100</v>
      </c>
      <c r="U30" s="170">
        <f>IFERROR(__xludf.DUMMYFUNCTION("""COMPUTED_VALUE"""),0.0)</f>
        <v>0</v>
      </c>
      <c r="V30" s="170">
        <f>IFERROR(__xludf.DUMMYFUNCTION("""COMPUTED_VALUE"""),0.0)</f>
        <v>0</v>
      </c>
      <c r="W30" s="170">
        <f>IFERROR(__xludf.DUMMYFUNCTION("""COMPUTED_VALUE"""),0.0)</f>
        <v>0</v>
      </c>
      <c r="X30" s="170">
        <f>IFERROR(__xludf.DUMMYFUNCTION("""COMPUTED_VALUE"""),0.0)</f>
        <v>0</v>
      </c>
      <c r="Y30" s="170">
        <f>IFERROR(__xludf.DUMMYFUNCTION("""COMPUTED_VALUE"""),0.0)</f>
        <v>0</v>
      </c>
      <c r="Z30" s="170">
        <f>IFERROR(__xludf.DUMMYFUNCTION("""COMPUTED_VALUE"""),-100.0)</f>
        <v>-100</v>
      </c>
      <c r="AA30" s="170">
        <f>IFERROR(__xludf.DUMMYFUNCTION("""COMPUTED_VALUE"""),0.0)</f>
        <v>0</v>
      </c>
      <c r="AB30" s="170">
        <f>IFERROR(__xludf.DUMMYFUNCTION("""COMPUTED_VALUE"""),0.0)</f>
        <v>0</v>
      </c>
      <c r="AC30" s="170">
        <f>IFERROR(__xludf.DUMMYFUNCTION("""COMPUTED_VALUE"""),0.0)</f>
        <v>0</v>
      </c>
      <c r="AD30" s="170">
        <f>IFERROR(__xludf.DUMMYFUNCTION("""COMPUTED_VALUE"""),0.0)</f>
        <v>0</v>
      </c>
      <c r="AE30" s="170">
        <f>IFERROR(__xludf.DUMMYFUNCTION("""COMPUTED_VALUE"""),0.0)</f>
        <v>0</v>
      </c>
      <c r="AF30" s="170" t="str">
        <f>IFERROR(__xludf.DUMMYFUNCTION("""COMPUTED_VALUE"""),"-22.2441538,-43.7091485")</f>
        <v>-22.2441538,-43.7091485</v>
      </c>
      <c r="AG30" s="170">
        <f>IFERROR(__xludf.DUMMYFUNCTION("""COMPUTED_VALUE"""),0.0)</f>
        <v>0</v>
      </c>
      <c r="AH30" s="170">
        <f>IFERROR(__xludf.DUMMYFUNCTION("""COMPUTED_VALUE"""),0.0)</f>
        <v>0</v>
      </c>
      <c r="AI30" s="170">
        <f>IFERROR(__xludf.DUMMYFUNCTION("""COMPUTED_VALUE"""),0.0)</f>
        <v>0</v>
      </c>
      <c r="AJ30" s="170">
        <f>IFERROR(__xludf.DUMMYFUNCTION("ROWS(QUERY(Entregas_BD!D:AM,""select D where D ='""&amp;D30&amp;""'"",1))-1"),1.0)</f>
        <v>1</v>
      </c>
    </row>
    <row r="31" ht="22.5" customHeight="1">
      <c r="A31" s="268" t="str">
        <f>IFERROR(__xludf.DUMMYFUNCTION("""COMPUTED_VALUE"""),"")</f>
        <v/>
      </c>
      <c r="B31" s="268" t="str">
        <f>IFERROR(__xludf.DUMMYFUNCTION("""COMPUTED_VALUE"""),"")</f>
        <v/>
      </c>
      <c r="C31" s="268">
        <f>IFERROR(__xludf.DUMMYFUNCTION("""COMPUTED_VALUE"""),64.0)</f>
        <v>64</v>
      </c>
      <c r="D31" s="268" t="str">
        <f>IFERROR(__xludf.DUMMYFUNCTION("""COMPUTED_VALUE"""),"Hospital Escola São Francisco de Assis")</f>
        <v>Hospital Escola São Francisco de Assis</v>
      </c>
      <c r="E31" s="268" t="str">
        <f>IFERROR(__xludf.DUMMYFUNCTION("""COMPUTED_VALUE"""),"CENTRO")</f>
        <v>CENTRO</v>
      </c>
      <c r="F31" s="268" t="str">
        <f>IFERROR(__xludf.DUMMYFUNCTION("""COMPUTED_VALUE"""),"Rio de Janeiro")</f>
        <v>Rio de Janeiro</v>
      </c>
      <c r="G31" s="268" t="str">
        <f>IFERROR(__xludf.DUMMYFUNCTION("""COMPUTED_VALUE"""),"Cidade Nova")</f>
        <v>Cidade Nova</v>
      </c>
      <c r="H31" s="268" t="str">
        <f>IFERROR(__xludf.DUMMYFUNCTION("""COMPUTED_VALUE"""),"Unidade básica - BAIXA COMPLEXIDADE")</f>
        <v>Unidade básica - BAIXA COMPLEXIDADE</v>
      </c>
      <c r="I31" s="268" t="str">
        <f>IFERROR(__xludf.DUMMYFUNCTION("""COMPUTED_VALUE"""),"Público")</f>
        <v>Público</v>
      </c>
      <c r="J31" s="268" t="str">
        <f>IFERROR(__xludf.DUMMYFUNCTION("""COMPUTED_VALUE"""),"")</f>
        <v/>
      </c>
      <c r="K31" s="268" t="str">
        <f>IFERROR(__xludf.DUMMYFUNCTION("""COMPUTED_VALUE"""),"")</f>
        <v/>
      </c>
      <c r="L31" s="268" t="str">
        <f>IFERROR(__xludf.DUMMYFUNCTION("""COMPUTED_VALUE"""),"")</f>
        <v/>
      </c>
      <c r="M31" s="268" t="str">
        <f>IFERROR(__xludf.DUMMYFUNCTION("""COMPUTED_VALUE"""),"")</f>
        <v/>
      </c>
      <c r="N31" s="268">
        <f>IFERROR(__xludf.DUMMYFUNCTION("""COMPUTED_VALUE"""),0.0)</f>
        <v>0</v>
      </c>
      <c r="O31" s="268">
        <f>IFERROR(__xludf.DUMMYFUNCTION("""COMPUTED_VALUE"""),0.0)</f>
        <v>0</v>
      </c>
      <c r="P31" s="268">
        <f>IFERROR(__xludf.DUMMYFUNCTION("""COMPUTED_VALUE"""),0.0)</f>
        <v>0</v>
      </c>
      <c r="Q31" s="268">
        <f>IFERROR(__xludf.DUMMYFUNCTION("""COMPUTED_VALUE"""),0.0)</f>
        <v>0</v>
      </c>
      <c r="R31" s="268">
        <f>IFERROR(__xludf.DUMMYFUNCTION("""COMPUTED_VALUE"""),0.0)</f>
        <v>0</v>
      </c>
      <c r="S31" s="268">
        <f>IFERROR(__xludf.DUMMYFUNCTION("""COMPUTED_VALUE"""),0.0)</f>
        <v>0</v>
      </c>
      <c r="T31" s="268">
        <f>IFERROR(__xludf.DUMMYFUNCTION("""COMPUTED_VALUE"""),100.0)</f>
        <v>100</v>
      </c>
      <c r="U31" s="268">
        <f>IFERROR(__xludf.DUMMYFUNCTION("""COMPUTED_VALUE"""),0.0)</f>
        <v>0</v>
      </c>
      <c r="V31" s="268">
        <f>IFERROR(__xludf.DUMMYFUNCTION("""COMPUTED_VALUE"""),0.0)</f>
        <v>0</v>
      </c>
      <c r="W31" s="268">
        <f>IFERROR(__xludf.DUMMYFUNCTION("""COMPUTED_VALUE"""),0.0)</f>
        <v>0</v>
      </c>
      <c r="X31" s="268">
        <f>IFERROR(__xludf.DUMMYFUNCTION("""COMPUTED_VALUE"""),0.0)</f>
        <v>0</v>
      </c>
      <c r="Y31" s="268">
        <f>IFERROR(__xludf.DUMMYFUNCTION("""COMPUTED_VALUE"""),0.0)</f>
        <v>0</v>
      </c>
      <c r="Z31" s="268">
        <f>IFERROR(__xludf.DUMMYFUNCTION("""COMPUTED_VALUE"""),-100.0)</f>
        <v>-100</v>
      </c>
      <c r="AA31" s="268">
        <f>IFERROR(__xludf.DUMMYFUNCTION("""COMPUTED_VALUE"""),0.0)</f>
        <v>0</v>
      </c>
      <c r="AB31" s="268">
        <f>IFERROR(__xludf.DUMMYFUNCTION("""COMPUTED_VALUE"""),0.0)</f>
        <v>0</v>
      </c>
      <c r="AC31" s="268">
        <f>IFERROR(__xludf.DUMMYFUNCTION("""COMPUTED_VALUE"""),0.0)</f>
        <v>0</v>
      </c>
      <c r="AD31" s="268">
        <f>IFERROR(__xludf.DUMMYFUNCTION("""COMPUTED_VALUE"""),0.0)</f>
        <v>0</v>
      </c>
      <c r="AE31" s="268">
        <f>IFERROR(__xludf.DUMMYFUNCTION("""COMPUTED_VALUE"""),0.0)</f>
        <v>0</v>
      </c>
      <c r="AF31" s="268" t="str">
        <f>IFERROR(__xludf.DUMMYFUNCTION("""COMPUTED_VALUE"""),"-22.9090453,-43.2013757")</f>
        <v>-22.9090453,-43.2013757</v>
      </c>
      <c r="AG31" s="268">
        <f>IFERROR(__xludf.DUMMYFUNCTION("""COMPUTED_VALUE"""),0.0)</f>
        <v>0</v>
      </c>
      <c r="AH31" s="268">
        <f>IFERROR(__xludf.DUMMYFUNCTION("""COMPUTED_VALUE"""),0.0)</f>
        <v>0</v>
      </c>
      <c r="AI31" s="268">
        <f>IFERROR(__xludf.DUMMYFUNCTION("""COMPUTED_VALUE"""),0.0)</f>
        <v>0</v>
      </c>
      <c r="AJ31" s="268">
        <f>IFERROR(__xludf.DUMMYFUNCTION("ROWS(QUERY(Entregas_BD!D:AM,""select D where D ='""&amp;D31&amp;""'"",1))-1"),1.0)</f>
        <v>1</v>
      </c>
    </row>
    <row r="32" ht="22.5" customHeight="1">
      <c r="A32" s="170" t="str">
        <f>IFERROR(__xludf.DUMMYFUNCTION("""COMPUTED_VALUE"""),"")</f>
        <v/>
      </c>
      <c r="B32" s="170" t="str">
        <f>IFERROR(__xludf.DUMMYFUNCTION("""COMPUTED_VALUE"""),"")</f>
        <v/>
      </c>
      <c r="C32" s="170">
        <f>IFERROR(__xludf.DUMMYFUNCTION("""COMPUTED_VALUE"""),65.0)</f>
        <v>65</v>
      </c>
      <c r="D32" s="170" t="str">
        <f>IFERROR(__xludf.DUMMYFUNCTION("""COMPUTED_VALUE"""),"Hospital Estadual Adão Pereira Nunes")</f>
        <v>Hospital Estadual Adão Pereira Nunes</v>
      </c>
      <c r="E32" s="170" t="str">
        <f>IFERROR(__xludf.DUMMYFUNCTION("""COMPUTED_VALUE"""),"BAIXADA FLUMINENSE")</f>
        <v>BAIXADA FLUMINENSE</v>
      </c>
      <c r="F32" s="170" t="str">
        <f>IFERROR(__xludf.DUMMYFUNCTION("""COMPUTED_VALUE"""),"Duque de Caxias")</f>
        <v>Duque de Caxias</v>
      </c>
      <c r="G32" s="170" t="str">
        <f>IFERROR(__xludf.DUMMYFUNCTION("""COMPUTED_VALUE"""),"Jardim Primavera")</f>
        <v>Jardim Primavera</v>
      </c>
      <c r="H32" s="170" t="str">
        <f>IFERROR(__xludf.DUMMYFUNCTION("""COMPUTED_VALUE"""),"Grande emergência - MÉDIA COMPLEXIDADE")</f>
        <v>Grande emergência - MÉDIA COMPLEXIDADE</v>
      </c>
      <c r="I32" s="170" t="str">
        <f>IFERROR(__xludf.DUMMYFUNCTION("""COMPUTED_VALUE"""),"Público")</f>
        <v>Público</v>
      </c>
      <c r="J32" s="170" t="str">
        <f>IFERROR(__xludf.DUMMYFUNCTION("""COMPUTED_VALUE"""),"")</f>
        <v/>
      </c>
      <c r="K32" s="170" t="str">
        <f>IFERROR(__xludf.DUMMYFUNCTION("""COMPUTED_VALUE"""),"")</f>
        <v/>
      </c>
      <c r="L32" s="170" t="str">
        <f>IFERROR(__xludf.DUMMYFUNCTION("""COMPUTED_VALUE"""),"")</f>
        <v/>
      </c>
      <c r="M32" s="170" t="str">
        <f>IFERROR(__xludf.DUMMYFUNCTION("""COMPUTED_VALUE"""),"")</f>
        <v/>
      </c>
      <c r="N32" s="170">
        <f>IFERROR(__xludf.DUMMYFUNCTION("""COMPUTED_VALUE"""),0.0)</f>
        <v>0</v>
      </c>
      <c r="O32" s="170">
        <f>IFERROR(__xludf.DUMMYFUNCTION("""COMPUTED_VALUE"""),0.0)</f>
        <v>0</v>
      </c>
      <c r="P32" s="170">
        <f>IFERROR(__xludf.DUMMYFUNCTION("""COMPUTED_VALUE"""),0.0)</f>
        <v>0</v>
      </c>
      <c r="Q32" s="170">
        <f>IFERROR(__xludf.DUMMYFUNCTION("""COMPUTED_VALUE"""),0.0)</f>
        <v>0</v>
      </c>
      <c r="R32" s="170">
        <f>IFERROR(__xludf.DUMMYFUNCTION("""COMPUTED_VALUE"""),0.0)</f>
        <v>0</v>
      </c>
      <c r="S32" s="170">
        <f>IFERROR(__xludf.DUMMYFUNCTION("""COMPUTED_VALUE"""),0.0)</f>
        <v>0</v>
      </c>
      <c r="T32" s="170">
        <f>IFERROR(__xludf.DUMMYFUNCTION("""COMPUTED_VALUE"""),150.0)</f>
        <v>150</v>
      </c>
      <c r="U32" s="170">
        <f>IFERROR(__xludf.DUMMYFUNCTION("""COMPUTED_VALUE"""),0.0)</f>
        <v>0</v>
      </c>
      <c r="V32" s="170">
        <f>IFERROR(__xludf.DUMMYFUNCTION("""COMPUTED_VALUE"""),0.0)</f>
        <v>0</v>
      </c>
      <c r="W32" s="170">
        <f>IFERROR(__xludf.DUMMYFUNCTION("""COMPUTED_VALUE"""),0.0)</f>
        <v>0</v>
      </c>
      <c r="X32" s="170">
        <f>IFERROR(__xludf.DUMMYFUNCTION("""COMPUTED_VALUE"""),0.0)</f>
        <v>0</v>
      </c>
      <c r="Y32" s="170">
        <f>IFERROR(__xludf.DUMMYFUNCTION("""COMPUTED_VALUE"""),0.0)</f>
        <v>0</v>
      </c>
      <c r="Z32" s="170">
        <f>IFERROR(__xludf.DUMMYFUNCTION("""COMPUTED_VALUE"""),-150.0)</f>
        <v>-150</v>
      </c>
      <c r="AA32" s="170">
        <f>IFERROR(__xludf.DUMMYFUNCTION("""COMPUTED_VALUE"""),0.0)</f>
        <v>0</v>
      </c>
      <c r="AB32" s="170">
        <f>IFERROR(__xludf.DUMMYFUNCTION("""COMPUTED_VALUE"""),0.0)</f>
        <v>0</v>
      </c>
      <c r="AC32" s="170">
        <f>IFERROR(__xludf.DUMMYFUNCTION("""COMPUTED_VALUE"""),0.0)</f>
        <v>0</v>
      </c>
      <c r="AD32" s="170">
        <f>IFERROR(__xludf.DUMMYFUNCTION("""COMPUTED_VALUE"""),0.0)</f>
        <v>0</v>
      </c>
      <c r="AE32" s="170">
        <f>IFERROR(__xludf.DUMMYFUNCTION("""COMPUTED_VALUE"""),0.0)</f>
        <v>0</v>
      </c>
      <c r="AF32" s="170" t="str">
        <f>IFERROR(__xludf.DUMMYFUNCTION("""COMPUTED_VALUE"""),"-22.6732322,-43.2833074")</f>
        <v>-22.6732322,-43.2833074</v>
      </c>
      <c r="AG32" s="170">
        <f>IFERROR(__xludf.DUMMYFUNCTION("""COMPUTED_VALUE"""),0.0)</f>
        <v>0</v>
      </c>
      <c r="AH32" s="170">
        <f>IFERROR(__xludf.DUMMYFUNCTION("""COMPUTED_VALUE"""),0.0)</f>
        <v>0</v>
      </c>
      <c r="AI32" s="170">
        <f>IFERROR(__xludf.DUMMYFUNCTION("""COMPUTED_VALUE"""),0.0)</f>
        <v>0</v>
      </c>
      <c r="AJ32" s="170">
        <f>IFERROR(__xludf.DUMMYFUNCTION("ROWS(QUERY(Entregas_BD!D:AM,""select D where D ='""&amp;D32&amp;""'"",1))-1"),2.0)</f>
        <v>2</v>
      </c>
    </row>
    <row r="33" ht="22.5" customHeight="1">
      <c r="A33" s="268" t="str">
        <f>IFERROR(__xludf.DUMMYFUNCTION("""COMPUTED_VALUE"""),"")</f>
        <v/>
      </c>
      <c r="B33" s="268" t="str">
        <f>IFERROR(__xludf.DUMMYFUNCTION("""COMPUTED_VALUE"""),"")</f>
        <v/>
      </c>
      <c r="C33" s="268">
        <f>IFERROR(__xludf.DUMMYFUNCTION("""COMPUTED_VALUE"""),66.0)</f>
        <v>66</v>
      </c>
      <c r="D33" s="268" t="str">
        <f>IFERROR(__xludf.DUMMYFUNCTION("""COMPUTED_VALUE"""),"Hospital Estadual Alberto Torres")</f>
        <v>Hospital Estadual Alberto Torres</v>
      </c>
      <c r="E33" s="268" t="str">
        <f>IFERROR(__xludf.DUMMYFUNCTION("""COMPUTED_VALUE"""),"REGIAO METROPOLITANA")</f>
        <v>REGIAO METROPOLITANA</v>
      </c>
      <c r="F33" s="268" t="str">
        <f>IFERROR(__xludf.DUMMYFUNCTION("""COMPUTED_VALUE"""),"São Gonçalo")</f>
        <v>São Gonçalo</v>
      </c>
      <c r="G33" s="268" t="str">
        <f>IFERROR(__xludf.DUMMYFUNCTION("""COMPUTED_VALUE"""),"Colunbandê")</f>
        <v>Colunbandê</v>
      </c>
      <c r="H33" s="268" t="str">
        <f>IFERROR(__xludf.DUMMYFUNCTION("""COMPUTED_VALUE"""),"Referência - ALTA COMPLEXIDADE")</f>
        <v>Referência - ALTA COMPLEXIDADE</v>
      </c>
      <c r="I33" s="268" t="str">
        <f>IFERROR(__xludf.DUMMYFUNCTION("""COMPUTED_VALUE"""),"Público")</f>
        <v>Público</v>
      </c>
      <c r="J33" s="268" t="str">
        <f>IFERROR(__xludf.DUMMYFUNCTION("""COMPUTED_VALUE"""),"")</f>
        <v/>
      </c>
      <c r="K33" s="268" t="str">
        <f>IFERROR(__xludf.DUMMYFUNCTION("""COMPUTED_VALUE"""),"")</f>
        <v/>
      </c>
      <c r="L33" s="268" t="str">
        <f>IFERROR(__xludf.DUMMYFUNCTION("""COMPUTED_VALUE"""),"")</f>
        <v/>
      </c>
      <c r="M33" s="268" t="str">
        <f>IFERROR(__xludf.DUMMYFUNCTION("""COMPUTED_VALUE"""),"")</f>
        <v/>
      </c>
      <c r="N33" s="268">
        <f>IFERROR(__xludf.DUMMYFUNCTION("""COMPUTED_VALUE"""),0.0)</f>
        <v>0</v>
      </c>
      <c r="O33" s="268">
        <f>IFERROR(__xludf.DUMMYFUNCTION("""COMPUTED_VALUE"""),0.0)</f>
        <v>0</v>
      </c>
      <c r="P33" s="268">
        <f>IFERROR(__xludf.DUMMYFUNCTION("""COMPUTED_VALUE"""),0.0)</f>
        <v>0</v>
      </c>
      <c r="Q33" s="268">
        <f>IFERROR(__xludf.DUMMYFUNCTION("""COMPUTED_VALUE"""),0.0)</f>
        <v>0</v>
      </c>
      <c r="R33" s="268">
        <f>IFERROR(__xludf.DUMMYFUNCTION("""COMPUTED_VALUE"""),0.0)</f>
        <v>0</v>
      </c>
      <c r="S33" s="268">
        <f>IFERROR(__xludf.DUMMYFUNCTION("""COMPUTED_VALUE"""),0.0)</f>
        <v>0</v>
      </c>
      <c r="T33" s="268">
        <f>IFERROR(__xludf.DUMMYFUNCTION("""COMPUTED_VALUE"""),100.0)</f>
        <v>100</v>
      </c>
      <c r="U33" s="268">
        <f>IFERROR(__xludf.DUMMYFUNCTION("""COMPUTED_VALUE"""),0.0)</f>
        <v>0</v>
      </c>
      <c r="V33" s="268">
        <f>IFERROR(__xludf.DUMMYFUNCTION("""COMPUTED_VALUE"""),0.0)</f>
        <v>0</v>
      </c>
      <c r="W33" s="268">
        <f>IFERROR(__xludf.DUMMYFUNCTION("""COMPUTED_VALUE"""),0.0)</f>
        <v>0</v>
      </c>
      <c r="X33" s="268">
        <f>IFERROR(__xludf.DUMMYFUNCTION("""COMPUTED_VALUE"""),0.0)</f>
        <v>0</v>
      </c>
      <c r="Y33" s="268">
        <f>IFERROR(__xludf.DUMMYFUNCTION("""COMPUTED_VALUE"""),0.0)</f>
        <v>0</v>
      </c>
      <c r="Z33" s="268">
        <f>IFERROR(__xludf.DUMMYFUNCTION("""COMPUTED_VALUE"""),-100.0)</f>
        <v>-100</v>
      </c>
      <c r="AA33" s="268">
        <f>IFERROR(__xludf.DUMMYFUNCTION("""COMPUTED_VALUE"""),0.0)</f>
        <v>0</v>
      </c>
      <c r="AB33" s="268">
        <f>IFERROR(__xludf.DUMMYFUNCTION("""COMPUTED_VALUE"""),0.0)</f>
        <v>0</v>
      </c>
      <c r="AC33" s="268">
        <f>IFERROR(__xludf.DUMMYFUNCTION("""COMPUTED_VALUE"""),0.0)</f>
        <v>0</v>
      </c>
      <c r="AD33" s="268">
        <f>IFERROR(__xludf.DUMMYFUNCTION("""COMPUTED_VALUE"""),0.0)</f>
        <v>0</v>
      </c>
      <c r="AE33" s="268">
        <f>IFERROR(__xludf.DUMMYFUNCTION("""COMPUTED_VALUE"""),0.0)</f>
        <v>0</v>
      </c>
      <c r="AF33" s="268" t="str">
        <f>IFERROR(__xludf.DUMMYFUNCTION("""COMPUTED_VALUE"""),"-22.8384025,-43.0183652")</f>
        <v>-22.8384025,-43.0183652</v>
      </c>
      <c r="AG33" s="268">
        <f>IFERROR(__xludf.DUMMYFUNCTION("""COMPUTED_VALUE"""),0.0)</f>
        <v>0</v>
      </c>
      <c r="AH33" s="268">
        <f>IFERROR(__xludf.DUMMYFUNCTION("""COMPUTED_VALUE"""),0.0)</f>
        <v>0</v>
      </c>
      <c r="AI33" s="268">
        <f>IFERROR(__xludf.DUMMYFUNCTION("""COMPUTED_VALUE"""),0.0)</f>
        <v>0</v>
      </c>
      <c r="AJ33" s="268">
        <f>IFERROR(__xludf.DUMMYFUNCTION("ROWS(QUERY(Entregas_BD!D:AM,""select D where D ='""&amp;D33&amp;""'"",1))-1"),1.0)</f>
        <v>1</v>
      </c>
    </row>
    <row r="34" ht="22.5" customHeight="1">
      <c r="A34" s="170" t="str">
        <f>IFERROR(__xludf.DUMMYFUNCTION("""COMPUTED_VALUE"""),"")</f>
        <v/>
      </c>
      <c r="B34" s="170" t="str">
        <f>IFERROR(__xludf.DUMMYFUNCTION("""COMPUTED_VALUE"""),"")</f>
        <v/>
      </c>
      <c r="C34" s="170">
        <f>IFERROR(__xludf.DUMMYFUNCTION("""COMPUTED_VALUE"""),67.0)</f>
        <v>67</v>
      </c>
      <c r="D34" s="170" t="str">
        <f>IFERROR(__xludf.DUMMYFUNCTION("""COMPUTED_VALUE"""),"Hospital Estadual Azevedo Lima")</f>
        <v>Hospital Estadual Azevedo Lima</v>
      </c>
      <c r="E34" s="170" t="str">
        <f>IFERROR(__xludf.DUMMYFUNCTION("""COMPUTED_VALUE"""),"REGIAO METROPOLITANA")</f>
        <v>REGIAO METROPOLITANA</v>
      </c>
      <c r="F34" s="170" t="str">
        <f>IFERROR(__xludf.DUMMYFUNCTION("""COMPUTED_VALUE"""),"Niteroi")</f>
        <v>Niteroi</v>
      </c>
      <c r="G34" s="170" t="str">
        <f>IFERROR(__xludf.DUMMYFUNCTION("""COMPUTED_VALUE"""),"Fonseca")</f>
        <v>Fonseca</v>
      </c>
      <c r="H34" s="170" t="str">
        <f>IFERROR(__xludf.DUMMYFUNCTION("""COMPUTED_VALUE"""),"Referência - ALTA COMPLEXIDADE")</f>
        <v>Referência - ALTA COMPLEXIDADE</v>
      </c>
      <c r="I34" s="170" t="str">
        <f>IFERROR(__xludf.DUMMYFUNCTION("""COMPUTED_VALUE"""),"Público")</f>
        <v>Público</v>
      </c>
      <c r="J34" s="170" t="str">
        <f>IFERROR(__xludf.DUMMYFUNCTION("""COMPUTED_VALUE"""),"")</f>
        <v/>
      </c>
      <c r="K34" s="170" t="str">
        <f>IFERROR(__xludf.DUMMYFUNCTION("""COMPUTED_VALUE"""),"")</f>
        <v/>
      </c>
      <c r="L34" s="170" t="str">
        <f>IFERROR(__xludf.DUMMYFUNCTION("""COMPUTED_VALUE"""),"")</f>
        <v/>
      </c>
      <c r="M34" s="170" t="str">
        <f>IFERROR(__xludf.DUMMYFUNCTION("""COMPUTED_VALUE"""),"")</f>
        <v/>
      </c>
      <c r="N34" s="170">
        <f>IFERROR(__xludf.DUMMYFUNCTION("""COMPUTED_VALUE"""),0.0)</f>
        <v>0</v>
      </c>
      <c r="O34" s="170">
        <f>IFERROR(__xludf.DUMMYFUNCTION("""COMPUTED_VALUE"""),0.0)</f>
        <v>0</v>
      </c>
      <c r="P34" s="170">
        <f>IFERROR(__xludf.DUMMYFUNCTION("""COMPUTED_VALUE"""),0.0)</f>
        <v>0</v>
      </c>
      <c r="Q34" s="170">
        <f>IFERROR(__xludf.DUMMYFUNCTION("""COMPUTED_VALUE"""),0.0)</f>
        <v>0</v>
      </c>
      <c r="R34" s="170">
        <f>IFERROR(__xludf.DUMMYFUNCTION("""COMPUTED_VALUE"""),0.0)</f>
        <v>0</v>
      </c>
      <c r="S34" s="170">
        <f>IFERROR(__xludf.DUMMYFUNCTION("""COMPUTED_VALUE"""),0.0)</f>
        <v>0</v>
      </c>
      <c r="T34" s="170">
        <f>IFERROR(__xludf.DUMMYFUNCTION("""COMPUTED_VALUE"""),250.0)</f>
        <v>250</v>
      </c>
      <c r="U34" s="170">
        <f>IFERROR(__xludf.DUMMYFUNCTION("""COMPUTED_VALUE"""),0.0)</f>
        <v>0</v>
      </c>
      <c r="V34" s="170">
        <f>IFERROR(__xludf.DUMMYFUNCTION("""COMPUTED_VALUE"""),0.0)</f>
        <v>0</v>
      </c>
      <c r="W34" s="170">
        <f>IFERROR(__xludf.DUMMYFUNCTION("""COMPUTED_VALUE"""),0.0)</f>
        <v>0</v>
      </c>
      <c r="X34" s="170">
        <f>IFERROR(__xludf.DUMMYFUNCTION("""COMPUTED_VALUE"""),0.0)</f>
        <v>0</v>
      </c>
      <c r="Y34" s="170">
        <f>IFERROR(__xludf.DUMMYFUNCTION("""COMPUTED_VALUE"""),0.0)</f>
        <v>0</v>
      </c>
      <c r="Z34" s="170">
        <f>IFERROR(__xludf.DUMMYFUNCTION("""COMPUTED_VALUE"""),-250.0)</f>
        <v>-250</v>
      </c>
      <c r="AA34" s="170">
        <f>IFERROR(__xludf.DUMMYFUNCTION("""COMPUTED_VALUE"""),0.0)</f>
        <v>0</v>
      </c>
      <c r="AB34" s="170">
        <f>IFERROR(__xludf.DUMMYFUNCTION("""COMPUTED_VALUE"""),0.0)</f>
        <v>0</v>
      </c>
      <c r="AC34" s="170">
        <f>IFERROR(__xludf.DUMMYFUNCTION("""COMPUTED_VALUE"""),0.0)</f>
        <v>0</v>
      </c>
      <c r="AD34" s="170">
        <f>IFERROR(__xludf.DUMMYFUNCTION("""COMPUTED_VALUE"""),0.0)</f>
        <v>0</v>
      </c>
      <c r="AE34" s="170">
        <f>IFERROR(__xludf.DUMMYFUNCTION("""COMPUTED_VALUE"""),0.0)</f>
        <v>0</v>
      </c>
      <c r="AF34" s="170" t="str">
        <f>IFERROR(__xludf.DUMMYFUNCTION("""COMPUTED_VALUE"""),"-22.8810446,-43.0789078")</f>
        <v>-22.8810446,-43.0789078</v>
      </c>
      <c r="AG34" s="170">
        <f>IFERROR(__xludf.DUMMYFUNCTION("""COMPUTED_VALUE"""),0.0)</f>
        <v>0</v>
      </c>
      <c r="AH34" s="170">
        <f>IFERROR(__xludf.DUMMYFUNCTION("""COMPUTED_VALUE"""),0.0)</f>
        <v>0</v>
      </c>
      <c r="AI34" s="170">
        <f>IFERROR(__xludf.DUMMYFUNCTION("""COMPUTED_VALUE"""),0.0)</f>
        <v>0</v>
      </c>
      <c r="AJ34" s="170">
        <f>IFERROR(__xludf.DUMMYFUNCTION("ROWS(QUERY(Entregas_BD!D:AM,""select D where D ='""&amp;D34&amp;""'"",1))-1"),2.0)</f>
        <v>2</v>
      </c>
    </row>
    <row r="35" ht="22.5" customHeight="1">
      <c r="A35" s="268" t="str">
        <f>IFERROR(__xludf.DUMMYFUNCTION("""COMPUTED_VALUE"""),"")</f>
        <v/>
      </c>
      <c r="B35" s="268" t="str">
        <f>IFERROR(__xludf.DUMMYFUNCTION("""COMPUTED_VALUE"""),"")</f>
        <v/>
      </c>
      <c r="C35" s="268">
        <f>IFERROR(__xludf.DUMMYFUNCTION("""COMPUTED_VALUE"""),69.0)</f>
        <v>69</v>
      </c>
      <c r="D35" s="268" t="str">
        <f>IFERROR(__xludf.DUMMYFUNCTION("""COMPUTED_VALUE"""),"Hospital Estadual da Criança")</f>
        <v>Hospital Estadual da Criança</v>
      </c>
      <c r="E35" s="268" t="str">
        <f>IFERROR(__xludf.DUMMYFUNCTION("""COMPUTED_VALUE"""),"ZONA OESTE")</f>
        <v>ZONA OESTE</v>
      </c>
      <c r="F35" s="268" t="str">
        <f>IFERROR(__xludf.DUMMYFUNCTION("""COMPUTED_VALUE"""),"Rio de Janeiro")</f>
        <v>Rio de Janeiro</v>
      </c>
      <c r="G35" s="268" t="str">
        <f>IFERROR(__xludf.DUMMYFUNCTION("""COMPUTED_VALUE"""),"Vila valqueire")</f>
        <v>Vila valqueire</v>
      </c>
      <c r="H35" s="268" t="str">
        <f>IFERROR(__xludf.DUMMYFUNCTION("""COMPUTED_VALUE"""),"Referência - ALTA COMPLEXIDADE")</f>
        <v>Referência - ALTA COMPLEXIDADE</v>
      </c>
      <c r="I35" s="268" t="str">
        <f>IFERROR(__xludf.DUMMYFUNCTION("""COMPUTED_VALUE"""),"Público")</f>
        <v>Público</v>
      </c>
      <c r="J35" s="268" t="str">
        <f>IFERROR(__xludf.DUMMYFUNCTION("""COMPUTED_VALUE"""),"")</f>
        <v/>
      </c>
      <c r="K35" s="268" t="str">
        <f>IFERROR(__xludf.DUMMYFUNCTION("""COMPUTED_VALUE"""),"")</f>
        <v/>
      </c>
      <c r="L35" s="268" t="str">
        <f>IFERROR(__xludf.DUMMYFUNCTION("""COMPUTED_VALUE"""),"")</f>
        <v/>
      </c>
      <c r="M35" s="268" t="str">
        <f>IFERROR(__xludf.DUMMYFUNCTION("""COMPUTED_VALUE"""),"")</f>
        <v/>
      </c>
      <c r="N35" s="268">
        <f>IFERROR(__xludf.DUMMYFUNCTION("""COMPUTED_VALUE"""),0.0)</f>
        <v>0</v>
      </c>
      <c r="O35" s="268">
        <f>IFERROR(__xludf.DUMMYFUNCTION("""COMPUTED_VALUE"""),0.0)</f>
        <v>0</v>
      </c>
      <c r="P35" s="268">
        <f>IFERROR(__xludf.DUMMYFUNCTION("""COMPUTED_VALUE"""),0.0)</f>
        <v>0</v>
      </c>
      <c r="Q35" s="268">
        <f>IFERROR(__xludf.DUMMYFUNCTION("""COMPUTED_VALUE"""),0.0)</f>
        <v>0</v>
      </c>
      <c r="R35" s="268">
        <f>IFERROR(__xludf.DUMMYFUNCTION("""COMPUTED_VALUE"""),0.0)</f>
        <v>0</v>
      </c>
      <c r="S35" s="268">
        <f>IFERROR(__xludf.DUMMYFUNCTION("""COMPUTED_VALUE"""),0.0)</f>
        <v>0</v>
      </c>
      <c r="T35" s="268">
        <f>IFERROR(__xludf.DUMMYFUNCTION("""COMPUTED_VALUE"""),20.0)</f>
        <v>20</v>
      </c>
      <c r="U35" s="268">
        <f>IFERROR(__xludf.DUMMYFUNCTION("""COMPUTED_VALUE"""),0.0)</f>
        <v>0</v>
      </c>
      <c r="V35" s="268">
        <f>IFERROR(__xludf.DUMMYFUNCTION("""COMPUTED_VALUE"""),0.0)</f>
        <v>0</v>
      </c>
      <c r="W35" s="268">
        <f>IFERROR(__xludf.DUMMYFUNCTION("""COMPUTED_VALUE"""),0.0)</f>
        <v>0</v>
      </c>
      <c r="X35" s="268">
        <f>IFERROR(__xludf.DUMMYFUNCTION("""COMPUTED_VALUE"""),0.0)</f>
        <v>0</v>
      </c>
      <c r="Y35" s="268">
        <f>IFERROR(__xludf.DUMMYFUNCTION("""COMPUTED_VALUE"""),0.0)</f>
        <v>0</v>
      </c>
      <c r="Z35" s="268">
        <f>IFERROR(__xludf.DUMMYFUNCTION("""COMPUTED_VALUE"""),-20.0)</f>
        <v>-20</v>
      </c>
      <c r="AA35" s="268">
        <f>IFERROR(__xludf.DUMMYFUNCTION("""COMPUTED_VALUE"""),0.0)</f>
        <v>0</v>
      </c>
      <c r="AB35" s="268">
        <f>IFERROR(__xludf.DUMMYFUNCTION("""COMPUTED_VALUE"""),0.0)</f>
        <v>0</v>
      </c>
      <c r="AC35" s="268">
        <f>IFERROR(__xludf.DUMMYFUNCTION("""COMPUTED_VALUE"""),0.0)</f>
        <v>0</v>
      </c>
      <c r="AD35" s="268">
        <f>IFERROR(__xludf.DUMMYFUNCTION("""COMPUTED_VALUE"""),0.0)</f>
        <v>0</v>
      </c>
      <c r="AE35" s="268">
        <f>IFERROR(__xludf.DUMMYFUNCTION("""COMPUTED_VALUE"""),0.0)</f>
        <v>0</v>
      </c>
      <c r="AF35" s="268" t="str">
        <f>IFERROR(__xludf.DUMMYFUNCTION("""COMPUTED_VALUE"""),"-22.8851109,-43.3660894")</f>
        <v>-22.8851109,-43.3660894</v>
      </c>
      <c r="AG35" s="268">
        <f>IFERROR(__xludf.DUMMYFUNCTION("""COMPUTED_VALUE"""),0.0)</f>
        <v>0</v>
      </c>
      <c r="AH35" s="268">
        <f>IFERROR(__xludf.DUMMYFUNCTION("""COMPUTED_VALUE"""),0.0)</f>
        <v>0</v>
      </c>
      <c r="AI35" s="268">
        <f>IFERROR(__xludf.DUMMYFUNCTION("""COMPUTED_VALUE"""),0.0)</f>
        <v>0</v>
      </c>
      <c r="AJ35" s="268">
        <f>IFERROR(__xludf.DUMMYFUNCTION("ROWS(QUERY(Entregas_BD!D:AM,""select D where D ='""&amp;D35&amp;""'"",1))-1"),1.0)</f>
        <v>1</v>
      </c>
    </row>
    <row r="36" ht="22.5" customHeight="1">
      <c r="A36" s="170" t="str">
        <f>IFERROR(__xludf.DUMMYFUNCTION("""COMPUTED_VALUE"""),"")</f>
        <v/>
      </c>
      <c r="B36" s="170" t="str">
        <f>IFERROR(__xludf.DUMMYFUNCTION("""COMPUTED_VALUE"""),"")</f>
        <v/>
      </c>
      <c r="C36" s="170">
        <f>IFERROR(__xludf.DUMMYFUNCTION("""COMPUTED_VALUE"""),70.0)</f>
        <v>70</v>
      </c>
      <c r="D36" s="170" t="str">
        <f>IFERROR(__xludf.DUMMYFUNCTION("""COMPUTED_VALUE"""),"Hospital Estadual Getúlio Vargas")</f>
        <v>Hospital Estadual Getúlio Vargas</v>
      </c>
      <c r="E36" s="170" t="str">
        <f>IFERROR(__xludf.DUMMYFUNCTION("""COMPUTED_VALUE"""),"ZONA NORTE")</f>
        <v>ZONA NORTE</v>
      </c>
      <c r="F36" s="170" t="str">
        <f>IFERROR(__xludf.DUMMYFUNCTION("""COMPUTED_VALUE"""),"Rio de Janeiro")</f>
        <v>Rio de Janeiro</v>
      </c>
      <c r="G36" s="170" t="str">
        <f>IFERROR(__xludf.DUMMYFUNCTION("""COMPUTED_VALUE"""),"PENHA")</f>
        <v>PENHA</v>
      </c>
      <c r="H36" s="170" t="str">
        <f>IFERROR(__xludf.DUMMYFUNCTION("""COMPUTED_VALUE"""),"Referência - ALTA COMPLEXIDADE")</f>
        <v>Referência - ALTA COMPLEXIDADE</v>
      </c>
      <c r="I36" s="170" t="str">
        <f>IFERROR(__xludf.DUMMYFUNCTION("""COMPUTED_VALUE"""),"Público")</f>
        <v>Público</v>
      </c>
      <c r="J36" s="170" t="str">
        <f>IFERROR(__xludf.DUMMYFUNCTION("""COMPUTED_VALUE"""),"")</f>
        <v/>
      </c>
      <c r="K36" s="170" t="str">
        <f>IFERROR(__xludf.DUMMYFUNCTION("""COMPUTED_VALUE"""),"")</f>
        <v/>
      </c>
      <c r="L36" s="170" t="str">
        <f>IFERROR(__xludf.DUMMYFUNCTION("""COMPUTED_VALUE"""),"")</f>
        <v/>
      </c>
      <c r="M36" s="170" t="str">
        <f>IFERROR(__xludf.DUMMYFUNCTION("""COMPUTED_VALUE"""),"")</f>
        <v/>
      </c>
      <c r="N36" s="170">
        <f>IFERROR(__xludf.DUMMYFUNCTION("""COMPUTED_VALUE"""),0.0)</f>
        <v>0</v>
      </c>
      <c r="O36" s="170">
        <f>IFERROR(__xludf.DUMMYFUNCTION("""COMPUTED_VALUE"""),0.0)</f>
        <v>0</v>
      </c>
      <c r="P36" s="170">
        <f>IFERROR(__xludf.DUMMYFUNCTION("""COMPUTED_VALUE"""),0.0)</f>
        <v>0</v>
      </c>
      <c r="Q36" s="170">
        <f>IFERROR(__xludf.DUMMYFUNCTION("""COMPUTED_VALUE"""),0.0)</f>
        <v>0</v>
      </c>
      <c r="R36" s="170">
        <f>IFERROR(__xludf.DUMMYFUNCTION("""COMPUTED_VALUE"""),0.0)</f>
        <v>0</v>
      </c>
      <c r="S36" s="170">
        <f>IFERROR(__xludf.DUMMYFUNCTION("""COMPUTED_VALUE"""),0.0)</f>
        <v>0</v>
      </c>
      <c r="T36" s="170">
        <f>IFERROR(__xludf.DUMMYFUNCTION("""COMPUTED_VALUE"""),200.0)</f>
        <v>200</v>
      </c>
      <c r="U36" s="170">
        <f>IFERROR(__xludf.DUMMYFUNCTION("""COMPUTED_VALUE"""),0.0)</f>
        <v>0</v>
      </c>
      <c r="V36" s="170">
        <f>IFERROR(__xludf.DUMMYFUNCTION("""COMPUTED_VALUE"""),0.0)</f>
        <v>0</v>
      </c>
      <c r="W36" s="170">
        <f>IFERROR(__xludf.DUMMYFUNCTION("""COMPUTED_VALUE"""),0.0)</f>
        <v>0</v>
      </c>
      <c r="X36" s="170">
        <f>IFERROR(__xludf.DUMMYFUNCTION("""COMPUTED_VALUE"""),0.0)</f>
        <v>0</v>
      </c>
      <c r="Y36" s="170">
        <f>IFERROR(__xludf.DUMMYFUNCTION("""COMPUTED_VALUE"""),0.0)</f>
        <v>0</v>
      </c>
      <c r="Z36" s="170">
        <f>IFERROR(__xludf.DUMMYFUNCTION("""COMPUTED_VALUE"""),-200.0)</f>
        <v>-200</v>
      </c>
      <c r="AA36" s="170">
        <f>IFERROR(__xludf.DUMMYFUNCTION("""COMPUTED_VALUE"""),0.0)</f>
        <v>0</v>
      </c>
      <c r="AB36" s="170">
        <f>IFERROR(__xludf.DUMMYFUNCTION("""COMPUTED_VALUE"""),0.0)</f>
        <v>0</v>
      </c>
      <c r="AC36" s="170">
        <f>IFERROR(__xludf.DUMMYFUNCTION("""COMPUTED_VALUE"""),0.0)</f>
        <v>0</v>
      </c>
      <c r="AD36" s="170">
        <f>IFERROR(__xludf.DUMMYFUNCTION("""COMPUTED_VALUE"""),0.0)</f>
        <v>0</v>
      </c>
      <c r="AE36" s="170">
        <f>IFERROR(__xludf.DUMMYFUNCTION("""COMPUTED_VALUE"""),0.0)</f>
        <v>0</v>
      </c>
      <c r="AF36" s="170" t="str">
        <f>IFERROR(__xludf.DUMMYFUNCTION("""COMPUTED_VALUE"""),"-22.8389844,-43.284978")</f>
        <v>-22.8389844,-43.284978</v>
      </c>
      <c r="AG36" s="170">
        <f>IFERROR(__xludf.DUMMYFUNCTION("""COMPUTED_VALUE"""),0.0)</f>
        <v>0</v>
      </c>
      <c r="AH36" s="170">
        <f>IFERROR(__xludf.DUMMYFUNCTION("""COMPUTED_VALUE"""),0.0)</f>
        <v>0</v>
      </c>
      <c r="AI36" s="170">
        <f>IFERROR(__xludf.DUMMYFUNCTION("""COMPUTED_VALUE"""),0.0)</f>
        <v>0</v>
      </c>
      <c r="AJ36" s="170">
        <f>IFERROR(__xludf.DUMMYFUNCTION("ROWS(QUERY(Entregas_BD!D:AM,""select D where D ='""&amp;D36&amp;""'"",1))-1"),2.0)</f>
        <v>2</v>
      </c>
    </row>
    <row r="37" ht="22.5" customHeight="1">
      <c r="A37" s="268" t="str">
        <f>IFERROR(__xludf.DUMMYFUNCTION("""COMPUTED_VALUE"""),"")</f>
        <v/>
      </c>
      <c r="B37" s="268" t="str">
        <f>IFERROR(__xludf.DUMMYFUNCTION("""COMPUTED_VALUE"""),"")</f>
        <v/>
      </c>
      <c r="C37" s="268">
        <f>IFERROR(__xludf.DUMMYFUNCTION("""COMPUTED_VALUE"""),71.0)</f>
        <v>71</v>
      </c>
      <c r="D37" s="268" t="str">
        <f>IFERROR(__xludf.DUMMYFUNCTION("""COMPUTED_VALUE"""),"Hospital Estadual Getúlio Vargas")</f>
        <v>Hospital Estadual Getúlio Vargas</v>
      </c>
      <c r="E37" s="268" t="str">
        <f>IFERROR(__xludf.DUMMYFUNCTION("""COMPUTED_VALUE"""),"ZONA NORTE")</f>
        <v>ZONA NORTE</v>
      </c>
      <c r="F37" s="268" t="str">
        <f>IFERROR(__xludf.DUMMYFUNCTION("""COMPUTED_VALUE"""),"Rio de Janeiro")</f>
        <v>Rio de Janeiro</v>
      </c>
      <c r="G37" s="268" t="str">
        <f>IFERROR(__xludf.DUMMYFUNCTION("""COMPUTED_VALUE"""),"Penha")</f>
        <v>Penha</v>
      </c>
      <c r="H37" s="268" t="str">
        <f>IFERROR(__xludf.DUMMYFUNCTION("""COMPUTED_VALUE"""),"Referência - ALTA COMPLEXIDADE")</f>
        <v>Referência - ALTA COMPLEXIDADE</v>
      </c>
      <c r="I37" s="268" t="str">
        <f>IFERROR(__xludf.DUMMYFUNCTION("""COMPUTED_VALUE"""),"Público")</f>
        <v>Público</v>
      </c>
      <c r="J37" s="268" t="str">
        <f>IFERROR(__xludf.DUMMYFUNCTION("""COMPUTED_VALUE"""),"")</f>
        <v/>
      </c>
      <c r="K37" s="268" t="str">
        <f>IFERROR(__xludf.DUMMYFUNCTION("""COMPUTED_VALUE"""),"")</f>
        <v/>
      </c>
      <c r="L37" s="268" t="str">
        <f>IFERROR(__xludf.DUMMYFUNCTION("""COMPUTED_VALUE"""),"")</f>
        <v/>
      </c>
      <c r="M37" s="268" t="str">
        <f>IFERROR(__xludf.DUMMYFUNCTION("""COMPUTED_VALUE"""),"")</f>
        <v/>
      </c>
      <c r="N37" s="268">
        <f>IFERROR(__xludf.DUMMYFUNCTION("""COMPUTED_VALUE"""),0.0)</f>
        <v>0</v>
      </c>
      <c r="O37" s="268">
        <f>IFERROR(__xludf.DUMMYFUNCTION("""COMPUTED_VALUE"""),0.0)</f>
        <v>0</v>
      </c>
      <c r="P37" s="268">
        <f>IFERROR(__xludf.DUMMYFUNCTION("""COMPUTED_VALUE"""),0.0)</f>
        <v>0</v>
      </c>
      <c r="Q37" s="268">
        <f>IFERROR(__xludf.DUMMYFUNCTION("""COMPUTED_VALUE"""),0.0)</f>
        <v>0</v>
      </c>
      <c r="R37" s="268">
        <f>IFERROR(__xludf.DUMMYFUNCTION("""COMPUTED_VALUE"""),0.0)</f>
        <v>0</v>
      </c>
      <c r="S37" s="268">
        <f>IFERROR(__xludf.DUMMYFUNCTION("""COMPUTED_VALUE"""),0.0)</f>
        <v>0</v>
      </c>
      <c r="T37" s="268">
        <f>IFERROR(__xludf.DUMMYFUNCTION("""COMPUTED_VALUE"""),200.0)</f>
        <v>200</v>
      </c>
      <c r="U37" s="268">
        <f>IFERROR(__xludf.DUMMYFUNCTION("""COMPUTED_VALUE"""),0.0)</f>
        <v>0</v>
      </c>
      <c r="V37" s="268">
        <f>IFERROR(__xludf.DUMMYFUNCTION("""COMPUTED_VALUE"""),0.0)</f>
        <v>0</v>
      </c>
      <c r="W37" s="268">
        <f>IFERROR(__xludf.DUMMYFUNCTION("""COMPUTED_VALUE"""),0.0)</f>
        <v>0</v>
      </c>
      <c r="X37" s="268">
        <f>IFERROR(__xludf.DUMMYFUNCTION("""COMPUTED_VALUE"""),0.0)</f>
        <v>0</v>
      </c>
      <c r="Y37" s="268">
        <f>IFERROR(__xludf.DUMMYFUNCTION("""COMPUTED_VALUE"""),0.0)</f>
        <v>0</v>
      </c>
      <c r="Z37" s="268">
        <f>IFERROR(__xludf.DUMMYFUNCTION("""COMPUTED_VALUE"""),-200.0)</f>
        <v>-200</v>
      </c>
      <c r="AA37" s="268">
        <f>IFERROR(__xludf.DUMMYFUNCTION("""COMPUTED_VALUE"""),0.0)</f>
        <v>0</v>
      </c>
      <c r="AB37" s="268">
        <f>IFERROR(__xludf.DUMMYFUNCTION("""COMPUTED_VALUE"""),0.0)</f>
        <v>0</v>
      </c>
      <c r="AC37" s="268">
        <f>IFERROR(__xludf.DUMMYFUNCTION("""COMPUTED_VALUE"""),0.0)</f>
        <v>0</v>
      </c>
      <c r="AD37" s="268">
        <f>IFERROR(__xludf.DUMMYFUNCTION("""COMPUTED_VALUE"""),0.0)</f>
        <v>0</v>
      </c>
      <c r="AE37" s="268">
        <f>IFERROR(__xludf.DUMMYFUNCTION("""COMPUTED_VALUE"""),0.0)</f>
        <v>0</v>
      </c>
      <c r="AF37" s="268" t="str">
        <f>IFERROR(__xludf.DUMMYFUNCTION("""COMPUTED_VALUE"""),"-22.8389844,-43.284978")</f>
        <v>-22.8389844,-43.284978</v>
      </c>
      <c r="AG37" s="268">
        <f>IFERROR(__xludf.DUMMYFUNCTION("""COMPUTED_VALUE"""),0.0)</f>
        <v>0</v>
      </c>
      <c r="AH37" s="268">
        <f>IFERROR(__xludf.DUMMYFUNCTION("""COMPUTED_VALUE"""),0.0)</f>
        <v>0</v>
      </c>
      <c r="AI37" s="268">
        <f>IFERROR(__xludf.DUMMYFUNCTION("""COMPUTED_VALUE"""),0.0)</f>
        <v>0</v>
      </c>
      <c r="AJ37" s="268">
        <f>IFERROR(__xludf.DUMMYFUNCTION("ROWS(QUERY(Entregas_BD!D:AM,""select D where D ='""&amp;D37&amp;""'"",1))-1"),2.0)</f>
        <v>2</v>
      </c>
    </row>
    <row r="38" ht="22.5" customHeight="1">
      <c r="A38" s="170" t="str">
        <f>IFERROR(__xludf.DUMMYFUNCTION("""COMPUTED_VALUE"""),"")</f>
        <v/>
      </c>
      <c r="B38" s="170" t="str">
        <f>IFERROR(__xludf.DUMMYFUNCTION("""COMPUTED_VALUE"""),"")</f>
        <v/>
      </c>
      <c r="C38" s="170">
        <f>IFERROR(__xludf.DUMMYFUNCTION("""COMPUTED_VALUE"""),72.0)</f>
        <v>72</v>
      </c>
      <c r="D38" s="170" t="str">
        <f>IFERROR(__xludf.DUMMYFUNCTION("""COMPUTED_VALUE"""),"Hospital Estadual Santa Maria")</f>
        <v>Hospital Estadual Santa Maria</v>
      </c>
      <c r="E38" s="170" t="str">
        <f>IFERROR(__xludf.DUMMYFUNCTION("""COMPUTED_VALUE"""),"ZONA OESTE")</f>
        <v>ZONA OESTE</v>
      </c>
      <c r="F38" s="170" t="str">
        <f>IFERROR(__xludf.DUMMYFUNCTION("""COMPUTED_VALUE"""),"Rio de Janeiro")</f>
        <v>Rio de Janeiro</v>
      </c>
      <c r="G38" s="170" t="str">
        <f>IFERROR(__xludf.DUMMYFUNCTION("""COMPUTED_VALUE"""),"Jacarepagua")</f>
        <v>Jacarepagua</v>
      </c>
      <c r="H38" s="170" t="str">
        <f>IFERROR(__xludf.DUMMYFUNCTION("""COMPUTED_VALUE"""),"Grande emergência - MÉDIA COMPLEXIDADE")</f>
        <v>Grande emergência - MÉDIA COMPLEXIDADE</v>
      </c>
      <c r="I38" s="170" t="str">
        <f>IFERROR(__xludf.DUMMYFUNCTION("""COMPUTED_VALUE"""),"Público")</f>
        <v>Público</v>
      </c>
      <c r="J38" s="170" t="str">
        <f>IFERROR(__xludf.DUMMYFUNCTION("""COMPUTED_VALUE"""),"")</f>
        <v/>
      </c>
      <c r="K38" s="170" t="str">
        <f>IFERROR(__xludf.DUMMYFUNCTION("""COMPUTED_VALUE"""),"")</f>
        <v/>
      </c>
      <c r="L38" s="170" t="str">
        <f>IFERROR(__xludf.DUMMYFUNCTION("""COMPUTED_VALUE"""),"")</f>
        <v/>
      </c>
      <c r="M38" s="170" t="str">
        <f>IFERROR(__xludf.DUMMYFUNCTION("""COMPUTED_VALUE"""),"")</f>
        <v/>
      </c>
      <c r="N38" s="170">
        <f>IFERROR(__xludf.DUMMYFUNCTION("""COMPUTED_VALUE"""),0.0)</f>
        <v>0</v>
      </c>
      <c r="O38" s="170">
        <f>IFERROR(__xludf.DUMMYFUNCTION("""COMPUTED_VALUE"""),0.0)</f>
        <v>0</v>
      </c>
      <c r="P38" s="170">
        <f>IFERROR(__xludf.DUMMYFUNCTION("""COMPUTED_VALUE"""),0.0)</f>
        <v>0</v>
      </c>
      <c r="Q38" s="170">
        <f>IFERROR(__xludf.DUMMYFUNCTION("""COMPUTED_VALUE"""),0.0)</f>
        <v>0</v>
      </c>
      <c r="R38" s="170">
        <f>IFERROR(__xludf.DUMMYFUNCTION("""COMPUTED_VALUE"""),0.0)</f>
        <v>0</v>
      </c>
      <c r="S38" s="170">
        <f>IFERROR(__xludf.DUMMYFUNCTION("""COMPUTED_VALUE"""),0.0)</f>
        <v>0</v>
      </c>
      <c r="T38" s="170">
        <f>IFERROR(__xludf.DUMMYFUNCTION("""COMPUTED_VALUE"""),100.0)</f>
        <v>100</v>
      </c>
      <c r="U38" s="170">
        <f>IFERROR(__xludf.DUMMYFUNCTION("""COMPUTED_VALUE"""),0.0)</f>
        <v>0</v>
      </c>
      <c r="V38" s="170">
        <f>IFERROR(__xludf.DUMMYFUNCTION("""COMPUTED_VALUE"""),0.0)</f>
        <v>0</v>
      </c>
      <c r="W38" s="170">
        <f>IFERROR(__xludf.DUMMYFUNCTION("""COMPUTED_VALUE"""),0.0)</f>
        <v>0</v>
      </c>
      <c r="X38" s="170">
        <f>IFERROR(__xludf.DUMMYFUNCTION("""COMPUTED_VALUE"""),0.0)</f>
        <v>0</v>
      </c>
      <c r="Y38" s="170">
        <f>IFERROR(__xludf.DUMMYFUNCTION("""COMPUTED_VALUE"""),0.0)</f>
        <v>0</v>
      </c>
      <c r="Z38" s="170">
        <f>IFERROR(__xludf.DUMMYFUNCTION("""COMPUTED_VALUE"""),-100.0)</f>
        <v>-100</v>
      </c>
      <c r="AA38" s="170">
        <f>IFERROR(__xludf.DUMMYFUNCTION("""COMPUTED_VALUE"""),0.0)</f>
        <v>0</v>
      </c>
      <c r="AB38" s="170">
        <f>IFERROR(__xludf.DUMMYFUNCTION("""COMPUTED_VALUE"""),0.0)</f>
        <v>0</v>
      </c>
      <c r="AC38" s="170">
        <f>IFERROR(__xludf.DUMMYFUNCTION("""COMPUTED_VALUE"""),0.0)</f>
        <v>0</v>
      </c>
      <c r="AD38" s="170">
        <f>IFERROR(__xludf.DUMMYFUNCTION("""COMPUTED_VALUE"""),0.0)</f>
        <v>0</v>
      </c>
      <c r="AE38" s="170">
        <f>IFERROR(__xludf.DUMMYFUNCTION("""COMPUTED_VALUE"""),0.0)</f>
        <v>0</v>
      </c>
      <c r="AF38" s="170" t="str">
        <f>IFERROR(__xludf.DUMMYFUNCTION("""COMPUTED_VALUE"""),"-22.9135377,-43.419114")</f>
        <v>-22.9135377,-43.419114</v>
      </c>
      <c r="AG38" s="170">
        <f>IFERROR(__xludf.DUMMYFUNCTION("""COMPUTED_VALUE"""),0.0)</f>
        <v>0</v>
      </c>
      <c r="AH38" s="170">
        <f>IFERROR(__xludf.DUMMYFUNCTION("""COMPUTED_VALUE"""),0.0)</f>
        <v>0</v>
      </c>
      <c r="AI38" s="170">
        <f>IFERROR(__xludf.DUMMYFUNCTION("""COMPUTED_VALUE"""),0.0)</f>
        <v>0</v>
      </c>
      <c r="AJ38" s="170">
        <f>IFERROR(__xludf.DUMMYFUNCTION("ROWS(QUERY(Entregas_BD!D:AM,""select D where D ='""&amp;D38&amp;""'"",1))-1"),1.0)</f>
        <v>1</v>
      </c>
    </row>
    <row r="39" ht="22.5" customHeight="1">
      <c r="A39" s="268" t="str">
        <f>IFERROR(__xludf.DUMMYFUNCTION("""COMPUTED_VALUE"""),"")</f>
        <v/>
      </c>
      <c r="B39" s="268" t="str">
        <f>IFERROR(__xludf.DUMMYFUNCTION("""COMPUTED_VALUE"""),"")</f>
        <v/>
      </c>
      <c r="C39" s="268">
        <f>IFERROR(__xludf.DUMMYFUNCTION("""COMPUTED_VALUE"""),73.0)</f>
        <v>73</v>
      </c>
      <c r="D39" s="268" t="str">
        <f>IFERROR(__xludf.DUMMYFUNCTION("""COMPUTED_VALUE"""),"Hospital Federal Cardoso Fontes")</f>
        <v>Hospital Federal Cardoso Fontes</v>
      </c>
      <c r="E39" s="268" t="str">
        <f>IFERROR(__xludf.DUMMYFUNCTION("""COMPUTED_VALUE"""),"ZONA OESTE")</f>
        <v>ZONA OESTE</v>
      </c>
      <c r="F39" s="268" t="str">
        <f>IFERROR(__xludf.DUMMYFUNCTION("""COMPUTED_VALUE"""),"Rio de Janeiro")</f>
        <v>Rio de Janeiro</v>
      </c>
      <c r="G39" s="268" t="str">
        <f>IFERROR(__xludf.DUMMYFUNCTION("""COMPUTED_VALUE"""),"Freguesia - RJ")</f>
        <v>Freguesia - RJ</v>
      </c>
      <c r="H39" s="268" t="str">
        <f>IFERROR(__xludf.DUMMYFUNCTION("""COMPUTED_VALUE"""),"Referência - ALTA COMPLEXIDADE")</f>
        <v>Referência - ALTA COMPLEXIDADE</v>
      </c>
      <c r="I39" s="268" t="str">
        <f>IFERROR(__xludf.DUMMYFUNCTION("""COMPUTED_VALUE"""),"Público")</f>
        <v>Público</v>
      </c>
      <c r="J39" s="268" t="str">
        <f>IFERROR(__xludf.DUMMYFUNCTION("""COMPUTED_VALUE"""),"")</f>
        <v/>
      </c>
      <c r="K39" s="268" t="str">
        <f>IFERROR(__xludf.DUMMYFUNCTION("""COMPUTED_VALUE"""),"")</f>
        <v/>
      </c>
      <c r="L39" s="268" t="str">
        <f>IFERROR(__xludf.DUMMYFUNCTION("""COMPUTED_VALUE"""),"")</f>
        <v/>
      </c>
      <c r="M39" s="268" t="str">
        <f>IFERROR(__xludf.DUMMYFUNCTION("""COMPUTED_VALUE"""),"")</f>
        <v/>
      </c>
      <c r="N39" s="268">
        <f>IFERROR(__xludf.DUMMYFUNCTION("""COMPUTED_VALUE"""),0.0)</f>
        <v>0</v>
      </c>
      <c r="O39" s="268">
        <f>IFERROR(__xludf.DUMMYFUNCTION("""COMPUTED_VALUE"""),0.0)</f>
        <v>0</v>
      </c>
      <c r="P39" s="268">
        <f>IFERROR(__xludf.DUMMYFUNCTION("""COMPUTED_VALUE"""),0.0)</f>
        <v>0</v>
      </c>
      <c r="Q39" s="268">
        <f>IFERROR(__xludf.DUMMYFUNCTION("""COMPUTED_VALUE"""),0.0)</f>
        <v>0</v>
      </c>
      <c r="R39" s="268">
        <f>IFERROR(__xludf.DUMMYFUNCTION("""COMPUTED_VALUE"""),0.0)</f>
        <v>0</v>
      </c>
      <c r="S39" s="268">
        <f>IFERROR(__xludf.DUMMYFUNCTION("""COMPUTED_VALUE"""),0.0)</f>
        <v>0</v>
      </c>
      <c r="T39" s="268">
        <f>IFERROR(__xludf.DUMMYFUNCTION("""COMPUTED_VALUE"""),300.0)</f>
        <v>300</v>
      </c>
      <c r="U39" s="268">
        <f>IFERROR(__xludf.DUMMYFUNCTION("""COMPUTED_VALUE"""),0.0)</f>
        <v>0</v>
      </c>
      <c r="V39" s="268">
        <f>IFERROR(__xludf.DUMMYFUNCTION("""COMPUTED_VALUE"""),0.0)</f>
        <v>0</v>
      </c>
      <c r="W39" s="268">
        <f>IFERROR(__xludf.DUMMYFUNCTION("""COMPUTED_VALUE"""),0.0)</f>
        <v>0</v>
      </c>
      <c r="X39" s="268">
        <f>IFERROR(__xludf.DUMMYFUNCTION("""COMPUTED_VALUE"""),0.0)</f>
        <v>0</v>
      </c>
      <c r="Y39" s="268">
        <f>IFERROR(__xludf.DUMMYFUNCTION("""COMPUTED_VALUE"""),0.0)</f>
        <v>0</v>
      </c>
      <c r="Z39" s="268">
        <f>IFERROR(__xludf.DUMMYFUNCTION("""COMPUTED_VALUE"""),-300.0)</f>
        <v>-300</v>
      </c>
      <c r="AA39" s="268">
        <f>IFERROR(__xludf.DUMMYFUNCTION("""COMPUTED_VALUE"""),0.0)</f>
        <v>0</v>
      </c>
      <c r="AB39" s="268">
        <f>IFERROR(__xludf.DUMMYFUNCTION("""COMPUTED_VALUE"""),0.0)</f>
        <v>0</v>
      </c>
      <c r="AC39" s="268">
        <f>IFERROR(__xludf.DUMMYFUNCTION("""COMPUTED_VALUE"""),0.0)</f>
        <v>0</v>
      </c>
      <c r="AD39" s="268">
        <f>IFERROR(__xludf.DUMMYFUNCTION("""COMPUTED_VALUE"""),0.0)</f>
        <v>0</v>
      </c>
      <c r="AE39" s="268">
        <f>IFERROR(__xludf.DUMMYFUNCTION("""COMPUTED_VALUE"""),0.0)</f>
        <v>0</v>
      </c>
      <c r="AF39" s="268" t="str">
        <f>IFERROR(__xludf.DUMMYFUNCTION("""COMPUTED_VALUE"""),"-22.9258421,-43.3163108")</f>
        <v>-22.9258421,-43.3163108</v>
      </c>
      <c r="AG39" s="268">
        <f>IFERROR(__xludf.DUMMYFUNCTION("""COMPUTED_VALUE"""),0.0)</f>
        <v>0</v>
      </c>
      <c r="AH39" s="268">
        <f>IFERROR(__xludf.DUMMYFUNCTION("""COMPUTED_VALUE"""),0.0)</f>
        <v>0</v>
      </c>
      <c r="AI39" s="268">
        <f>IFERROR(__xludf.DUMMYFUNCTION("""COMPUTED_VALUE"""),0.0)</f>
        <v>0</v>
      </c>
      <c r="AJ39" s="268">
        <f>IFERROR(__xludf.DUMMYFUNCTION("ROWS(QUERY(Entregas_BD!D:AM,""select D where D ='""&amp;D39&amp;""'"",1))-1"),1.0)</f>
        <v>1</v>
      </c>
    </row>
    <row r="40" ht="22.5" customHeight="1">
      <c r="A40" s="170" t="str">
        <f>IFERROR(__xludf.DUMMYFUNCTION("""COMPUTED_VALUE"""),"")</f>
        <v/>
      </c>
      <c r="B40" s="170" t="str">
        <f>IFERROR(__xludf.DUMMYFUNCTION("""COMPUTED_VALUE"""),"")</f>
        <v/>
      </c>
      <c r="C40" s="170">
        <f>IFERROR(__xludf.DUMMYFUNCTION("""COMPUTED_VALUE"""),74.0)</f>
        <v>74</v>
      </c>
      <c r="D40" s="170" t="str">
        <f>IFERROR(__xludf.DUMMYFUNCTION("""COMPUTED_VALUE"""),"Hospital Federal da Lagoa")</f>
        <v>Hospital Federal da Lagoa</v>
      </c>
      <c r="E40" s="170" t="str">
        <f>IFERROR(__xludf.DUMMYFUNCTION("""COMPUTED_VALUE"""),"ZONA SUL")</f>
        <v>ZONA SUL</v>
      </c>
      <c r="F40" s="170" t="str">
        <f>IFERROR(__xludf.DUMMYFUNCTION("""COMPUTED_VALUE"""),"Rio de Janeiro")</f>
        <v>Rio de Janeiro</v>
      </c>
      <c r="G40" s="170" t="str">
        <f>IFERROR(__xludf.DUMMYFUNCTION("""COMPUTED_VALUE"""),"Jardim Botanico")</f>
        <v>Jardim Botanico</v>
      </c>
      <c r="H40" s="170" t="str">
        <f>IFERROR(__xludf.DUMMYFUNCTION("""COMPUTED_VALUE"""),"Grande emergência - MÉDIA COMPLEXIDADE")</f>
        <v>Grande emergência - MÉDIA COMPLEXIDADE</v>
      </c>
      <c r="I40" s="170" t="str">
        <f>IFERROR(__xludf.DUMMYFUNCTION("""COMPUTED_VALUE"""),"Público")</f>
        <v>Público</v>
      </c>
      <c r="J40" s="170" t="str">
        <f>IFERROR(__xludf.DUMMYFUNCTION("""COMPUTED_VALUE"""),"")</f>
        <v/>
      </c>
      <c r="K40" s="170" t="str">
        <f>IFERROR(__xludf.DUMMYFUNCTION("""COMPUTED_VALUE"""),"")</f>
        <v/>
      </c>
      <c r="L40" s="170" t="str">
        <f>IFERROR(__xludf.DUMMYFUNCTION("""COMPUTED_VALUE"""),"")</f>
        <v/>
      </c>
      <c r="M40" s="170" t="str">
        <f>IFERROR(__xludf.DUMMYFUNCTION("""COMPUTED_VALUE"""),"")</f>
        <v/>
      </c>
      <c r="N40" s="170">
        <f>IFERROR(__xludf.DUMMYFUNCTION("""COMPUTED_VALUE"""),0.0)</f>
        <v>0</v>
      </c>
      <c r="O40" s="170">
        <f>IFERROR(__xludf.DUMMYFUNCTION("""COMPUTED_VALUE"""),0.0)</f>
        <v>0</v>
      </c>
      <c r="P40" s="170">
        <f>IFERROR(__xludf.DUMMYFUNCTION("""COMPUTED_VALUE"""),0.0)</f>
        <v>0</v>
      </c>
      <c r="Q40" s="170">
        <f>IFERROR(__xludf.DUMMYFUNCTION("""COMPUTED_VALUE"""),0.0)</f>
        <v>0</v>
      </c>
      <c r="R40" s="170">
        <f>IFERROR(__xludf.DUMMYFUNCTION("""COMPUTED_VALUE"""),0.0)</f>
        <v>0</v>
      </c>
      <c r="S40" s="170">
        <f>IFERROR(__xludf.DUMMYFUNCTION("""COMPUTED_VALUE"""),0.0)</f>
        <v>0</v>
      </c>
      <c r="T40" s="170">
        <f>IFERROR(__xludf.DUMMYFUNCTION("""COMPUTED_VALUE"""),255.0)</f>
        <v>255</v>
      </c>
      <c r="U40" s="170">
        <f>IFERROR(__xludf.DUMMYFUNCTION("""COMPUTED_VALUE"""),0.0)</f>
        <v>0</v>
      </c>
      <c r="V40" s="170">
        <f>IFERROR(__xludf.DUMMYFUNCTION("""COMPUTED_VALUE"""),0.0)</f>
        <v>0</v>
      </c>
      <c r="W40" s="170">
        <f>IFERROR(__xludf.DUMMYFUNCTION("""COMPUTED_VALUE"""),0.0)</f>
        <v>0</v>
      </c>
      <c r="X40" s="170">
        <f>IFERROR(__xludf.DUMMYFUNCTION("""COMPUTED_VALUE"""),0.0)</f>
        <v>0</v>
      </c>
      <c r="Y40" s="170">
        <f>IFERROR(__xludf.DUMMYFUNCTION("""COMPUTED_VALUE"""),0.0)</f>
        <v>0</v>
      </c>
      <c r="Z40" s="170">
        <f>IFERROR(__xludf.DUMMYFUNCTION("""COMPUTED_VALUE"""),-255.0)</f>
        <v>-255</v>
      </c>
      <c r="AA40" s="170">
        <f>IFERROR(__xludf.DUMMYFUNCTION("""COMPUTED_VALUE"""),0.0)</f>
        <v>0</v>
      </c>
      <c r="AB40" s="170">
        <f>IFERROR(__xludf.DUMMYFUNCTION("""COMPUTED_VALUE"""),0.0)</f>
        <v>0</v>
      </c>
      <c r="AC40" s="170">
        <f>IFERROR(__xludf.DUMMYFUNCTION("""COMPUTED_VALUE"""),0.0)</f>
        <v>0</v>
      </c>
      <c r="AD40" s="170">
        <f>IFERROR(__xludf.DUMMYFUNCTION("""COMPUTED_VALUE"""),0.0)</f>
        <v>0</v>
      </c>
      <c r="AE40" s="170">
        <f>IFERROR(__xludf.DUMMYFUNCTION("""COMPUTED_VALUE"""),0.0)</f>
        <v>0</v>
      </c>
      <c r="AF40" s="170" t="str">
        <f>IFERROR(__xludf.DUMMYFUNCTION("""COMPUTED_VALUE"""),"-22.9636854,-43.2155559")</f>
        <v>-22.9636854,-43.2155559</v>
      </c>
      <c r="AG40" s="170">
        <f>IFERROR(__xludf.DUMMYFUNCTION("""COMPUTED_VALUE"""),0.0)</f>
        <v>0</v>
      </c>
      <c r="AH40" s="170">
        <f>IFERROR(__xludf.DUMMYFUNCTION("""COMPUTED_VALUE"""),0.0)</f>
        <v>0</v>
      </c>
      <c r="AI40" s="170">
        <f>IFERROR(__xludf.DUMMYFUNCTION("""COMPUTED_VALUE"""),0.0)</f>
        <v>0</v>
      </c>
      <c r="AJ40" s="170">
        <f>IFERROR(__xludf.DUMMYFUNCTION("ROWS(QUERY(Entregas_BD!D:AM,""select D where D ='""&amp;D40&amp;""'"",1))-1"),3.0)</f>
        <v>3</v>
      </c>
    </row>
    <row r="41" ht="22.5" customHeight="1">
      <c r="A41" s="268" t="str">
        <f>IFERROR(__xludf.DUMMYFUNCTION("""COMPUTED_VALUE"""),"")</f>
        <v/>
      </c>
      <c r="B41" s="268" t="str">
        <f>IFERROR(__xludf.DUMMYFUNCTION("""COMPUTED_VALUE"""),"")</f>
        <v/>
      </c>
      <c r="C41" s="268">
        <f>IFERROR(__xludf.DUMMYFUNCTION("""COMPUTED_VALUE"""),75.0)</f>
        <v>75</v>
      </c>
      <c r="D41" s="268" t="str">
        <f>IFERROR(__xludf.DUMMYFUNCTION("""COMPUTED_VALUE"""),"Hospital Federal de Ipanema")</f>
        <v>Hospital Federal de Ipanema</v>
      </c>
      <c r="E41" s="268" t="str">
        <f>IFERROR(__xludf.DUMMYFUNCTION("""COMPUTED_VALUE"""),"ZONA SUL")</f>
        <v>ZONA SUL</v>
      </c>
      <c r="F41" s="268" t="str">
        <f>IFERROR(__xludf.DUMMYFUNCTION("""COMPUTED_VALUE"""),"Rio de Janeiro")</f>
        <v>Rio de Janeiro</v>
      </c>
      <c r="G41" s="268" t="str">
        <f>IFERROR(__xludf.DUMMYFUNCTION("""COMPUTED_VALUE"""),"Ipanema")</f>
        <v>Ipanema</v>
      </c>
      <c r="H41" s="268" t="str">
        <f>IFERROR(__xludf.DUMMYFUNCTION("""COMPUTED_VALUE"""),"Grande emergência - MÉDIA COMPLEXIDADE")</f>
        <v>Grande emergência - MÉDIA COMPLEXIDADE</v>
      </c>
      <c r="I41" s="268" t="str">
        <f>IFERROR(__xludf.DUMMYFUNCTION("""COMPUTED_VALUE"""),"Público")</f>
        <v>Público</v>
      </c>
      <c r="J41" s="268" t="str">
        <f>IFERROR(__xludf.DUMMYFUNCTION("""COMPUTED_VALUE"""),"")</f>
        <v/>
      </c>
      <c r="K41" s="268" t="str">
        <f>IFERROR(__xludf.DUMMYFUNCTION("""COMPUTED_VALUE"""),"")</f>
        <v/>
      </c>
      <c r="L41" s="268" t="str">
        <f>IFERROR(__xludf.DUMMYFUNCTION("""COMPUTED_VALUE"""),"")</f>
        <v/>
      </c>
      <c r="M41" s="268" t="str">
        <f>IFERROR(__xludf.DUMMYFUNCTION("""COMPUTED_VALUE"""),"")</f>
        <v/>
      </c>
      <c r="N41" s="268">
        <f>IFERROR(__xludf.DUMMYFUNCTION("""COMPUTED_VALUE"""),0.0)</f>
        <v>0</v>
      </c>
      <c r="O41" s="268">
        <f>IFERROR(__xludf.DUMMYFUNCTION("""COMPUTED_VALUE"""),0.0)</f>
        <v>0</v>
      </c>
      <c r="P41" s="268">
        <f>IFERROR(__xludf.DUMMYFUNCTION("""COMPUTED_VALUE"""),0.0)</f>
        <v>0</v>
      </c>
      <c r="Q41" s="268">
        <f>IFERROR(__xludf.DUMMYFUNCTION("""COMPUTED_VALUE"""),0.0)</f>
        <v>0</v>
      </c>
      <c r="R41" s="268">
        <f>IFERROR(__xludf.DUMMYFUNCTION("""COMPUTED_VALUE"""),0.0)</f>
        <v>0</v>
      </c>
      <c r="S41" s="268">
        <f>IFERROR(__xludf.DUMMYFUNCTION("""COMPUTED_VALUE"""),0.0)</f>
        <v>0</v>
      </c>
      <c r="T41" s="268">
        <f>IFERROR(__xludf.DUMMYFUNCTION("""COMPUTED_VALUE"""),150.0)</f>
        <v>150</v>
      </c>
      <c r="U41" s="268">
        <f>IFERROR(__xludf.DUMMYFUNCTION("""COMPUTED_VALUE"""),0.0)</f>
        <v>0</v>
      </c>
      <c r="V41" s="268">
        <f>IFERROR(__xludf.DUMMYFUNCTION("""COMPUTED_VALUE"""),0.0)</f>
        <v>0</v>
      </c>
      <c r="W41" s="268">
        <f>IFERROR(__xludf.DUMMYFUNCTION("""COMPUTED_VALUE"""),0.0)</f>
        <v>0</v>
      </c>
      <c r="X41" s="268">
        <f>IFERROR(__xludf.DUMMYFUNCTION("""COMPUTED_VALUE"""),0.0)</f>
        <v>0</v>
      </c>
      <c r="Y41" s="268">
        <f>IFERROR(__xludf.DUMMYFUNCTION("""COMPUTED_VALUE"""),0.0)</f>
        <v>0</v>
      </c>
      <c r="Z41" s="268">
        <f>IFERROR(__xludf.DUMMYFUNCTION("""COMPUTED_VALUE"""),-150.0)</f>
        <v>-150</v>
      </c>
      <c r="AA41" s="268">
        <f>IFERROR(__xludf.DUMMYFUNCTION("""COMPUTED_VALUE"""),0.0)</f>
        <v>0</v>
      </c>
      <c r="AB41" s="268">
        <f>IFERROR(__xludf.DUMMYFUNCTION("""COMPUTED_VALUE"""),0.0)</f>
        <v>0</v>
      </c>
      <c r="AC41" s="268">
        <f>IFERROR(__xludf.DUMMYFUNCTION("""COMPUTED_VALUE"""),0.0)</f>
        <v>0</v>
      </c>
      <c r="AD41" s="268">
        <f>IFERROR(__xludf.DUMMYFUNCTION("""COMPUTED_VALUE"""),0.0)</f>
        <v>0</v>
      </c>
      <c r="AE41" s="268">
        <f>IFERROR(__xludf.DUMMYFUNCTION("""COMPUTED_VALUE"""),0.0)</f>
        <v>0</v>
      </c>
      <c r="AF41" s="268" t="str">
        <f>IFERROR(__xludf.DUMMYFUNCTION("""COMPUTED_VALUE"""),"-22.9839749,-43.1958259")</f>
        <v>-22.9839749,-43.1958259</v>
      </c>
      <c r="AG41" s="268">
        <f>IFERROR(__xludf.DUMMYFUNCTION("""COMPUTED_VALUE"""),0.0)</f>
        <v>0</v>
      </c>
      <c r="AH41" s="268">
        <f>IFERROR(__xludf.DUMMYFUNCTION("""COMPUTED_VALUE"""),0.0)</f>
        <v>0</v>
      </c>
      <c r="AI41" s="268">
        <f>IFERROR(__xludf.DUMMYFUNCTION("""COMPUTED_VALUE"""),0.0)</f>
        <v>0</v>
      </c>
      <c r="AJ41" s="268">
        <f>IFERROR(__xludf.DUMMYFUNCTION("ROWS(QUERY(Entregas_BD!D:AM,""select D where D ='""&amp;D41&amp;""'"",1))-1"),4.0)</f>
        <v>4</v>
      </c>
    </row>
    <row r="42" ht="22.5" customHeight="1">
      <c r="A42" s="170" t="str">
        <f>IFERROR(__xludf.DUMMYFUNCTION("""COMPUTED_VALUE"""),"")</f>
        <v/>
      </c>
      <c r="B42" s="170" t="str">
        <f>IFERROR(__xludf.DUMMYFUNCTION("""COMPUTED_VALUE"""),"")</f>
        <v/>
      </c>
      <c r="C42" s="170">
        <f>IFERROR(__xludf.DUMMYFUNCTION("""COMPUTED_VALUE"""),76.0)</f>
        <v>76</v>
      </c>
      <c r="D42" s="170" t="str">
        <f>IFERROR(__xludf.DUMMYFUNCTION("""COMPUTED_VALUE"""),"Hospital Federal dos Servidores do Estado")</f>
        <v>Hospital Federal dos Servidores do Estado</v>
      </c>
      <c r="E42" s="170" t="str">
        <f>IFERROR(__xludf.DUMMYFUNCTION("""COMPUTED_VALUE"""),"CENTRO")</f>
        <v>CENTRO</v>
      </c>
      <c r="F42" s="170" t="str">
        <f>IFERROR(__xludf.DUMMYFUNCTION("""COMPUTED_VALUE"""),"Rio de Janeiro")</f>
        <v>Rio de Janeiro</v>
      </c>
      <c r="G42" s="170" t="str">
        <f>IFERROR(__xludf.DUMMYFUNCTION("""COMPUTED_VALUE"""),"Gamboa")</f>
        <v>Gamboa</v>
      </c>
      <c r="H42" s="170" t="str">
        <f>IFERROR(__xludf.DUMMYFUNCTION("""COMPUTED_VALUE"""),"Grande emergência - MÉDIA COMPLEXIDADE")</f>
        <v>Grande emergência - MÉDIA COMPLEXIDADE</v>
      </c>
      <c r="I42" s="170" t="str">
        <f>IFERROR(__xludf.DUMMYFUNCTION("""COMPUTED_VALUE"""),"Público")</f>
        <v>Público</v>
      </c>
      <c r="J42" s="170" t="str">
        <f>IFERROR(__xludf.DUMMYFUNCTION("""COMPUTED_VALUE"""),"")</f>
        <v/>
      </c>
      <c r="K42" s="170" t="str">
        <f>IFERROR(__xludf.DUMMYFUNCTION("""COMPUTED_VALUE"""),"")</f>
        <v/>
      </c>
      <c r="L42" s="170" t="str">
        <f>IFERROR(__xludf.DUMMYFUNCTION("""COMPUTED_VALUE"""),"")</f>
        <v/>
      </c>
      <c r="M42" s="170" t="str">
        <f>IFERROR(__xludf.DUMMYFUNCTION("""COMPUTED_VALUE"""),"")</f>
        <v/>
      </c>
      <c r="N42" s="170">
        <f>IFERROR(__xludf.DUMMYFUNCTION("""COMPUTED_VALUE"""),0.0)</f>
        <v>0</v>
      </c>
      <c r="O42" s="170">
        <f>IFERROR(__xludf.DUMMYFUNCTION("""COMPUTED_VALUE"""),0.0)</f>
        <v>0</v>
      </c>
      <c r="P42" s="170">
        <f>IFERROR(__xludf.DUMMYFUNCTION("""COMPUTED_VALUE"""),0.0)</f>
        <v>0</v>
      </c>
      <c r="Q42" s="170">
        <f>IFERROR(__xludf.DUMMYFUNCTION("""COMPUTED_VALUE"""),0.0)</f>
        <v>0</v>
      </c>
      <c r="R42" s="170">
        <f>IFERROR(__xludf.DUMMYFUNCTION("""COMPUTED_VALUE"""),0.0)</f>
        <v>0</v>
      </c>
      <c r="S42" s="170">
        <f>IFERROR(__xludf.DUMMYFUNCTION("""COMPUTED_VALUE"""),0.0)</f>
        <v>0</v>
      </c>
      <c r="T42" s="170">
        <f>IFERROR(__xludf.DUMMYFUNCTION("""COMPUTED_VALUE"""),200.0)</f>
        <v>200</v>
      </c>
      <c r="U42" s="170">
        <f>IFERROR(__xludf.DUMMYFUNCTION("""COMPUTED_VALUE"""),0.0)</f>
        <v>0</v>
      </c>
      <c r="V42" s="170">
        <f>IFERROR(__xludf.DUMMYFUNCTION("""COMPUTED_VALUE"""),0.0)</f>
        <v>0</v>
      </c>
      <c r="W42" s="170">
        <f>IFERROR(__xludf.DUMMYFUNCTION("""COMPUTED_VALUE"""),0.0)</f>
        <v>0</v>
      </c>
      <c r="X42" s="170">
        <f>IFERROR(__xludf.DUMMYFUNCTION("""COMPUTED_VALUE"""),0.0)</f>
        <v>0</v>
      </c>
      <c r="Y42" s="170">
        <f>IFERROR(__xludf.DUMMYFUNCTION("""COMPUTED_VALUE"""),0.0)</f>
        <v>0</v>
      </c>
      <c r="Z42" s="170">
        <f>IFERROR(__xludf.DUMMYFUNCTION("""COMPUTED_VALUE"""),-200.0)</f>
        <v>-200</v>
      </c>
      <c r="AA42" s="170">
        <f>IFERROR(__xludf.DUMMYFUNCTION("""COMPUTED_VALUE"""),0.0)</f>
        <v>0</v>
      </c>
      <c r="AB42" s="170">
        <f>IFERROR(__xludf.DUMMYFUNCTION("""COMPUTED_VALUE"""),0.0)</f>
        <v>0</v>
      </c>
      <c r="AC42" s="170">
        <f>IFERROR(__xludf.DUMMYFUNCTION("""COMPUTED_VALUE"""),0.0)</f>
        <v>0</v>
      </c>
      <c r="AD42" s="170">
        <f>IFERROR(__xludf.DUMMYFUNCTION("""COMPUTED_VALUE"""),0.0)</f>
        <v>0</v>
      </c>
      <c r="AE42" s="170">
        <f>IFERROR(__xludf.DUMMYFUNCTION("""COMPUTED_VALUE"""),0.0)</f>
        <v>0</v>
      </c>
      <c r="AF42" s="170" t="str">
        <f>IFERROR(__xludf.DUMMYFUNCTION("""COMPUTED_VALUE"""),"-22.8965466,-43.1882366")</f>
        <v>-22.8965466,-43.1882366</v>
      </c>
      <c r="AG42" s="170">
        <f>IFERROR(__xludf.DUMMYFUNCTION("""COMPUTED_VALUE"""),0.0)</f>
        <v>0</v>
      </c>
      <c r="AH42" s="170">
        <f>IFERROR(__xludf.DUMMYFUNCTION("""COMPUTED_VALUE"""),0.0)</f>
        <v>0</v>
      </c>
      <c r="AI42" s="170">
        <f>IFERROR(__xludf.DUMMYFUNCTION("""COMPUTED_VALUE"""),0.0)</f>
        <v>0</v>
      </c>
      <c r="AJ42" s="170">
        <f>IFERROR(__xludf.DUMMYFUNCTION("ROWS(QUERY(Entregas_BD!D:AM,""select D where D ='""&amp;D42&amp;""'"",1))-1"),4.0)</f>
        <v>4</v>
      </c>
    </row>
    <row r="43" ht="22.5" customHeight="1">
      <c r="A43" s="268" t="str">
        <f>IFERROR(__xludf.DUMMYFUNCTION("""COMPUTED_VALUE"""),"")</f>
        <v/>
      </c>
      <c r="B43" s="268" t="str">
        <f>IFERROR(__xludf.DUMMYFUNCTION("""COMPUTED_VALUE"""),"")</f>
        <v/>
      </c>
      <c r="C43" s="268">
        <f>IFERROR(__xludf.DUMMYFUNCTION("""COMPUTED_VALUE"""),77.0)</f>
        <v>77</v>
      </c>
      <c r="D43" s="268" t="str">
        <f>IFERROR(__xludf.DUMMYFUNCTION("""COMPUTED_VALUE"""),"Hospital Geral de Arraial do Cabo")</f>
        <v>Hospital Geral de Arraial do Cabo</v>
      </c>
      <c r="E43" s="268" t="str">
        <f>IFERROR(__xludf.DUMMYFUNCTION("""COMPUTED_VALUE"""),"REGIAO DOS LAGOS")</f>
        <v>REGIAO DOS LAGOS</v>
      </c>
      <c r="F43" s="268" t="str">
        <f>IFERROR(__xludf.DUMMYFUNCTION("""COMPUTED_VALUE"""),"Arraial do Cabo")</f>
        <v>Arraial do Cabo</v>
      </c>
      <c r="G43" s="268" t="str">
        <f>IFERROR(__xludf.DUMMYFUNCTION("""COMPUTED_VALUE"""),"Centro")</f>
        <v>Centro</v>
      </c>
      <c r="H43" s="268" t="str">
        <f>IFERROR(__xludf.DUMMYFUNCTION("""COMPUTED_VALUE"""),"Referência - ALTA COMPLEXIDADE")</f>
        <v>Referência - ALTA COMPLEXIDADE</v>
      </c>
      <c r="I43" s="268" t="str">
        <f>IFERROR(__xludf.DUMMYFUNCTION("""COMPUTED_VALUE"""),"Público")</f>
        <v>Público</v>
      </c>
      <c r="J43" s="268" t="str">
        <f>IFERROR(__xludf.DUMMYFUNCTION("""COMPUTED_VALUE"""),"")</f>
        <v/>
      </c>
      <c r="K43" s="268" t="str">
        <f>IFERROR(__xludf.DUMMYFUNCTION("""COMPUTED_VALUE"""),"")</f>
        <v/>
      </c>
      <c r="L43" s="268" t="str">
        <f>IFERROR(__xludf.DUMMYFUNCTION("""COMPUTED_VALUE"""),"")</f>
        <v/>
      </c>
      <c r="M43" s="268" t="str">
        <f>IFERROR(__xludf.DUMMYFUNCTION("""COMPUTED_VALUE"""),"")</f>
        <v/>
      </c>
      <c r="N43" s="268">
        <f>IFERROR(__xludf.DUMMYFUNCTION("""COMPUTED_VALUE"""),0.0)</f>
        <v>0</v>
      </c>
      <c r="O43" s="268">
        <f>IFERROR(__xludf.DUMMYFUNCTION("""COMPUTED_VALUE"""),0.0)</f>
        <v>0</v>
      </c>
      <c r="P43" s="268">
        <f>IFERROR(__xludf.DUMMYFUNCTION("""COMPUTED_VALUE"""),0.0)</f>
        <v>0</v>
      </c>
      <c r="Q43" s="268">
        <f>IFERROR(__xludf.DUMMYFUNCTION("""COMPUTED_VALUE"""),0.0)</f>
        <v>0</v>
      </c>
      <c r="R43" s="268">
        <f>IFERROR(__xludf.DUMMYFUNCTION("""COMPUTED_VALUE"""),0.0)</f>
        <v>0</v>
      </c>
      <c r="S43" s="268">
        <f>IFERROR(__xludf.DUMMYFUNCTION("""COMPUTED_VALUE"""),0.0)</f>
        <v>0</v>
      </c>
      <c r="T43" s="268">
        <f>IFERROR(__xludf.DUMMYFUNCTION("""COMPUTED_VALUE"""),50.0)</f>
        <v>50</v>
      </c>
      <c r="U43" s="268">
        <f>IFERROR(__xludf.DUMMYFUNCTION("""COMPUTED_VALUE"""),0.0)</f>
        <v>0</v>
      </c>
      <c r="V43" s="268">
        <f>IFERROR(__xludf.DUMMYFUNCTION("""COMPUTED_VALUE"""),0.0)</f>
        <v>0</v>
      </c>
      <c r="W43" s="268">
        <f>IFERROR(__xludf.DUMMYFUNCTION("""COMPUTED_VALUE"""),0.0)</f>
        <v>0</v>
      </c>
      <c r="X43" s="268">
        <f>IFERROR(__xludf.DUMMYFUNCTION("""COMPUTED_VALUE"""),0.0)</f>
        <v>0</v>
      </c>
      <c r="Y43" s="268">
        <f>IFERROR(__xludf.DUMMYFUNCTION("""COMPUTED_VALUE"""),0.0)</f>
        <v>0</v>
      </c>
      <c r="Z43" s="268">
        <f>IFERROR(__xludf.DUMMYFUNCTION("""COMPUTED_VALUE"""),-50.0)</f>
        <v>-50</v>
      </c>
      <c r="AA43" s="268">
        <f>IFERROR(__xludf.DUMMYFUNCTION("""COMPUTED_VALUE"""),0.0)</f>
        <v>0</v>
      </c>
      <c r="AB43" s="268">
        <f>IFERROR(__xludf.DUMMYFUNCTION("""COMPUTED_VALUE"""),0.0)</f>
        <v>0</v>
      </c>
      <c r="AC43" s="268">
        <f>IFERROR(__xludf.DUMMYFUNCTION("""COMPUTED_VALUE"""),0.0)</f>
        <v>0</v>
      </c>
      <c r="AD43" s="268">
        <f>IFERROR(__xludf.DUMMYFUNCTION("""COMPUTED_VALUE"""),0.0)</f>
        <v>0</v>
      </c>
      <c r="AE43" s="268">
        <f>IFERROR(__xludf.DUMMYFUNCTION("""COMPUTED_VALUE"""),0.0)</f>
        <v>0</v>
      </c>
      <c r="AF43" s="268" t="str">
        <f>IFERROR(__xludf.DUMMYFUNCTION("""COMPUTED_VALUE"""),"-22.9758547,-42.0281234")</f>
        <v>-22.9758547,-42.0281234</v>
      </c>
      <c r="AG43" s="268">
        <f>IFERROR(__xludf.DUMMYFUNCTION("""COMPUTED_VALUE"""),0.0)</f>
        <v>0</v>
      </c>
      <c r="AH43" s="268">
        <f>IFERROR(__xludf.DUMMYFUNCTION("""COMPUTED_VALUE"""),0.0)</f>
        <v>0</v>
      </c>
      <c r="AI43" s="268">
        <f>IFERROR(__xludf.DUMMYFUNCTION("""COMPUTED_VALUE"""),0.0)</f>
        <v>0</v>
      </c>
      <c r="AJ43" s="268">
        <f>IFERROR(__xludf.DUMMYFUNCTION("ROWS(QUERY(Entregas_BD!D:AM,""select D where D ='""&amp;D43&amp;""'"",1))-1"),1.0)</f>
        <v>1</v>
      </c>
    </row>
    <row r="44" ht="22.5" customHeight="1">
      <c r="A44" s="170" t="str">
        <f>IFERROR(__xludf.DUMMYFUNCTION("""COMPUTED_VALUE"""),"")</f>
        <v/>
      </c>
      <c r="B44" s="170" t="str">
        <f>IFERROR(__xludf.DUMMYFUNCTION("""COMPUTED_VALUE"""),"")</f>
        <v/>
      </c>
      <c r="C44" s="170">
        <f>IFERROR(__xludf.DUMMYFUNCTION("""COMPUTED_VALUE"""),84.0)</f>
        <v>84</v>
      </c>
      <c r="D44" s="170" t="str">
        <f>IFERROR(__xludf.DUMMYFUNCTION("""COMPUTED_VALUE"""),"Hospital Mário Kroeff")</f>
        <v>Hospital Mário Kroeff</v>
      </c>
      <c r="E44" s="170" t="str">
        <f>IFERROR(__xludf.DUMMYFUNCTION("""COMPUTED_VALUE"""),"ZONA NORTE")</f>
        <v>ZONA NORTE</v>
      </c>
      <c r="F44" s="170" t="str">
        <f>IFERROR(__xludf.DUMMYFUNCTION("""COMPUTED_VALUE"""),"Rio de Janeiro")</f>
        <v>Rio de Janeiro</v>
      </c>
      <c r="G44" s="170" t="str">
        <f>IFERROR(__xludf.DUMMYFUNCTION("""COMPUTED_VALUE"""),"Penha")</f>
        <v>Penha</v>
      </c>
      <c r="H44" s="170" t="str">
        <f>IFERROR(__xludf.DUMMYFUNCTION("""COMPUTED_VALUE"""),"Unidade básica - BAIXA COMPLEXIDADE")</f>
        <v>Unidade básica - BAIXA COMPLEXIDADE</v>
      </c>
      <c r="I44" s="170" t="str">
        <f>IFERROR(__xludf.DUMMYFUNCTION("""COMPUTED_VALUE"""),"Público")</f>
        <v>Público</v>
      </c>
      <c r="J44" s="170" t="str">
        <f>IFERROR(__xludf.DUMMYFUNCTION("""COMPUTED_VALUE"""),"")</f>
        <v/>
      </c>
      <c r="K44" s="170" t="str">
        <f>IFERROR(__xludf.DUMMYFUNCTION("""COMPUTED_VALUE"""),"")</f>
        <v/>
      </c>
      <c r="L44" s="170" t="str">
        <f>IFERROR(__xludf.DUMMYFUNCTION("""COMPUTED_VALUE"""),"")</f>
        <v/>
      </c>
      <c r="M44" s="170" t="str">
        <f>IFERROR(__xludf.DUMMYFUNCTION("""COMPUTED_VALUE"""),"")</f>
        <v/>
      </c>
      <c r="N44" s="170">
        <f>IFERROR(__xludf.DUMMYFUNCTION("""COMPUTED_VALUE"""),0.0)</f>
        <v>0</v>
      </c>
      <c r="O44" s="170">
        <f>IFERROR(__xludf.DUMMYFUNCTION("""COMPUTED_VALUE"""),0.0)</f>
        <v>0</v>
      </c>
      <c r="P44" s="170">
        <f>IFERROR(__xludf.DUMMYFUNCTION("""COMPUTED_VALUE"""),0.0)</f>
        <v>0</v>
      </c>
      <c r="Q44" s="170">
        <f>IFERROR(__xludf.DUMMYFUNCTION("""COMPUTED_VALUE"""),0.0)</f>
        <v>0</v>
      </c>
      <c r="R44" s="170">
        <f>IFERROR(__xludf.DUMMYFUNCTION("""COMPUTED_VALUE"""),0.0)</f>
        <v>0</v>
      </c>
      <c r="S44" s="170">
        <f>IFERROR(__xludf.DUMMYFUNCTION("""COMPUTED_VALUE"""),0.0)</f>
        <v>0</v>
      </c>
      <c r="T44" s="170">
        <f>IFERROR(__xludf.DUMMYFUNCTION("""COMPUTED_VALUE"""),50.0)</f>
        <v>50</v>
      </c>
      <c r="U44" s="170">
        <f>IFERROR(__xludf.DUMMYFUNCTION("""COMPUTED_VALUE"""),0.0)</f>
        <v>0</v>
      </c>
      <c r="V44" s="170">
        <f>IFERROR(__xludf.DUMMYFUNCTION("""COMPUTED_VALUE"""),0.0)</f>
        <v>0</v>
      </c>
      <c r="W44" s="170">
        <f>IFERROR(__xludf.DUMMYFUNCTION("""COMPUTED_VALUE"""),0.0)</f>
        <v>0</v>
      </c>
      <c r="X44" s="170">
        <f>IFERROR(__xludf.DUMMYFUNCTION("""COMPUTED_VALUE"""),0.0)</f>
        <v>0</v>
      </c>
      <c r="Y44" s="170">
        <f>IFERROR(__xludf.DUMMYFUNCTION("""COMPUTED_VALUE"""),0.0)</f>
        <v>0</v>
      </c>
      <c r="Z44" s="170">
        <f>IFERROR(__xludf.DUMMYFUNCTION("""COMPUTED_VALUE"""),-50.0)</f>
        <v>-50</v>
      </c>
      <c r="AA44" s="170">
        <f>IFERROR(__xludf.DUMMYFUNCTION("""COMPUTED_VALUE"""),0.0)</f>
        <v>0</v>
      </c>
      <c r="AB44" s="170">
        <f>IFERROR(__xludf.DUMMYFUNCTION("""COMPUTED_VALUE"""),0.0)</f>
        <v>0</v>
      </c>
      <c r="AC44" s="170">
        <f>IFERROR(__xludf.DUMMYFUNCTION("""COMPUTED_VALUE"""),0.0)</f>
        <v>0</v>
      </c>
      <c r="AD44" s="170">
        <f>IFERROR(__xludf.DUMMYFUNCTION("""COMPUTED_VALUE"""),0.0)</f>
        <v>0</v>
      </c>
      <c r="AE44" s="170">
        <f>IFERROR(__xludf.DUMMYFUNCTION("""COMPUTED_VALUE"""),0.0)</f>
        <v>0</v>
      </c>
      <c r="AF44" s="170" t="str">
        <f>IFERROR(__xludf.DUMMYFUNCTION("""COMPUTED_VALUE"""),"-22.83382,-43.2869254")</f>
        <v>-22.83382,-43.2869254</v>
      </c>
      <c r="AG44" s="170">
        <f>IFERROR(__xludf.DUMMYFUNCTION("""COMPUTED_VALUE"""),0.0)</f>
        <v>0</v>
      </c>
      <c r="AH44" s="170">
        <f>IFERROR(__xludf.DUMMYFUNCTION("""COMPUTED_VALUE"""),0.0)</f>
        <v>0</v>
      </c>
      <c r="AI44" s="170">
        <f>IFERROR(__xludf.DUMMYFUNCTION("""COMPUTED_VALUE"""),0.0)</f>
        <v>0</v>
      </c>
      <c r="AJ44" s="170">
        <f>IFERROR(__xludf.DUMMYFUNCTION("ROWS(QUERY(Entregas_BD!D:AM,""select D where D ='""&amp;D44&amp;""'"",1))-1"),2.0)</f>
        <v>2</v>
      </c>
    </row>
    <row r="45" ht="22.5" customHeight="1">
      <c r="A45" s="268" t="str">
        <f>IFERROR(__xludf.DUMMYFUNCTION("""COMPUTED_VALUE"""),"")</f>
        <v/>
      </c>
      <c r="B45" s="268" t="str">
        <f>IFERROR(__xludf.DUMMYFUNCTION("""COMPUTED_VALUE"""),"")</f>
        <v/>
      </c>
      <c r="C45" s="268">
        <f>IFERROR(__xludf.DUMMYFUNCTION("""COMPUTED_VALUE"""),86.0)</f>
        <v>86</v>
      </c>
      <c r="D45" s="268" t="str">
        <f>IFERROR(__xludf.DUMMYFUNCTION("""COMPUTED_VALUE"""),"Hospital Municipal Albert Schweitzer")</f>
        <v>Hospital Municipal Albert Schweitzer</v>
      </c>
      <c r="E45" s="268" t="str">
        <f>IFERROR(__xludf.DUMMYFUNCTION("""COMPUTED_VALUE"""),"ZONA OESTE")</f>
        <v>ZONA OESTE</v>
      </c>
      <c r="F45" s="268" t="str">
        <f>IFERROR(__xludf.DUMMYFUNCTION("""COMPUTED_VALUE"""),"Rio de Janeiro")</f>
        <v>Rio de Janeiro</v>
      </c>
      <c r="G45" s="268" t="str">
        <f>IFERROR(__xludf.DUMMYFUNCTION("""COMPUTED_VALUE"""),"Realengo")</f>
        <v>Realengo</v>
      </c>
      <c r="H45" s="268" t="str">
        <f>IFERROR(__xludf.DUMMYFUNCTION("""COMPUTED_VALUE"""),"Grande emergência - MÉDIA COMPLEXIDADE")</f>
        <v>Grande emergência - MÉDIA COMPLEXIDADE</v>
      </c>
      <c r="I45" s="268" t="str">
        <f>IFERROR(__xludf.DUMMYFUNCTION("""COMPUTED_VALUE"""),"Público")</f>
        <v>Público</v>
      </c>
      <c r="J45" s="268" t="str">
        <f>IFERROR(__xludf.DUMMYFUNCTION("""COMPUTED_VALUE"""),"")</f>
        <v/>
      </c>
      <c r="K45" s="268" t="str">
        <f>IFERROR(__xludf.DUMMYFUNCTION("""COMPUTED_VALUE"""),"")</f>
        <v/>
      </c>
      <c r="L45" s="268" t="str">
        <f>IFERROR(__xludf.DUMMYFUNCTION("""COMPUTED_VALUE"""),"")</f>
        <v/>
      </c>
      <c r="M45" s="268" t="str">
        <f>IFERROR(__xludf.DUMMYFUNCTION("""COMPUTED_VALUE"""),"")</f>
        <v/>
      </c>
      <c r="N45" s="268">
        <f>IFERROR(__xludf.DUMMYFUNCTION("""COMPUTED_VALUE"""),0.0)</f>
        <v>0</v>
      </c>
      <c r="O45" s="268">
        <f>IFERROR(__xludf.DUMMYFUNCTION("""COMPUTED_VALUE"""),0.0)</f>
        <v>0</v>
      </c>
      <c r="P45" s="268">
        <f>IFERROR(__xludf.DUMMYFUNCTION("""COMPUTED_VALUE"""),0.0)</f>
        <v>0</v>
      </c>
      <c r="Q45" s="268">
        <f>IFERROR(__xludf.DUMMYFUNCTION("""COMPUTED_VALUE"""),0.0)</f>
        <v>0</v>
      </c>
      <c r="R45" s="268">
        <f>IFERROR(__xludf.DUMMYFUNCTION("""COMPUTED_VALUE"""),0.0)</f>
        <v>0</v>
      </c>
      <c r="S45" s="268">
        <f>IFERROR(__xludf.DUMMYFUNCTION("""COMPUTED_VALUE"""),0.0)</f>
        <v>0</v>
      </c>
      <c r="T45" s="268">
        <f>IFERROR(__xludf.DUMMYFUNCTION("""COMPUTED_VALUE"""),50.0)</f>
        <v>50</v>
      </c>
      <c r="U45" s="268">
        <f>IFERROR(__xludf.DUMMYFUNCTION("""COMPUTED_VALUE"""),0.0)</f>
        <v>0</v>
      </c>
      <c r="V45" s="268">
        <f>IFERROR(__xludf.DUMMYFUNCTION("""COMPUTED_VALUE"""),0.0)</f>
        <v>0</v>
      </c>
      <c r="W45" s="268">
        <f>IFERROR(__xludf.DUMMYFUNCTION("""COMPUTED_VALUE"""),0.0)</f>
        <v>0</v>
      </c>
      <c r="X45" s="268">
        <f>IFERROR(__xludf.DUMMYFUNCTION("""COMPUTED_VALUE"""),0.0)</f>
        <v>0</v>
      </c>
      <c r="Y45" s="268">
        <f>IFERROR(__xludf.DUMMYFUNCTION("""COMPUTED_VALUE"""),0.0)</f>
        <v>0</v>
      </c>
      <c r="Z45" s="268">
        <f>IFERROR(__xludf.DUMMYFUNCTION("""COMPUTED_VALUE"""),-50.0)</f>
        <v>-50</v>
      </c>
      <c r="AA45" s="268">
        <f>IFERROR(__xludf.DUMMYFUNCTION("""COMPUTED_VALUE"""),0.0)</f>
        <v>0</v>
      </c>
      <c r="AB45" s="268">
        <f>IFERROR(__xludf.DUMMYFUNCTION("""COMPUTED_VALUE"""),0.0)</f>
        <v>0</v>
      </c>
      <c r="AC45" s="268">
        <f>IFERROR(__xludf.DUMMYFUNCTION("""COMPUTED_VALUE"""),0.0)</f>
        <v>0</v>
      </c>
      <c r="AD45" s="268">
        <f>IFERROR(__xludf.DUMMYFUNCTION("""COMPUTED_VALUE"""),0.0)</f>
        <v>0</v>
      </c>
      <c r="AE45" s="268">
        <f>IFERROR(__xludf.DUMMYFUNCTION("""COMPUTED_VALUE"""),0.0)</f>
        <v>0</v>
      </c>
      <c r="AF45" s="268" t="str">
        <f>IFERROR(__xludf.DUMMYFUNCTION("""COMPUTED_VALUE"""),"-22.8667425,-43.4419453")</f>
        <v>-22.8667425,-43.4419453</v>
      </c>
      <c r="AG45" s="268">
        <f>IFERROR(__xludf.DUMMYFUNCTION("""COMPUTED_VALUE"""),0.0)</f>
        <v>0</v>
      </c>
      <c r="AH45" s="268">
        <f>IFERROR(__xludf.DUMMYFUNCTION("""COMPUTED_VALUE"""),0.0)</f>
        <v>0</v>
      </c>
      <c r="AI45" s="268">
        <f>IFERROR(__xludf.DUMMYFUNCTION("""COMPUTED_VALUE"""),0.0)</f>
        <v>0</v>
      </c>
      <c r="AJ45" s="268">
        <f>IFERROR(__xludf.DUMMYFUNCTION("ROWS(QUERY(Entregas_BD!D:AM,""select D where D ='""&amp;D45&amp;""'"",1))-1"),1.0)</f>
        <v>1</v>
      </c>
    </row>
    <row r="46" ht="22.5" customHeight="1">
      <c r="A46" s="170" t="str">
        <f>IFERROR(__xludf.DUMMYFUNCTION("""COMPUTED_VALUE"""),"")</f>
        <v/>
      </c>
      <c r="B46" s="170" t="str">
        <f>IFERROR(__xludf.DUMMYFUNCTION("""COMPUTED_VALUE"""),"")</f>
        <v/>
      </c>
      <c r="C46" s="170">
        <f>IFERROR(__xludf.DUMMYFUNCTION("""COMPUTED_VALUE"""),90.0)</f>
        <v>90</v>
      </c>
      <c r="D46" s="170" t="str">
        <f>IFERROR(__xludf.DUMMYFUNCTION("""COMPUTED_VALUE"""),"Hospital Municipal da Piedade")</f>
        <v>Hospital Municipal da Piedade</v>
      </c>
      <c r="E46" s="170" t="str">
        <f>IFERROR(__xludf.DUMMYFUNCTION("""COMPUTED_VALUE"""),"ZONA NORTE")</f>
        <v>ZONA NORTE</v>
      </c>
      <c r="F46" s="170" t="str">
        <f>IFERROR(__xludf.DUMMYFUNCTION("""COMPUTED_VALUE"""),"Rio de Janeiro")</f>
        <v>Rio de Janeiro</v>
      </c>
      <c r="G46" s="170" t="str">
        <f>IFERROR(__xludf.DUMMYFUNCTION("""COMPUTED_VALUE"""),"Piedade")</f>
        <v>Piedade</v>
      </c>
      <c r="H46" s="170" t="str">
        <f>IFERROR(__xludf.DUMMYFUNCTION("""COMPUTED_VALUE"""),"Grande emergência - MÉDIA COMPLEXIDADE")</f>
        <v>Grande emergência - MÉDIA COMPLEXIDADE</v>
      </c>
      <c r="I46" s="170" t="str">
        <f>IFERROR(__xludf.DUMMYFUNCTION("""COMPUTED_VALUE"""),"Público")</f>
        <v>Público</v>
      </c>
      <c r="J46" s="170" t="str">
        <f>IFERROR(__xludf.DUMMYFUNCTION("""COMPUTED_VALUE"""),"")</f>
        <v/>
      </c>
      <c r="K46" s="170" t="str">
        <f>IFERROR(__xludf.DUMMYFUNCTION("""COMPUTED_VALUE"""),"")</f>
        <v/>
      </c>
      <c r="L46" s="170" t="str">
        <f>IFERROR(__xludf.DUMMYFUNCTION("""COMPUTED_VALUE"""),"")</f>
        <v/>
      </c>
      <c r="M46" s="170" t="str">
        <f>IFERROR(__xludf.DUMMYFUNCTION("""COMPUTED_VALUE"""),"")</f>
        <v/>
      </c>
      <c r="N46" s="170">
        <f>IFERROR(__xludf.DUMMYFUNCTION("""COMPUTED_VALUE"""),0.0)</f>
        <v>0</v>
      </c>
      <c r="O46" s="170">
        <f>IFERROR(__xludf.DUMMYFUNCTION("""COMPUTED_VALUE"""),0.0)</f>
        <v>0</v>
      </c>
      <c r="P46" s="170">
        <f>IFERROR(__xludf.DUMMYFUNCTION("""COMPUTED_VALUE"""),0.0)</f>
        <v>0</v>
      </c>
      <c r="Q46" s="170">
        <f>IFERROR(__xludf.DUMMYFUNCTION("""COMPUTED_VALUE"""),0.0)</f>
        <v>0</v>
      </c>
      <c r="R46" s="170">
        <f>IFERROR(__xludf.DUMMYFUNCTION("""COMPUTED_VALUE"""),0.0)</f>
        <v>0</v>
      </c>
      <c r="S46" s="170">
        <f>IFERROR(__xludf.DUMMYFUNCTION("""COMPUTED_VALUE"""),0.0)</f>
        <v>0</v>
      </c>
      <c r="T46" s="170">
        <f>IFERROR(__xludf.DUMMYFUNCTION("""COMPUTED_VALUE"""),100.0)</f>
        <v>100</v>
      </c>
      <c r="U46" s="170">
        <f>IFERROR(__xludf.DUMMYFUNCTION("""COMPUTED_VALUE"""),0.0)</f>
        <v>0</v>
      </c>
      <c r="V46" s="170">
        <f>IFERROR(__xludf.DUMMYFUNCTION("""COMPUTED_VALUE"""),0.0)</f>
        <v>0</v>
      </c>
      <c r="W46" s="170">
        <f>IFERROR(__xludf.DUMMYFUNCTION("""COMPUTED_VALUE"""),0.0)</f>
        <v>0</v>
      </c>
      <c r="X46" s="170">
        <f>IFERROR(__xludf.DUMMYFUNCTION("""COMPUTED_VALUE"""),0.0)</f>
        <v>0</v>
      </c>
      <c r="Y46" s="170">
        <f>IFERROR(__xludf.DUMMYFUNCTION("""COMPUTED_VALUE"""),0.0)</f>
        <v>0</v>
      </c>
      <c r="Z46" s="170">
        <f>IFERROR(__xludf.DUMMYFUNCTION("""COMPUTED_VALUE"""),-100.0)</f>
        <v>-100</v>
      </c>
      <c r="AA46" s="170">
        <f>IFERROR(__xludf.DUMMYFUNCTION("""COMPUTED_VALUE"""),0.0)</f>
        <v>0</v>
      </c>
      <c r="AB46" s="170">
        <f>IFERROR(__xludf.DUMMYFUNCTION("""COMPUTED_VALUE"""),0.0)</f>
        <v>0</v>
      </c>
      <c r="AC46" s="170">
        <f>IFERROR(__xludf.DUMMYFUNCTION("""COMPUTED_VALUE"""),0.0)</f>
        <v>0</v>
      </c>
      <c r="AD46" s="170">
        <f>IFERROR(__xludf.DUMMYFUNCTION("""COMPUTED_VALUE"""),0.0)</f>
        <v>0</v>
      </c>
      <c r="AE46" s="170">
        <f>IFERROR(__xludf.DUMMYFUNCTION("""COMPUTED_VALUE"""),0.0)</f>
        <v>0</v>
      </c>
      <c r="AF46" s="170" t="str">
        <f>IFERROR(__xludf.DUMMYFUNCTION("""COMPUTED_VALUE"""),"-22.8918083,-43.3097393")</f>
        <v>-22.8918083,-43.3097393</v>
      </c>
      <c r="AG46" s="170">
        <f>IFERROR(__xludf.DUMMYFUNCTION("""COMPUTED_VALUE"""),0.0)</f>
        <v>0</v>
      </c>
      <c r="AH46" s="170">
        <f>IFERROR(__xludf.DUMMYFUNCTION("""COMPUTED_VALUE"""),0.0)</f>
        <v>0</v>
      </c>
      <c r="AI46" s="170">
        <f>IFERROR(__xludf.DUMMYFUNCTION("""COMPUTED_VALUE"""),0.0)</f>
        <v>0</v>
      </c>
      <c r="AJ46" s="170">
        <f>IFERROR(__xludf.DUMMYFUNCTION("ROWS(QUERY(Entregas_BD!D:AM,""select D where D ='""&amp;D46&amp;""'"",1))-1"),1.0)</f>
        <v>1</v>
      </c>
    </row>
    <row r="47" ht="22.5" customHeight="1">
      <c r="A47" s="268" t="str">
        <f>IFERROR(__xludf.DUMMYFUNCTION("""COMPUTED_VALUE"""),"")</f>
        <v/>
      </c>
      <c r="B47" s="268" t="str">
        <f>IFERROR(__xludf.DUMMYFUNCTION("""COMPUTED_VALUE"""),"")</f>
        <v/>
      </c>
      <c r="C47" s="268">
        <f>IFERROR(__xludf.DUMMYFUNCTION("""COMPUTED_VALUE"""),94.0)</f>
        <v>94</v>
      </c>
      <c r="D47" s="268" t="str">
        <f>IFERROR(__xludf.DUMMYFUNCTION("""COMPUTED_VALUE"""),"Hospital Municipal Doutor Nelson de Sá")</f>
        <v>Hospital Municipal Doutor Nelson de Sá</v>
      </c>
      <c r="E47" s="268" t="str">
        <f>IFERROR(__xludf.DUMMYFUNCTION("""COMPUTED_VALUE"""),"REGIAO SERRANA")</f>
        <v>REGIAO SERRANA</v>
      </c>
      <c r="F47" s="268" t="str">
        <f>IFERROR(__xludf.DUMMYFUNCTION("""COMPUTED_VALUE"""),"Petropólis")</f>
        <v>Petropólis</v>
      </c>
      <c r="G47" s="268" t="str">
        <f>IFERROR(__xludf.DUMMYFUNCTION("""COMPUTED_VALUE"""),"Centro")</f>
        <v>Centro</v>
      </c>
      <c r="H47" s="268" t="str">
        <f>IFERROR(__xludf.DUMMYFUNCTION("""COMPUTED_VALUE"""),"Referência - ALTA COMPLEXIDADE")</f>
        <v>Referência - ALTA COMPLEXIDADE</v>
      </c>
      <c r="I47" s="268" t="str">
        <f>IFERROR(__xludf.DUMMYFUNCTION("""COMPUTED_VALUE"""),"Público")</f>
        <v>Público</v>
      </c>
      <c r="J47" s="268" t="str">
        <f>IFERROR(__xludf.DUMMYFUNCTION("""COMPUTED_VALUE"""),"")</f>
        <v/>
      </c>
      <c r="K47" s="268" t="str">
        <f>IFERROR(__xludf.DUMMYFUNCTION("""COMPUTED_VALUE"""),"")</f>
        <v/>
      </c>
      <c r="L47" s="268" t="str">
        <f>IFERROR(__xludf.DUMMYFUNCTION("""COMPUTED_VALUE"""),"")</f>
        <v/>
      </c>
      <c r="M47" s="268" t="str">
        <f>IFERROR(__xludf.DUMMYFUNCTION("""COMPUTED_VALUE"""),"")</f>
        <v/>
      </c>
      <c r="N47" s="268">
        <f>IFERROR(__xludf.DUMMYFUNCTION("""COMPUTED_VALUE"""),0.0)</f>
        <v>0</v>
      </c>
      <c r="O47" s="268">
        <f>IFERROR(__xludf.DUMMYFUNCTION("""COMPUTED_VALUE"""),0.0)</f>
        <v>0</v>
      </c>
      <c r="P47" s="268">
        <f>IFERROR(__xludf.DUMMYFUNCTION("""COMPUTED_VALUE"""),0.0)</f>
        <v>0</v>
      </c>
      <c r="Q47" s="268">
        <f>IFERROR(__xludf.DUMMYFUNCTION("""COMPUTED_VALUE"""),0.0)</f>
        <v>0</v>
      </c>
      <c r="R47" s="268">
        <f>IFERROR(__xludf.DUMMYFUNCTION("""COMPUTED_VALUE"""),0.0)</f>
        <v>0</v>
      </c>
      <c r="S47" s="268">
        <f>IFERROR(__xludf.DUMMYFUNCTION("""COMPUTED_VALUE"""),0.0)</f>
        <v>0</v>
      </c>
      <c r="T47" s="268">
        <f>IFERROR(__xludf.DUMMYFUNCTION("""COMPUTED_VALUE"""),50.0)</f>
        <v>50</v>
      </c>
      <c r="U47" s="268">
        <f>IFERROR(__xludf.DUMMYFUNCTION("""COMPUTED_VALUE"""),0.0)</f>
        <v>0</v>
      </c>
      <c r="V47" s="268">
        <f>IFERROR(__xludf.DUMMYFUNCTION("""COMPUTED_VALUE"""),0.0)</f>
        <v>0</v>
      </c>
      <c r="W47" s="268">
        <f>IFERROR(__xludf.DUMMYFUNCTION("""COMPUTED_VALUE"""),0.0)</f>
        <v>0</v>
      </c>
      <c r="X47" s="268">
        <f>IFERROR(__xludf.DUMMYFUNCTION("""COMPUTED_VALUE"""),0.0)</f>
        <v>0</v>
      </c>
      <c r="Y47" s="268">
        <f>IFERROR(__xludf.DUMMYFUNCTION("""COMPUTED_VALUE"""),0.0)</f>
        <v>0</v>
      </c>
      <c r="Z47" s="268">
        <f>IFERROR(__xludf.DUMMYFUNCTION("""COMPUTED_VALUE"""),-50.0)</f>
        <v>-50</v>
      </c>
      <c r="AA47" s="268">
        <f>IFERROR(__xludf.DUMMYFUNCTION("""COMPUTED_VALUE"""),0.0)</f>
        <v>0</v>
      </c>
      <c r="AB47" s="268">
        <f>IFERROR(__xludf.DUMMYFUNCTION("""COMPUTED_VALUE"""),0.0)</f>
        <v>0</v>
      </c>
      <c r="AC47" s="268">
        <f>IFERROR(__xludf.DUMMYFUNCTION("""COMPUTED_VALUE"""),0.0)</f>
        <v>0</v>
      </c>
      <c r="AD47" s="268">
        <f>IFERROR(__xludf.DUMMYFUNCTION("""COMPUTED_VALUE"""),0.0)</f>
        <v>0</v>
      </c>
      <c r="AE47" s="268">
        <f>IFERROR(__xludf.DUMMYFUNCTION("""COMPUTED_VALUE"""),0.0)</f>
        <v>0</v>
      </c>
      <c r="AF47" s="268" t="str">
        <f>IFERROR(__xludf.DUMMYFUNCTION("""COMPUTED_VALUE"""),"-22.5076607,-43.1922903")</f>
        <v>-22.5076607,-43.1922903</v>
      </c>
      <c r="AG47" s="268">
        <f>IFERROR(__xludf.DUMMYFUNCTION("""COMPUTED_VALUE"""),0.0)</f>
        <v>0</v>
      </c>
      <c r="AH47" s="268">
        <f>IFERROR(__xludf.DUMMYFUNCTION("""COMPUTED_VALUE"""),0.0)</f>
        <v>0</v>
      </c>
      <c r="AI47" s="268">
        <f>IFERROR(__xludf.DUMMYFUNCTION("""COMPUTED_VALUE"""),0.0)</f>
        <v>0</v>
      </c>
      <c r="AJ47" s="268">
        <f>IFERROR(__xludf.DUMMYFUNCTION("ROWS(QUERY(Entregas_BD!D:AM,""select D where D ='""&amp;D47&amp;""'"",1))-1"),1.0)</f>
        <v>1</v>
      </c>
    </row>
    <row r="48" ht="22.5" customHeight="1">
      <c r="A48" s="170" t="str">
        <f>IFERROR(__xludf.DUMMYFUNCTION("""COMPUTED_VALUE"""),"")</f>
        <v/>
      </c>
      <c r="B48" s="170" t="str">
        <f>IFERROR(__xludf.DUMMYFUNCTION("""COMPUTED_VALUE"""),"")</f>
        <v/>
      </c>
      <c r="C48" s="170">
        <f>IFERROR(__xludf.DUMMYFUNCTION("""COMPUTED_VALUE"""),95.0)</f>
        <v>95</v>
      </c>
      <c r="D48" s="170" t="str">
        <f>IFERROR(__xludf.DUMMYFUNCTION("""COMPUTED_VALUE"""),"Hospital Municipal Dr Fernando Pereira da Silva")</f>
        <v>Hospital Municipal Dr Fernando Pereira da Silva</v>
      </c>
      <c r="E48" s="170" t="str">
        <f>IFERROR(__xludf.DUMMYFUNCTION("""COMPUTED_VALUE"""),"REGIAO DOS LAGOS")</f>
        <v>REGIAO DOS LAGOS</v>
      </c>
      <c r="F48" s="170" t="str">
        <f>IFERROR(__xludf.DUMMYFUNCTION("""COMPUTED_VALUE"""),"Macaé")</f>
        <v>Macaé</v>
      </c>
      <c r="G48" s="170" t="str">
        <f>IFERROR(__xludf.DUMMYFUNCTION("""COMPUTED_VALUE"""),"Virgem Santa")</f>
        <v>Virgem Santa</v>
      </c>
      <c r="H48" s="170" t="str">
        <f>IFERROR(__xludf.DUMMYFUNCTION("""COMPUTED_VALUE"""),"Referência - ALTA COMPLEXIDADE")</f>
        <v>Referência - ALTA COMPLEXIDADE</v>
      </c>
      <c r="I48" s="170" t="str">
        <f>IFERROR(__xludf.DUMMYFUNCTION("""COMPUTED_VALUE"""),"Público")</f>
        <v>Público</v>
      </c>
      <c r="J48" s="170" t="str">
        <f>IFERROR(__xludf.DUMMYFUNCTION("""COMPUTED_VALUE"""),"")</f>
        <v/>
      </c>
      <c r="K48" s="170" t="str">
        <f>IFERROR(__xludf.DUMMYFUNCTION("""COMPUTED_VALUE"""),"")</f>
        <v/>
      </c>
      <c r="L48" s="170" t="str">
        <f>IFERROR(__xludf.DUMMYFUNCTION("""COMPUTED_VALUE"""),"")</f>
        <v/>
      </c>
      <c r="M48" s="170" t="str">
        <f>IFERROR(__xludf.DUMMYFUNCTION("""COMPUTED_VALUE"""),"")</f>
        <v/>
      </c>
      <c r="N48" s="170">
        <f>IFERROR(__xludf.DUMMYFUNCTION("""COMPUTED_VALUE"""),0.0)</f>
        <v>0</v>
      </c>
      <c r="O48" s="170">
        <f>IFERROR(__xludf.DUMMYFUNCTION("""COMPUTED_VALUE"""),0.0)</f>
        <v>0</v>
      </c>
      <c r="P48" s="170">
        <f>IFERROR(__xludf.DUMMYFUNCTION("""COMPUTED_VALUE"""),0.0)</f>
        <v>0</v>
      </c>
      <c r="Q48" s="170">
        <f>IFERROR(__xludf.DUMMYFUNCTION("""COMPUTED_VALUE"""),0.0)</f>
        <v>0</v>
      </c>
      <c r="R48" s="170">
        <f>IFERROR(__xludf.DUMMYFUNCTION("""COMPUTED_VALUE"""),0.0)</f>
        <v>0</v>
      </c>
      <c r="S48" s="170">
        <f>IFERROR(__xludf.DUMMYFUNCTION("""COMPUTED_VALUE"""),0.0)</f>
        <v>0</v>
      </c>
      <c r="T48" s="170">
        <f>IFERROR(__xludf.DUMMYFUNCTION("""COMPUTED_VALUE"""),50.0)</f>
        <v>50</v>
      </c>
      <c r="U48" s="170">
        <f>IFERROR(__xludf.DUMMYFUNCTION("""COMPUTED_VALUE"""),0.0)</f>
        <v>0</v>
      </c>
      <c r="V48" s="170">
        <f>IFERROR(__xludf.DUMMYFUNCTION("""COMPUTED_VALUE"""),0.0)</f>
        <v>0</v>
      </c>
      <c r="W48" s="170">
        <f>IFERROR(__xludf.DUMMYFUNCTION("""COMPUTED_VALUE"""),0.0)</f>
        <v>0</v>
      </c>
      <c r="X48" s="170">
        <f>IFERROR(__xludf.DUMMYFUNCTION("""COMPUTED_VALUE"""),0.0)</f>
        <v>0</v>
      </c>
      <c r="Y48" s="170">
        <f>IFERROR(__xludf.DUMMYFUNCTION("""COMPUTED_VALUE"""),0.0)</f>
        <v>0</v>
      </c>
      <c r="Z48" s="170">
        <f>IFERROR(__xludf.DUMMYFUNCTION("""COMPUTED_VALUE"""),-50.0)</f>
        <v>-50</v>
      </c>
      <c r="AA48" s="170">
        <f>IFERROR(__xludf.DUMMYFUNCTION("""COMPUTED_VALUE"""),0.0)</f>
        <v>0</v>
      </c>
      <c r="AB48" s="170">
        <f>IFERROR(__xludf.DUMMYFUNCTION("""COMPUTED_VALUE"""),0.0)</f>
        <v>0</v>
      </c>
      <c r="AC48" s="170">
        <f>IFERROR(__xludf.DUMMYFUNCTION("""COMPUTED_VALUE"""),0.0)</f>
        <v>0</v>
      </c>
      <c r="AD48" s="170">
        <f>IFERROR(__xludf.DUMMYFUNCTION("""COMPUTED_VALUE"""),0.0)</f>
        <v>0</v>
      </c>
      <c r="AE48" s="170">
        <f>IFERROR(__xludf.DUMMYFUNCTION("""COMPUTED_VALUE"""),0.0)</f>
        <v>0</v>
      </c>
      <c r="AF48" s="170" t="str">
        <f>IFERROR(__xludf.DUMMYFUNCTION("""COMPUTED_VALUE"""),"-22.3563134,-41.8076348")</f>
        <v>-22.3563134,-41.8076348</v>
      </c>
      <c r="AG48" s="170">
        <f>IFERROR(__xludf.DUMMYFUNCTION("""COMPUTED_VALUE"""),0.0)</f>
        <v>0</v>
      </c>
      <c r="AH48" s="170">
        <f>IFERROR(__xludf.DUMMYFUNCTION("""COMPUTED_VALUE"""),0.0)</f>
        <v>0</v>
      </c>
      <c r="AI48" s="170">
        <f>IFERROR(__xludf.DUMMYFUNCTION("""COMPUTED_VALUE"""),0.0)</f>
        <v>0</v>
      </c>
      <c r="AJ48" s="170">
        <f>IFERROR(__xludf.DUMMYFUNCTION("ROWS(QUERY(Entregas_BD!D:AM,""select D where D ='""&amp;D48&amp;""'"",1))-1"),1.0)</f>
        <v>1</v>
      </c>
    </row>
    <row r="49" ht="22.5" customHeight="1">
      <c r="A49" s="268" t="str">
        <f>IFERROR(__xludf.DUMMYFUNCTION("""COMPUTED_VALUE"""),"")</f>
        <v/>
      </c>
      <c r="B49" s="268" t="str">
        <f>IFERROR(__xludf.DUMMYFUNCTION("""COMPUTED_VALUE"""),"")</f>
        <v/>
      </c>
      <c r="C49" s="268">
        <f>IFERROR(__xludf.DUMMYFUNCTION("""COMPUTED_VALUE"""),97.0)</f>
        <v>97</v>
      </c>
      <c r="D49" s="268" t="str">
        <f>IFERROR(__xludf.DUMMYFUNCTION("""COMPUTED_VALUE"""),"Hospital Municipal Francisco da Silva Telles")</f>
        <v>Hospital Municipal Francisco da Silva Telles</v>
      </c>
      <c r="E49" s="268" t="str">
        <f>IFERROR(__xludf.DUMMYFUNCTION("""COMPUTED_VALUE"""),"ZONA NORTE")</f>
        <v>ZONA NORTE</v>
      </c>
      <c r="F49" s="268" t="str">
        <f>IFERROR(__xludf.DUMMYFUNCTION("""COMPUTED_VALUE"""),"Rio de Janeiro")</f>
        <v>Rio de Janeiro</v>
      </c>
      <c r="G49" s="268" t="str">
        <f>IFERROR(__xludf.DUMMYFUNCTION("""COMPUTED_VALUE"""),"Iraja")</f>
        <v>Iraja</v>
      </c>
      <c r="H49" s="268" t="str">
        <f>IFERROR(__xludf.DUMMYFUNCTION("""COMPUTED_VALUE"""),"Grande emergência - MÉDIA COMPLEXIDADE")</f>
        <v>Grande emergência - MÉDIA COMPLEXIDADE</v>
      </c>
      <c r="I49" s="268" t="str">
        <f>IFERROR(__xludf.DUMMYFUNCTION("""COMPUTED_VALUE"""),"Público")</f>
        <v>Público</v>
      </c>
      <c r="J49" s="268" t="str">
        <f>IFERROR(__xludf.DUMMYFUNCTION("""COMPUTED_VALUE"""),"")</f>
        <v/>
      </c>
      <c r="K49" s="268" t="str">
        <f>IFERROR(__xludf.DUMMYFUNCTION("""COMPUTED_VALUE"""),"")</f>
        <v/>
      </c>
      <c r="L49" s="268" t="str">
        <f>IFERROR(__xludf.DUMMYFUNCTION("""COMPUTED_VALUE"""),"")</f>
        <v/>
      </c>
      <c r="M49" s="268" t="str">
        <f>IFERROR(__xludf.DUMMYFUNCTION("""COMPUTED_VALUE"""),"")</f>
        <v/>
      </c>
      <c r="N49" s="268">
        <f>IFERROR(__xludf.DUMMYFUNCTION("""COMPUTED_VALUE"""),0.0)</f>
        <v>0</v>
      </c>
      <c r="O49" s="268">
        <f>IFERROR(__xludf.DUMMYFUNCTION("""COMPUTED_VALUE"""),0.0)</f>
        <v>0</v>
      </c>
      <c r="P49" s="268">
        <f>IFERROR(__xludf.DUMMYFUNCTION("""COMPUTED_VALUE"""),0.0)</f>
        <v>0</v>
      </c>
      <c r="Q49" s="268">
        <f>IFERROR(__xludf.DUMMYFUNCTION("""COMPUTED_VALUE"""),0.0)</f>
        <v>0</v>
      </c>
      <c r="R49" s="268">
        <f>IFERROR(__xludf.DUMMYFUNCTION("""COMPUTED_VALUE"""),0.0)</f>
        <v>0</v>
      </c>
      <c r="S49" s="268">
        <f>IFERROR(__xludf.DUMMYFUNCTION("""COMPUTED_VALUE"""),0.0)</f>
        <v>0</v>
      </c>
      <c r="T49" s="268">
        <f>IFERROR(__xludf.DUMMYFUNCTION("""COMPUTED_VALUE"""),50.0)</f>
        <v>50</v>
      </c>
      <c r="U49" s="268">
        <f>IFERROR(__xludf.DUMMYFUNCTION("""COMPUTED_VALUE"""),0.0)</f>
        <v>0</v>
      </c>
      <c r="V49" s="268">
        <f>IFERROR(__xludf.DUMMYFUNCTION("""COMPUTED_VALUE"""),0.0)</f>
        <v>0</v>
      </c>
      <c r="W49" s="268">
        <f>IFERROR(__xludf.DUMMYFUNCTION("""COMPUTED_VALUE"""),0.0)</f>
        <v>0</v>
      </c>
      <c r="X49" s="268">
        <f>IFERROR(__xludf.DUMMYFUNCTION("""COMPUTED_VALUE"""),0.0)</f>
        <v>0</v>
      </c>
      <c r="Y49" s="268">
        <f>IFERROR(__xludf.DUMMYFUNCTION("""COMPUTED_VALUE"""),0.0)</f>
        <v>0</v>
      </c>
      <c r="Z49" s="268">
        <f>IFERROR(__xludf.DUMMYFUNCTION("""COMPUTED_VALUE"""),-50.0)</f>
        <v>-50</v>
      </c>
      <c r="AA49" s="268">
        <f>IFERROR(__xludf.DUMMYFUNCTION("""COMPUTED_VALUE"""),0.0)</f>
        <v>0</v>
      </c>
      <c r="AB49" s="268">
        <f>IFERROR(__xludf.DUMMYFUNCTION("""COMPUTED_VALUE"""),0.0)</f>
        <v>0</v>
      </c>
      <c r="AC49" s="268">
        <f>IFERROR(__xludf.DUMMYFUNCTION("""COMPUTED_VALUE"""),0.0)</f>
        <v>0</v>
      </c>
      <c r="AD49" s="268">
        <f>IFERROR(__xludf.DUMMYFUNCTION("""COMPUTED_VALUE"""),0.0)</f>
        <v>0</v>
      </c>
      <c r="AE49" s="268">
        <f>IFERROR(__xludf.DUMMYFUNCTION("""COMPUTED_VALUE"""),0.0)</f>
        <v>0</v>
      </c>
      <c r="AF49" s="268" t="str">
        <f>IFERROR(__xludf.DUMMYFUNCTION("""COMPUTED_VALUE"""),"-22.8308433,-43.3280767")</f>
        <v>-22.8308433,-43.3280767</v>
      </c>
      <c r="AG49" s="268">
        <f>IFERROR(__xludf.DUMMYFUNCTION("""COMPUTED_VALUE"""),0.0)</f>
        <v>0</v>
      </c>
      <c r="AH49" s="268">
        <f>IFERROR(__xludf.DUMMYFUNCTION("""COMPUTED_VALUE"""),0.0)</f>
        <v>0</v>
      </c>
      <c r="AI49" s="268">
        <f>IFERROR(__xludf.DUMMYFUNCTION("""COMPUTED_VALUE"""),0.0)</f>
        <v>0</v>
      </c>
      <c r="AJ49" s="268">
        <f>IFERROR(__xludf.DUMMYFUNCTION("ROWS(QUERY(Entregas_BD!D:AM,""select D where D ='""&amp;D49&amp;""'"",1))-1"),1.0)</f>
        <v>1</v>
      </c>
    </row>
    <row r="50" ht="22.5" customHeight="1">
      <c r="A50" s="170" t="str">
        <f>IFERROR(__xludf.DUMMYFUNCTION("""COMPUTED_VALUE"""),"")</f>
        <v/>
      </c>
      <c r="B50" s="170" t="str">
        <f>IFERROR(__xludf.DUMMYFUNCTION("""COMPUTED_VALUE"""),"")</f>
        <v/>
      </c>
      <c r="C50" s="170">
        <f>IFERROR(__xludf.DUMMYFUNCTION("""COMPUTED_VALUE"""),98.0)</f>
        <v>98</v>
      </c>
      <c r="D50" s="170" t="str">
        <f>IFERROR(__xludf.DUMMYFUNCTION("""COMPUTED_VALUE"""),"Hospital Municipal Jesus")</f>
        <v>Hospital Municipal Jesus</v>
      </c>
      <c r="E50" s="170" t="str">
        <f>IFERROR(__xludf.DUMMYFUNCTION("""COMPUTED_VALUE"""),"ZONA NORTE")</f>
        <v>ZONA NORTE</v>
      </c>
      <c r="F50" s="170" t="str">
        <f>IFERROR(__xludf.DUMMYFUNCTION("""COMPUTED_VALUE"""),"Rio de Janeiro")</f>
        <v>Rio de Janeiro</v>
      </c>
      <c r="G50" s="170" t="str">
        <f>IFERROR(__xludf.DUMMYFUNCTION("""COMPUTED_VALUE"""),"Vila Isabel")</f>
        <v>Vila Isabel</v>
      </c>
      <c r="H50" s="170" t="str">
        <f>IFERROR(__xludf.DUMMYFUNCTION("""COMPUTED_VALUE"""),"Grande emergência - MÉDIA COMPLEXIDADE")</f>
        <v>Grande emergência - MÉDIA COMPLEXIDADE</v>
      </c>
      <c r="I50" s="170" t="str">
        <f>IFERROR(__xludf.DUMMYFUNCTION("""COMPUTED_VALUE"""),"Público")</f>
        <v>Público</v>
      </c>
      <c r="J50" s="170" t="str">
        <f>IFERROR(__xludf.DUMMYFUNCTION("""COMPUTED_VALUE"""),"")</f>
        <v/>
      </c>
      <c r="K50" s="170" t="str">
        <f>IFERROR(__xludf.DUMMYFUNCTION("""COMPUTED_VALUE"""),"")</f>
        <v/>
      </c>
      <c r="L50" s="170" t="str">
        <f>IFERROR(__xludf.DUMMYFUNCTION("""COMPUTED_VALUE"""),"")</f>
        <v/>
      </c>
      <c r="M50" s="170" t="str">
        <f>IFERROR(__xludf.DUMMYFUNCTION("""COMPUTED_VALUE"""),"")</f>
        <v/>
      </c>
      <c r="N50" s="170">
        <f>IFERROR(__xludf.DUMMYFUNCTION("""COMPUTED_VALUE"""),0.0)</f>
        <v>0</v>
      </c>
      <c r="O50" s="170">
        <f>IFERROR(__xludf.DUMMYFUNCTION("""COMPUTED_VALUE"""),0.0)</f>
        <v>0</v>
      </c>
      <c r="P50" s="170">
        <f>IFERROR(__xludf.DUMMYFUNCTION("""COMPUTED_VALUE"""),0.0)</f>
        <v>0</v>
      </c>
      <c r="Q50" s="170">
        <f>IFERROR(__xludf.DUMMYFUNCTION("""COMPUTED_VALUE"""),0.0)</f>
        <v>0</v>
      </c>
      <c r="R50" s="170">
        <f>IFERROR(__xludf.DUMMYFUNCTION("""COMPUTED_VALUE"""),0.0)</f>
        <v>0</v>
      </c>
      <c r="S50" s="170">
        <f>IFERROR(__xludf.DUMMYFUNCTION("""COMPUTED_VALUE"""),0.0)</f>
        <v>0</v>
      </c>
      <c r="T50" s="170">
        <f>IFERROR(__xludf.DUMMYFUNCTION("""COMPUTED_VALUE"""),140.0)</f>
        <v>140</v>
      </c>
      <c r="U50" s="170">
        <f>IFERROR(__xludf.DUMMYFUNCTION("""COMPUTED_VALUE"""),0.0)</f>
        <v>0</v>
      </c>
      <c r="V50" s="170">
        <f>IFERROR(__xludf.DUMMYFUNCTION("""COMPUTED_VALUE"""),0.0)</f>
        <v>0</v>
      </c>
      <c r="W50" s="170">
        <f>IFERROR(__xludf.DUMMYFUNCTION("""COMPUTED_VALUE"""),0.0)</f>
        <v>0</v>
      </c>
      <c r="X50" s="170">
        <f>IFERROR(__xludf.DUMMYFUNCTION("""COMPUTED_VALUE"""),0.0)</f>
        <v>0</v>
      </c>
      <c r="Y50" s="170">
        <f>IFERROR(__xludf.DUMMYFUNCTION("""COMPUTED_VALUE"""),0.0)</f>
        <v>0</v>
      </c>
      <c r="Z50" s="170">
        <f>IFERROR(__xludf.DUMMYFUNCTION("""COMPUTED_VALUE"""),-140.0)</f>
        <v>-140</v>
      </c>
      <c r="AA50" s="170">
        <f>IFERROR(__xludf.DUMMYFUNCTION("""COMPUTED_VALUE"""),0.0)</f>
        <v>0</v>
      </c>
      <c r="AB50" s="170">
        <f>IFERROR(__xludf.DUMMYFUNCTION("""COMPUTED_VALUE"""),0.0)</f>
        <v>0</v>
      </c>
      <c r="AC50" s="170">
        <f>IFERROR(__xludf.DUMMYFUNCTION("""COMPUTED_VALUE"""),0.0)</f>
        <v>0</v>
      </c>
      <c r="AD50" s="170">
        <f>IFERROR(__xludf.DUMMYFUNCTION("""COMPUTED_VALUE"""),0.0)</f>
        <v>0</v>
      </c>
      <c r="AE50" s="170">
        <f>IFERROR(__xludf.DUMMYFUNCTION("""COMPUTED_VALUE"""),0.0)</f>
        <v>0</v>
      </c>
      <c r="AF50" s="170" t="str">
        <f>IFERROR(__xludf.DUMMYFUNCTION("""COMPUTED_VALUE"""),"-22.9116044,-43.243544")</f>
        <v>-22.9116044,-43.243544</v>
      </c>
      <c r="AG50" s="170">
        <f>IFERROR(__xludf.DUMMYFUNCTION("""COMPUTED_VALUE"""),0.0)</f>
        <v>0</v>
      </c>
      <c r="AH50" s="170">
        <f>IFERROR(__xludf.DUMMYFUNCTION("""COMPUTED_VALUE"""),0.0)</f>
        <v>0</v>
      </c>
      <c r="AI50" s="170">
        <f>IFERROR(__xludf.DUMMYFUNCTION("""COMPUTED_VALUE"""),0.0)</f>
        <v>0</v>
      </c>
      <c r="AJ50" s="170">
        <f>IFERROR(__xludf.DUMMYFUNCTION("ROWS(QUERY(Entregas_BD!D:AM,""select D where D ='""&amp;D50&amp;""'"",1))-1"),3.0)</f>
        <v>3</v>
      </c>
    </row>
    <row r="51" ht="22.5" customHeight="1">
      <c r="A51" s="268" t="str">
        <f>IFERROR(__xludf.DUMMYFUNCTION("""COMPUTED_VALUE"""),"")</f>
        <v/>
      </c>
      <c r="B51" s="268" t="str">
        <f>IFERROR(__xludf.DUMMYFUNCTION("""COMPUTED_VALUE"""),"")</f>
        <v/>
      </c>
      <c r="C51" s="268">
        <f>IFERROR(__xludf.DUMMYFUNCTION("""COMPUTED_VALUE"""),99.0)</f>
        <v>99</v>
      </c>
      <c r="D51" s="268" t="str">
        <f>IFERROR(__xludf.DUMMYFUNCTION("""COMPUTED_VALUE"""),"Hospital Municipal José Rabello de Mello")</f>
        <v>Hospital Municipal José Rabello de Mello</v>
      </c>
      <c r="E51" s="268" t="str">
        <f>IFERROR(__xludf.DUMMYFUNCTION("""COMPUTED_VALUE"""),"REGIAO SERRANA")</f>
        <v>REGIAO SERRANA</v>
      </c>
      <c r="F51" s="268" t="str">
        <f>IFERROR(__xludf.DUMMYFUNCTION("""COMPUTED_VALUE"""),"Guapimirim serrana")</f>
        <v>Guapimirim serrana</v>
      </c>
      <c r="G51" s="268" t="str">
        <f>IFERROR(__xludf.DUMMYFUNCTION("""COMPUTED_VALUE"""),"Bananal")</f>
        <v>Bananal</v>
      </c>
      <c r="H51" s="268" t="str">
        <f>IFERROR(__xludf.DUMMYFUNCTION("""COMPUTED_VALUE"""),"Referência - ALTA COMPLEXIDADE")</f>
        <v>Referência - ALTA COMPLEXIDADE</v>
      </c>
      <c r="I51" s="268" t="str">
        <f>IFERROR(__xludf.DUMMYFUNCTION("""COMPUTED_VALUE"""),"Público")</f>
        <v>Público</v>
      </c>
      <c r="J51" s="268" t="str">
        <f>IFERROR(__xludf.DUMMYFUNCTION("""COMPUTED_VALUE"""),"")</f>
        <v/>
      </c>
      <c r="K51" s="268" t="str">
        <f>IFERROR(__xludf.DUMMYFUNCTION("""COMPUTED_VALUE"""),"")</f>
        <v/>
      </c>
      <c r="L51" s="268" t="str">
        <f>IFERROR(__xludf.DUMMYFUNCTION("""COMPUTED_VALUE"""),"")</f>
        <v/>
      </c>
      <c r="M51" s="268" t="str">
        <f>IFERROR(__xludf.DUMMYFUNCTION("""COMPUTED_VALUE"""),"")</f>
        <v/>
      </c>
      <c r="N51" s="268">
        <f>IFERROR(__xludf.DUMMYFUNCTION("""COMPUTED_VALUE"""),0.0)</f>
        <v>0</v>
      </c>
      <c r="O51" s="268">
        <f>IFERROR(__xludf.DUMMYFUNCTION("""COMPUTED_VALUE"""),0.0)</f>
        <v>0</v>
      </c>
      <c r="P51" s="268">
        <f>IFERROR(__xludf.DUMMYFUNCTION("""COMPUTED_VALUE"""),0.0)</f>
        <v>0</v>
      </c>
      <c r="Q51" s="268">
        <f>IFERROR(__xludf.DUMMYFUNCTION("""COMPUTED_VALUE"""),0.0)</f>
        <v>0</v>
      </c>
      <c r="R51" s="268">
        <f>IFERROR(__xludf.DUMMYFUNCTION("""COMPUTED_VALUE"""),0.0)</f>
        <v>0</v>
      </c>
      <c r="S51" s="268">
        <f>IFERROR(__xludf.DUMMYFUNCTION("""COMPUTED_VALUE"""),0.0)</f>
        <v>0</v>
      </c>
      <c r="T51" s="268">
        <f>IFERROR(__xludf.DUMMYFUNCTION("""COMPUTED_VALUE"""),50.0)</f>
        <v>50</v>
      </c>
      <c r="U51" s="268">
        <f>IFERROR(__xludf.DUMMYFUNCTION("""COMPUTED_VALUE"""),0.0)</f>
        <v>0</v>
      </c>
      <c r="V51" s="268">
        <f>IFERROR(__xludf.DUMMYFUNCTION("""COMPUTED_VALUE"""),0.0)</f>
        <v>0</v>
      </c>
      <c r="W51" s="268">
        <f>IFERROR(__xludf.DUMMYFUNCTION("""COMPUTED_VALUE"""),0.0)</f>
        <v>0</v>
      </c>
      <c r="X51" s="268">
        <f>IFERROR(__xludf.DUMMYFUNCTION("""COMPUTED_VALUE"""),0.0)</f>
        <v>0</v>
      </c>
      <c r="Y51" s="268">
        <f>IFERROR(__xludf.DUMMYFUNCTION("""COMPUTED_VALUE"""),0.0)</f>
        <v>0</v>
      </c>
      <c r="Z51" s="268">
        <f>IFERROR(__xludf.DUMMYFUNCTION("""COMPUTED_VALUE"""),-50.0)</f>
        <v>-50</v>
      </c>
      <c r="AA51" s="268">
        <f>IFERROR(__xludf.DUMMYFUNCTION("""COMPUTED_VALUE"""),0.0)</f>
        <v>0</v>
      </c>
      <c r="AB51" s="268">
        <f>IFERROR(__xludf.DUMMYFUNCTION("""COMPUTED_VALUE"""),0.0)</f>
        <v>0</v>
      </c>
      <c r="AC51" s="268">
        <f>IFERROR(__xludf.DUMMYFUNCTION("""COMPUTED_VALUE"""),0.0)</f>
        <v>0</v>
      </c>
      <c r="AD51" s="268">
        <f>IFERROR(__xludf.DUMMYFUNCTION("""COMPUTED_VALUE"""),0.0)</f>
        <v>0</v>
      </c>
      <c r="AE51" s="268">
        <f>IFERROR(__xludf.DUMMYFUNCTION("""COMPUTED_VALUE"""),0.0)</f>
        <v>0</v>
      </c>
      <c r="AF51" s="268" t="str">
        <f>IFERROR(__xludf.DUMMYFUNCTION("""COMPUTED_VALUE"""),"-22.5364661,-42.9823512")</f>
        <v>-22.5364661,-42.9823512</v>
      </c>
      <c r="AG51" s="268">
        <f>IFERROR(__xludf.DUMMYFUNCTION("""COMPUTED_VALUE"""),0.0)</f>
        <v>0</v>
      </c>
      <c r="AH51" s="268">
        <f>IFERROR(__xludf.DUMMYFUNCTION("""COMPUTED_VALUE"""),0.0)</f>
        <v>0</v>
      </c>
      <c r="AI51" s="268">
        <f>IFERROR(__xludf.DUMMYFUNCTION("""COMPUTED_VALUE"""),0.0)</f>
        <v>0</v>
      </c>
      <c r="AJ51" s="268">
        <f>IFERROR(__xludf.DUMMYFUNCTION("ROWS(QUERY(Entregas_BD!D:AM,""select D where D ='""&amp;D51&amp;""'"",1))-1"),1.0)</f>
        <v>1</v>
      </c>
    </row>
    <row r="52" ht="22.5" customHeight="1">
      <c r="A52" s="170" t="str">
        <f>IFERROR(__xludf.DUMMYFUNCTION("""COMPUTED_VALUE"""),"")</f>
        <v/>
      </c>
      <c r="B52" s="170" t="str">
        <f>IFERROR(__xludf.DUMMYFUNCTION("""COMPUTED_VALUE"""),"")</f>
        <v/>
      </c>
      <c r="C52" s="170">
        <f>IFERROR(__xludf.DUMMYFUNCTION("""COMPUTED_VALUE"""),101.0)</f>
        <v>101</v>
      </c>
      <c r="D52" s="170" t="str">
        <f>IFERROR(__xludf.DUMMYFUNCTION("""COMPUTED_VALUE"""),"Hospital Municipal Lourenço Jorge")</f>
        <v>Hospital Municipal Lourenço Jorge</v>
      </c>
      <c r="E52" s="170" t="str">
        <f>IFERROR(__xludf.DUMMYFUNCTION("""COMPUTED_VALUE"""),"ZONA OESTE")</f>
        <v>ZONA OESTE</v>
      </c>
      <c r="F52" s="170" t="str">
        <f>IFERROR(__xludf.DUMMYFUNCTION("""COMPUTED_VALUE"""),"Rio de Janeiro")</f>
        <v>Rio de Janeiro</v>
      </c>
      <c r="G52" s="170" t="str">
        <f>IFERROR(__xludf.DUMMYFUNCTION("""COMPUTED_VALUE"""),"Barra da Tijuca")</f>
        <v>Barra da Tijuca</v>
      </c>
      <c r="H52" s="170" t="str">
        <f>IFERROR(__xludf.DUMMYFUNCTION("""COMPUTED_VALUE"""),"Grande emergência - MÉDIA COMPLEXIDADE")</f>
        <v>Grande emergência - MÉDIA COMPLEXIDADE</v>
      </c>
      <c r="I52" s="170" t="str">
        <f>IFERROR(__xludf.DUMMYFUNCTION("""COMPUTED_VALUE"""),"Público")</f>
        <v>Público</v>
      </c>
      <c r="J52" s="170" t="str">
        <f>IFERROR(__xludf.DUMMYFUNCTION("""COMPUTED_VALUE"""),"")</f>
        <v/>
      </c>
      <c r="K52" s="170" t="str">
        <f>IFERROR(__xludf.DUMMYFUNCTION("""COMPUTED_VALUE"""),"")</f>
        <v/>
      </c>
      <c r="L52" s="170" t="str">
        <f>IFERROR(__xludf.DUMMYFUNCTION("""COMPUTED_VALUE"""),"")</f>
        <v/>
      </c>
      <c r="M52" s="170" t="str">
        <f>IFERROR(__xludf.DUMMYFUNCTION("""COMPUTED_VALUE"""),"")</f>
        <v/>
      </c>
      <c r="N52" s="170">
        <f>IFERROR(__xludf.DUMMYFUNCTION("""COMPUTED_VALUE"""),0.0)</f>
        <v>0</v>
      </c>
      <c r="O52" s="170">
        <f>IFERROR(__xludf.DUMMYFUNCTION("""COMPUTED_VALUE"""),0.0)</f>
        <v>0</v>
      </c>
      <c r="P52" s="170">
        <f>IFERROR(__xludf.DUMMYFUNCTION("""COMPUTED_VALUE"""),0.0)</f>
        <v>0</v>
      </c>
      <c r="Q52" s="170">
        <f>IFERROR(__xludf.DUMMYFUNCTION("""COMPUTED_VALUE"""),0.0)</f>
        <v>0</v>
      </c>
      <c r="R52" s="170">
        <f>IFERROR(__xludf.DUMMYFUNCTION("""COMPUTED_VALUE"""),0.0)</f>
        <v>0</v>
      </c>
      <c r="S52" s="170">
        <f>IFERROR(__xludf.DUMMYFUNCTION("""COMPUTED_VALUE"""),0.0)</f>
        <v>0</v>
      </c>
      <c r="T52" s="170">
        <f>IFERROR(__xludf.DUMMYFUNCTION("""COMPUTED_VALUE"""),185.0)</f>
        <v>185</v>
      </c>
      <c r="U52" s="170">
        <f>IFERROR(__xludf.DUMMYFUNCTION("""COMPUTED_VALUE"""),0.0)</f>
        <v>0</v>
      </c>
      <c r="V52" s="170">
        <f>IFERROR(__xludf.DUMMYFUNCTION("""COMPUTED_VALUE"""),0.0)</f>
        <v>0</v>
      </c>
      <c r="W52" s="170">
        <f>IFERROR(__xludf.DUMMYFUNCTION("""COMPUTED_VALUE"""),0.0)</f>
        <v>0</v>
      </c>
      <c r="X52" s="170">
        <f>IFERROR(__xludf.DUMMYFUNCTION("""COMPUTED_VALUE"""),0.0)</f>
        <v>0</v>
      </c>
      <c r="Y52" s="170">
        <f>IFERROR(__xludf.DUMMYFUNCTION("""COMPUTED_VALUE"""),0.0)</f>
        <v>0</v>
      </c>
      <c r="Z52" s="170">
        <f>IFERROR(__xludf.DUMMYFUNCTION("""COMPUTED_VALUE"""),-185.0)</f>
        <v>-185</v>
      </c>
      <c r="AA52" s="170">
        <f>IFERROR(__xludf.DUMMYFUNCTION("""COMPUTED_VALUE"""),0.0)</f>
        <v>0</v>
      </c>
      <c r="AB52" s="170">
        <f>IFERROR(__xludf.DUMMYFUNCTION("""COMPUTED_VALUE"""),0.0)</f>
        <v>0</v>
      </c>
      <c r="AC52" s="170">
        <f>IFERROR(__xludf.DUMMYFUNCTION("""COMPUTED_VALUE"""),0.0)</f>
        <v>0</v>
      </c>
      <c r="AD52" s="170">
        <f>IFERROR(__xludf.DUMMYFUNCTION("""COMPUTED_VALUE"""),0.0)</f>
        <v>0</v>
      </c>
      <c r="AE52" s="170">
        <f>IFERROR(__xludf.DUMMYFUNCTION("""COMPUTED_VALUE"""),0.0)</f>
        <v>0</v>
      </c>
      <c r="AF52" s="170" t="str">
        <f>IFERROR(__xludf.DUMMYFUNCTION("""COMPUTED_VALUE"""),"-22.9949934,-43.3637553")</f>
        <v>-22.9949934,-43.3637553</v>
      </c>
      <c r="AG52" s="170">
        <f>IFERROR(__xludf.DUMMYFUNCTION("""COMPUTED_VALUE"""),0.0)</f>
        <v>0</v>
      </c>
      <c r="AH52" s="170">
        <f>IFERROR(__xludf.DUMMYFUNCTION("""COMPUTED_VALUE"""),0.0)</f>
        <v>0</v>
      </c>
      <c r="AI52" s="170">
        <f>IFERROR(__xludf.DUMMYFUNCTION("""COMPUTED_VALUE"""),0.0)</f>
        <v>0</v>
      </c>
      <c r="AJ52" s="170">
        <f>IFERROR(__xludf.DUMMYFUNCTION("ROWS(QUERY(Entregas_BD!D:AM,""select D where D ='""&amp;D52&amp;""'"",1))-1"),2.0)</f>
        <v>2</v>
      </c>
    </row>
    <row r="53" ht="22.5" customHeight="1">
      <c r="A53" s="268" t="str">
        <f>IFERROR(__xludf.DUMMYFUNCTION("""COMPUTED_VALUE"""),"")</f>
        <v/>
      </c>
      <c r="B53" s="268" t="str">
        <f>IFERROR(__xludf.DUMMYFUNCTION("""COMPUTED_VALUE"""),"")</f>
        <v/>
      </c>
      <c r="C53" s="268">
        <f>IFERROR(__xludf.DUMMYFUNCTION("""COMPUTED_VALUE"""),102.0)</f>
        <v>102</v>
      </c>
      <c r="D53" s="268" t="str">
        <f>IFERROR(__xludf.DUMMYFUNCTION("""COMPUTED_VALUE"""),"Hospital Municipal Miguel Couto")</f>
        <v>Hospital Municipal Miguel Couto</v>
      </c>
      <c r="E53" s="268" t="str">
        <f>IFERROR(__xludf.DUMMYFUNCTION("""COMPUTED_VALUE"""),"ZONA SUL")</f>
        <v>ZONA SUL</v>
      </c>
      <c r="F53" s="268" t="str">
        <f>IFERROR(__xludf.DUMMYFUNCTION("""COMPUTED_VALUE"""),"Rio de Janeiro")</f>
        <v>Rio de Janeiro</v>
      </c>
      <c r="G53" s="268" t="str">
        <f>IFERROR(__xludf.DUMMYFUNCTION("""COMPUTED_VALUE"""),"Leblon/Gavea")</f>
        <v>Leblon/Gavea</v>
      </c>
      <c r="H53" s="268" t="str">
        <f>IFERROR(__xludf.DUMMYFUNCTION("""COMPUTED_VALUE"""),"Grande emergência - MÉDIA COMPLEXIDADE")</f>
        <v>Grande emergência - MÉDIA COMPLEXIDADE</v>
      </c>
      <c r="I53" s="268" t="str">
        <f>IFERROR(__xludf.DUMMYFUNCTION("""COMPUTED_VALUE"""),"Público")</f>
        <v>Público</v>
      </c>
      <c r="J53" s="268" t="str">
        <f>IFERROR(__xludf.DUMMYFUNCTION("""COMPUTED_VALUE"""),"")</f>
        <v/>
      </c>
      <c r="K53" s="268" t="str">
        <f>IFERROR(__xludf.DUMMYFUNCTION("""COMPUTED_VALUE"""),"")</f>
        <v/>
      </c>
      <c r="L53" s="268" t="str">
        <f>IFERROR(__xludf.DUMMYFUNCTION("""COMPUTED_VALUE"""),"")</f>
        <v/>
      </c>
      <c r="M53" s="268" t="str">
        <f>IFERROR(__xludf.DUMMYFUNCTION("""COMPUTED_VALUE"""),"")</f>
        <v/>
      </c>
      <c r="N53" s="268">
        <f>IFERROR(__xludf.DUMMYFUNCTION("""COMPUTED_VALUE"""),0.0)</f>
        <v>0</v>
      </c>
      <c r="O53" s="268">
        <f>IFERROR(__xludf.DUMMYFUNCTION("""COMPUTED_VALUE"""),0.0)</f>
        <v>0</v>
      </c>
      <c r="P53" s="268">
        <f>IFERROR(__xludf.DUMMYFUNCTION("""COMPUTED_VALUE"""),0.0)</f>
        <v>0</v>
      </c>
      <c r="Q53" s="268">
        <f>IFERROR(__xludf.DUMMYFUNCTION("""COMPUTED_VALUE"""),0.0)</f>
        <v>0</v>
      </c>
      <c r="R53" s="268">
        <f>IFERROR(__xludf.DUMMYFUNCTION("""COMPUTED_VALUE"""),0.0)</f>
        <v>0</v>
      </c>
      <c r="S53" s="268">
        <f>IFERROR(__xludf.DUMMYFUNCTION("""COMPUTED_VALUE"""),0.0)</f>
        <v>0</v>
      </c>
      <c r="T53" s="268">
        <f>IFERROR(__xludf.DUMMYFUNCTION("""COMPUTED_VALUE"""),500.0)</f>
        <v>500</v>
      </c>
      <c r="U53" s="268">
        <f>IFERROR(__xludf.DUMMYFUNCTION("""COMPUTED_VALUE"""),0.0)</f>
        <v>0</v>
      </c>
      <c r="V53" s="268">
        <f>IFERROR(__xludf.DUMMYFUNCTION("""COMPUTED_VALUE"""),0.0)</f>
        <v>0</v>
      </c>
      <c r="W53" s="268">
        <f>IFERROR(__xludf.DUMMYFUNCTION("""COMPUTED_VALUE"""),0.0)</f>
        <v>0</v>
      </c>
      <c r="X53" s="268">
        <f>IFERROR(__xludf.DUMMYFUNCTION("""COMPUTED_VALUE"""),0.0)</f>
        <v>0</v>
      </c>
      <c r="Y53" s="268">
        <f>IFERROR(__xludf.DUMMYFUNCTION("""COMPUTED_VALUE"""),0.0)</f>
        <v>0</v>
      </c>
      <c r="Z53" s="268">
        <f>IFERROR(__xludf.DUMMYFUNCTION("""COMPUTED_VALUE"""),-500.0)</f>
        <v>-500</v>
      </c>
      <c r="AA53" s="268">
        <f>IFERROR(__xludf.DUMMYFUNCTION("""COMPUTED_VALUE"""),0.0)</f>
        <v>0</v>
      </c>
      <c r="AB53" s="268">
        <f>IFERROR(__xludf.DUMMYFUNCTION("""COMPUTED_VALUE"""),0.0)</f>
        <v>0</v>
      </c>
      <c r="AC53" s="268">
        <f>IFERROR(__xludf.DUMMYFUNCTION("""COMPUTED_VALUE"""),0.0)</f>
        <v>0</v>
      </c>
      <c r="AD53" s="268">
        <f>IFERROR(__xludf.DUMMYFUNCTION("""COMPUTED_VALUE"""),0.0)</f>
        <v>0</v>
      </c>
      <c r="AE53" s="268">
        <f>IFERROR(__xludf.DUMMYFUNCTION("""COMPUTED_VALUE"""),0.0)</f>
        <v>0</v>
      </c>
      <c r="AF53" s="268" t="str">
        <f>IFERROR(__xludf.DUMMYFUNCTION("""COMPUTED_VALUE"""),"-22.9775844,-43.2240119")</f>
        <v>-22.9775844,-43.2240119</v>
      </c>
      <c r="AG53" s="268">
        <f>IFERROR(__xludf.DUMMYFUNCTION("""COMPUTED_VALUE"""),0.0)</f>
        <v>0</v>
      </c>
      <c r="AH53" s="268">
        <f>IFERROR(__xludf.DUMMYFUNCTION("""COMPUTED_VALUE"""),0.0)</f>
        <v>0</v>
      </c>
      <c r="AI53" s="268">
        <f>IFERROR(__xludf.DUMMYFUNCTION("""COMPUTED_VALUE"""),0.0)</f>
        <v>0</v>
      </c>
      <c r="AJ53" s="268">
        <f>IFERROR(__xludf.DUMMYFUNCTION("ROWS(QUERY(Entregas_BD!D:AM,""select D where D ='""&amp;D53&amp;""'"",1))-1"),4.0)</f>
        <v>4</v>
      </c>
    </row>
    <row r="54" ht="22.5" customHeight="1">
      <c r="A54" s="170" t="str">
        <f>IFERROR(__xludf.DUMMYFUNCTION("""COMPUTED_VALUE"""),"")</f>
        <v/>
      </c>
      <c r="B54" s="170" t="str">
        <f>IFERROR(__xludf.DUMMYFUNCTION("""COMPUTED_VALUE"""),"")</f>
        <v/>
      </c>
      <c r="C54" s="170">
        <f>IFERROR(__xludf.DUMMYFUNCTION("""COMPUTED_VALUE"""),103.0)</f>
        <v>103</v>
      </c>
      <c r="D54" s="170" t="str">
        <f>IFERROR(__xludf.DUMMYFUNCTION("""COMPUTED_VALUE"""),"Hospital Municipal Moacyr do Carmo")</f>
        <v>Hospital Municipal Moacyr do Carmo</v>
      </c>
      <c r="E54" s="170" t="str">
        <f>IFERROR(__xludf.DUMMYFUNCTION("""COMPUTED_VALUE"""),"BAIXADA FLUMINENSE")</f>
        <v>BAIXADA FLUMINENSE</v>
      </c>
      <c r="F54" s="170" t="str">
        <f>IFERROR(__xludf.DUMMYFUNCTION("""COMPUTED_VALUE"""),"Rio de Janeiro")</f>
        <v>Rio de Janeiro</v>
      </c>
      <c r="G54" s="170" t="str">
        <f>IFERROR(__xludf.DUMMYFUNCTION("""COMPUTED_VALUE"""),"Vila sao luiz")</f>
        <v>Vila sao luiz</v>
      </c>
      <c r="H54" s="170" t="str">
        <f>IFERROR(__xludf.DUMMYFUNCTION("""COMPUTED_VALUE"""),"Referência - ALTA COMPLEXIDADE")</f>
        <v>Referência - ALTA COMPLEXIDADE</v>
      </c>
      <c r="I54" s="170" t="str">
        <f>IFERROR(__xludf.DUMMYFUNCTION("""COMPUTED_VALUE"""),"Público")</f>
        <v>Público</v>
      </c>
      <c r="J54" s="170" t="str">
        <f>IFERROR(__xludf.DUMMYFUNCTION("""COMPUTED_VALUE"""),"")</f>
        <v/>
      </c>
      <c r="K54" s="170" t="str">
        <f>IFERROR(__xludf.DUMMYFUNCTION("""COMPUTED_VALUE"""),"")</f>
        <v/>
      </c>
      <c r="L54" s="170" t="str">
        <f>IFERROR(__xludf.DUMMYFUNCTION("""COMPUTED_VALUE"""),"")</f>
        <v/>
      </c>
      <c r="M54" s="170" t="str">
        <f>IFERROR(__xludf.DUMMYFUNCTION("""COMPUTED_VALUE"""),"")</f>
        <v/>
      </c>
      <c r="N54" s="170">
        <f>IFERROR(__xludf.DUMMYFUNCTION("""COMPUTED_VALUE"""),0.0)</f>
        <v>0</v>
      </c>
      <c r="O54" s="170">
        <f>IFERROR(__xludf.DUMMYFUNCTION("""COMPUTED_VALUE"""),0.0)</f>
        <v>0</v>
      </c>
      <c r="P54" s="170">
        <f>IFERROR(__xludf.DUMMYFUNCTION("""COMPUTED_VALUE"""),0.0)</f>
        <v>0</v>
      </c>
      <c r="Q54" s="170">
        <f>IFERROR(__xludf.DUMMYFUNCTION("""COMPUTED_VALUE"""),0.0)</f>
        <v>0</v>
      </c>
      <c r="R54" s="170">
        <f>IFERROR(__xludf.DUMMYFUNCTION("""COMPUTED_VALUE"""),0.0)</f>
        <v>0</v>
      </c>
      <c r="S54" s="170">
        <f>IFERROR(__xludf.DUMMYFUNCTION("""COMPUTED_VALUE"""),0.0)</f>
        <v>0</v>
      </c>
      <c r="T54" s="170">
        <f>IFERROR(__xludf.DUMMYFUNCTION("""COMPUTED_VALUE"""),300.0)</f>
        <v>300</v>
      </c>
      <c r="U54" s="170">
        <f>IFERROR(__xludf.DUMMYFUNCTION("""COMPUTED_VALUE"""),0.0)</f>
        <v>0</v>
      </c>
      <c r="V54" s="170">
        <f>IFERROR(__xludf.DUMMYFUNCTION("""COMPUTED_VALUE"""),0.0)</f>
        <v>0</v>
      </c>
      <c r="W54" s="170">
        <f>IFERROR(__xludf.DUMMYFUNCTION("""COMPUTED_VALUE"""),0.0)</f>
        <v>0</v>
      </c>
      <c r="X54" s="170">
        <f>IFERROR(__xludf.DUMMYFUNCTION("""COMPUTED_VALUE"""),0.0)</f>
        <v>0</v>
      </c>
      <c r="Y54" s="170">
        <f>IFERROR(__xludf.DUMMYFUNCTION("""COMPUTED_VALUE"""),0.0)</f>
        <v>0</v>
      </c>
      <c r="Z54" s="170">
        <f>IFERROR(__xludf.DUMMYFUNCTION("""COMPUTED_VALUE"""),-300.0)</f>
        <v>-300</v>
      </c>
      <c r="AA54" s="170">
        <f>IFERROR(__xludf.DUMMYFUNCTION("""COMPUTED_VALUE"""),0.0)</f>
        <v>0</v>
      </c>
      <c r="AB54" s="170">
        <f>IFERROR(__xludf.DUMMYFUNCTION("""COMPUTED_VALUE"""),0.0)</f>
        <v>0</v>
      </c>
      <c r="AC54" s="170">
        <f>IFERROR(__xludf.DUMMYFUNCTION("""COMPUTED_VALUE"""),0.0)</f>
        <v>0</v>
      </c>
      <c r="AD54" s="170">
        <f>IFERROR(__xludf.DUMMYFUNCTION("""COMPUTED_VALUE"""),0.0)</f>
        <v>0</v>
      </c>
      <c r="AE54" s="170">
        <f>IFERROR(__xludf.DUMMYFUNCTION("""COMPUTED_VALUE"""),0.0)</f>
        <v>0</v>
      </c>
      <c r="AF54" s="170" t="str">
        <f>IFERROR(__xludf.DUMMYFUNCTION("""COMPUTED_VALUE"""),"-22.7837575,-43.284084")</f>
        <v>-22.7837575,-43.284084</v>
      </c>
      <c r="AG54" s="170">
        <f>IFERROR(__xludf.DUMMYFUNCTION("""COMPUTED_VALUE"""),0.0)</f>
        <v>0</v>
      </c>
      <c r="AH54" s="170">
        <f>IFERROR(__xludf.DUMMYFUNCTION("""COMPUTED_VALUE"""),0.0)</f>
        <v>0</v>
      </c>
      <c r="AI54" s="170">
        <f>IFERROR(__xludf.DUMMYFUNCTION("""COMPUTED_VALUE"""),0.0)</f>
        <v>0</v>
      </c>
      <c r="AJ54" s="170">
        <f>IFERROR(__xludf.DUMMYFUNCTION("ROWS(QUERY(Entregas_BD!D:AM,""select D where D ='""&amp;D54&amp;""'"",1))-1"),1.0)</f>
        <v>1</v>
      </c>
    </row>
    <row r="55" ht="22.5" customHeight="1">
      <c r="A55" s="268" t="str">
        <f>IFERROR(__xludf.DUMMYFUNCTION("""COMPUTED_VALUE"""),"")</f>
        <v/>
      </c>
      <c r="B55" s="268" t="str">
        <f>IFERROR(__xludf.DUMMYFUNCTION("""COMPUTED_VALUE"""),"")</f>
        <v/>
      </c>
      <c r="C55" s="268">
        <f>IFERROR(__xludf.DUMMYFUNCTION("""COMPUTED_VALUE"""),104.0)</f>
        <v>104</v>
      </c>
      <c r="D55" s="268" t="str">
        <f>IFERROR(__xludf.DUMMYFUNCTION("""COMPUTED_VALUE"""),"Hospital Municipal Nossa Senhora do Loreto")</f>
        <v>Hospital Municipal Nossa Senhora do Loreto</v>
      </c>
      <c r="E55" s="268" t="str">
        <f>IFERROR(__xludf.DUMMYFUNCTION("""COMPUTED_VALUE"""),"ZONA NORTE")</f>
        <v>ZONA NORTE</v>
      </c>
      <c r="F55" s="268" t="str">
        <f>IFERROR(__xludf.DUMMYFUNCTION("""COMPUTED_VALUE"""),"Rio de Janeiro")</f>
        <v>Rio de Janeiro</v>
      </c>
      <c r="G55" s="268" t="str">
        <f>IFERROR(__xludf.DUMMYFUNCTION("""COMPUTED_VALUE"""),"Ilha do Governador")</f>
        <v>Ilha do Governador</v>
      </c>
      <c r="H55" s="268" t="str">
        <f>IFERROR(__xludf.DUMMYFUNCTION("""COMPUTED_VALUE"""),"Grande emergência - MÉDIA COMPLEXIDADE")</f>
        <v>Grande emergência - MÉDIA COMPLEXIDADE</v>
      </c>
      <c r="I55" s="268" t="str">
        <f>IFERROR(__xludf.DUMMYFUNCTION("""COMPUTED_VALUE"""),"Público")</f>
        <v>Público</v>
      </c>
      <c r="J55" s="268" t="str">
        <f>IFERROR(__xludf.DUMMYFUNCTION("""COMPUTED_VALUE"""),"")</f>
        <v/>
      </c>
      <c r="K55" s="268" t="str">
        <f>IFERROR(__xludf.DUMMYFUNCTION("""COMPUTED_VALUE"""),"")</f>
        <v/>
      </c>
      <c r="L55" s="268" t="str">
        <f>IFERROR(__xludf.DUMMYFUNCTION("""COMPUTED_VALUE"""),"")</f>
        <v/>
      </c>
      <c r="M55" s="268" t="str">
        <f>IFERROR(__xludf.DUMMYFUNCTION("""COMPUTED_VALUE"""),"")</f>
        <v/>
      </c>
      <c r="N55" s="268">
        <f>IFERROR(__xludf.DUMMYFUNCTION("""COMPUTED_VALUE"""),0.0)</f>
        <v>0</v>
      </c>
      <c r="O55" s="268">
        <f>IFERROR(__xludf.DUMMYFUNCTION("""COMPUTED_VALUE"""),0.0)</f>
        <v>0</v>
      </c>
      <c r="P55" s="268">
        <f>IFERROR(__xludf.DUMMYFUNCTION("""COMPUTED_VALUE"""),0.0)</f>
        <v>0</v>
      </c>
      <c r="Q55" s="268">
        <f>IFERROR(__xludf.DUMMYFUNCTION("""COMPUTED_VALUE"""),0.0)</f>
        <v>0</v>
      </c>
      <c r="R55" s="268">
        <f>IFERROR(__xludf.DUMMYFUNCTION("""COMPUTED_VALUE"""),0.0)</f>
        <v>0</v>
      </c>
      <c r="S55" s="268">
        <f>IFERROR(__xludf.DUMMYFUNCTION("""COMPUTED_VALUE"""),0.0)</f>
        <v>0</v>
      </c>
      <c r="T55" s="268">
        <f>IFERROR(__xludf.DUMMYFUNCTION("""COMPUTED_VALUE"""),50.0)</f>
        <v>50</v>
      </c>
      <c r="U55" s="268">
        <f>IFERROR(__xludf.DUMMYFUNCTION("""COMPUTED_VALUE"""),0.0)</f>
        <v>0</v>
      </c>
      <c r="V55" s="268">
        <f>IFERROR(__xludf.DUMMYFUNCTION("""COMPUTED_VALUE"""),0.0)</f>
        <v>0</v>
      </c>
      <c r="W55" s="268">
        <f>IFERROR(__xludf.DUMMYFUNCTION("""COMPUTED_VALUE"""),0.0)</f>
        <v>0</v>
      </c>
      <c r="X55" s="268">
        <f>IFERROR(__xludf.DUMMYFUNCTION("""COMPUTED_VALUE"""),0.0)</f>
        <v>0</v>
      </c>
      <c r="Y55" s="268">
        <f>IFERROR(__xludf.DUMMYFUNCTION("""COMPUTED_VALUE"""),0.0)</f>
        <v>0</v>
      </c>
      <c r="Z55" s="268">
        <f>IFERROR(__xludf.DUMMYFUNCTION("""COMPUTED_VALUE"""),-50.0)</f>
        <v>-50</v>
      </c>
      <c r="AA55" s="268">
        <f>IFERROR(__xludf.DUMMYFUNCTION("""COMPUTED_VALUE"""),0.0)</f>
        <v>0</v>
      </c>
      <c r="AB55" s="268">
        <f>IFERROR(__xludf.DUMMYFUNCTION("""COMPUTED_VALUE"""),0.0)</f>
        <v>0</v>
      </c>
      <c r="AC55" s="268">
        <f>IFERROR(__xludf.DUMMYFUNCTION("""COMPUTED_VALUE"""),0.0)</f>
        <v>0</v>
      </c>
      <c r="AD55" s="268">
        <f>IFERROR(__xludf.DUMMYFUNCTION("""COMPUTED_VALUE"""),0.0)</f>
        <v>0</v>
      </c>
      <c r="AE55" s="268">
        <f>IFERROR(__xludf.DUMMYFUNCTION("""COMPUTED_VALUE"""),0.0)</f>
        <v>0</v>
      </c>
      <c r="AF55" s="268" t="str">
        <f>IFERROR(__xludf.DUMMYFUNCTION("""COMPUTED_VALUE"""),"-22.8147195,-43.2254599")</f>
        <v>-22.8147195,-43.2254599</v>
      </c>
      <c r="AG55" s="268">
        <f>IFERROR(__xludf.DUMMYFUNCTION("""COMPUTED_VALUE"""),0.0)</f>
        <v>0</v>
      </c>
      <c r="AH55" s="268">
        <f>IFERROR(__xludf.DUMMYFUNCTION("""COMPUTED_VALUE"""),0.0)</f>
        <v>0</v>
      </c>
      <c r="AI55" s="268">
        <f>IFERROR(__xludf.DUMMYFUNCTION("""COMPUTED_VALUE"""),0.0)</f>
        <v>0</v>
      </c>
      <c r="AJ55" s="268">
        <f>IFERROR(__xludf.DUMMYFUNCTION("ROWS(QUERY(Entregas_BD!D:AM,""select D where D ='""&amp;D55&amp;""'"",1))-1"),1.0)</f>
        <v>1</v>
      </c>
    </row>
    <row r="56" ht="22.5" customHeight="1">
      <c r="A56" s="170" t="str">
        <f>IFERROR(__xludf.DUMMYFUNCTION("""COMPUTED_VALUE"""),"")</f>
        <v/>
      </c>
      <c r="B56" s="170" t="str">
        <f>IFERROR(__xludf.DUMMYFUNCTION("""COMPUTED_VALUE"""),"")</f>
        <v/>
      </c>
      <c r="C56" s="170">
        <f>IFERROR(__xludf.DUMMYFUNCTION("""COMPUTED_VALUE"""),105.0)</f>
        <v>105</v>
      </c>
      <c r="D56" s="170" t="str">
        <f>IFERROR(__xludf.DUMMYFUNCTION("""COMPUTED_VALUE"""),"Hospital Municipal Pedro II")</f>
        <v>Hospital Municipal Pedro II</v>
      </c>
      <c r="E56" s="170" t="str">
        <f>IFERROR(__xludf.DUMMYFUNCTION("""COMPUTED_VALUE"""),"ZONA OESTE")</f>
        <v>ZONA OESTE</v>
      </c>
      <c r="F56" s="170" t="str">
        <f>IFERROR(__xludf.DUMMYFUNCTION("""COMPUTED_VALUE"""),"Rio de Janeiro")</f>
        <v>Rio de Janeiro</v>
      </c>
      <c r="G56" s="170" t="str">
        <f>IFERROR(__xludf.DUMMYFUNCTION("""COMPUTED_VALUE"""),"Santa Cruz")</f>
        <v>Santa Cruz</v>
      </c>
      <c r="H56" s="170" t="str">
        <f>IFERROR(__xludf.DUMMYFUNCTION("""COMPUTED_VALUE"""),"Grande emergência - MÉDIA COMPLEXIDADE")</f>
        <v>Grande emergência - MÉDIA COMPLEXIDADE</v>
      </c>
      <c r="I56" s="170" t="str">
        <f>IFERROR(__xludf.DUMMYFUNCTION("""COMPUTED_VALUE"""),"Público")</f>
        <v>Público</v>
      </c>
      <c r="J56" s="170" t="str">
        <f>IFERROR(__xludf.DUMMYFUNCTION("""COMPUTED_VALUE"""),"")</f>
        <v/>
      </c>
      <c r="K56" s="170" t="str">
        <f>IFERROR(__xludf.DUMMYFUNCTION("""COMPUTED_VALUE"""),"")</f>
        <v/>
      </c>
      <c r="L56" s="170" t="str">
        <f>IFERROR(__xludf.DUMMYFUNCTION("""COMPUTED_VALUE"""),"")</f>
        <v/>
      </c>
      <c r="M56" s="170" t="str">
        <f>IFERROR(__xludf.DUMMYFUNCTION("""COMPUTED_VALUE"""),"")</f>
        <v/>
      </c>
      <c r="N56" s="170">
        <f>IFERROR(__xludf.DUMMYFUNCTION("""COMPUTED_VALUE"""),0.0)</f>
        <v>0</v>
      </c>
      <c r="O56" s="170">
        <f>IFERROR(__xludf.DUMMYFUNCTION("""COMPUTED_VALUE"""),0.0)</f>
        <v>0</v>
      </c>
      <c r="P56" s="170">
        <f>IFERROR(__xludf.DUMMYFUNCTION("""COMPUTED_VALUE"""),0.0)</f>
        <v>0</v>
      </c>
      <c r="Q56" s="170">
        <f>IFERROR(__xludf.DUMMYFUNCTION("""COMPUTED_VALUE"""),0.0)</f>
        <v>0</v>
      </c>
      <c r="R56" s="170">
        <f>IFERROR(__xludf.DUMMYFUNCTION("""COMPUTED_VALUE"""),0.0)</f>
        <v>0</v>
      </c>
      <c r="S56" s="170">
        <f>IFERROR(__xludf.DUMMYFUNCTION("""COMPUTED_VALUE"""),0.0)</f>
        <v>0</v>
      </c>
      <c r="T56" s="170">
        <f>IFERROR(__xludf.DUMMYFUNCTION("""COMPUTED_VALUE"""),250.0)</f>
        <v>250</v>
      </c>
      <c r="U56" s="170">
        <f>IFERROR(__xludf.DUMMYFUNCTION("""COMPUTED_VALUE"""),0.0)</f>
        <v>0</v>
      </c>
      <c r="V56" s="170">
        <f>IFERROR(__xludf.DUMMYFUNCTION("""COMPUTED_VALUE"""),0.0)</f>
        <v>0</v>
      </c>
      <c r="W56" s="170">
        <f>IFERROR(__xludf.DUMMYFUNCTION("""COMPUTED_VALUE"""),0.0)</f>
        <v>0</v>
      </c>
      <c r="X56" s="170">
        <f>IFERROR(__xludf.DUMMYFUNCTION("""COMPUTED_VALUE"""),0.0)</f>
        <v>0</v>
      </c>
      <c r="Y56" s="170">
        <f>IFERROR(__xludf.DUMMYFUNCTION("""COMPUTED_VALUE"""),0.0)</f>
        <v>0</v>
      </c>
      <c r="Z56" s="170">
        <f>IFERROR(__xludf.DUMMYFUNCTION("""COMPUTED_VALUE"""),-250.0)</f>
        <v>-250</v>
      </c>
      <c r="AA56" s="170">
        <f>IFERROR(__xludf.DUMMYFUNCTION("""COMPUTED_VALUE"""),0.0)</f>
        <v>0</v>
      </c>
      <c r="AB56" s="170">
        <f>IFERROR(__xludf.DUMMYFUNCTION("""COMPUTED_VALUE"""),0.0)</f>
        <v>0</v>
      </c>
      <c r="AC56" s="170">
        <f>IFERROR(__xludf.DUMMYFUNCTION("""COMPUTED_VALUE"""),0.0)</f>
        <v>0</v>
      </c>
      <c r="AD56" s="170">
        <f>IFERROR(__xludf.DUMMYFUNCTION("""COMPUTED_VALUE"""),0.0)</f>
        <v>0</v>
      </c>
      <c r="AE56" s="170">
        <f>IFERROR(__xludf.DUMMYFUNCTION("""COMPUTED_VALUE"""),0.0)</f>
        <v>0</v>
      </c>
      <c r="AF56" s="170" t="str">
        <f>IFERROR(__xludf.DUMMYFUNCTION("""COMPUTED_VALUE"""),"-22.912833,-43.6878325")</f>
        <v>-22.912833,-43.6878325</v>
      </c>
      <c r="AG56" s="170">
        <f>IFERROR(__xludf.DUMMYFUNCTION("""COMPUTED_VALUE"""),0.0)</f>
        <v>0</v>
      </c>
      <c r="AH56" s="170">
        <f>IFERROR(__xludf.DUMMYFUNCTION("""COMPUTED_VALUE"""),0.0)</f>
        <v>0</v>
      </c>
      <c r="AI56" s="170">
        <f>IFERROR(__xludf.DUMMYFUNCTION("""COMPUTED_VALUE"""),0.0)</f>
        <v>0</v>
      </c>
      <c r="AJ56" s="170">
        <f>IFERROR(__xludf.DUMMYFUNCTION("ROWS(QUERY(Entregas_BD!D:AM,""select D where D ='""&amp;D56&amp;""'"",1))-1"),2.0)</f>
        <v>2</v>
      </c>
    </row>
    <row r="57" ht="22.5" customHeight="1">
      <c r="A57" s="268" t="str">
        <f>IFERROR(__xludf.DUMMYFUNCTION("""COMPUTED_VALUE"""),"")</f>
        <v/>
      </c>
      <c r="B57" s="268" t="str">
        <f>IFERROR(__xludf.DUMMYFUNCTION("""COMPUTED_VALUE"""),"")</f>
        <v/>
      </c>
      <c r="C57" s="268">
        <f>IFERROR(__xludf.DUMMYFUNCTION("""COMPUTED_VALUE"""),106.0)</f>
        <v>106</v>
      </c>
      <c r="D57" s="268" t="str">
        <f>IFERROR(__xludf.DUMMYFUNCTION("""COMPUTED_VALUE"""),"Hospital Municipal Raphael de Paula Souza")</f>
        <v>Hospital Municipal Raphael de Paula Souza</v>
      </c>
      <c r="E57" s="268" t="str">
        <f>IFERROR(__xludf.DUMMYFUNCTION("""COMPUTED_VALUE"""),"ZONA OESTE")</f>
        <v>ZONA OESTE</v>
      </c>
      <c r="F57" s="268" t="str">
        <f>IFERROR(__xludf.DUMMYFUNCTION("""COMPUTED_VALUE"""),"Rio de Janeiro")</f>
        <v>Rio de Janeiro</v>
      </c>
      <c r="G57" s="268" t="str">
        <f>IFERROR(__xludf.DUMMYFUNCTION("""COMPUTED_VALUE"""),"Curicica")</f>
        <v>Curicica</v>
      </c>
      <c r="H57" s="268" t="str">
        <f>IFERROR(__xludf.DUMMYFUNCTION("""COMPUTED_VALUE"""),"Grande emergência - MÉDIA COMPLEXIDADE")</f>
        <v>Grande emergência - MÉDIA COMPLEXIDADE</v>
      </c>
      <c r="I57" s="268" t="str">
        <f>IFERROR(__xludf.DUMMYFUNCTION("""COMPUTED_VALUE"""),"Público")</f>
        <v>Público</v>
      </c>
      <c r="J57" s="268" t="str">
        <f>IFERROR(__xludf.DUMMYFUNCTION("""COMPUTED_VALUE"""),"")</f>
        <v/>
      </c>
      <c r="K57" s="268" t="str">
        <f>IFERROR(__xludf.DUMMYFUNCTION("""COMPUTED_VALUE"""),"")</f>
        <v/>
      </c>
      <c r="L57" s="268" t="str">
        <f>IFERROR(__xludf.DUMMYFUNCTION("""COMPUTED_VALUE"""),"")</f>
        <v/>
      </c>
      <c r="M57" s="268" t="str">
        <f>IFERROR(__xludf.DUMMYFUNCTION("""COMPUTED_VALUE"""),"")</f>
        <v/>
      </c>
      <c r="N57" s="268">
        <f>IFERROR(__xludf.DUMMYFUNCTION("""COMPUTED_VALUE"""),0.0)</f>
        <v>0</v>
      </c>
      <c r="O57" s="268">
        <f>IFERROR(__xludf.DUMMYFUNCTION("""COMPUTED_VALUE"""),0.0)</f>
        <v>0</v>
      </c>
      <c r="P57" s="268">
        <f>IFERROR(__xludf.DUMMYFUNCTION("""COMPUTED_VALUE"""),0.0)</f>
        <v>0</v>
      </c>
      <c r="Q57" s="268">
        <f>IFERROR(__xludf.DUMMYFUNCTION("""COMPUTED_VALUE"""),0.0)</f>
        <v>0</v>
      </c>
      <c r="R57" s="268">
        <f>IFERROR(__xludf.DUMMYFUNCTION("""COMPUTED_VALUE"""),0.0)</f>
        <v>0</v>
      </c>
      <c r="S57" s="268">
        <f>IFERROR(__xludf.DUMMYFUNCTION("""COMPUTED_VALUE"""),0.0)</f>
        <v>0</v>
      </c>
      <c r="T57" s="268">
        <f>IFERROR(__xludf.DUMMYFUNCTION("""COMPUTED_VALUE"""),50.0)</f>
        <v>50</v>
      </c>
      <c r="U57" s="268">
        <f>IFERROR(__xludf.DUMMYFUNCTION("""COMPUTED_VALUE"""),0.0)</f>
        <v>0</v>
      </c>
      <c r="V57" s="268">
        <f>IFERROR(__xludf.DUMMYFUNCTION("""COMPUTED_VALUE"""),0.0)</f>
        <v>0</v>
      </c>
      <c r="W57" s="268">
        <f>IFERROR(__xludf.DUMMYFUNCTION("""COMPUTED_VALUE"""),0.0)</f>
        <v>0</v>
      </c>
      <c r="X57" s="268">
        <f>IFERROR(__xludf.DUMMYFUNCTION("""COMPUTED_VALUE"""),0.0)</f>
        <v>0</v>
      </c>
      <c r="Y57" s="268">
        <f>IFERROR(__xludf.DUMMYFUNCTION("""COMPUTED_VALUE"""),0.0)</f>
        <v>0</v>
      </c>
      <c r="Z57" s="268">
        <f>IFERROR(__xludf.DUMMYFUNCTION("""COMPUTED_VALUE"""),-50.0)</f>
        <v>-50</v>
      </c>
      <c r="AA57" s="268">
        <f>IFERROR(__xludf.DUMMYFUNCTION("""COMPUTED_VALUE"""),0.0)</f>
        <v>0</v>
      </c>
      <c r="AB57" s="268">
        <f>IFERROR(__xludf.DUMMYFUNCTION("""COMPUTED_VALUE"""),0.0)</f>
        <v>0</v>
      </c>
      <c r="AC57" s="268">
        <f>IFERROR(__xludf.DUMMYFUNCTION("""COMPUTED_VALUE"""),0.0)</f>
        <v>0</v>
      </c>
      <c r="AD57" s="268">
        <f>IFERROR(__xludf.DUMMYFUNCTION("""COMPUTED_VALUE"""),0.0)</f>
        <v>0</v>
      </c>
      <c r="AE57" s="268">
        <f>IFERROR(__xludf.DUMMYFUNCTION("""COMPUTED_VALUE"""),0.0)</f>
        <v>0</v>
      </c>
      <c r="AF57" s="268" t="str">
        <f>IFERROR(__xludf.DUMMYFUNCTION("""COMPUTED_VALUE"""),"-22.9542357,-43.3919094")</f>
        <v>-22.9542357,-43.3919094</v>
      </c>
      <c r="AG57" s="268">
        <f>IFERROR(__xludf.DUMMYFUNCTION("""COMPUTED_VALUE"""),0.0)</f>
        <v>0</v>
      </c>
      <c r="AH57" s="268">
        <f>IFERROR(__xludf.DUMMYFUNCTION("""COMPUTED_VALUE"""),0.0)</f>
        <v>0</v>
      </c>
      <c r="AI57" s="268">
        <f>IFERROR(__xludf.DUMMYFUNCTION("""COMPUTED_VALUE"""),0.0)</f>
        <v>0</v>
      </c>
      <c r="AJ57" s="268">
        <f>IFERROR(__xludf.DUMMYFUNCTION("ROWS(QUERY(Entregas_BD!D:AM,""select D where D ='""&amp;D57&amp;""'"",1))-1"),1.0)</f>
        <v>1</v>
      </c>
    </row>
    <row r="58" ht="22.5" customHeight="1">
      <c r="A58" s="170" t="str">
        <f>IFERROR(__xludf.DUMMYFUNCTION("""COMPUTED_VALUE"""),"")</f>
        <v/>
      </c>
      <c r="B58" s="170" t="str">
        <f>IFERROR(__xludf.DUMMYFUNCTION("""COMPUTED_VALUE"""),"")</f>
        <v/>
      </c>
      <c r="C58" s="170">
        <f>IFERROR(__xludf.DUMMYFUNCTION("""COMPUTED_VALUE"""),107.0)</f>
        <v>107</v>
      </c>
      <c r="D58" s="170" t="str">
        <f>IFERROR(__xludf.DUMMYFUNCTION("""COMPUTED_VALUE"""),"Hospital Municipal Rocha Faria")</f>
        <v>Hospital Municipal Rocha Faria</v>
      </c>
      <c r="E58" s="170" t="str">
        <f>IFERROR(__xludf.DUMMYFUNCTION("""COMPUTED_VALUE"""),"ZONA OESTE")</f>
        <v>ZONA OESTE</v>
      </c>
      <c r="F58" s="170" t="str">
        <f>IFERROR(__xludf.DUMMYFUNCTION("""COMPUTED_VALUE"""),"Rio de Janeiro")</f>
        <v>Rio de Janeiro</v>
      </c>
      <c r="G58" s="170" t="str">
        <f>IFERROR(__xludf.DUMMYFUNCTION("""COMPUTED_VALUE"""),"Campo Grande")</f>
        <v>Campo Grande</v>
      </c>
      <c r="H58" s="170" t="str">
        <f>IFERROR(__xludf.DUMMYFUNCTION("""COMPUTED_VALUE"""),"Grande emergência - MÉDIA COMPLEXIDADE")</f>
        <v>Grande emergência - MÉDIA COMPLEXIDADE</v>
      </c>
      <c r="I58" s="170" t="str">
        <f>IFERROR(__xludf.DUMMYFUNCTION("""COMPUTED_VALUE"""),"Público")</f>
        <v>Público</v>
      </c>
      <c r="J58" s="170" t="str">
        <f>IFERROR(__xludf.DUMMYFUNCTION("""COMPUTED_VALUE"""),"")</f>
        <v/>
      </c>
      <c r="K58" s="170" t="str">
        <f>IFERROR(__xludf.DUMMYFUNCTION("""COMPUTED_VALUE"""),"")</f>
        <v/>
      </c>
      <c r="L58" s="170" t="str">
        <f>IFERROR(__xludf.DUMMYFUNCTION("""COMPUTED_VALUE"""),"")</f>
        <v/>
      </c>
      <c r="M58" s="170" t="str">
        <f>IFERROR(__xludf.DUMMYFUNCTION("""COMPUTED_VALUE"""),"")</f>
        <v/>
      </c>
      <c r="N58" s="170">
        <f>IFERROR(__xludf.DUMMYFUNCTION("""COMPUTED_VALUE"""),0.0)</f>
        <v>0</v>
      </c>
      <c r="O58" s="170">
        <f>IFERROR(__xludf.DUMMYFUNCTION("""COMPUTED_VALUE"""),0.0)</f>
        <v>0</v>
      </c>
      <c r="P58" s="170">
        <f>IFERROR(__xludf.DUMMYFUNCTION("""COMPUTED_VALUE"""),0.0)</f>
        <v>0</v>
      </c>
      <c r="Q58" s="170">
        <f>IFERROR(__xludf.DUMMYFUNCTION("""COMPUTED_VALUE"""),0.0)</f>
        <v>0</v>
      </c>
      <c r="R58" s="170">
        <f>IFERROR(__xludf.DUMMYFUNCTION("""COMPUTED_VALUE"""),0.0)</f>
        <v>0</v>
      </c>
      <c r="S58" s="170">
        <f>IFERROR(__xludf.DUMMYFUNCTION("""COMPUTED_VALUE"""),0.0)</f>
        <v>0</v>
      </c>
      <c r="T58" s="170">
        <f>IFERROR(__xludf.DUMMYFUNCTION("""COMPUTED_VALUE"""),200.0)</f>
        <v>200</v>
      </c>
      <c r="U58" s="170">
        <f>IFERROR(__xludf.DUMMYFUNCTION("""COMPUTED_VALUE"""),0.0)</f>
        <v>0</v>
      </c>
      <c r="V58" s="170">
        <f>IFERROR(__xludf.DUMMYFUNCTION("""COMPUTED_VALUE"""),0.0)</f>
        <v>0</v>
      </c>
      <c r="W58" s="170">
        <f>IFERROR(__xludf.DUMMYFUNCTION("""COMPUTED_VALUE"""),0.0)</f>
        <v>0</v>
      </c>
      <c r="X58" s="170">
        <f>IFERROR(__xludf.DUMMYFUNCTION("""COMPUTED_VALUE"""),0.0)</f>
        <v>0</v>
      </c>
      <c r="Y58" s="170">
        <f>IFERROR(__xludf.DUMMYFUNCTION("""COMPUTED_VALUE"""),0.0)</f>
        <v>0</v>
      </c>
      <c r="Z58" s="170">
        <f>IFERROR(__xludf.DUMMYFUNCTION("""COMPUTED_VALUE"""),-200.0)</f>
        <v>-200</v>
      </c>
      <c r="AA58" s="170">
        <f>IFERROR(__xludf.DUMMYFUNCTION("""COMPUTED_VALUE"""),0.0)</f>
        <v>0</v>
      </c>
      <c r="AB58" s="170">
        <f>IFERROR(__xludf.DUMMYFUNCTION("""COMPUTED_VALUE"""),0.0)</f>
        <v>0</v>
      </c>
      <c r="AC58" s="170">
        <f>IFERROR(__xludf.DUMMYFUNCTION("""COMPUTED_VALUE"""),0.0)</f>
        <v>0</v>
      </c>
      <c r="AD58" s="170">
        <f>IFERROR(__xludf.DUMMYFUNCTION("""COMPUTED_VALUE"""),0.0)</f>
        <v>0</v>
      </c>
      <c r="AE58" s="170">
        <f>IFERROR(__xludf.DUMMYFUNCTION("""COMPUTED_VALUE"""),0.0)</f>
        <v>0</v>
      </c>
      <c r="AF58" s="170" t="str">
        <f>IFERROR(__xludf.DUMMYFUNCTION("""COMPUTED_VALUE"""),"-22.9082574,-43.5623842")</f>
        <v>-22.9082574,-43.5623842</v>
      </c>
      <c r="AG58" s="170">
        <f>IFERROR(__xludf.DUMMYFUNCTION("""COMPUTED_VALUE"""),0.0)</f>
        <v>0</v>
      </c>
      <c r="AH58" s="170">
        <f>IFERROR(__xludf.DUMMYFUNCTION("""COMPUTED_VALUE"""),0.0)</f>
        <v>0</v>
      </c>
      <c r="AI58" s="170">
        <f>IFERROR(__xludf.DUMMYFUNCTION("""COMPUTED_VALUE"""),0.0)</f>
        <v>0</v>
      </c>
      <c r="AJ58" s="170">
        <f>IFERROR(__xludf.DUMMYFUNCTION("ROWS(QUERY(Entregas_BD!D:AM,""select D where D ='""&amp;D58&amp;""'"",1))-1"),2.0)</f>
        <v>2</v>
      </c>
    </row>
    <row r="59" ht="22.5" customHeight="1">
      <c r="A59" s="268" t="str">
        <f>IFERROR(__xludf.DUMMYFUNCTION("""COMPUTED_VALUE"""),"")</f>
        <v/>
      </c>
      <c r="B59" s="268" t="str">
        <f>IFERROR(__xludf.DUMMYFUNCTION("""COMPUTED_VALUE"""),"")</f>
        <v/>
      </c>
      <c r="C59" s="268">
        <f>IFERROR(__xludf.DUMMYFUNCTION("""COMPUTED_VALUE"""),109.0)</f>
        <v>109</v>
      </c>
      <c r="D59" s="268" t="str">
        <f>IFERROR(__xludf.DUMMYFUNCTION("""COMPUTED_VALUE"""),"Hospital Municipal Ronaldo Gazolla")</f>
        <v>Hospital Municipal Ronaldo Gazolla</v>
      </c>
      <c r="E59" s="268" t="str">
        <f>IFERROR(__xludf.DUMMYFUNCTION("""COMPUTED_VALUE"""),"ZONA NORTE")</f>
        <v>ZONA NORTE</v>
      </c>
      <c r="F59" s="268" t="str">
        <f>IFERROR(__xludf.DUMMYFUNCTION("""COMPUTED_VALUE"""),"Rio de Janeiro")</f>
        <v>Rio de Janeiro</v>
      </c>
      <c r="G59" s="268" t="str">
        <f>IFERROR(__xludf.DUMMYFUNCTION("""COMPUTED_VALUE"""),"Acari")</f>
        <v>Acari</v>
      </c>
      <c r="H59" s="268" t="str">
        <f>IFERROR(__xludf.DUMMYFUNCTION("""COMPUTED_VALUE"""),"Referência - ALTA COMPLEXIDADE")</f>
        <v>Referência - ALTA COMPLEXIDADE</v>
      </c>
      <c r="I59" s="268" t="str">
        <f>IFERROR(__xludf.DUMMYFUNCTION("""COMPUTED_VALUE"""),"Público")</f>
        <v>Público</v>
      </c>
      <c r="J59" s="268" t="str">
        <f>IFERROR(__xludf.DUMMYFUNCTION("""COMPUTED_VALUE"""),"")</f>
        <v/>
      </c>
      <c r="K59" s="268" t="str">
        <f>IFERROR(__xludf.DUMMYFUNCTION("""COMPUTED_VALUE"""),"")</f>
        <v/>
      </c>
      <c r="L59" s="268" t="str">
        <f>IFERROR(__xludf.DUMMYFUNCTION("""COMPUTED_VALUE"""),"")</f>
        <v/>
      </c>
      <c r="M59" s="268" t="str">
        <f>IFERROR(__xludf.DUMMYFUNCTION("""COMPUTED_VALUE"""),"")</f>
        <v/>
      </c>
      <c r="N59" s="268">
        <f>IFERROR(__xludf.DUMMYFUNCTION("""COMPUTED_VALUE"""),0.0)</f>
        <v>0</v>
      </c>
      <c r="O59" s="268">
        <f>IFERROR(__xludf.DUMMYFUNCTION("""COMPUTED_VALUE"""),0.0)</f>
        <v>0</v>
      </c>
      <c r="P59" s="268">
        <f>IFERROR(__xludf.DUMMYFUNCTION("""COMPUTED_VALUE"""),0.0)</f>
        <v>0</v>
      </c>
      <c r="Q59" s="268">
        <f>IFERROR(__xludf.DUMMYFUNCTION("""COMPUTED_VALUE"""),0.0)</f>
        <v>0</v>
      </c>
      <c r="R59" s="268">
        <f>IFERROR(__xludf.DUMMYFUNCTION("""COMPUTED_VALUE"""),0.0)</f>
        <v>0</v>
      </c>
      <c r="S59" s="268">
        <f>IFERROR(__xludf.DUMMYFUNCTION("""COMPUTED_VALUE"""),0.0)</f>
        <v>0</v>
      </c>
      <c r="T59" s="268">
        <f>IFERROR(__xludf.DUMMYFUNCTION("""COMPUTED_VALUE"""),500.0)</f>
        <v>500</v>
      </c>
      <c r="U59" s="268">
        <f>IFERROR(__xludf.DUMMYFUNCTION("""COMPUTED_VALUE"""),0.0)</f>
        <v>0</v>
      </c>
      <c r="V59" s="268">
        <f>IFERROR(__xludf.DUMMYFUNCTION("""COMPUTED_VALUE"""),0.0)</f>
        <v>0</v>
      </c>
      <c r="W59" s="268">
        <f>IFERROR(__xludf.DUMMYFUNCTION("""COMPUTED_VALUE"""),0.0)</f>
        <v>0</v>
      </c>
      <c r="X59" s="268">
        <f>IFERROR(__xludf.DUMMYFUNCTION("""COMPUTED_VALUE"""),0.0)</f>
        <v>0</v>
      </c>
      <c r="Y59" s="268">
        <f>IFERROR(__xludf.DUMMYFUNCTION("""COMPUTED_VALUE"""),0.0)</f>
        <v>0</v>
      </c>
      <c r="Z59" s="268">
        <f>IFERROR(__xludf.DUMMYFUNCTION("""COMPUTED_VALUE"""),-500.0)</f>
        <v>-500</v>
      </c>
      <c r="AA59" s="268">
        <f>IFERROR(__xludf.DUMMYFUNCTION("""COMPUTED_VALUE"""),0.0)</f>
        <v>0</v>
      </c>
      <c r="AB59" s="268">
        <f>IFERROR(__xludf.DUMMYFUNCTION("""COMPUTED_VALUE"""),0.0)</f>
        <v>0</v>
      </c>
      <c r="AC59" s="268">
        <f>IFERROR(__xludf.DUMMYFUNCTION("""COMPUTED_VALUE"""),0.0)</f>
        <v>0</v>
      </c>
      <c r="AD59" s="268">
        <f>IFERROR(__xludf.DUMMYFUNCTION("""COMPUTED_VALUE"""),0.0)</f>
        <v>0</v>
      </c>
      <c r="AE59" s="268">
        <f>IFERROR(__xludf.DUMMYFUNCTION("""COMPUTED_VALUE"""),0.0)</f>
        <v>0</v>
      </c>
      <c r="AF59" s="268" t="str">
        <f>IFERROR(__xludf.DUMMYFUNCTION("""COMPUTED_VALUE"""),"-22.825339,-43.347584")</f>
        <v>-22.825339,-43.347584</v>
      </c>
      <c r="AG59" s="268">
        <f>IFERROR(__xludf.DUMMYFUNCTION("""COMPUTED_VALUE"""),0.0)</f>
        <v>0</v>
      </c>
      <c r="AH59" s="268">
        <f>IFERROR(__xludf.DUMMYFUNCTION("""COMPUTED_VALUE"""),0.0)</f>
        <v>0</v>
      </c>
      <c r="AI59" s="268">
        <f>IFERROR(__xludf.DUMMYFUNCTION("""COMPUTED_VALUE"""),0.0)</f>
        <v>0</v>
      </c>
      <c r="AJ59" s="268">
        <f>IFERROR(__xludf.DUMMYFUNCTION("ROWS(QUERY(Entregas_BD!D:AM,""select D where D ='""&amp;D59&amp;""'"",1))-1"),1.0)</f>
        <v>1</v>
      </c>
    </row>
    <row r="60" ht="22.5" customHeight="1">
      <c r="A60" s="170" t="str">
        <f>IFERROR(__xludf.DUMMYFUNCTION("""COMPUTED_VALUE"""),"")</f>
        <v/>
      </c>
      <c r="B60" s="170" t="str">
        <f>IFERROR(__xludf.DUMMYFUNCTION("""COMPUTED_VALUE"""),"")</f>
        <v/>
      </c>
      <c r="C60" s="170">
        <f>IFERROR(__xludf.DUMMYFUNCTION("""COMPUTED_VALUE"""),110.0)</f>
        <v>110</v>
      </c>
      <c r="D60" s="170" t="str">
        <f>IFERROR(__xludf.DUMMYFUNCTION("""COMPUTED_VALUE"""),"Hospital Municipal Salgado Filho")</f>
        <v>Hospital Municipal Salgado Filho</v>
      </c>
      <c r="E60" s="170" t="str">
        <f>IFERROR(__xludf.DUMMYFUNCTION("""COMPUTED_VALUE"""),"ZONA NORTE")</f>
        <v>ZONA NORTE</v>
      </c>
      <c r="F60" s="170" t="str">
        <f>IFERROR(__xludf.DUMMYFUNCTION("""COMPUTED_VALUE"""),"Rio de Janeiro")</f>
        <v>Rio de Janeiro</v>
      </c>
      <c r="G60" s="170" t="str">
        <f>IFERROR(__xludf.DUMMYFUNCTION("""COMPUTED_VALUE"""),"MEIER")</f>
        <v>MEIER</v>
      </c>
      <c r="H60" s="170" t="str">
        <f>IFERROR(__xludf.DUMMYFUNCTION("""COMPUTED_VALUE"""),"Grande emergência - MÉDIA COMPLEXIDADE")</f>
        <v>Grande emergência - MÉDIA COMPLEXIDADE</v>
      </c>
      <c r="I60" s="170" t="str">
        <f>IFERROR(__xludf.DUMMYFUNCTION("""COMPUTED_VALUE"""),"Público")</f>
        <v>Público</v>
      </c>
      <c r="J60" s="170" t="str">
        <f>IFERROR(__xludf.DUMMYFUNCTION("""COMPUTED_VALUE"""),"")</f>
        <v/>
      </c>
      <c r="K60" s="170" t="str">
        <f>IFERROR(__xludf.DUMMYFUNCTION("""COMPUTED_VALUE"""),"")</f>
        <v/>
      </c>
      <c r="L60" s="170" t="str">
        <f>IFERROR(__xludf.DUMMYFUNCTION("""COMPUTED_VALUE"""),"")</f>
        <v/>
      </c>
      <c r="M60" s="170" t="str">
        <f>IFERROR(__xludf.DUMMYFUNCTION("""COMPUTED_VALUE"""),"")</f>
        <v/>
      </c>
      <c r="N60" s="170">
        <f>IFERROR(__xludf.DUMMYFUNCTION("""COMPUTED_VALUE"""),0.0)</f>
        <v>0</v>
      </c>
      <c r="O60" s="170">
        <f>IFERROR(__xludf.DUMMYFUNCTION("""COMPUTED_VALUE"""),0.0)</f>
        <v>0</v>
      </c>
      <c r="P60" s="170">
        <f>IFERROR(__xludf.DUMMYFUNCTION("""COMPUTED_VALUE"""),0.0)</f>
        <v>0</v>
      </c>
      <c r="Q60" s="170">
        <f>IFERROR(__xludf.DUMMYFUNCTION("""COMPUTED_VALUE"""),0.0)</f>
        <v>0</v>
      </c>
      <c r="R60" s="170">
        <f>IFERROR(__xludf.DUMMYFUNCTION("""COMPUTED_VALUE"""),0.0)</f>
        <v>0</v>
      </c>
      <c r="S60" s="170">
        <f>IFERROR(__xludf.DUMMYFUNCTION("""COMPUTED_VALUE"""),0.0)</f>
        <v>0</v>
      </c>
      <c r="T60" s="170">
        <f>IFERROR(__xludf.DUMMYFUNCTION("""COMPUTED_VALUE"""),380.0)</f>
        <v>380</v>
      </c>
      <c r="U60" s="170">
        <f>IFERROR(__xludf.DUMMYFUNCTION("""COMPUTED_VALUE"""),0.0)</f>
        <v>0</v>
      </c>
      <c r="V60" s="170">
        <f>IFERROR(__xludf.DUMMYFUNCTION("""COMPUTED_VALUE"""),0.0)</f>
        <v>0</v>
      </c>
      <c r="W60" s="170">
        <f>IFERROR(__xludf.DUMMYFUNCTION("""COMPUTED_VALUE"""),0.0)</f>
        <v>0</v>
      </c>
      <c r="X60" s="170">
        <f>IFERROR(__xludf.DUMMYFUNCTION("""COMPUTED_VALUE"""),0.0)</f>
        <v>0</v>
      </c>
      <c r="Y60" s="170">
        <f>IFERROR(__xludf.DUMMYFUNCTION("""COMPUTED_VALUE"""),0.0)</f>
        <v>0</v>
      </c>
      <c r="Z60" s="170">
        <f>IFERROR(__xludf.DUMMYFUNCTION("""COMPUTED_VALUE"""),-380.0)</f>
        <v>-380</v>
      </c>
      <c r="AA60" s="170">
        <f>IFERROR(__xludf.DUMMYFUNCTION("""COMPUTED_VALUE"""),0.0)</f>
        <v>0</v>
      </c>
      <c r="AB60" s="170">
        <f>IFERROR(__xludf.DUMMYFUNCTION("""COMPUTED_VALUE"""),0.0)</f>
        <v>0</v>
      </c>
      <c r="AC60" s="170">
        <f>IFERROR(__xludf.DUMMYFUNCTION("""COMPUTED_VALUE"""),0.0)</f>
        <v>0</v>
      </c>
      <c r="AD60" s="170">
        <f>IFERROR(__xludf.DUMMYFUNCTION("""COMPUTED_VALUE"""),0.0)</f>
        <v>0</v>
      </c>
      <c r="AE60" s="170">
        <f>IFERROR(__xludf.DUMMYFUNCTION("""COMPUTED_VALUE"""),0.0)</f>
        <v>0</v>
      </c>
      <c r="AF60" s="170" t="str">
        <f>IFERROR(__xludf.DUMMYFUNCTION("""COMPUTED_VALUE"""),"-22.9008949,-43.2782108")</f>
        <v>-22.9008949,-43.2782108</v>
      </c>
      <c r="AG60" s="170">
        <f>IFERROR(__xludf.DUMMYFUNCTION("""COMPUTED_VALUE"""),0.0)</f>
        <v>0</v>
      </c>
      <c r="AH60" s="170">
        <f>IFERROR(__xludf.DUMMYFUNCTION("""COMPUTED_VALUE"""),0.0)</f>
        <v>0</v>
      </c>
      <c r="AI60" s="170">
        <f>IFERROR(__xludf.DUMMYFUNCTION("""COMPUTED_VALUE"""),0.0)</f>
        <v>0</v>
      </c>
      <c r="AJ60" s="170">
        <f>IFERROR(__xludf.DUMMYFUNCTION("ROWS(QUERY(Entregas_BD!D:AM,""select D where D ='""&amp;D60&amp;""'"",1))-1"),3.0)</f>
        <v>3</v>
      </c>
    </row>
    <row r="61" ht="22.5" customHeight="1">
      <c r="A61" s="268" t="str">
        <f>IFERROR(__xludf.DUMMYFUNCTION("""COMPUTED_VALUE"""),"")</f>
        <v/>
      </c>
      <c r="B61" s="268" t="str">
        <f>IFERROR(__xludf.DUMMYFUNCTION("""COMPUTED_VALUE"""),"")</f>
        <v/>
      </c>
      <c r="C61" s="268">
        <f>IFERROR(__xludf.DUMMYFUNCTION("""COMPUTED_VALUE"""),111.0)</f>
        <v>111</v>
      </c>
      <c r="D61" s="268" t="str">
        <f>IFERROR(__xludf.DUMMYFUNCTION("""COMPUTED_VALUE"""),"Hospital Municipal Salgado Filho")</f>
        <v>Hospital Municipal Salgado Filho</v>
      </c>
      <c r="E61" s="268" t="str">
        <f>IFERROR(__xludf.DUMMYFUNCTION("""COMPUTED_VALUE"""),"ZONA NORTE")</f>
        <v>ZONA NORTE</v>
      </c>
      <c r="F61" s="268" t="str">
        <f>IFERROR(__xludf.DUMMYFUNCTION("""COMPUTED_VALUE"""),"Rio de Janeiro")</f>
        <v>Rio de Janeiro</v>
      </c>
      <c r="G61" s="268" t="str">
        <f>IFERROR(__xludf.DUMMYFUNCTION("""COMPUTED_VALUE"""),"Meier")</f>
        <v>Meier</v>
      </c>
      <c r="H61" s="268" t="str">
        <f>IFERROR(__xludf.DUMMYFUNCTION("""COMPUTED_VALUE"""),"Grande emergência - MÉDIA COMPLEXIDADE")</f>
        <v>Grande emergência - MÉDIA COMPLEXIDADE</v>
      </c>
      <c r="I61" s="268" t="str">
        <f>IFERROR(__xludf.DUMMYFUNCTION("""COMPUTED_VALUE"""),"Público")</f>
        <v>Público</v>
      </c>
      <c r="J61" s="268" t="str">
        <f>IFERROR(__xludf.DUMMYFUNCTION("""COMPUTED_VALUE"""),"")</f>
        <v/>
      </c>
      <c r="K61" s="268" t="str">
        <f>IFERROR(__xludf.DUMMYFUNCTION("""COMPUTED_VALUE"""),"")</f>
        <v/>
      </c>
      <c r="L61" s="268" t="str">
        <f>IFERROR(__xludf.DUMMYFUNCTION("""COMPUTED_VALUE"""),"")</f>
        <v/>
      </c>
      <c r="M61" s="268" t="str">
        <f>IFERROR(__xludf.DUMMYFUNCTION("""COMPUTED_VALUE"""),"")</f>
        <v/>
      </c>
      <c r="N61" s="268">
        <f>IFERROR(__xludf.DUMMYFUNCTION("""COMPUTED_VALUE"""),0.0)</f>
        <v>0</v>
      </c>
      <c r="O61" s="268">
        <f>IFERROR(__xludf.DUMMYFUNCTION("""COMPUTED_VALUE"""),0.0)</f>
        <v>0</v>
      </c>
      <c r="P61" s="268">
        <f>IFERROR(__xludf.DUMMYFUNCTION("""COMPUTED_VALUE"""),0.0)</f>
        <v>0</v>
      </c>
      <c r="Q61" s="268">
        <f>IFERROR(__xludf.DUMMYFUNCTION("""COMPUTED_VALUE"""),0.0)</f>
        <v>0</v>
      </c>
      <c r="R61" s="268">
        <f>IFERROR(__xludf.DUMMYFUNCTION("""COMPUTED_VALUE"""),0.0)</f>
        <v>0</v>
      </c>
      <c r="S61" s="268">
        <f>IFERROR(__xludf.DUMMYFUNCTION("""COMPUTED_VALUE"""),0.0)</f>
        <v>0</v>
      </c>
      <c r="T61" s="268">
        <f>IFERROR(__xludf.DUMMYFUNCTION("""COMPUTED_VALUE"""),380.0)</f>
        <v>380</v>
      </c>
      <c r="U61" s="268">
        <f>IFERROR(__xludf.DUMMYFUNCTION("""COMPUTED_VALUE"""),0.0)</f>
        <v>0</v>
      </c>
      <c r="V61" s="268">
        <f>IFERROR(__xludf.DUMMYFUNCTION("""COMPUTED_VALUE"""),0.0)</f>
        <v>0</v>
      </c>
      <c r="W61" s="268">
        <f>IFERROR(__xludf.DUMMYFUNCTION("""COMPUTED_VALUE"""),0.0)</f>
        <v>0</v>
      </c>
      <c r="X61" s="268">
        <f>IFERROR(__xludf.DUMMYFUNCTION("""COMPUTED_VALUE"""),0.0)</f>
        <v>0</v>
      </c>
      <c r="Y61" s="268">
        <f>IFERROR(__xludf.DUMMYFUNCTION("""COMPUTED_VALUE"""),0.0)</f>
        <v>0</v>
      </c>
      <c r="Z61" s="268">
        <f>IFERROR(__xludf.DUMMYFUNCTION("""COMPUTED_VALUE"""),-380.0)</f>
        <v>-380</v>
      </c>
      <c r="AA61" s="268">
        <f>IFERROR(__xludf.DUMMYFUNCTION("""COMPUTED_VALUE"""),0.0)</f>
        <v>0</v>
      </c>
      <c r="AB61" s="268">
        <f>IFERROR(__xludf.DUMMYFUNCTION("""COMPUTED_VALUE"""),0.0)</f>
        <v>0</v>
      </c>
      <c r="AC61" s="268">
        <f>IFERROR(__xludf.DUMMYFUNCTION("""COMPUTED_VALUE"""),0.0)</f>
        <v>0</v>
      </c>
      <c r="AD61" s="268">
        <f>IFERROR(__xludf.DUMMYFUNCTION("""COMPUTED_VALUE"""),0.0)</f>
        <v>0</v>
      </c>
      <c r="AE61" s="268">
        <f>IFERROR(__xludf.DUMMYFUNCTION("""COMPUTED_VALUE"""),0.0)</f>
        <v>0</v>
      </c>
      <c r="AF61" s="268" t="str">
        <f>IFERROR(__xludf.DUMMYFUNCTION("""COMPUTED_VALUE"""),"-22.9008949,-43.2782108")</f>
        <v>-22.9008949,-43.2782108</v>
      </c>
      <c r="AG61" s="268">
        <f>IFERROR(__xludf.DUMMYFUNCTION("""COMPUTED_VALUE"""),0.0)</f>
        <v>0</v>
      </c>
      <c r="AH61" s="268">
        <f>IFERROR(__xludf.DUMMYFUNCTION("""COMPUTED_VALUE"""),0.0)</f>
        <v>0</v>
      </c>
      <c r="AI61" s="268">
        <f>IFERROR(__xludf.DUMMYFUNCTION("""COMPUTED_VALUE"""),0.0)</f>
        <v>0</v>
      </c>
      <c r="AJ61" s="268">
        <f>IFERROR(__xludf.DUMMYFUNCTION("ROWS(QUERY(Entregas_BD!D:AM,""select D where D ='""&amp;D61&amp;""'"",1))-1"),3.0)</f>
        <v>3</v>
      </c>
    </row>
    <row r="62" ht="22.5" customHeight="1">
      <c r="A62" s="170" t="str">
        <f>IFERROR(__xludf.DUMMYFUNCTION("""COMPUTED_VALUE"""),"")</f>
        <v/>
      </c>
      <c r="B62" s="170" t="str">
        <f>IFERROR(__xludf.DUMMYFUNCTION("""COMPUTED_VALUE"""),"")</f>
        <v/>
      </c>
      <c r="C62" s="170">
        <f>IFERROR(__xludf.DUMMYFUNCTION("""COMPUTED_VALUE"""),112.0)</f>
        <v>112</v>
      </c>
      <c r="D62" s="170" t="str">
        <f>IFERROR(__xludf.DUMMYFUNCTION("""COMPUTED_VALUE"""),"Hospital Municipal São Francisco Xavier")</f>
        <v>Hospital Municipal São Francisco Xavier</v>
      </c>
      <c r="E62" s="170" t="str">
        <f>IFERROR(__xludf.DUMMYFUNCTION("""COMPUTED_VALUE"""),"REGIAO METROPOLITANA")</f>
        <v>REGIAO METROPOLITANA</v>
      </c>
      <c r="F62" s="170" t="str">
        <f>IFERROR(__xludf.DUMMYFUNCTION("""COMPUTED_VALUE"""),"Itaguai")</f>
        <v>Itaguai</v>
      </c>
      <c r="G62" s="170" t="str">
        <f>IFERROR(__xludf.DUMMYFUNCTION("""COMPUTED_VALUE"""),"Centro")</f>
        <v>Centro</v>
      </c>
      <c r="H62" s="170" t="str">
        <f>IFERROR(__xludf.DUMMYFUNCTION("""COMPUTED_VALUE"""),"Referência - ALTA COMPLEXIDADE")</f>
        <v>Referência - ALTA COMPLEXIDADE</v>
      </c>
      <c r="I62" s="170" t="str">
        <f>IFERROR(__xludf.DUMMYFUNCTION("""COMPUTED_VALUE"""),"Público")</f>
        <v>Público</v>
      </c>
      <c r="J62" s="170" t="str">
        <f>IFERROR(__xludf.DUMMYFUNCTION("""COMPUTED_VALUE"""),"")</f>
        <v/>
      </c>
      <c r="K62" s="170" t="str">
        <f>IFERROR(__xludf.DUMMYFUNCTION("""COMPUTED_VALUE"""),"")</f>
        <v/>
      </c>
      <c r="L62" s="170" t="str">
        <f>IFERROR(__xludf.DUMMYFUNCTION("""COMPUTED_VALUE"""),"")</f>
        <v/>
      </c>
      <c r="M62" s="170" t="str">
        <f>IFERROR(__xludf.DUMMYFUNCTION("""COMPUTED_VALUE"""),"")</f>
        <v/>
      </c>
      <c r="N62" s="170">
        <f>IFERROR(__xludf.DUMMYFUNCTION("""COMPUTED_VALUE"""),0.0)</f>
        <v>0</v>
      </c>
      <c r="O62" s="170">
        <f>IFERROR(__xludf.DUMMYFUNCTION("""COMPUTED_VALUE"""),0.0)</f>
        <v>0</v>
      </c>
      <c r="P62" s="170">
        <f>IFERROR(__xludf.DUMMYFUNCTION("""COMPUTED_VALUE"""),0.0)</f>
        <v>0</v>
      </c>
      <c r="Q62" s="170">
        <f>IFERROR(__xludf.DUMMYFUNCTION("""COMPUTED_VALUE"""),0.0)</f>
        <v>0</v>
      </c>
      <c r="R62" s="170">
        <f>IFERROR(__xludf.DUMMYFUNCTION("""COMPUTED_VALUE"""),0.0)</f>
        <v>0</v>
      </c>
      <c r="S62" s="170">
        <f>IFERROR(__xludf.DUMMYFUNCTION("""COMPUTED_VALUE"""),0.0)</f>
        <v>0</v>
      </c>
      <c r="T62" s="170">
        <f>IFERROR(__xludf.DUMMYFUNCTION("""COMPUTED_VALUE"""),100.0)</f>
        <v>100</v>
      </c>
      <c r="U62" s="170">
        <f>IFERROR(__xludf.DUMMYFUNCTION("""COMPUTED_VALUE"""),0.0)</f>
        <v>0</v>
      </c>
      <c r="V62" s="170">
        <f>IFERROR(__xludf.DUMMYFUNCTION("""COMPUTED_VALUE"""),0.0)</f>
        <v>0</v>
      </c>
      <c r="W62" s="170">
        <f>IFERROR(__xludf.DUMMYFUNCTION("""COMPUTED_VALUE"""),0.0)</f>
        <v>0</v>
      </c>
      <c r="X62" s="170">
        <f>IFERROR(__xludf.DUMMYFUNCTION("""COMPUTED_VALUE"""),0.0)</f>
        <v>0</v>
      </c>
      <c r="Y62" s="170">
        <f>IFERROR(__xludf.DUMMYFUNCTION("""COMPUTED_VALUE"""),0.0)</f>
        <v>0</v>
      </c>
      <c r="Z62" s="170">
        <f>IFERROR(__xludf.DUMMYFUNCTION("""COMPUTED_VALUE"""),-100.0)</f>
        <v>-100</v>
      </c>
      <c r="AA62" s="170">
        <f>IFERROR(__xludf.DUMMYFUNCTION("""COMPUTED_VALUE"""),0.0)</f>
        <v>0</v>
      </c>
      <c r="AB62" s="170">
        <f>IFERROR(__xludf.DUMMYFUNCTION("""COMPUTED_VALUE"""),0.0)</f>
        <v>0</v>
      </c>
      <c r="AC62" s="170">
        <f>IFERROR(__xludf.DUMMYFUNCTION("""COMPUTED_VALUE"""),0.0)</f>
        <v>0</v>
      </c>
      <c r="AD62" s="170">
        <f>IFERROR(__xludf.DUMMYFUNCTION("""COMPUTED_VALUE"""),0.0)</f>
        <v>0</v>
      </c>
      <c r="AE62" s="170">
        <f>IFERROR(__xludf.DUMMYFUNCTION("""COMPUTED_VALUE"""),0.0)</f>
        <v>0</v>
      </c>
      <c r="AF62" s="170" t="str">
        <f>IFERROR(__xludf.DUMMYFUNCTION("""COMPUTED_VALUE"""),"-22.8694531,-43.7773475")</f>
        <v>-22.8694531,-43.7773475</v>
      </c>
      <c r="AG62" s="170">
        <f>IFERROR(__xludf.DUMMYFUNCTION("""COMPUTED_VALUE"""),0.0)</f>
        <v>0</v>
      </c>
      <c r="AH62" s="170">
        <f>IFERROR(__xludf.DUMMYFUNCTION("""COMPUTED_VALUE"""),0.0)</f>
        <v>0</v>
      </c>
      <c r="AI62" s="170">
        <f>IFERROR(__xludf.DUMMYFUNCTION("""COMPUTED_VALUE"""),0.0)</f>
        <v>0</v>
      </c>
      <c r="AJ62" s="170">
        <f>IFERROR(__xludf.DUMMYFUNCTION("ROWS(QUERY(Entregas_BD!D:AM,""select D where D ='""&amp;D62&amp;""'"",1))-1"),1.0)</f>
        <v>1</v>
      </c>
    </row>
    <row r="63" ht="22.5" customHeight="1">
      <c r="A63" s="268" t="str">
        <f>IFERROR(__xludf.DUMMYFUNCTION("""COMPUTED_VALUE"""),"")</f>
        <v/>
      </c>
      <c r="B63" s="268" t="str">
        <f>IFERROR(__xludf.DUMMYFUNCTION("""COMPUTED_VALUE"""),"")</f>
        <v/>
      </c>
      <c r="C63" s="268">
        <f>IFERROR(__xludf.DUMMYFUNCTION("""COMPUTED_VALUE"""),113.0)</f>
        <v>113</v>
      </c>
      <c r="D63" s="268" t="str">
        <f>IFERROR(__xludf.DUMMYFUNCTION("""COMPUTED_VALUE"""),"Hospital Municipal Souza Aguiar")</f>
        <v>Hospital Municipal Souza Aguiar</v>
      </c>
      <c r="E63" s="268" t="str">
        <f>IFERROR(__xludf.DUMMYFUNCTION("""COMPUTED_VALUE"""),"CENTRO")</f>
        <v>CENTRO</v>
      </c>
      <c r="F63" s="268" t="str">
        <f>IFERROR(__xludf.DUMMYFUNCTION("""COMPUTED_VALUE"""),"Rio de Janeiro")</f>
        <v>Rio de Janeiro</v>
      </c>
      <c r="G63" s="268" t="str">
        <f>IFERROR(__xludf.DUMMYFUNCTION("""COMPUTED_VALUE"""),"Centro")</f>
        <v>Centro</v>
      </c>
      <c r="H63" s="268" t="str">
        <f>IFERROR(__xludf.DUMMYFUNCTION("""COMPUTED_VALUE"""),"Grande emergência - MÉDIA COMPLEXIDADE")</f>
        <v>Grande emergência - MÉDIA COMPLEXIDADE</v>
      </c>
      <c r="I63" s="268" t="str">
        <f>IFERROR(__xludf.DUMMYFUNCTION("""COMPUTED_VALUE"""),"Público")</f>
        <v>Público</v>
      </c>
      <c r="J63" s="268" t="str">
        <f>IFERROR(__xludf.DUMMYFUNCTION("""COMPUTED_VALUE"""),"")</f>
        <v/>
      </c>
      <c r="K63" s="268" t="str">
        <f>IFERROR(__xludf.DUMMYFUNCTION("""COMPUTED_VALUE"""),"")</f>
        <v/>
      </c>
      <c r="L63" s="268" t="str">
        <f>IFERROR(__xludf.DUMMYFUNCTION("""COMPUTED_VALUE"""),"")</f>
        <v/>
      </c>
      <c r="M63" s="268" t="str">
        <f>IFERROR(__xludf.DUMMYFUNCTION("""COMPUTED_VALUE"""),"")</f>
        <v/>
      </c>
      <c r="N63" s="268">
        <f>IFERROR(__xludf.DUMMYFUNCTION("""COMPUTED_VALUE"""),0.0)</f>
        <v>0</v>
      </c>
      <c r="O63" s="268">
        <f>IFERROR(__xludf.DUMMYFUNCTION("""COMPUTED_VALUE"""),0.0)</f>
        <v>0</v>
      </c>
      <c r="P63" s="268">
        <f>IFERROR(__xludf.DUMMYFUNCTION("""COMPUTED_VALUE"""),0.0)</f>
        <v>0</v>
      </c>
      <c r="Q63" s="268">
        <f>IFERROR(__xludf.DUMMYFUNCTION("""COMPUTED_VALUE"""),0.0)</f>
        <v>0</v>
      </c>
      <c r="R63" s="268">
        <f>IFERROR(__xludf.DUMMYFUNCTION("""COMPUTED_VALUE"""),0.0)</f>
        <v>0</v>
      </c>
      <c r="S63" s="268">
        <f>IFERROR(__xludf.DUMMYFUNCTION("""COMPUTED_VALUE"""),0.0)</f>
        <v>0</v>
      </c>
      <c r="T63" s="268">
        <f>IFERROR(__xludf.DUMMYFUNCTION("""COMPUTED_VALUE"""),265.0)</f>
        <v>265</v>
      </c>
      <c r="U63" s="268">
        <f>IFERROR(__xludf.DUMMYFUNCTION("""COMPUTED_VALUE"""),0.0)</f>
        <v>0</v>
      </c>
      <c r="V63" s="268">
        <f>IFERROR(__xludf.DUMMYFUNCTION("""COMPUTED_VALUE"""),0.0)</f>
        <v>0</v>
      </c>
      <c r="W63" s="268">
        <f>IFERROR(__xludf.DUMMYFUNCTION("""COMPUTED_VALUE"""),0.0)</f>
        <v>0</v>
      </c>
      <c r="X63" s="268">
        <f>IFERROR(__xludf.DUMMYFUNCTION("""COMPUTED_VALUE"""),0.0)</f>
        <v>0</v>
      </c>
      <c r="Y63" s="268">
        <f>IFERROR(__xludf.DUMMYFUNCTION("""COMPUTED_VALUE"""),0.0)</f>
        <v>0</v>
      </c>
      <c r="Z63" s="268">
        <f>IFERROR(__xludf.DUMMYFUNCTION("""COMPUTED_VALUE"""),-265.0)</f>
        <v>-265</v>
      </c>
      <c r="AA63" s="268">
        <f>IFERROR(__xludf.DUMMYFUNCTION("""COMPUTED_VALUE"""),0.0)</f>
        <v>0</v>
      </c>
      <c r="AB63" s="268">
        <f>IFERROR(__xludf.DUMMYFUNCTION("""COMPUTED_VALUE"""),0.0)</f>
        <v>0</v>
      </c>
      <c r="AC63" s="268">
        <f>IFERROR(__xludf.DUMMYFUNCTION("""COMPUTED_VALUE"""),0.0)</f>
        <v>0</v>
      </c>
      <c r="AD63" s="268">
        <f>IFERROR(__xludf.DUMMYFUNCTION("""COMPUTED_VALUE"""),0.0)</f>
        <v>0</v>
      </c>
      <c r="AE63" s="268">
        <f>IFERROR(__xludf.DUMMYFUNCTION("""COMPUTED_VALUE"""),0.0)</f>
        <v>0</v>
      </c>
      <c r="AF63" s="268" t="str">
        <f>IFERROR(__xludf.DUMMYFUNCTION("""COMPUTED_VALUE"""),"-22.908552,-43.1901875")</f>
        <v>-22.908552,-43.1901875</v>
      </c>
      <c r="AG63" s="268">
        <f>IFERROR(__xludf.DUMMYFUNCTION("""COMPUTED_VALUE"""),0.0)</f>
        <v>0</v>
      </c>
      <c r="AH63" s="268">
        <f>IFERROR(__xludf.DUMMYFUNCTION("""COMPUTED_VALUE"""),0.0)</f>
        <v>0</v>
      </c>
      <c r="AI63" s="268">
        <f>IFERROR(__xludf.DUMMYFUNCTION("""COMPUTED_VALUE"""),0.0)</f>
        <v>0</v>
      </c>
      <c r="AJ63" s="268">
        <f>IFERROR(__xludf.DUMMYFUNCTION("ROWS(QUERY(Entregas_BD!D:AM,""select D where D ='""&amp;D63&amp;""'"",1))-1"),1.0)</f>
        <v>1</v>
      </c>
    </row>
    <row r="64" ht="22.5" customHeight="1">
      <c r="A64" s="170" t="str">
        <f>IFERROR(__xludf.DUMMYFUNCTION("""COMPUTED_VALUE"""),"")</f>
        <v/>
      </c>
      <c r="B64" s="170" t="str">
        <f>IFERROR(__xludf.DUMMYFUNCTION("""COMPUTED_VALUE"""),"")</f>
        <v/>
      </c>
      <c r="C64" s="170">
        <f>IFERROR(__xludf.DUMMYFUNCTION("""COMPUTED_VALUE"""),114.0)</f>
        <v>114</v>
      </c>
      <c r="D64" s="170" t="str">
        <f>IFERROR(__xludf.DUMMYFUNCTION("""COMPUTED_VALUE"""),"Hospital Naval Marcílio Dias")</f>
        <v>Hospital Naval Marcílio Dias</v>
      </c>
      <c r="E64" s="170" t="str">
        <f>IFERROR(__xludf.DUMMYFUNCTION("""COMPUTED_VALUE"""),"ZONA NORTE")</f>
        <v>ZONA NORTE</v>
      </c>
      <c r="F64" s="170" t="str">
        <f>IFERROR(__xludf.DUMMYFUNCTION("""COMPUTED_VALUE"""),"Rio de Janeiro")</f>
        <v>Rio de Janeiro</v>
      </c>
      <c r="G64" s="170" t="str">
        <f>IFERROR(__xludf.DUMMYFUNCTION("""COMPUTED_VALUE"""),"Lins de Vasconcelos")</f>
        <v>Lins de Vasconcelos</v>
      </c>
      <c r="H64" s="170" t="str">
        <f>IFERROR(__xludf.DUMMYFUNCTION("""COMPUTED_VALUE"""),"Unidade básica - BAIXA COMPLEXIDADE")</f>
        <v>Unidade básica - BAIXA COMPLEXIDADE</v>
      </c>
      <c r="I64" s="170" t="str">
        <f>IFERROR(__xludf.DUMMYFUNCTION("""COMPUTED_VALUE"""),"Público")</f>
        <v>Público</v>
      </c>
      <c r="J64" s="170" t="str">
        <f>IFERROR(__xludf.DUMMYFUNCTION("""COMPUTED_VALUE"""),"")</f>
        <v/>
      </c>
      <c r="K64" s="170" t="str">
        <f>IFERROR(__xludf.DUMMYFUNCTION("""COMPUTED_VALUE"""),"")</f>
        <v/>
      </c>
      <c r="L64" s="170" t="str">
        <f>IFERROR(__xludf.DUMMYFUNCTION("""COMPUTED_VALUE"""),"")</f>
        <v/>
      </c>
      <c r="M64" s="170" t="str">
        <f>IFERROR(__xludf.DUMMYFUNCTION("""COMPUTED_VALUE"""),"")</f>
        <v/>
      </c>
      <c r="N64" s="170">
        <f>IFERROR(__xludf.DUMMYFUNCTION("""COMPUTED_VALUE"""),0.0)</f>
        <v>0</v>
      </c>
      <c r="O64" s="170">
        <f>IFERROR(__xludf.DUMMYFUNCTION("""COMPUTED_VALUE"""),0.0)</f>
        <v>0</v>
      </c>
      <c r="P64" s="170">
        <f>IFERROR(__xludf.DUMMYFUNCTION("""COMPUTED_VALUE"""),0.0)</f>
        <v>0</v>
      </c>
      <c r="Q64" s="170">
        <f>IFERROR(__xludf.DUMMYFUNCTION("""COMPUTED_VALUE"""),0.0)</f>
        <v>0</v>
      </c>
      <c r="R64" s="170">
        <f>IFERROR(__xludf.DUMMYFUNCTION("""COMPUTED_VALUE"""),0.0)</f>
        <v>0</v>
      </c>
      <c r="S64" s="170">
        <f>IFERROR(__xludf.DUMMYFUNCTION("""COMPUTED_VALUE"""),0.0)</f>
        <v>0</v>
      </c>
      <c r="T64" s="170">
        <f>IFERROR(__xludf.DUMMYFUNCTION("""COMPUTED_VALUE"""),100.0)</f>
        <v>100</v>
      </c>
      <c r="U64" s="170">
        <f>IFERROR(__xludf.DUMMYFUNCTION("""COMPUTED_VALUE"""),0.0)</f>
        <v>0</v>
      </c>
      <c r="V64" s="170">
        <f>IFERROR(__xludf.DUMMYFUNCTION("""COMPUTED_VALUE"""),0.0)</f>
        <v>0</v>
      </c>
      <c r="W64" s="170">
        <f>IFERROR(__xludf.DUMMYFUNCTION("""COMPUTED_VALUE"""),0.0)</f>
        <v>0</v>
      </c>
      <c r="X64" s="170">
        <f>IFERROR(__xludf.DUMMYFUNCTION("""COMPUTED_VALUE"""),0.0)</f>
        <v>0</v>
      </c>
      <c r="Y64" s="170">
        <f>IFERROR(__xludf.DUMMYFUNCTION("""COMPUTED_VALUE"""),0.0)</f>
        <v>0</v>
      </c>
      <c r="Z64" s="170">
        <f>IFERROR(__xludf.DUMMYFUNCTION("""COMPUTED_VALUE"""),-100.0)</f>
        <v>-100</v>
      </c>
      <c r="AA64" s="170">
        <f>IFERROR(__xludf.DUMMYFUNCTION("""COMPUTED_VALUE"""),0.0)</f>
        <v>0</v>
      </c>
      <c r="AB64" s="170">
        <f>IFERROR(__xludf.DUMMYFUNCTION("""COMPUTED_VALUE"""),0.0)</f>
        <v>0</v>
      </c>
      <c r="AC64" s="170">
        <f>IFERROR(__xludf.DUMMYFUNCTION("""COMPUTED_VALUE"""),0.0)</f>
        <v>0</v>
      </c>
      <c r="AD64" s="170">
        <f>IFERROR(__xludf.DUMMYFUNCTION("""COMPUTED_VALUE"""),0.0)</f>
        <v>0</v>
      </c>
      <c r="AE64" s="170">
        <f>IFERROR(__xludf.DUMMYFUNCTION("""COMPUTED_VALUE"""),0.0)</f>
        <v>0</v>
      </c>
      <c r="AF64" s="170" t="str">
        <f>IFERROR(__xludf.DUMMYFUNCTION("""COMPUTED_VALUE"""),"-22.9139074,-43.2833747")</f>
        <v>-22.9139074,-43.2833747</v>
      </c>
      <c r="AG64" s="170">
        <f>IFERROR(__xludf.DUMMYFUNCTION("""COMPUTED_VALUE"""),0.0)</f>
        <v>0</v>
      </c>
      <c r="AH64" s="170">
        <f>IFERROR(__xludf.DUMMYFUNCTION("""COMPUTED_VALUE"""),0.0)</f>
        <v>0</v>
      </c>
      <c r="AI64" s="170">
        <f>IFERROR(__xludf.DUMMYFUNCTION("""COMPUTED_VALUE"""),0.0)</f>
        <v>0</v>
      </c>
      <c r="AJ64" s="170">
        <f>IFERROR(__xludf.DUMMYFUNCTION("ROWS(QUERY(Entregas_BD!D:AM,""select D where D ='""&amp;D64&amp;""'"",1))-1"),1.0)</f>
        <v>1</v>
      </c>
    </row>
    <row r="65" ht="22.5" customHeight="1">
      <c r="A65" s="268" t="str">
        <f>IFERROR(__xludf.DUMMYFUNCTION("""COMPUTED_VALUE"""),"")</f>
        <v/>
      </c>
      <c r="B65" s="268" t="str">
        <f>IFERROR(__xludf.DUMMYFUNCTION("""COMPUTED_VALUE"""),"")</f>
        <v/>
      </c>
      <c r="C65" s="268">
        <f>IFERROR(__xludf.DUMMYFUNCTION("""COMPUTED_VALUE"""),131.0)</f>
        <v>131</v>
      </c>
      <c r="D65" s="268" t="str">
        <f>IFERROR(__xludf.DUMMYFUNCTION("""COMPUTED_VALUE"""),"Hospital Universitário Clementino Fraga Filho")</f>
        <v>Hospital Universitário Clementino Fraga Filho</v>
      </c>
      <c r="E65" s="268" t="str">
        <f>IFERROR(__xludf.DUMMYFUNCTION("""COMPUTED_VALUE"""),"ZONA NORTE")</f>
        <v>ZONA NORTE</v>
      </c>
      <c r="F65" s="268" t="str">
        <f>IFERROR(__xludf.DUMMYFUNCTION("""COMPUTED_VALUE"""),"Rio de Janeiro")</f>
        <v>Rio de Janeiro</v>
      </c>
      <c r="G65" s="268" t="str">
        <f>IFERROR(__xludf.DUMMYFUNCTION("""COMPUTED_VALUE"""),"Ilha do Fundão")</f>
        <v>Ilha do Fundão</v>
      </c>
      <c r="H65" s="268" t="str">
        <f>IFERROR(__xludf.DUMMYFUNCTION("""COMPUTED_VALUE"""),"Referência - ALTA COMPLEXIDADE")</f>
        <v>Referência - ALTA COMPLEXIDADE</v>
      </c>
      <c r="I65" s="268" t="str">
        <f>IFERROR(__xludf.DUMMYFUNCTION("""COMPUTED_VALUE"""),"Público")</f>
        <v>Público</v>
      </c>
      <c r="J65" s="268" t="str">
        <f>IFERROR(__xludf.DUMMYFUNCTION("""COMPUTED_VALUE"""),"")</f>
        <v/>
      </c>
      <c r="K65" s="268" t="str">
        <f>IFERROR(__xludf.DUMMYFUNCTION("""COMPUTED_VALUE"""),"")</f>
        <v/>
      </c>
      <c r="L65" s="268" t="str">
        <f>IFERROR(__xludf.DUMMYFUNCTION("""COMPUTED_VALUE"""),"")</f>
        <v/>
      </c>
      <c r="M65" s="268" t="str">
        <f>IFERROR(__xludf.DUMMYFUNCTION("""COMPUTED_VALUE"""),"")</f>
        <v/>
      </c>
      <c r="N65" s="268">
        <f>IFERROR(__xludf.DUMMYFUNCTION("""COMPUTED_VALUE"""),0.0)</f>
        <v>0</v>
      </c>
      <c r="O65" s="268">
        <f>IFERROR(__xludf.DUMMYFUNCTION("""COMPUTED_VALUE"""),0.0)</f>
        <v>0</v>
      </c>
      <c r="P65" s="268">
        <f>IFERROR(__xludf.DUMMYFUNCTION("""COMPUTED_VALUE"""),0.0)</f>
        <v>0</v>
      </c>
      <c r="Q65" s="268">
        <f>IFERROR(__xludf.DUMMYFUNCTION("""COMPUTED_VALUE"""),0.0)</f>
        <v>0</v>
      </c>
      <c r="R65" s="268">
        <f>IFERROR(__xludf.DUMMYFUNCTION("""COMPUTED_VALUE"""),0.0)</f>
        <v>0</v>
      </c>
      <c r="S65" s="268">
        <f>IFERROR(__xludf.DUMMYFUNCTION("""COMPUTED_VALUE"""),0.0)</f>
        <v>0</v>
      </c>
      <c r="T65" s="268">
        <f>IFERROR(__xludf.DUMMYFUNCTION("""COMPUTED_VALUE"""),100.0)</f>
        <v>100</v>
      </c>
      <c r="U65" s="268">
        <f>IFERROR(__xludf.DUMMYFUNCTION("""COMPUTED_VALUE"""),0.0)</f>
        <v>0</v>
      </c>
      <c r="V65" s="268">
        <f>IFERROR(__xludf.DUMMYFUNCTION("""COMPUTED_VALUE"""),0.0)</f>
        <v>0</v>
      </c>
      <c r="W65" s="268">
        <f>IFERROR(__xludf.DUMMYFUNCTION("""COMPUTED_VALUE"""),0.0)</f>
        <v>0</v>
      </c>
      <c r="X65" s="268">
        <f>IFERROR(__xludf.DUMMYFUNCTION("""COMPUTED_VALUE"""),0.0)</f>
        <v>0</v>
      </c>
      <c r="Y65" s="268">
        <f>IFERROR(__xludf.DUMMYFUNCTION("""COMPUTED_VALUE"""),0.0)</f>
        <v>0</v>
      </c>
      <c r="Z65" s="268">
        <f>IFERROR(__xludf.DUMMYFUNCTION("""COMPUTED_VALUE"""),-100.0)</f>
        <v>-100</v>
      </c>
      <c r="AA65" s="268">
        <f>IFERROR(__xludf.DUMMYFUNCTION("""COMPUTED_VALUE"""),0.0)</f>
        <v>0</v>
      </c>
      <c r="AB65" s="268">
        <f>IFERROR(__xludf.DUMMYFUNCTION("""COMPUTED_VALUE"""),0.0)</f>
        <v>0</v>
      </c>
      <c r="AC65" s="268">
        <f>IFERROR(__xludf.DUMMYFUNCTION("""COMPUTED_VALUE"""),0.0)</f>
        <v>0</v>
      </c>
      <c r="AD65" s="268">
        <f>IFERROR(__xludf.DUMMYFUNCTION("""COMPUTED_VALUE"""),0.0)</f>
        <v>0</v>
      </c>
      <c r="AE65" s="268">
        <f>IFERROR(__xludf.DUMMYFUNCTION("""COMPUTED_VALUE"""),0.0)</f>
        <v>0</v>
      </c>
      <c r="AF65" s="268" t="str">
        <f>IFERROR(__xludf.DUMMYFUNCTION("""COMPUTED_VALUE"""),"-22.8425002,-43.2376557")</f>
        <v>-22.8425002,-43.2376557</v>
      </c>
      <c r="AG65" s="268">
        <f>IFERROR(__xludf.DUMMYFUNCTION("""COMPUTED_VALUE"""),0.0)</f>
        <v>0</v>
      </c>
      <c r="AH65" s="268">
        <f>IFERROR(__xludf.DUMMYFUNCTION("""COMPUTED_VALUE"""),0.0)</f>
        <v>0</v>
      </c>
      <c r="AI65" s="268">
        <f>IFERROR(__xludf.DUMMYFUNCTION("""COMPUTED_VALUE"""),0.0)</f>
        <v>0</v>
      </c>
      <c r="AJ65" s="268">
        <f>IFERROR(__xludf.DUMMYFUNCTION("ROWS(QUERY(Entregas_BD!D:AM,""select D where D ='""&amp;D65&amp;""'"",1))-1"),2.0)</f>
        <v>2</v>
      </c>
    </row>
    <row r="66" ht="22.5" customHeight="1">
      <c r="A66" s="170" t="str">
        <f>IFERROR(__xludf.DUMMYFUNCTION("""COMPUTED_VALUE"""),"")</f>
        <v/>
      </c>
      <c r="B66" s="170" t="str">
        <f>IFERROR(__xludf.DUMMYFUNCTION("""COMPUTED_VALUE"""),"")</f>
        <v/>
      </c>
      <c r="C66" s="170">
        <f>IFERROR(__xludf.DUMMYFUNCTION("""COMPUTED_VALUE"""),132.0)</f>
        <v>132</v>
      </c>
      <c r="D66" s="170" t="str">
        <f>IFERROR(__xludf.DUMMYFUNCTION("""COMPUTED_VALUE"""),"Hospital Universitário Gaffrée e Guinle")</f>
        <v>Hospital Universitário Gaffrée e Guinle</v>
      </c>
      <c r="E66" s="170" t="str">
        <f>IFERROR(__xludf.DUMMYFUNCTION("""COMPUTED_VALUE"""),"ZONA NORTE")</f>
        <v>ZONA NORTE</v>
      </c>
      <c r="F66" s="170" t="str">
        <f>IFERROR(__xludf.DUMMYFUNCTION("""COMPUTED_VALUE"""),"Rio de Janeiro")</f>
        <v>Rio de Janeiro</v>
      </c>
      <c r="G66" s="170" t="str">
        <f>IFERROR(__xludf.DUMMYFUNCTION("""COMPUTED_VALUE"""),"Tijuca")</f>
        <v>Tijuca</v>
      </c>
      <c r="H66" s="170" t="str">
        <f>IFERROR(__xludf.DUMMYFUNCTION("""COMPUTED_VALUE"""),"Referência - ALTA COMPLEXIDADE")</f>
        <v>Referência - ALTA COMPLEXIDADE</v>
      </c>
      <c r="I66" s="170" t="str">
        <f>IFERROR(__xludf.DUMMYFUNCTION("""COMPUTED_VALUE"""),"Público")</f>
        <v>Público</v>
      </c>
      <c r="J66" s="170" t="str">
        <f>IFERROR(__xludf.DUMMYFUNCTION("""COMPUTED_VALUE"""),"")</f>
        <v/>
      </c>
      <c r="K66" s="170" t="str">
        <f>IFERROR(__xludf.DUMMYFUNCTION("""COMPUTED_VALUE"""),"")</f>
        <v/>
      </c>
      <c r="L66" s="170" t="str">
        <f>IFERROR(__xludf.DUMMYFUNCTION("""COMPUTED_VALUE"""),"")</f>
        <v/>
      </c>
      <c r="M66" s="170" t="str">
        <f>IFERROR(__xludf.DUMMYFUNCTION("""COMPUTED_VALUE"""),"")</f>
        <v/>
      </c>
      <c r="N66" s="170">
        <f>IFERROR(__xludf.DUMMYFUNCTION("""COMPUTED_VALUE"""),0.0)</f>
        <v>0</v>
      </c>
      <c r="O66" s="170">
        <f>IFERROR(__xludf.DUMMYFUNCTION("""COMPUTED_VALUE"""),0.0)</f>
        <v>0</v>
      </c>
      <c r="P66" s="170">
        <f>IFERROR(__xludf.DUMMYFUNCTION("""COMPUTED_VALUE"""),0.0)</f>
        <v>0</v>
      </c>
      <c r="Q66" s="170">
        <f>IFERROR(__xludf.DUMMYFUNCTION("""COMPUTED_VALUE"""),0.0)</f>
        <v>0</v>
      </c>
      <c r="R66" s="170">
        <f>IFERROR(__xludf.DUMMYFUNCTION("""COMPUTED_VALUE"""),0.0)</f>
        <v>0</v>
      </c>
      <c r="S66" s="170">
        <f>IFERROR(__xludf.DUMMYFUNCTION("""COMPUTED_VALUE"""),0.0)</f>
        <v>0</v>
      </c>
      <c r="T66" s="170">
        <f>IFERROR(__xludf.DUMMYFUNCTION("""COMPUTED_VALUE"""),90.0)</f>
        <v>90</v>
      </c>
      <c r="U66" s="170">
        <f>IFERROR(__xludf.DUMMYFUNCTION("""COMPUTED_VALUE"""),0.0)</f>
        <v>0</v>
      </c>
      <c r="V66" s="170">
        <f>IFERROR(__xludf.DUMMYFUNCTION("""COMPUTED_VALUE"""),0.0)</f>
        <v>0</v>
      </c>
      <c r="W66" s="170">
        <f>IFERROR(__xludf.DUMMYFUNCTION("""COMPUTED_VALUE"""),0.0)</f>
        <v>0</v>
      </c>
      <c r="X66" s="170">
        <f>IFERROR(__xludf.DUMMYFUNCTION("""COMPUTED_VALUE"""),0.0)</f>
        <v>0</v>
      </c>
      <c r="Y66" s="170">
        <f>IFERROR(__xludf.DUMMYFUNCTION("""COMPUTED_VALUE"""),0.0)</f>
        <v>0</v>
      </c>
      <c r="Z66" s="170">
        <f>IFERROR(__xludf.DUMMYFUNCTION("""COMPUTED_VALUE"""),-90.0)</f>
        <v>-90</v>
      </c>
      <c r="AA66" s="170">
        <f>IFERROR(__xludf.DUMMYFUNCTION("""COMPUTED_VALUE"""),0.0)</f>
        <v>0</v>
      </c>
      <c r="AB66" s="170">
        <f>IFERROR(__xludf.DUMMYFUNCTION("""COMPUTED_VALUE"""),0.0)</f>
        <v>0</v>
      </c>
      <c r="AC66" s="170">
        <f>IFERROR(__xludf.DUMMYFUNCTION("""COMPUTED_VALUE"""),0.0)</f>
        <v>0</v>
      </c>
      <c r="AD66" s="170">
        <f>IFERROR(__xludf.DUMMYFUNCTION("""COMPUTED_VALUE"""),0.0)</f>
        <v>0</v>
      </c>
      <c r="AE66" s="170">
        <f>IFERROR(__xludf.DUMMYFUNCTION("""COMPUTED_VALUE"""),0.0)</f>
        <v>0</v>
      </c>
      <c r="AF66" s="170" t="str">
        <f>IFERROR(__xludf.DUMMYFUNCTION("""COMPUTED_VALUE"""),"-22.9161967,-43.2208276")</f>
        <v>-22.9161967,-43.2208276</v>
      </c>
      <c r="AG66" s="170">
        <f>IFERROR(__xludf.DUMMYFUNCTION("""COMPUTED_VALUE"""),0.0)</f>
        <v>0</v>
      </c>
      <c r="AH66" s="170">
        <f>IFERROR(__xludf.DUMMYFUNCTION("""COMPUTED_VALUE"""),0.0)</f>
        <v>0</v>
      </c>
      <c r="AI66" s="170">
        <f>IFERROR(__xludf.DUMMYFUNCTION("""COMPUTED_VALUE"""),0.0)</f>
        <v>0</v>
      </c>
      <c r="AJ66" s="170">
        <f>IFERROR(__xludf.DUMMYFUNCTION("ROWS(QUERY(Entregas_BD!D:AM,""select D where D ='""&amp;D66&amp;""'"",1))-1"),1.0)</f>
        <v>1</v>
      </c>
    </row>
    <row r="67" ht="22.5" customHeight="1">
      <c r="A67" s="268" t="str">
        <f>IFERROR(__xludf.DUMMYFUNCTION("""COMPUTED_VALUE"""),"")</f>
        <v/>
      </c>
      <c r="B67" s="268" t="str">
        <f>IFERROR(__xludf.DUMMYFUNCTION("""COMPUTED_VALUE"""),"")</f>
        <v/>
      </c>
      <c r="C67" s="268">
        <f>IFERROR(__xludf.DUMMYFUNCTION("""COMPUTED_VALUE"""),133.0)</f>
        <v>133</v>
      </c>
      <c r="D67" s="268" t="str">
        <f>IFERROR(__xludf.DUMMYFUNCTION("""COMPUTED_VALUE"""),"Hospital Universitário Gaffrée e Guinle")</f>
        <v>Hospital Universitário Gaffrée e Guinle</v>
      </c>
      <c r="E67" s="268" t="str">
        <f>IFERROR(__xludf.DUMMYFUNCTION("""COMPUTED_VALUE"""),"ZONA NORTE")</f>
        <v>ZONA NORTE</v>
      </c>
      <c r="F67" s="268" t="str">
        <f>IFERROR(__xludf.DUMMYFUNCTION("""COMPUTED_VALUE"""),"Rio de Janeiro")</f>
        <v>Rio de Janeiro</v>
      </c>
      <c r="G67" s="268" t="str">
        <f>IFERROR(__xludf.DUMMYFUNCTION("""COMPUTED_VALUE"""),"Tijuca")</f>
        <v>Tijuca</v>
      </c>
      <c r="H67" s="268" t="str">
        <f>IFERROR(__xludf.DUMMYFUNCTION("""COMPUTED_VALUE"""),"Referência - ALTA COMPLEXIDADE")</f>
        <v>Referência - ALTA COMPLEXIDADE</v>
      </c>
      <c r="I67" s="268" t="str">
        <f>IFERROR(__xludf.DUMMYFUNCTION("""COMPUTED_VALUE"""),"Público")</f>
        <v>Público</v>
      </c>
      <c r="J67" s="268" t="str">
        <f>IFERROR(__xludf.DUMMYFUNCTION("""COMPUTED_VALUE"""),"")</f>
        <v/>
      </c>
      <c r="K67" s="268" t="str">
        <f>IFERROR(__xludf.DUMMYFUNCTION("""COMPUTED_VALUE"""),"")</f>
        <v/>
      </c>
      <c r="L67" s="268" t="str">
        <f>IFERROR(__xludf.DUMMYFUNCTION("""COMPUTED_VALUE"""),"")</f>
        <v/>
      </c>
      <c r="M67" s="268" t="str">
        <f>IFERROR(__xludf.DUMMYFUNCTION("""COMPUTED_VALUE"""),"")</f>
        <v/>
      </c>
      <c r="N67" s="268">
        <f>IFERROR(__xludf.DUMMYFUNCTION("""COMPUTED_VALUE"""),0.0)</f>
        <v>0</v>
      </c>
      <c r="O67" s="268">
        <f>IFERROR(__xludf.DUMMYFUNCTION("""COMPUTED_VALUE"""),0.0)</f>
        <v>0</v>
      </c>
      <c r="P67" s="268">
        <f>IFERROR(__xludf.DUMMYFUNCTION("""COMPUTED_VALUE"""),0.0)</f>
        <v>0</v>
      </c>
      <c r="Q67" s="268">
        <f>IFERROR(__xludf.DUMMYFUNCTION("""COMPUTED_VALUE"""),0.0)</f>
        <v>0</v>
      </c>
      <c r="R67" s="268">
        <f>IFERROR(__xludf.DUMMYFUNCTION("""COMPUTED_VALUE"""),0.0)</f>
        <v>0</v>
      </c>
      <c r="S67" s="268">
        <f>IFERROR(__xludf.DUMMYFUNCTION("""COMPUTED_VALUE"""),0.0)</f>
        <v>0</v>
      </c>
      <c r="T67" s="268">
        <f>IFERROR(__xludf.DUMMYFUNCTION("""COMPUTED_VALUE"""),90.0)</f>
        <v>90</v>
      </c>
      <c r="U67" s="268">
        <f>IFERROR(__xludf.DUMMYFUNCTION("""COMPUTED_VALUE"""),0.0)</f>
        <v>0</v>
      </c>
      <c r="V67" s="268">
        <f>IFERROR(__xludf.DUMMYFUNCTION("""COMPUTED_VALUE"""),0.0)</f>
        <v>0</v>
      </c>
      <c r="W67" s="268">
        <f>IFERROR(__xludf.DUMMYFUNCTION("""COMPUTED_VALUE"""),0.0)</f>
        <v>0</v>
      </c>
      <c r="X67" s="268">
        <f>IFERROR(__xludf.DUMMYFUNCTION("""COMPUTED_VALUE"""),0.0)</f>
        <v>0</v>
      </c>
      <c r="Y67" s="268">
        <f>IFERROR(__xludf.DUMMYFUNCTION("""COMPUTED_VALUE"""),0.0)</f>
        <v>0</v>
      </c>
      <c r="Z67" s="268">
        <f>IFERROR(__xludf.DUMMYFUNCTION("""COMPUTED_VALUE"""),-90.0)</f>
        <v>-90</v>
      </c>
      <c r="AA67" s="268">
        <f>IFERROR(__xludf.DUMMYFUNCTION("""COMPUTED_VALUE"""),0.0)</f>
        <v>0</v>
      </c>
      <c r="AB67" s="268">
        <f>IFERROR(__xludf.DUMMYFUNCTION("""COMPUTED_VALUE"""),0.0)</f>
        <v>0</v>
      </c>
      <c r="AC67" s="268">
        <f>IFERROR(__xludf.DUMMYFUNCTION("""COMPUTED_VALUE"""),0.0)</f>
        <v>0</v>
      </c>
      <c r="AD67" s="268">
        <f>IFERROR(__xludf.DUMMYFUNCTION("""COMPUTED_VALUE"""),0.0)</f>
        <v>0</v>
      </c>
      <c r="AE67" s="268">
        <f>IFERROR(__xludf.DUMMYFUNCTION("""COMPUTED_VALUE"""),0.0)</f>
        <v>0</v>
      </c>
      <c r="AF67" s="268" t="str">
        <f>IFERROR(__xludf.DUMMYFUNCTION("""COMPUTED_VALUE"""),"-22.9161967,-43.2208276")</f>
        <v>-22.9161967,-43.2208276</v>
      </c>
      <c r="AG67" s="268">
        <f>IFERROR(__xludf.DUMMYFUNCTION("""COMPUTED_VALUE"""),0.0)</f>
        <v>0</v>
      </c>
      <c r="AH67" s="268">
        <f>IFERROR(__xludf.DUMMYFUNCTION("""COMPUTED_VALUE"""),0.0)</f>
        <v>0</v>
      </c>
      <c r="AI67" s="268">
        <f>IFERROR(__xludf.DUMMYFUNCTION("""COMPUTED_VALUE"""),0.0)</f>
        <v>0</v>
      </c>
      <c r="AJ67" s="268">
        <f>IFERROR(__xludf.DUMMYFUNCTION("ROWS(QUERY(Entregas_BD!D:AM,""select D where D ='""&amp;D67&amp;""'"",1))-1"),1.0)</f>
        <v>1</v>
      </c>
    </row>
    <row r="68" ht="22.5" customHeight="1">
      <c r="A68" s="170" t="str">
        <f>IFERROR(__xludf.DUMMYFUNCTION("""COMPUTED_VALUE"""),"")</f>
        <v/>
      </c>
      <c r="B68" s="170" t="str">
        <f>IFERROR(__xludf.DUMMYFUNCTION("""COMPUTED_VALUE"""),"")</f>
        <v/>
      </c>
      <c r="C68" s="170">
        <f>IFERROR(__xludf.DUMMYFUNCTION("""COMPUTED_VALUE"""),134.0)</f>
        <v>134</v>
      </c>
      <c r="D68" s="170" t="str">
        <f>IFERROR(__xludf.DUMMYFUNCTION("""COMPUTED_VALUE"""),"Hospital Universitário Gaffrée e Guinle")</f>
        <v>Hospital Universitário Gaffrée e Guinle</v>
      </c>
      <c r="E68" s="170" t="str">
        <f>IFERROR(__xludf.DUMMYFUNCTION("""COMPUTED_VALUE"""),"ZONA NORTE")</f>
        <v>ZONA NORTE</v>
      </c>
      <c r="F68" s="170" t="str">
        <f>IFERROR(__xludf.DUMMYFUNCTION("""COMPUTED_VALUE"""),"Rio de Janeiro")</f>
        <v>Rio de Janeiro</v>
      </c>
      <c r="G68" s="170" t="str">
        <f>IFERROR(__xludf.DUMMYFUNCTION("""COMPUTED_VALUE"""),"Tijuca")</f>
        <v>Tijuca</v>
      </c>
      <c r="H68" s="170" t="str">
        <f>IFERROR(__xludf.DUMMYFUNCTION("""COMPUTED_VALUE"""),"Referência - ALTA COMPLEXIDADE")</f>
        <v>Referência - ALTA COMPLEXIDADE</v>
      </c>
      <c r="I68" s="170" t="str">
        <f>IFERROR(__xludf.DUMMYFUNCTION("""COMPUTED_VALUE"""),"Público")</f>
        <v>Público</v>
      </c>
      <c r="J68" s="170" t="str">
        <f>IFERROR(__xludf.DUMMYFUNCTION("""COMPUTED_VALUE"""),"")</f>
        <v/>
      </c>
      <c r="K68" s="170" t="str">
        <f>IFERROR(__xludf.DUMMYFUNCTION("""COMPUTED_VALUE"""),"")</f>
        <v/>
      </c>
      <c r="L68" s="170" t="str">
        <f>IFERROR(__xludf.DUMMYFUNCTION("""COMPUTED_VALUE"""),"")</f>
        <v/>
      </c>
      <c r="M68" s="170" t="str">
        <f>IFERROR(__xludf.DUMMYFUNCTION("""COMPUTED_VALUE"""),"")</f>
        <v/>
      </c>
      <c r="N68" s="170">
        <f>IFERROR(__xludf.DUMMYFUNCTION("""COMPUTED_VALUE"""),0.0)</f>
        <v>0</v>
      </c>
      <c r="O68" s="170">
        <f>IFERROR(__xludf.DUMMYFUNCTION("""COMPUTED_VALUE"""),0.0)</f>
        <v>0</v>
      </c>
      <c r="P68" s="170">
        <f>IFERROR(__xludf.DUMMYFUNCTION("""COMPUTED_VALUE"""),0.0)</f>
        <v>0</v>
      </c>
      <c r="Q68" s="170">
        <f>IFERROR(__xludf.DUMMYFUNCTION("""COMPUTED_VALUE"""),0.0)</f>
        <v>0</v>
      </c>
      <c r="R68" s="170">
        <f>IFERROR(__xludf.DUMMYFUNCTION("""COMPUTED_VALUE"""),0.0)</f>
        <v>0</v>
      </c>
      <c r="S68" s="170">
        <f>IFERROR(__xludf.DUMMYFUNCTION("""COMPUTED_VALUE"""),0.0)</f>
        <v>0</v>
      </c>
      <c r="T68" s="170">
        <f>IFERROR(__xludf.DUMMYFUNCTION("""COMPUTED_VALUE"""),90.0)</f>
        <v>90</v>
      </c>
      <c r="U68" s="170">
        <f>IFERROR(__xludf.DUMMYFUNCTION("""COMPUTED_VALUE"""),0.0)</f>
        <v>0</v>
      </c>
      <c r="V68" s="170">
        <f>IFERROR(__xludf.DUMMYFUNCTION("""COMPUTED_VALUE"""),0.0)</f>
        <v>0</v>
      </c>
      <c r="W68" s="170">
        <f>IFERROR(__xludf.DUMMYFUNCTION("""COMPUTED_VALUE"""),0.0)</f>
        <v>0</v>
      </c>
      <c r="X68" s="170">
        <f>IFERROR(__xludf.DUMMYFUNCTION("""COMPUTED_VALUE"""),0.0)</f>
        <v>0</v>
      </c>
      <c r="Y68" s="170">
        <f>IFERROR(__xludf.DUMMYFUNCTION("""COMPUTED_VALUE"""),0.0)</f>
        <v>0</v>
      </c>
      <c r="Z68" s="170">
        <f>IFERROR(__xludf.DUMMYFUNCTION("""COMPUTED_VALUE"""),-90.0)</f>
        <v>-90</v>
      </c>
      <c r="AA68" s="170">
        <f>IFERROR(__xludf.DUMMYFUNCTION("""COMPUTED_VALUE"""),0.0)</f>
        <v>0</v>
      </c>
      <c r="AB68" s="170">
        <f>IFERROR(__xludf.DUMMYFUNCTION("""COMPUTED_VALUE"""),0.0)</f>
        <v>0</v>
      </c>
      <c r="AC68" s="170">
        <f>IFERROR(__xludf.DUMMYFUNCTION("""COMPUTED_VALUE"""),0.0)</f>
        <v>0</v>
      </c>
      <c r="AD68" s="170">
        <f>IFERROR(__xludf.DUMMYFUNCTION("""COMPUTED_VALUE"""),0.0)</f>
        <v>0</v>
      </c>
      <c r="AE68" s="170">
        <f>IFERROR(__xludf.DUMMYFUNCTION("""COMPUTED_VALUE"""),0.0)</f>
        <v>0</v>
      </c>
      <c r="AF68" s="170" t="str">
        <f>IFERROR(__xludf.DUMMYFUNCTION("""COMPUTED_VALUE"""),"-22.9161967,-43.2208276")</f>
        <v>-22.9161967,-43.2208276</v>
      </c>
      <c r="AG68" s="170">
        <f>IFERROR(__xludf.DUMMYFUNCTION("""COMPUTED_VALUE"""),0.0)</f>
        <v>0</v>
      </c>
      <c r="AH68" s="170">
        <f>IFERROR(__xludf.DUMMYFUNCTION("""COMPUTED_VALUE"""),0.0)</f>
        <v>0</v>
      </c>
      <c r="AI68" s="170">
        <f>IFERROR(__xludf.DUMMYFUNCTION("""COMPUTED_VALUE"""),0.0)</f>
        <v>0</v>
      </c>
      <c r="AJ68" s="170">
        <f>IFERROR(__xludf.DUMMYFUNCTION("ROWS(QUERY(Entregas_BD!D:AM,""select D where D ='""&amp;D68&amp;""'"",1))-1"),1.0)</f>
        <v>1</v>
      </c>
    </row>
    <row r="69" ht="22.5" customHeight="1">
      <c r="A69" s="268" t="str">
        <f>IFERROR(__xludf.DUMMYFUNCTION("""COMPUTED_VALUE"""),"")</f>
        <v/>
      </c>
      <c r="B69" s="268" t="str">
        <f>IFERROR(__xludf.DUMMYFUNCTION("""COMPUTED_VALUE"""),"")</f>
        <v/>
      </c>
      <c r="C69" s="268">
        <f>IFERROR(__xludf.DUMMYFUNCTION("""COMPUTED_VALUE"""),135.0)</f>
        <v>135</v>
      </c>
      <c r="D69" s="268" t="str">
        <f>IFERROR(__xludf.DUMMYFUNCTION("""COMPUTED_VALUE"""),"Hospital Universitário Pedro Ernesto")</f>
        <v>Hospital Universitário Pedro Ernesto</v>
      </c>
      <c r="E69" s="268" t="str">
        <f>IFERROR(__xludf.DUMMYFUNCTION("""COMPUTED_VALUE"""),"ZONA NORTE")</f>
        <v>ZONA NORTE</v>
      </c>
      <c r="F69" s="268" t="str">
        <f>IFERROR(__xludf.DUMMYFUNCTION("""COMPUTED_VALUE"""),"Rio de Janeiro")</f>
        <v>Rio de Janeiro</v>
      </c>
      <c r="G69" s="268" t="str">
        <f>IFERROR(__xludf.DUMMYFUNCTION("""COMPUTED_VALUE"""),"Vila Isabel")</f>
        <v>Vila Isabel</v>
      </c>
      <c r="H69" s="268" t="str">
        <f>IFERROR(__xludf.DUMMYFUNCTION("""COMPUTED_VALUE"""),"Referência - ALTA COMPLEXIDADE")</f>
        <v>Referência - ALTA COMPLEXIDADE</v>
      </c>
      <c r="I69" s="268" t="str">
        <f>IFERROR(__xludf.DUMMYFUNCTION("""COMPUTED_VALUE"""),"Público")</f>
        <v>Público</v>
      </c>
      <c r="J69" s="268" t="str">
        <f>IFERROR(__xludf.DUMMYFUNCTION("""COMPUTED_VALUE"""),"")</f>
        <v/>
      </c>
      <c r="K69" s="268" t="str">
        <f>IFERROR(__xludf.DUMMYFUNCTION("""COMPUTED_VALUE"""),"")</f>
        <v/>
      </c>
      <c r="L69" s="268" t="str">
        <f>IFERROR(__xludf.DUMMYFUNCTION("""COMPUTED_VALUE"""),"")</f>
        <v/>
      </c>
      <c r="M69" s="268" t="str">
        <f>IFERROR(__xludf.DUMMYFUNCTION("""COMPUTED_VALUE"""),"")</f>
        <v/>
      </c>
      <c r="N69" s="268">
        <f>IFERROR(__xludf.DUMMYFUNCTION("""COMPUTED_VALUE"""),0.0)</f>
        <v>0</v>
      </c>
      <c r="O69" s="268">
        <f>IFERROR(__xludf.DUMMYFUNCTION("""COMPUTED_VALUE"""),0.0)</f>
        <v>0</v>
      </c>
      <c r="P69" s="268">
        <f>IFERROR(__xludf.DUMMYFUNCTION("""COMPUTED_VALUE"""),0.0)</f>
        <v>0</v>
      </c>
      <c r="Q69" s="268">
        <f>IFERROR(__xludf.DUMMYFUNCTION("""COMPUTED_VALUE"""),0.0)</f>
        <v>0</v>
      </c>
      <c r="R69" s="268">
        <f>IFERROR(__xludf.DUMMYFUNCTION("""COMPUTED_VALUE"""),0.0)</f>
        <v>0</v>
      </c>
      <c r="S69" s="268">
        <f>IFERROR(__xludf.DUMMYFUNCTION("""COMPUTED_VALUE"""),0.0)</f>
        <v>0</v>
      </c>
      <c r="T69" s="268">
        <f>IFERROR(__xludf.DUMMYFUNCTION("""COMPUTED_VALUE"""),100.0)</f>
        <v>100</v>
      </c>
      <c r="U69" s="268">
        <f>IFERROR(__xludf.DUMMYFUNCTION("""COMPUTED_VALUE"""),0.0)</f>
        <v>0</v>
      </c>
      <c r="V69" s="268">
        <f>IFERROR(__xludf.DUMMYFUNCTION("""COMPUTED_VALUE"""),0.0)</f>
        <v>0</v>
      </c>
      <c r="W69" s="268">
        <f>IFERROR(__xludf.DUMMYFUNCTION("""COMPUTED_VALUE"""),0.0)</f>
        <v>0</v>
      </c>
      <c r="X69" s="268">
        <f>IFERROR(__xludf.DUMMYFUNCTION("""COMPUTED_VALUE"""),0.0)</f>
        <v>0</v>
      </c>
      <c r="Y69" s="268">
        <f>IFERROR(__xludf.DUMMYFUNCTION("""COMPUTED_VALUE"""),0.0)</f>
        <v>0</v>
      </c>
      <c r="Z69" s="268">
        <f>IFERROR(__xludf.DUMMYFUNCTION("""COMPUTED_VALUE"""),-100.0)</f>
        <v>-100</v>
      </c>
      <c r="AA69" s="268">
        <f>IFERROR(__xludf.DUMMYFUNCTION("""COMPUTED_VALUE"""),0.0)</f>
        <v>0</v>
      </c>
      <c r="AB69" s="268">
        <f>IFERROR(__xludf.DUMMYFUNCTION("""COMPUTED_VALUE"""),0.0)</f>
        <v>0</v>
      </c>
      <c r="AC69" s="268">
        <f>IFERROR(__xludf.DUMMYFUNCTION("""COMPUTED_VALUE"""),0.0)</f>
        <v>0</v>
      </c>
      <c r="AD69" s="268">
        <f>IFERROR(__xludf.DUMMYFUNCTION("""COMPUTED_VALUE"""),0.0)</f>
        <v>0</v>
      </c>
      <c r="AE69" s="268">
        <f>IFERROR(__xludf.DUMMYFUNCTION("""COMPUTED_VALUE"""),0.0)</f>
        <v>0</v>
      </c>
      <c r="AF69" s="268" t="str">
        <f>IFERROR(__xludf.DUMMYFUNCTION("""COMPUTED_VALUE"""),"-22.9146836,-43.2371026")</f>
        <v>-22.9146836,-43.2371026</v>
      </c>
      <c r="AG69" s="268">
        <f>IFERROR(__xludf.DUMMYFUNCTION("""COMPUTED_VALUE"""),0.0)</f>
        <v>0</v>
      </c>
      <c r="AH69" s="268">
        <f>IFERROR(__xludf.DUMMYFUNCTION("""COMPUTED_VALUE"""),0.0)</f>
        <v>0</v>
      </c>
      <c r="AI69" s="268">
        <f>IFERROR(__xludf.DUMMYFUNCTION("""COMPUTED_VALUE"""),0.0)</f>
        <v>0</v>
      </c>
      <c r="AJ69" s="268">
        <f>IFERROR(__xludf.DUMMYFUNCTION("ROWS(QUERY(Entregas_BD!D:AM,""select D where D ='""&amp;D69&amp;""'"",1))-1"),1.0)</f>
        <v>1</v>
      </c>
    </row>
    <row r="70" ht="22.5" customHeight="1">
      <c r="A70" s="170" t="str">
        <f>IFERROR(__xludf.DUMMYFUNCTION("""COMPUTED_VALUE"""),"")</f>
        <v/>
      </c>
      <c r="B70" s="170" t="str">
        <f>IFERROR(__xludf.DUMMYFUNCTION("""COMPUTED_VALUE"""),"")</f>
        <v/>
      </c>
      <c r="C70" s="170">
        <f>IFERROR(__xludf.DUMMYFUNCTION("""COMPUTED_VALUE"""),136.0)</f>
        <v>136</v>
      </c>
      <c r="D70" s="170" t="str">
        <f>IFERROR(__xludf.DUMMYFUNCTION("""COMPUTED_VALUE"""),"Hospital Universitário Pedro Ernesto")</f>
        <v>Hospital Universitário Pedro Ernesto</v>
      </c>
      <c r="E70" s="170" t="str">
        <f>IFERROR(__xludf.DUMMYFUNCTION("""COMPUTED_VALUE"""),"ZONA NORTE")</f>
        <v>ZONA NORTE</v>
      </c>
      <c r="F70" s="170" t="str">
        <f>IFERROR(__xludf.DUMMYFUNCTION("""COMPUTED_VALUE"""),"Rio de Janeiro")</f>
        <v>Rio de Janeiro</v>
      </c>
      <c r="G70" s="170" t="str">
        <f>IFERROR(__xludf.DUMMYFUNCTION("""COMPUTED_VALUE"""),"Vila Isabel")</f>
        <v>Vila Isabel</v>
      </c>
      <c r="H70" s="170" t="str">
        <f>IFERROR(__xludf.DUMMYFUNCTION("""COMPUTED_VALUE"""),"Referência - ALTA COMPLEXIDADE")</f>
        <v>Referência - ALTA COMPLEXIDADE</v>
      </c>
      <c r="I70" s="170" t="str">
        <f>IFERROR(__xludf.DUMMYFUNCTION("""COMPUTED_VALUE"""),"Público")</f>
        <v>Público</v>
      </c>
      <c r="J70" s="170" t="str">
        <f>IFERROR(__xludf.DUMMYFUNCTION("""COMPUTED_VALUE"""),"")</f>
        <v/>
      </c>
      <c r="K70" s="170" t="str">
        <f>IFERROR(__xludf.DUMMYFUNCTION("""COMPUTED_VALUE"""),"")</f>
        <v/>
      </c>
      <c r="L70" s="170" t="str">
        <f>IFERROR(__xludf.DUMMYFUNCTION("""COMPUTED_VALUE"""),"")</f>
        <v/>
      </c>
      <c r="M70" s="170" t="str">
        <f>IFERROR(__xludf.DUMMYFUNCTION("""COMPUTED_VALUE"""),"")</f>
        <v/>
      </c>
      <c r="N70" s="170">
        <f>IFERROR(__xludf.DUMMYFUNCTION("""COMPUTED_VALUE"""),0.0)</f>
        <v>0</v>
      </c>
      <c r="O70" s="170">
        <f>IFERROR(__xludf.DUMMYFUNCTION("""COMPUTED_VALUE"""),0.0)</f>
        <v>0</v>
      </c>
      <c r="P70" s="170">
        <f>IFERROR(__xludf.DUMMYFUNCTION("""COMPUTED_VALUE"""),0.0)</f>
        <v>0</v>
      </c>
      <c r="Q70" s="170">
        <f>IFERROR(__xludf.DUMMYFUNCTION("""COMPUTED_VALUE"""),0.0)</f>
        <v>0</v>
      </c>
      <c r="R70" s="170">
        <f>IFERROR(__xludf.DUMMYFUNCTION("""COMPUTED_VALUE"""),0.0)</f>
        <v>0</v>
      </c>
      <c r="S70" s="170">
        <f>IFERROR(__xludf.DUMMYFUNCTION("""COMPUTED_VALUE"""),0.0)</f>
        <v>0</v>
      </c>
      <c r="T70" s="170">
        <f>IFERROR(__xludf.DUMMYFUNCTION("""COMPUTED_VALUE"""),100.0)</f>
        <v>100</v>
      </c>
      <c r="U70" s="170">
        <f>IFERROR(__xludf.DUMMYFUNCTION("""COMPUTED_VALUE"""),0.0)</f>
        <v>0</v>
      </c>
      <c r="V70" s="170">
        <f>IFERROR(__xludf.DUMMYFUNCTION("""COMPUTED_VALUE"""),0.0)</f>
        <v>0</v>
      </c>
      <c r="W70" s="170">
        <f>IFERROR(__xludf.DUMMYFUNCTION("""COMPUTED_VALUE"""),0.0)</f>
        <v>0</v>
      </c>
      <c r="X70" s="170">
        <f>IFERROR(__xludf.DUMMYFUNCTION("""COMPUTED_VALUE"""),0.0)</f>
        <v>0</v>
      </c>
      <c r="Y70" s="170">
        <f>IFERROR(__xludf.DUMMYFUNCTION("""COMPUTED_VALUE"""),0.0)</f>
        <v>0</v>
      </c>
      <c r="Z70" s="170">
        <f>IFERROR(__xludf.DUMMYFUNCTION("""COMPUTED_VALUE"""),-100.0)</f>
        <v>-100</v>
      </c>
      <c r="AA70" s="170">
        <f>IFERROR(__xludf.DUMMYFUNCTION("""COMPUTED_VALUE"""),0.0)</f>
        <v>0</v>
      </c>
      <c r="AB70" s="170">
        <f>IFERROR(__xludf.DUMMYFUNCTION("""COMPUTED_VALUE"""),0.0)</f>
        <v>0</v>
      </c>
      <c r="AC70" s="170">
        <f>IFERROR(__xludf.DUMMYFUNCTION("""COMPUTED_VALUE"""),0.0)</f>
        <v>0</v>
      </c>
      <c r="AD70" s="170">
        <f>IFERROR(__xludf.DUMMYFUNCTION("""COMPUTED_VALUE"""),0.0)</f>
        <v>0</v>
      </c>
      <c r="AE70" s="170">
        <f>IFERROR(__xludf.DUMMYFUNCTION("""COMPUTED_VALUE"""),0.0)</f>
        <v>0</v>
      </c>
      <c r="AF70" s="170" t="str">
        <f>IFERROR(__xludf.DUMMYFUNCTION("""COMPUTED_VALUE"""),"-22.9146836,-43.2371026")</f>
        <v>-22.9146836,-43.2371026</v>
      </c>
      <c r="AG70" s="170">
        <f>IFERROR(__xludf.DUMMYFUNCTION("""COMPUTED_VALUE"""),0.0)</f>
        <v>0</v>
      </c>
      <c r="AH70" s="170">
        <f>IFERROR(__xludf.DUMMYFUNCTION("""COMPUTED_VALUE"""),0.0)</f>
        <v>0</v>
      </c>
      <c r="AI70" s="170">
        <f>IFERROR(__xludf.DUMMYFUNCTION("""COMPUTED_VALUE"""),0.0)</f>
        <v>0</v>
      </c>
      <c r="AJ70" s="170">
        <f>IFERROR(__xludf.DUMMYFUNCTION("ROWS(QUERY(Entregas_BD!D:AM,""select D where D ='""&amp;D70&amp;""'"",1))-1"),1.0)</f>
        <v>1</v>
      </c>
    </row>
    <row r="71" ht="22.5" customHeight="1">
      <c r="A71" s="268" t="str">
        <f>IFERROR(__xludf.DUMMYFUNCTION("""COMPUTED_VALUE"""),"")</f>
        <v/>
      </c>
      <c r="B71" s="268" t="str">
        <f>IFERROR(__xludf.DUMMYFUNCTION("""COMPUTED_VALUE"""),"")</f>
        <v/>
      </c>
      <c r="C71" s="268">
        <f>IFERROR(__xludf.DUMMYFUNCTION("""COMPUTED_VALUE"""),144.0)</f>
        <v>144</v>
      </c>
      <c r="D71" s="268" t="str">
        <f>IFERROR(__xludf.DUMMYFUNCTION("""COMPUTED_VALUE"""),"Instituto Estadual de Cardiologia Aloysio de Castro")</f>
        <v>Instituto Estadual de Cardiologia Aloysio de Castro</v>
      </c>
      <c r="E71" s="268" t="str">
        <f>IFERROR(__xludf.DUMMYFUNCTION("""COMPUTED_VALUE"""),"ZONA SUL")</f>
        <v>ZONA SUL</v>
      </c>
      <c r="F71" s="268" t="str">
        <f>IFERROR(__xludf.DUMMYFUNCTION("""COMPUTED_VALUE"""),"Rio de Janeiro")</f>
        <v>Rio de Janeiro</v>
      </c>
      <c r="G71" s="268" t="str">
        <f>IFERROR(__xludf.DUMMYFUNCTION("""COMPUTED_VALUE"""),"Humaita")</f>
        <v>Humaita</v>
      </c>
      <c r="H71" s="268" t="str">
        <f>IFERROR(__xludf.DUMMYFUNCTION("""COMPUTED_VALUE"""),"Unidade básica - BAIXA COMPLEXIDADE")</f>
        <v>Unidade básica - BAIXA COMPLEXIDADE</v>
      </c>
      <c r="I71" s="268" t="str">
        <f>IFERROR(__xludf.DUMMYFUNCTION("""COMPUTED_VALUE"""),"Público")</f>
        <v>Público</v>
      </c>
      <c r="J71" s="268" t="str">
        <f>IFERROR(__xludf.DUMMYFUNCTION("""COMPUTED_VALUE"""),"")</f>
        <v/>
      </c>
      <c r="K71" s="268" t="str">
        <f>IFERROR(__xludf.DUMMYFUNCTION("""COMPUTED_VALUE"""),"")</f>
        <v/>
      </c>
      <c r="L71" s="268" t="str">
        <f>IFERROR(__xludf.DUMMYFUNCTION("""COMPUTED_VALUE"""),"")</f>
        <v/>
      </c>
      <c r="M71" s="268" t="str">
        <f>IFERROR(__xludf.DUMMYFUNCTION("""COMPUTED_VALUE"""),"")</f>
        <v/>
      </c>
      <c r="N71" s="268">
        <f>IFERROR(__xludf.DUMMYFUNCTION("""COMPUTED_VALUE"""),0.0)</f>
        <v>0</v>
      </c>
      <c r="O71" s="268">
        <f>IFERROR(__xludf.DUMMYFUNCTION("""COMPUTED_VALUE"""),0.0)</f>
        <v>0</v>
      </c>
      <c r="P71" s="268">
        <f>IFERROR(__xludf.DUMMYFUNCTION("""COMPUTED_VALUE"""),0.0)</f>
        <v>0</v>
      </c>
      <c r="Q71" s="268">
        <f>IFERROR(__xludf.DUMMYFUNCTION("""COMPUTED_VALUE"""),0.0)</f>
        <v>0</v>
      </c>
      <c r="R71" s="268">
        <f>IFERROR(__xludf.DUMMYFUNCTION("""COMPUTED_VALUE"""),0.0)</f>
        <v>0</v>
      </c>
      <c r="S71" s="268">
        <f>IFERROR(__xludf.DUMMYFUNCTION("""COMPUTED_VALUE"""),0.0)</f>
        <v>0</v>
      </c>
      <c r="T71" s="268">
        <f>IFERROR(__xludf.DUMMYFUNCTION("""COMPUTED_VALUE"""),100.0)</f>
        <v>100</v>
      </c>
      <c r="U71" s="268">
        <f>IFERROR(__xludf.DUMMYFUNCTION("""COMPUTED_VALUE"""),0.0)</f>
        <v>0</v>
      </c>
      <c r="V71" s="268">
        <f>IFERROR(__xludf.DUMMYFUNCTION("""COMPUTED_VALUE"""),0.0)</f>
        <v>0</v>
      </c>
      <c r="W71" s="268">
        <f>IFERROR(__xludf.DUMMYFUNCTION("""COMPUTED_VALUE"""),0.0)</f>
        <v>0</v>
      </c>
      <c r="X71" s="268">
        <f>IFERROR(__xludf.DUMMYFUNCTION("""COMPUTED_VALUE"""),0.0)</f>
        <v>0</v>
      </c>
      <c r="Y71" s="268">
        <f>IFERROR(__xludf.DUMMYFUNCTION("""COMPUTED_VALUE"""),0.0)</f>
        <v>0</v>
      </c>
      <c r="Z71" s="268">
        <f>IFERROR(__xludf.DUMMYFUNCTION("""COMPUTED_VALUE"""),-100.0)</f>
        <v>-100</v>
      </c>
      <c r="AA71" s="268">
        <f>IFERROR(__xludf.DUMMYFUNCTION("""COMPUTED_VALUE"""),0.0)</f>
        <v>0</v>
      </c>
      <c r="AB71" s="268">
        <f>IFERROR(__xludf.DUMMYFUNCTION("""COMPUTED_VALUE"""),0.0)</f>
        <v>0</v>
      </c>
      <c r="AC71" s="268">
        <f>IFERROR(__xludf.DUMMYFUNCTION("""COMPUTED_VALUE"""),0.0)</f>
        <v>0</v>
      </c>
      <c r="AD71" s="268">
        <f>IFERROR(__xludf.DUMMYFUNCTION("""COMPUTED_VALUE"""),0.0)</f>
        <v>0</v>
      </c>
      <c r="AE71" s="268">
        <f>IFERROR(__xludf.DUMMYFUNCTION("""COMPUTED_VALUE"""),0.0)</f>
        <v>0</v>
      </c>
      <c r="AF71" s="268" t="str">
        <f>IFERROR(__xludf.DUMMYFUNCTION("""COMPUTED_VALUE"""),"-22.9543288,-43.1982065")</f>
        <v>-22.9543288,-43.1982065</v>
      </c>
      <c r="AG71" s="268">
        <f>IFERROR(__xludf.DUMMYFUNCTION("""COMPUTED_VALUE"""),0.0)</f>
        <v>0</v>
      </c>
      <c r="AH71" s="268">
        <f>IFERROR(__xludf.DUMMYFUNCTION("""COMPUTED_VALUE"""),0.0)</f>
        <v>0</v>
      </c>
      <c r="AI71" s="268">
        <f>IFERROR(__xludf.DUMMYFUNCTION("""COMPUTED_VALUE"""),0.0)</f>
        <v>0</v>
      </c>
      <c r="AJ71" s="268">
        <f>IFERROR(__xludf.DUMMYFUNCTION("ROWS(QUERY(Entregas_BD!D:AM,""select D where D ='""&amp;D71&amp;""'"",1))-1"),1.0)</f>
        <v>1</v>
      </c>
    </row>
    <row r="72" ht="22.5" customHeight="1">
      <c r="A72" s="170" t="str">
        <f>IFERROR(__xludf.DUMMYFUNCTION("""COMPUTED_VALUE"""),"")</f>
        <v/>
      </c>
      <c r="B72" s="170" t="str">
        <f>IFERROR(__xludf.DUMMYFUNCTION("""COMPUTED_VALUE"""),"")</f>
        <v/>
      </c>
      <c r="C72" s="170">
        <f>IFERROR(__xludf.DUMMYFUNCTION("""COMPUTED_VALUE"""),145.0)</f>
        <v>145</v>
      </c>
      <c r="D72" s="170" t="str">
        <f>IFERROR(__xludf.DUMMYFUNCTION("""COMPUTED_VALUE"""),"INSTITUTO ESTADUAL DE DERMATOLOGIA SANITÁRIA")</f>
        <v>INSTITUTO ESTADUAL DE DERMATOLOGIA SANITÁRIA</v>
      </c>
      <c r="E72" s="170" t="str">
        <f>IFERROR(__xludf.DUMMYFUNCTION("""COMPUTED_VALUE"""),"ZONA OESTE")</f>
        <v>ZONA OESTE</v>
      </c>
      <c r="F72" s="170" t="str">
        <f>IFERROR(__xludf.DUMMYFUNCTION("""COMPUTED_VALUE"""),"Rio de Janeiro")</f>
        <v>Rio de Janeiro</v>
      </c>
      <c r="G72" s="170" t="str">
        <f>IFERROR(__xludf.DUMMYFUNCTION("""COMPUTED_VALUE"""),"TANQUE")</f>
        <v>TANQUE</v>
      </c>
      <c r="H72" s="170" t="str">
        <f>IFERROR(__xludf.DUMMYFUNCTION("""COMPUTED_VALUE"""),"Unidade básica - BAIXA COMPLEXIDADE")</f>
        <v>Unidade básica - BAIXA COMPLEXIDADE</v>
      </c>
      <c r="I72" s="170" t="str">
        <f>IFERROR(__xludf.DUMMYFUNCTION("""COMPUTED_VALUE"""),"Público")</f>
        <v>Público</v>
      </c>
      <c r="J72" s="170" t="str">
        <f>IFERROR(__xludf.DUMMYFUNCTION("""COMPUTED_VALUE"""),"")</f>
        <v/>
      </c>
      <c r="K72" s="170" t="str">
        <f>IFERROR(__xludf.DUMMYFUNCTION("""COMPUTED_VALUE"""),"")</f>
        <v/>
      </c>
      <c r="L72" s="170" t="str">
        <f>IFERROR(__xludf.DUMMYFUNCTION("""COMPUTED_VALUE"""),"")</f>
        <v/>
      </c>
      <c r="M72" s="170" t="str">
        <f>IFERROR(__xludf.DUMMYFUNCTION("""COMPUTED_VALUE"""),"")</f>
        <v/>
      </c>
      <c r="N72" s="170">
        <f>IFERROR(__xludf.DUMMYFUNCTION("""COMPUTED_VALUE"""),0.0)</f>
        <v>0</v>
      </c>
      <c r="O72" s="170">
        <f>IFERROR(__xludf.DUMMYFUNCTION("""COMPUTED_VALUE"""),0.0)</f>
        <v>0</v>
      </c>
      <c r="P72" s="170">
        <f>IFERROR(__xludf.DUMMYFUNCTION("""COMPUTED_VALUE"""),0.0)</f>
        <v>0</v>
      </c>
      <c r="Q72" s="170">
        <f>IFERROR(__xludf.DUMMYFUNCTION("""COMPUTED_VALUE"""),0.0)</f>
        <v>0</v>
      </c>
      <c r="R72" s="170">
        <f>IFERROR(__xludf.DUMMYFUNCTION("""COMPUTED_VALUE"""),0.0)</f>
        <v>0</v>
      </c>
      <c r="S72" s="170">
        <f>IFERROR(__xludf.DUMMYFUNCTION("""COMPUTED_VALUE"""),0.0)</f>
        <v>0</v>
      </c>
      <c r="T72" s="170">
        <f>IFERROR(__xludf.DUMMYFUNCTION("""COMPUTED_VALUE"""),50.0)</f>
        <v>50</v>
      </c>
      <c r="U72" s="170">
        <f>IFERROR(__xludf.DUMMYFUNCTION("""COMPUTED_VALUE"""),0.0)</f>
        <v>0</v>
      </c>
      <c r="V72" s="170">
        <f>IFERROR(__xludf.DUMMYFUNCTION("""COMPUTED_VALUE"""),0.0)</f>
        <v>0</v>
      </c>
      <c r="W72" s="170">
        <f>IFERROR(__xludf.DUMMYFUNCTION("""COMPUTED_VALUE"""),0.0)</f>
        <v>0</v>
      </c>
      <c r="X72" s="170">
        <f>IFERROR(__xludf.DUMMYFUNCTION("""COMPUTED_VALUE"""),0.0)</f>
        <v>0</v>
      </c>
      <c r="Y72" s="170">
        <f>IFERROR(__xludf.DUMMYFUNCTION("""COMPUTED_VALUE"""),0.0)</f>
        <v>0</v>
      </c>
      <c r="Z72" s="170">
        <f>IFERROR(__xludf.DUMMYFUNCTION("""COMPUTED_VALUE"""),-50.0)</f>
        <v>-50</v>
      </c>
      <c r="AA72" s="170">
        <f>IFERROR(__xludf.DUMMYFUNCTION("""COMPUTED_VALUE"""),0.0)</f>
        <v>0</v>
      </c>
      <c r="AB72" s="170">
        <f>IFERROR(__xludf.DUMMYFUNCTION("""COMPUTED_VALUE"""),0.0)</f>
        <v>0</v>
      </c>
      <c r="AC72" s="170">
        <f>IFERROR(__xludf.DUMMYFUNCTION("""COMPUTED_VALUE"""),0.0)</f>
        <v>0</v>
      </c>
      <c r="AD72" s="170">
        <f>IFERROR(__xludf.DUMMYFUNCTION("""COMPUTED_VALUE"""),0.0)</f>
        <v>0</v>
      </c>
      <c r="AE72" s="170">
        <f>IFERROR(__xludf.DUMMYFUNCTION("""COMPUTED_VALUE"""),0.0)</f>
        <v>0</v>
      </c>
      <c r="AF72" s="170" t="str">
        <f>IFERROR(__xludf.DUMMYFUNCTION("""COMPUTED_VALUE"""),"-22.9138466,-43.3643215")</f>
        <v>-22.9138466,-43.3643215</v>
      </c>
      <c r="AG72" s="170">
        <f>IFERROR(__xludf.DUMMYFUNCTION("""COMPUTED_VALUE"""),0.0)</f>
        <v>0</v>
      </c>
      <c r="AH72" s="170">
        <f>IFERROR(__xludf.DUMMYFUNCTION("""COMPUTED_VALUE"""),0.0)</f>
        <v>0</v>
      </c>
      <c r="AI72" s="170">
        <f>IFERROR(__xludf.DUMMYFUNCTION("""COMPUTED_VALUE"""),0.0)</f>
        <v>0</v>
      </c>
      <c r="AJ72" s="170">
        <f>IFERROR(__xludf.DUMMYFUNCTION("ROWS(QUERY(Entregas_BD!D:AM,""select D where D ='""&amp;D72&amp;""'"",1))-1"),1.0)</f>
        <v>1</v>
      </c>
    </row>
    <row r="73" ht="22.5" customHeight="1">
      <c r="A73" s="268" t="str">
        <f>IFERROR(__xludf.DUMMYFUNCTION("""COMPUTED_VALUE"""),"")</f>
        <v/>
      </c>
      <c r="B73" s="268" t="str">
        <f>IFERROR(__xludf.DUMMYFUNCTION("""COMPUTED_VALUE"""),"")</f>
        <v/>
      </c>
      <c r="C73" s="268">
        <f>IFERROR(__xludf.DUMMYFUNCTION("""COMPUTED_VALUE"""),146.0)</f>
        <v>146</v>
      </c>
      <c r="D73" s="268" t="str">
        <f>IFERROR(__xludf.DUMMYFUNCTION("""COMPUTED_VALUE"""),"Instituto Estadual de Diabetes e Endocrinologia Luiz Capriglione")</f>
        <v>Instituto Estadual de Diabetes e Endocrinologia Luiz Capriglione</v>
      </c>
      <c r="E73" s="268" t="str">
        <f>IFERROR(__xludf.DUMMYFUNCTION("""COMPUTED_VALUE"""),"CENTRO")</f>
        <v>CENTRO</v>
      </c>
      <c r="F73" s="268" t="str">
        <f>IFERROR(__xludf.DUMMYFUNCTION("""COMPUTED_VALUE"""),"Rio de Janeiro")</f>
        <v>Rio de Janeiro</v>
      </c>
      <c r="G73" s="268" t="str">
        <f>IFERROR(__xludf.DUMMYFUNCTION("""COMPUTED_VALUE"""),"Central do Brasil")</f>
        <v>Central do Brasil</v>
      </c>
      <c r="H73" s="268" t="str">
        <f>IFERROR(__xludf.DUMMYFUNCTION("""COMPUTED_VALUE"""),"Unidade básica - BAIXA COMPLEXIDADE")</f>
        <v>Unidade básica - BAIXA COMPLEXIDADE</v>
      </c>
      <c r="I73" s="268" t="str">
        <f>IFERROR(__xludf.DUMMYFUNCTION("""COMPUTED_VALUE"""),"Público")</f>
        <v>Público</v>
      </c>
      <c r="J73" s="268" t="str">
        <f>IFERROR(__xludf.DUMMYFUNCTION("""COMPUTED_VALUE"""),"")</f>
        <v/>
      </c>
      <c r="K73" s="268" t="str">
        <f>IFERROR(__xludf.DUMMYFUNCTION("""COMPUTED_VALUE"""),"")</f>
        <v/>
      </c>
      <c r="L73" s="268" t="str">
        <f>IFERROR(__xludf.DUMMYFUNCTION("""COMPUTED_VALUE"""),"")</f>
        <v/>
      </c>
      <c r="M73" s="268" t="str">
        <f>IFERROR(__xludf.DUMMYFUNCTION("""COMPUTED_VALUE"""),"")</f>
        <v/>
      </c>
      <c r="N73" s="268">
        <f>IFERROR(__xludf.DUMMYFUNCTION("""COMPUTED_VALUE"""),0.0)</f>
        <v>0</v>
      </c>
      <c r="O73" s="268">
        <f>IFERROR(__xludf.DUMMYFUNCTION("""COMPUTED_VALUE"""),0.0)</f>
        <v>0</v>
      </c>
      <c r="P73" s="268">
        <f>IFERROR(__xludf.DUMMYFUNCTION("""COMPUTED_VALUE"""),0.0)</f>
        <v>0</v>
      </c>
      <c r="Q73" s="268">
        <f>IFERROR(__xludf.DUMMYFUNCTION("""COMPUTED_VALUE"""),0.0)</f>
        <v>0</v>
      </c>
      <c r="R73" s="268">
        <f>IFERROR(__xludf.DUMMYFUNCTION("""COMPUTED_VALUE"""),0.0)</f>
        <v>0</v>
      </c>
      <c r="S73" s="268">
        <f>IFERROR(__xludf.DUMMYFUNCTION("""COMPUTED_VALUE"""),0.0)</f>
        <v>0</v>
      </c>
      <c r="T73" s="268">
        <f>IFERROR(__xludf.DUMMYFUNCTION("""COMPUTED_VALUE"""),50.0)</f>
        <v>50</v>
      </c>
      <c r="U73" s="268">
        <f>IFERROR(__xludf.DUMMYFUNCTION("""COMPUTED_VALUE"""),0.0)</f>
        <v>0</v>
      </c>
      <c r="V73" s="268">
        <f>IFERROR(__xludf.DUMMYFUNCTION("""COMPUTED_VALUE"""),0.0)</f>
        <v>0</v>
      </c>
      <c r="W73" s="268">
        <f>IFERROR(__xludf.DUMMYFUNCTION("""COMPUTED_VALUE"""),0.0)</f>
        <v>0</v>
      </c>
      <c r="X73" s="268">
        <f>IFERROR(__xludf.DUMMYFUNCTION("""COMPUTED_VALUE"""),0.0)</f>
        <v>0</v>
      </c>
      <c r="Y73" s="268">
        <f>IFERROR(__xludf.DUMMYFUNCTION("""COMPUTED_VALUE"""),0.0)</f>
        <v>0</v>
      </c>
      <c r="Z73" s="268">
        <f>IFERROR(__xludf.DUMMYFUNCTION("""COMPUTED_VALUE"""),-50.0)</f>
        <v>-50</v>
      </c>
      <c r="AA73" s="268">
        <f>IFERROR(__xludf.DUMMYFUNCTION("""COMPUTED_VALUE"""),0.0)</f>
        <v>0</v>
      </c>
      <c r="AB73" s="268">
        <f>IFERROR(__xludf.DUMMYFUNCTION("""COMPUTED_VALUE"""),0.0)</f>
        <v>0</v>
      </c>
      <c r="AC73" s="268">
        <f>IFERROR(__xludf.DUMMYFUNCTION("""COMPUTED_VALUE"""),0.0)</f>
        <v>0</v>
      </c>
      <c r="AD73" s="268">
        <f>IFERROR(__xludf.DUMMYFUNCTION("""COMPUTED_VALUE"""),0.0)</f>
        <v>0</v>
      </c>
      <c r="AE73" s="268">
        <f>IFERROR(__xludf.DUMMYFUNCTION("""COMPUTED_VALUE"""),0.0)</f>
        <v>0</v>
      </c>
      <c r="AF73" s="268" t="str">
        <f>IFERROR(__xludf.DUMMYFUNCTION("""COMPUTED_VALUE"""),"-22.9092569,-43.1924888")</f>
        <v>-22.9092569,-43.1924888</v>
      </c>
      <c r="AG73" s="268">
        <f>IFERROR(__xludf.DUMMYFUNCTION("""COMPUTED_VALUE"""),0.0)</f>
        <v>0</v>
      </c>
      <c r="AH73" s="268">
        <f>IFERROR(__xludf.DUMMYFUNCTION("""COMPUTED_VALUE"""),0.0)</f>
        <v>0</v>
      </c>
      <c r="AI73" s="268">
        <f>IFERROR(__xludf.DUMMYFUNCTION("""COMPUTED_VALUE"""),0.0)</f>
        <v>0</v>
      </c>
      <c r="AJ73" s="268">
        <f>IFERROR(__xludf.DUMMYFUNCTION("ROWS(QUERY(Entregas_BD!D:AM,""select D where D ='""&amp;D73&amp;""'"",1))-1"),3.0)</f>
        <v>3</v>
      </c>
    </row>
    <row r="74" ht="22.5" customHeight="1">
      <c r="A74" s="170" t="str">
        <f>IFERROR(__xludf.DUMMYFUNCTION("""COMPUTED_VALUE"""),"")</f>
        <v/>
      </c>
      <c r="B74" s="170" t="str">
        <f>IFERROR(__xludf.DUMMYFUNCTION("""COMPUTED_VALUE"""),"")</f>
        <v/>
      </c>
      <c r="C74" s="170">
        <f>IFERROR(__xludf.DUMMYFUNCTION("""COMPUTED_VALUE"""),147.0)</f>
        <v>147</v>
      </c>
      <c r="D74" s="170" t="str">
        <f>IFERROR(__xludf.DUMMYFUNCTION("""COMPUTED_VALUE"""),"Instituto Estadual de Doenças do Tórax Ary Parreiras")</f>
        <v>Instituto Estadual de Doenças do Tórax Ary Parreiras</v>
      </c>
      <c r="E74" s="170" t="str">
        <f>IFERROR(__xludf.DUMMYFUNCTION("""COMPUTED_VALUE"""),"REGIAO METROPOLITANA")</f>
        <v>REGIAO METROPOLITANA</v>
      </c>
      <c r="F74" s="170" t="str">
        <f>IFERROR(__xludf.DUMMYFUNCTION("""COMPUTED_VALUE"""),"Niteroi")</f>
        <v>Niteroi</v>
      </c>
      <c r="G74" s="170" t="str">
        <f>IFERROR(__xludf.DUMMYFUNCTION("""COMPUTED_VALUE"""),"Barreto")</f>
        <v>Barreto</v>
      </c>
      <c r="H74" s="170" t="str">
        <f>IFERROR(__xludf.DUMMYFUNCTION("""COMPUTED_VALUE"""),"Referência - ALTA COMPLEXIDADE")</f>
        <v>Referência - ALTA COMPLEXIDADE</v>
      </c>
      <c r="I74" s="170" t="str">
        <f>IFERROR(__xludf.DUMMYFUNCTION("""COMPUTED_VALUE"""),"Público")</f>
        <v>Público</v>
      </c>
      <c r="J74" s="170" t="str">
        <f>IFERROR(__xludf.DUMMYFUNCTION("""COMPUTED_VALUE"""),"")</f>
        <v/>
      </c>
      <c r="K74" s="170" t="str">
        <f>IFERROR(__xludf.DUMMYFUNCTION("""COMPUTED_VALUE"""),"")</f>
        <v/>
      </c>
      <c r="L74" s="170" t="str">
        <f>IFERROR(__xludf.DUMMYFUNCTION("""COMPUTED_VALUE"""),"")</f>
        <v/>
      </c>
      <c r="M74" s="170" t="str">
        <f>IFERROR(__xludf.DUMMYFUNCTION("""COMPUTED_VALUE"""),"")</f>
        <v/>
      </c>
      <c r="N74" s="170">
        <f>IFERROR(__xludf.DUMMYFUNCTION("""COMPUTED_VALUE"""),0.0)</f>
        <v>0</v>
      </c>
      <c r="O74" s="170">
        <f>IFERROR(__xludf.DUMMYFUNCTION("""COMPUTED_VALUE"""),0.0)</f>
        <v>0</v>
      </c>
      <c r="P74" s="170">
        <f>IFERROR(__xludf.DUMMYFUNCTION("""COMPUTED_VALUE"""),0.0)</f>
        <v>0</v>
      </c>
      <c r="Q74" s="170">
        <f>IFERROR(__xludf.DUMMYFUNCTION("""COMPUTED_VALUE"""),0.0)</f>
        <v>0</v>
      </c>
      <c r="R74" s="170">
        <f>IFERROR(__xludf.DUMMYFUNCTION("""COMPUTED_VALUE"""),0.0)</f>
        <v>0</v>
      </c>
      <c r="S74" s="170">
        <f>IFERROR(__xludf.DUMMYFUNCTION("""COMPUTED_VALUE"""),0.0)</f>
        <v>0</v>
      </c>
      <c r="T74" s="170">
        <f>IFERROR(__xludf.DUMMYFUNCTION("""COMPUTED_VALUE"""),150.0)</f>
        <v>150</v>
      </c>
      <c r="U74" s="170">
        <f>IFERROR(__xludf.DUMMYFUNCTION("""COMPUTED_VALUE"""),0.0)</f>
        <v>0</v>
      </c>
      <c r="V74" s="170">
        <f>IFERROR(__xludf.DUMMYFUNCTION("""COMPUTED_VALUE"""),0.0)</f>
        <v>0</v>
      </c>
      <c r="W74" s="170">
        <f>IFERROR(__xludf.DUMMYFUNCTION("""COMPUTED_VALUE"""),0.0)</f>
        <v>0</v>
      </c>
      <c r="X74" s="170">
        <f>IFERROR(__xludf.DUMMYFUNCTION("""COMPUTED_VALUE"""),0.0)</f>
        <v>0</v>
      </c>
      <c r="Y74" s="170">
        <f>IFERROR(__xludf.DUMMYFUNCTION("""COMPUTED_VALUE"""),0.0)</f>
        <v>0</v>
      </c>
      <c r="Z74" s="170">
        <f>IFERROR(__xludf.DUMMYFUNCTION("""COMPUTED_VALUE"""),-150.0)</f>
        <v>-150</v>
      </c>
      <c r="AA74" s="170">
        <f>IFERROR(__xludf.DUMMYFUNCTION("""COMPUTED_VALUE"""),0.0)</f>
        <v>0</v>
      </c>
      <c r="AB74" s="170">
        <f>IFERROR(__xludf.DUMMYFUNCTION("""COMPUTED_VALUE"""),0.0)</f>
        <v>0</v>
      </c>
      <c r="AC74" s="170">
        <f>IFERROR(__xludf.DUMMYFUNCTION("""COMPUTED_VALUE"""),0.0)</f>
        <v>0</v>
      </c>
      <c r="AD74" s="170">
        <f>IFERROR(__xludf.DUMMYFUNCTION("""COMPUTED_VALUE"""),0.0)</f>
        <v>0</v>
      </c>
      <c r="AE74" s="170">
        <f>IFERROR(__xludf.DUMMYFUNCTION("""COMPUTED_VALUE"""),0.0)</f>
        <v>0</v>
      </c>
      <c r="AF74" s="170" t="str">
        <f>IFERROR(__xludf.DUMMYFUNCTION("""COMPUTED_VALUE"""),"-22.8648411,-43.0993415")</f>
        <v>-22.8648411,-43.0993415</v>
      </c>
      <c r="AG74" s="170">
        <f>IFERROR(__xludf.DUMMYFUNCTION("""COMPUTED_VALUE"""),0.0)</f>
        <v>0</v>
      </c>
      <c r="AH74" s="170">
        <f>IFERROR(__xludf.DUMMYFUNCTION("""COMPUTED_VALUE"""),0.0)</f>
        <v>0</v>
      </c>
      <c r="AI74" s="170">
        <f>IFERROR(__xludf.DUMMYFUNCTION("""COMPUTED_VALUE"""),0.0)</f>
        <v>0</v>
      </c>
      <c r="AJ74" s="170">
        <f>IFERROR(__xludf.DUMMYFUNCTION("ROWS(QUERY(Entregas_BD!D:AM,""select D where D ='""&amp;D74&amp;""'"",1))-1"),1.0)</f>
        <v>1</v>
      </c>
    </row>
    <row r="75" ht="22.5" customHeight="1">
      <c r="A75" s="268" t="str">
        <f>IFERROR(__xludf.DUMMYFUNCTION("""COMPUTED_VALUE"""),"")</f>
        <v/>
      </c>
      <c r="B75" s="268" t="str">
        <f>IFERROR(__xludf.DUMMYFUNCTION("""COMPUTED_VALUE"""),"")</f>
        <v/>
      </c>
      <c r="C75" s="268">
        <f>IFERROR(__xludf.DUMMYFUNCTION("""COMPUTED_VALUE"""),148.0)</f>
        <v>148</v>
      </c>
      <c r="D75" s="268" t="str">
        <f>IFERROR(__xludf.DUMMYFUNCTION("""COMPUTED_VALUE"""),"Instituto Estadual do Cérebro Paulo Niemeyer")</f>
        <v>Instituto Estadual do Cérebro Paulo Niemeyer</v>
      </c>
      <c r="E75" s="268" t="str">
        <f>IFERROR(__xludf.DUMMYFUNCTION("""COMPUTED_VALUE"""),"CENTRO")</f>
        <v>CENTRO</v>
      </c>
      <c r="F75" s="268" t="str">
        <f>IFERROR(__xludf.DUMMYFUNCTION("""COMPUTED_VALUE"""),"Rio de Janeiro")</f>
        <v>Rio de Janeiro</v>
      </c>
      <c r="G75" s="268" t="str">
        <f>IFERROR(__xludf.DUMMYFUNCTION("""COMPUTED_VALUE"""),"Lapa")</f>
        <v>Lapa</v>
      </c>
      <c r="H75" s="268" t="str">
        <f>IFERROR(__xludf.DUMMYFUNCTION("""COMPUTED_VALUE"""),"Referência - ALTA COMPLEXIDADE")</f>
        <v>Referência - ALTA COMPLEXIDADE</v>
      </c>
      <c r="I75" s="268" t="str">
        <f>IFERROR(__xludf.DUMMYFUNCTION("""COMPUTED_VALUE"""),"Público")</f>
        <v>Público</v>
      </c>
      <c r="J75" s="268" t="str">
        <f>IFERROR(__xludf.DUMMYFUNCTION("""COMPUTED_VALUE"""),"")</f>
        <v/>
      </c>
      <c r="K75" s="268" t="str">
        <f>IFERROR(__xludf.DUMMYFUNCTION("""COMPUTED_VALUE"""),"")</f>
        <v/>
      </c>
      <c r="L75" s="268" t="str">
        <f>IFERROR(__xludf.DUMMYFUNCTION("""COMPUTED_VALUE"""),"")</f>
        <v/>
      </c>
      <c r="M75" s="268" t="str">
        <f>IFERROR(__xludf.DUMMYFUNCTION("""COMPUTED_VALUE"""),"")</f>
        <v/>
      </c>
      <c r="N75" s="268">
        <f>IFERROR(__xludf.DUMMYFUNCTION("""COMPUTED_VALUE"""),0.0)</f>
        <v>0</v>
      </c>
      <c r="O75" s="268">
        <f>IFERROR(__xludf.DUMMYFUNCTION("""COMPUTED_VALUE"""),0.0)</f>
        <v>0</v>
      </c>
      <c r="P75" s="268">
        <f>IFERROR(__xludf.DUMMYFUNCTION("""COMPUTED_VALUE"""),0.0)</f>
        <v>0</v>
      </c>
      <c r="Q75" s="268">
        <f>IFERROR(__xludf.DUMMYFUNCTION("""COMPUTED_VALUE"""),0.0)</f>
        <v>0</v>
      </c>
      <c r="R75" s="268">
        <f>IFERROR(__xludf.DUMMYFUNCTION("""COMPUTED_VALUE"""),0.0)</f>
        <v>0</v>
      </c>
      <c r="S75" s="268">
        <f>IFERROR(__xludf.DUMMYFUNCTION("""COMPUTED_VALUE"""),0.0)</f>
        <v>0</v>
      </c>
      <c r="T75" s="268">
        <f>IFERROR(__xludf.DUMMYFUNCTION("""COMPUTED_VALUE"""),50.0)</f>
        <v>50</v>
      </c>
      <c r="U75" s="268">
        <f>IFERROR(__xludf.DUMMYFUNCTION("""COMPUTED_VALUE"""),0.0)</f>
        <v>0</v>
      </c>
      <c r="V75" s="268">
        <f>IFERROR(__xludf.DUMMYFUNCTION("""COMPUTED_VALUE"""),0.0)</f>
        <v>0</v>
      </c>
      <c r="W75" s="268">
        <f>IFERROR(__xludf.DUMMYFUNCTION("""COMPUTED_VALUE"""),0.0)</f>
        <v>0</v>
      </c>
      <c r="X75" s="268">
        <f>IFERROR(__xludf.DUMMYFUNCTION("""COMPUTED_VALUE"""),0.0)</f>
        <v>0</v>
      </c>
      <c r="Y75" s="268">
        <f>IFERROR(__xludf.DUMMYFUNCTION("""COMPUTED_VALUE"""),0.0)</f>
        <v>0</v>
      </c>
      <c r="Z75" s="268">
        <f>IFERROR(__xludf.DUMMYFUNCTION("""COMPUTED_VALUE"""),-50.0)</f>
        <v>-50</v>
      </c>
      <c r="AA75" s="268">
        <f>IFERROR(__xludf.DUMMYFUNCTION("""COMPUTED_VALUE"""),0.0)</f>
        <v>0</v>
      </c>
      <c r="AB75" s="268">
        <f>IFERROR(__xludf.DUMMYFUNCTION("""COMPUTED_VALUE"""),0.0)</f>
        <v>0</v>
      </c>
      <c r="AC75" s="268">
        <f>IFERROR(__xludf.DUMMYFUNCTION("""COMPUTED_VALUE"""),0.0)</f>
        <v>0</v>
      </c>
      <c r="AD75" s="268">
        <f>IFERROR(__xludf.DUMMYFUNCTION("""COMPUTED_VALUE"""),0.0)</f>
        <v>0</v>
      </c>
      <c r="AE75" s="268">
        <f>IFERROR(__xludf.DUMMYFUNCTION("""COMPUTED_VALUE"""),0.0)</f>
        <v>0</v>
      </c>
      <c r="AF75" s="268" t="str">
        <f>IFERROR(__xludf.DUMMYFUNCTION("""COMPUTED_VALUE"""),"-22.913457,-43.1876578")</f>
        <v>-22.913457,-43.1876578</v>
      </c>
      <c r="AG75" s="268">
        <f>IFERROR(__xludf.DUMMYFUNCTION("""COMPUTED_VALUE"""),0.0)</f>
        <v>0</v>
      </c>
      <c r="AH75" s="268">
        <f>IFERROR(__xludf.DUMMYFUNCTION("""COMPUTED_VALUE"""),0.0)</f>
        <v>0</v>
      </c>
      <c r="AI75" s="268">
        <f>IFERROR(__xludf.DUMMYFUNCTION("""COMPUTED_VALUE"""),0.0)</f>
        <v>0</v>
      </c>
      <c r="AJ75" s="268">
        <f>IFERROR(__xludf.DUMMYFUNCTION("ROWS(QUERY(Entregas_BD!D:AM,""select D where D ='""&amp;D75&amp;""'"",1))-1"),1.0)</f>
        <v>1</v>
      </c>
    </row>
    <row r="76" ht="22.5" customHeight="1">
      <c r="A76" s="170" t="str">
        <f>IFERROR(__xludf.DUMMYFUNCTION("""COMPUTED_VALUE"""),"")</f>
        <v/>
      </c>
      <c r="B76" s="170" t="str">
        <f>IFERROR(__xludf.DUMMYFUNCTION("""COMPUTED_VALUE"""),"")</f>
        <v/>
      </c>
      <c r="C76" s="170">
        <f>IFERROR(__xludf.DUMMYFUNCTION("""COMPUTED_VALUE"""),151.0)</f>
        <v>151</v>
      </c>
      <c r="D76" s="170" t="str">
        <f>IFERROR(__xludf.DUMMYFUNCTION("""COMPUTED_VALUE"""),"Instituto Fernandes Figueira")</f>
        <v>Instituto Fernandes Figueira</v>
      </c>
      <c r="E76" s="170" t="str">
        <f>IFERROR(__xludf.DUMMYFUNCTION("""COMPUTED_VALUE"""),"ZONA SUL")</f>
        <v>ZONA SUL</v>
      </c>
      <c r="F76" s="170" t="str">
        <f>IFERROR(__xludf.DUMMYFUNCTION("""COMPUTED_VALUE"""),"Rio de Janeiro")</f>
        <v>Rio de Janeiro</v>
      </c>
      <c r="G76" s="170" t="str">
        <f>IFERROR(__xludf.DUMMYFUNCTION("""COMPUTED_VALUE"""),"Flamengo")</f>
        <v>Flamengo</v>
      </c>
      <c r="H76" s="170" t="str">
        <f>IFERROR(__xludf.DUMMYFUNCTION("""COMPUTED_VALUE"""),"Referência - ALTA COMPLEXIDADE")</f>
        <v>Referência - ALTA COMPLEXIDADE</v>
      </c>
      <c r="I76" s="170" t="str">
        <f>IFERROR(__xludf.DUMMYFUNCTION("""COMPUTED_VALUE"""),"Público")</f>
        <v>Público</v>
      </c>
      <c r="J76" s="170" t="str">
        <f>IFERROR(__xludf.DUMMYFUNCTION("""COMPUTED_VALUE"""),"")</f>
        <v/>
      </c>
      <c r="K76" s="170" t="str">
        <f>IFERROR(__xludf.DUMMYFUNCTION("""COMPUTED_VALUE"""),"")</f>
        <v/>
      </c>
      <c r="L76" s="170" t="str">
        <f>IFERROR(__xludf.DUMMYFUNCTION("""COMPUTED_VALUE"""),"")</f>
        <v/>
      </c>
      <c r="M76" s="170" t="str">
        <f>IFERROR(__xludf.DUMMYFUNCTION("""COMPUTED_VALUE"""),"")</f>
        <v/>
      </c>
      <c r="N76" s="170">
        <f>IFERROR(__xludf.DUMMYFUNCTION("""COMPUTED_VALUE"""),0.0)</f>
        <v>0</v>
      </c>
      <c r="O76" s="170">
        <f>IFERROR(__xludf.DUMMYFUNCTION("""COMPUTED_VALUE"""),0.0)</f>
        <v>0</v>
      </c>
      <c r="P76" s="170">
        <f>IFERROR(__xludf.DUMMYFUNCTION("""COMPUTED_VALUE"""),0.0)</f>
        <v>0</v>
      </c>
      <c r="Q76" s="170">
        <f>IFERROR(__xludf.DUMMYFUNCTION("""COMPUTED_VALUE"""),0.0)</f>
        <v>0</v>
      </c>
      <c r="R76" s="170">
        <f>IFERROR(__xludf.DUMMYFUNCTION("""COMPUTED_VALUE"""),0.0)</f>
        <v>0</v>
      </c>
      <c r="S76" s="170">
        <f>IFERROR(__xludf.DUMMYFUNCTION("""COMPUTED_VALUE"""),0.0)</f>
        <v>0</v>
      </c>
      <c r="T76" s="170">
        <f>IFERROR(__xludf.DUMMYFUNCTION("""COMPUTED_VALUE"""),200.0)</f>
        <v>200</v>
      </c>
      <c r="U76" s="170">
        <f>IFERROR(__xludf.DUMMYFUNCTION("""COMPUTED_VALUE"""),0.0)</f>
        <v>0</v>
      </c>
      <c r="V76" s="170">
        <f>IFERROR(__xludf.DUMMYFUNCTION("""COMPUTED_VALUE"""),0.0)</f>
        <v>0</v>
      </c>
      <c r="W76" s="170">
        <f>IFERROR(__xludf.DUMMYFUNCTION("""COMPUTED_VALUE"""),0.0)</f>
        <v>0</v>
      </c>
      <c r="X76" s="170">
        <f>IFERROR(__xludf.DUMMYFUNCTION("""COMPUTED_VALUE"""),0.0)</f>
        <v>0</v>
      </c>
      <c r="Y76" s="170">
        <f>IFERROR(__xludf.DUMMYFUNCTION("""COMPUTED_VALUE"""),0.0)</f>
        <v>0</v>
      </c>
      <c r="Z76" s="170">
        <f>IFERROR(__xludf.DUMMYFUNCTION("""COMPUTED_VALUE"""),-200.0)</f>
        <v>-200</v>
      </c>
      <c r="AA76" s="170">
        <f>IFERROR(__xludf.DUMMYFUNCTION("""COMPUTED_VALUE"""),0.0)</f>
        <v>0</v>
      </c>
      <c r="AB76" s="170">
        <f>IFERROR(__xludf.DUMMYFUNCTION("""COMPUTED_VALUE"""),0.0)</f>
        <v>0</v>
      </c>
      <c r="AC76" s="170">
        <f>IFERROR(__xludf.DUMMYFUNCTION("""COMPUTED_VALUE"""),0.0)</f>
        <v>0</v>
      </c>
      <c r="AD76" s="170">
        <f>IFERROR(__xludf.DUMMYFUNCTION("""COMPUTED_VALUE"""),0.0)</f>
        <v>0</v>
      </c>
      <c r="AE76" s="170">
        <f>IFERROR(__xludf.DUMMYFUNCTION("""COMPUTED_VALUE"""),0.0)</f>
        <v>0</v>
      </c>
      <c r="AF76" s="170" t="str">
        <f>IFERROR(__xludf.DUMMYFUNCTION("""COMPUTED_VALUE"""),"-22.9422869,-43.1742243")</f>
        <v>-22.9422869,-43.1742243</v>
      </c>
      <c r="AG76" s="170">
        <f>IFERROR(__xludf.DUMMYFUNCTION("""COMPUTED_VALUE"""),0.0)</f>
        <v>0</v>
      </c>
      <c r="AH76" s="170">
        <f>IFERROR(__xludf.DUMMYFUNCTION("""COMPUTED_VALUE"""),0.0)</f>
        <v>0</v>
      </c>
      <c r="AI76" s="170">
        <f>IFERROR(__xludf.DUMMYFUNCTION("""COMPUTED_VALUE"""),0.0)</f>
        <v>0</v>
      </c>
      <c r="AJ76" s="170">
        <f>IFERROR(__xludf.DUMMYFUNCTION("ROWS(QUERY(Entregas_BD!D:AM,""select D where D ='""&amp;D76&amp;""'"",1))-1"),2.0)</f>
        <v>2</v>
      </c>
    </row>
    <row r="77" ht="22.5" customHeight="1">
      <c r="A77" s="268" t="str">
        <f>IFERROR(__xludf.DUMMYFUNCTION("""COMPUTED_VALUE"""),"")</f>
        <v/>
      </c>
      <c r="B77" s="268" t="str">
        <f>IFERROR(__xludf.DUMMYFUNCTION("""COMPUTED_VALUE"""),"")</f>
        <v/>
      </c>
      <c r="C77" s="268">
        <f>IFERROR(__xludf.DUMMYFUNCTION("""COMPUTED_VALUE"""),169.0)</f>
        <v>169</v>
      </c>
      <c r="D77" s="268" t="str">
        <f>IFERROR(__xludf.DUMMYFUNCTION("""COMPUTED_VALUE"""),"POLICLÍNICA NEWTON ALVES CARDOSO")</f>
        <v>POLICLÍNICA NEWTON ALVES CARDOSO</v>
      </c>
      <c r="E77" s="268" t="str">
        <f>IFERROR(__xludf.DUMMYFUNCTION("""COMPUTED_VALUE"""),"ZONA NORTE")</f>
        <v>ZONA NORTE</v>
      </c>
      <c r="F77" s="268" t="str">
        <f>IFERROR(__xludf.DUMMYFUNCTION("""COMPUTED_VALUE"""),"Rio de Janeiro")</f>
        <v>Rio de Janeiro</v>
      </c>
      <c r="G77" s="268" t="str">
        <f>IFERROR(__xludf.DUMMYFUNCTION("""COMPUTED_VALUE"""),"Cocotá")</f>
        <v>Cocotá</v>
      </c>
      <c r="H77" s="268" t="str">
        <f>IFERROR(__xludf.DUMMYFUNCTION("""COMPUTED_VALUE"""),"Unidade básica - BAIXA COMPLEXIDADE")</f>
        <v>Unidade básica - BAIXA COMPLEXIDADE</v>
      </c>
      <c r="I77" s="268" t="str">
        <f>IFERROR(__xludf.DUMMYFUNCTION("""COMPUTED_VALUE"""),"Público")</f>
        <v>Público</v>
      </c>
      <c r="J77" s="268" t="str">
        <f>IFERROR(__xludf.DUMMYFUNCTION("""COMPUTED_VALUE"""),"")</f>
        <v/>
      </c>
      <c r="K77" s="268" t="str">
        <f>IFERROR(__xludf.DUMMYFUNCTION("""COMPUTED_VALUE"""),"")</f>
        <v/>
      </c>
      <c r="L77" s="268" t="str">
        <f>IFERROR(__xludf.DUMMYFUNCTION("""COMPUTED_VALUE"""),"")</f>
        <v/>
      </c>
      <c r="M77" s="268" t="str">
        <f>IFERROR(__xludf.DUMMYFUNCTION("""COMPUTED_VALUE"""),"")</f>
        <v/>
      </c>
      <c r="N77" s="268">
        <f>IFERROR(__xludf.DUMMYFUNCTION("""COMPUTED_VALUE"""),0.0)</f>
        <v>0</v>
      </c>
      <c r="O77" s="268">
        <f>IFERROR(__xludf.DUMMYFUNCTION("""COMPUTED_VALUE"""),0.0)</f>
        <v>0</v>
      </c>
      <c r="P77" s="268">
        <f>IFERROR(__xludf.DUMMYFUNCTION("""COMPUTED_VALUE"""),0.0)</f>
        <v>0</v>
      </c>
      <c r="Q77" s="268">
        <f>IFERROR(__xludf.DUMMYFUNCTION("""COMPUTED_VALUE"""),0.0)</f>
        <v>0</v>
      </c>
      <c r="R77" s="268">
        <f>IFERROR(__xludf.DUMMYFUNCTION("""COMPUTED_VALUE"""),0.0)</f>
        <v>0</v>
      </c>
      <c r="S77" s="268">
        <f>IFERROR(__xludf.DUMMYFUNCTION("""COMPUTED_VALUE"""),0.0)</f>
        <v>0</v>
      </c>
      <c r="T77" s="268">
        <f>IFERROR(__xludf.DUMMYFUNCTION("""COMPUTED_VALUE"""),6.0)</f>
        <v>6</v>
      </c>
      <c r="U77" s="268">
        <f>IFERROR(__xludf.DUMMYFUNCTION("""COMPUTED_VALUE"""),0.0)</f>
        <v>0</v>
      </c>
      <c r="V77" s="268">
        <f>IFERROR(__xludf.DUMMYFUNCTION("""COMPUTED_VALUE"""),0.0)</f>
        <v>0</v>
      </c>
      <c r="W77" s="268">
        <f>IFERROR(__xludf.DUMMYFUNCTION("""COMPUTED_VALUE"""),0.0)</f>
        <v>0</v>
      </c>
      <c r="X77" s="268">
        <f>IFERROR(__xludf.DUMMYFUNCTION("""COMPUTED_VALUE"""),0.0)</f>
        <v>0</v>
      </c>
      <c r="Y77" s="268">
        <f>IFERROR(__xludf.DUMMYFUNCTION("""COMPUTED_VALUE"""),0.0)</f>
        <v>0</v>
      </c>
      <c r="Z77" s="268">
        <f>IFERROR(__xludf.DUMMYFUNCTION("""COMPUTED_VALUE"""),-6.0)</f>
        <v>-6</v>
      </c>
      <c r="AA77" s="268">
        <f>IFERROR(__xludf.DUMMYFUNCTION("""COMPUTED_VALUE"""),0.0)</f>
        <v>0</v>
      </c>
      <c r="AB77" s="268">
        <f>IFERROR(__xludf.DUMMYFUNCTION("""COMPUTED_VALUE"""),0.0)</f>
        <v>0</v>
      </c>
      <c r="AC77" s="268">
        <f>IFERROR(__xludf.DUMMYFUNCTION("""COMPUTED_VALUE"""),0.0)</f>
        <v>0</v>
      </c>
      <c r="AD77" s="268">
        <f>IFERROR(__xludf.DUMMYFUNCTION("""COMPUTED_VALUE"""),0.0)</f>
        <v>0</v>
      </c>
      <c r="AE77" s="268">
        <f>IFERROR(__xludf.DUMMYFUNCTION("""COMPUTED_VALUE"""),0.0)</f>
        <v>0</v>
      </c>
      <c r="AF77" s="268" t="str">
        <f>IFERROR(__xludf.DUMMYFUNCTION("""COMPUTED_VALUE"""),"")</f>
        <v/>
      </c>
      <c r="AG77" s="268">
        <f>IFERROR(__xludf.DUMMYFUNCTION("""COMPUTED_VALUE"""),0.0)</f>
        <v>0</v>
      </c>
      <c r="AH77" s="268">
        <f>IFERROR(__xludf.DUMMYFUNCTION("""COMPUTED_VALUE"""),0.0)</f>
        <v>0</v>
      </c>
      <c r="AI77" s="268">
        <f>IFERROR(__xludf.DUMMYFUNCTION("""COMPUTED_VALUE"""),0.0)</f>
        <v>0</v>
      </c>
      <c r="AJ77" s="268">
        <f>IFERROR(__xludf.DUMMYFUNCTION("ROWS(QUERY(Entregas_BD!D:AM,""select D where D ='""&amp;D77&amp;""'"",1))-1"),1.0)</f>
        <v>1</v>
      </c>
    </row>
    <row r="78" ht="22.5" customHeight="1">
      <c r="A78" s="170" t="str">
        <f>IFERROR(__xludf.DUMMYFUNCTION("""COMPUTED_VALUE"""),"")</f>
        <v/>
      </c>
      <c r="B78" s="170" t="str">
        <f>IFERROR(__xludf.DUMMYFUNCTION("""COMPUTED_VALUE"""),"")</f>
        <v/>
      </c>
      <c r="C78" s="170">
        <f>IFERROR(__xludf.DUMMYFUNCTION("""COMPUTED_VALUE"""),171.0)</f>
        <v>171</v>
      </c>
      <c r="D78" s="170" t="str">
        <f>IFERROR(__xludf.DUMMYFUNCTION("""COMPUTED_VALUE"""),"Posto Regional de Policia Técnico Científica de São Gonçalo")</f>
        <v>Posto Regional de Policia Técnico Científica de São Gonçalo</v>
      </c>
      <c r="E78" s="170" t="str">
        <f>IFERROR(__xludf.DUMMYFUNCTION("""COMPUTED_VALUE"""),"REGIAO METROPOLITANA")</f>
        <v>REGIAO METROPOLITANA</v>
      </c>
      <c r="F78" s="170" t="str">
        <f>IFERROR(__xludf.DUMMYFUNCTION("""COMPUTED_VALUE"""),"São Gonçalo")</f>
        <v>São Gonçalo</v>
      </c>
      <c r="G78" s="170" t="str">
        <f>IFERROR(__xludf.DUMMYFUNCTION("""COMPUTED_VALUE"""),"Tribobó")</f>
        <v>Tribobó</v>
      </c>
      <c r="H78" s="170" t="str">
        <f>IFERROR(__xludf.DUMMYFUNCTION("""COMPUTED_VALUE"""),"Unidade básica - BAIXA COMPLEXIDADE")</f>
        <v>Unidade básica - BAIXA COMPLEXIDADE</v>
      </c>
      <c r="I78" s="170" t="str">
        <f>IFERROR(__xludf.DUMMYFUNCTION("""COMPUTED_VALUE"""),"Público")</f>
        <v>Público</v>
      </c>
      <c r="J78" s="170" t="str">
        <f>IFERROR(__xludf.DUMMYFUNCTION("""COMPUTED_VALUE"""),"")</f>
        <v/>
      </c>
      <c r="K78" s="170" t="str">
        <f>IFERROR(__xludf.DUMMYFUNCTION("""COMPUTED_VALUE"""),"")</f>
        <v/>
      </c>
      <c r="L78" s="170" t="str">
        <f>IFERROR(__xludf.DUMMYFUNCTION("""COMPUTED_VALUE"""),"")</f>
        <v/>
      </c>
      <c r="M78" s="170" t="str">
        <f>IFERROR(__xludf.DUMMYFUNCTION("""COMPUTED_VALUE"""),"")</f>
        <v/>
      </c>
      <c r="N78" s="170">
        <f>IFERROR(__xludf.DUMMYFUNCTION("""COMPUTED_VALUE"""),0.0)</f>
        <v>0</v>
      </c>
      <c r="O78" s="170">
        <f>IFERROR(__xludf.DUMMYFUNCTION("""COMPUTED_VALUE"""),0.0)</f>
        <v>0</v>
      </c>
      <c r="P78" s="170">
        <f>IFERROR(__xludf.DUMMYFUNCTION("""COMPUTED_VALUE"""),0.0)</f>
        <v>0</v>
      </c>
      <c r="Q78" s="170">
        <f>IFERROR(__xludf.DUMMYFUNCTION("""COMPUTED_VALUE"""),0.0)</f>
        <v>0</v>
      </c>
      <c r="R78" s="170">
        <f>IFERROR(__xludf.DUMMYFUNCTION("""COMPUTED_VALUE"""),0.0)</f>
        <v>0</v>
      </c>
      <c r="S78" s="170">
        <f>IFERROR(__xludf.DUMMYFUNCTION("""COMPUTED_VALUE"""),0.0)</f>
        <v>0</v>
      </c>
      <c r="T78" s="170">
        <f>IFERROR(__xludf.DUMMYFUNCTION("""COMPUTED_VALUE"""),100.0)</f>
        <v>100</v>
      </c>
      <c r="U78" s="170">
        <f>IFERROR(__xludf.DUMMYFUNCTION("""COMPUTED_VALUE"""),0.0)</f>
        <v>0</v>
      </c>
      <c r="V78" s="170">
        <f>IFERROR(__xludf.DUMMYFUNCTION("""COMPUTED_VALUE"""),0.0)</f>
        <v>0</v>
      </c>
      <c r="W78" s="170">
        <f>IFERROR(__xludf.DUMMYFUNCTION("""COMPUTED_VALUE"""),50.0)</f>
        <v>50</v>
      </c>
      <c r="X78" s="170">
        <f>IFERROR(__xludf.DUMMYFUNCTION("""COMPUTED_VALUE"""),0.0)</f>
        <v>0</v>
      </c>
      <c r="Y78" s="170">
        <f>IFERROR(__xludf.DUMMYFUNCTION("""COMPUTED_VALUE"""),0.0)</f>
        <v>0</v>
      </c>
      <c r="Z78" s="170">
        <f>IFERROR(__xludf.DUMMYFUNCTION("""COMPUTED_VALUE"""),-100.0)</f>
        <v>-100</v>
      </c>
      <c r="AA78" s="170">
        <f>IFERROR(__xludf.DUMMYFUNCTION("""COMPUTED_VALUE"""),0.0)</f>
        <v>0</v>
      </c>
      <c r="AB78" s="170">
        <f>IFERROR(__xludf.DUMMYFUNCTION("""COMPUTED_VALUE"""),0.0)</f>
        <v>0</v>
      </c>
      <c r="AC78" s="170">
        <f>IFERROR(__xludf.DUMMYFUNCTION("""COMPUTED_VALUE"""),-50.0)</f>
        <v>-50</v>
      </c>
      <c r="AD78" s="170">
        <f>IFERROR(__xludf.DUMMYFUNCTION("""COMPUTED_VALUE"""),0.0)</f>
        <v>0</v>
      </c>
      <c r="AE78" s="170">
        <f>IFERROR(__xludf.DUMMYFUNCTION("""COMPUTED_VALUE"""),0.0)</f>
        <v>0</v>
      </c>
      <c r="AF78" s="170" t="str">
        <f>IFERROR(__xludf.DUMMYFUNCTION("""COMPUTED_VALUE"""),"")</f>
        <v/>
      </c>
      <c r="AG78" s="170">
        <f>IFERROR(__xludf.DUMMYFUNCTION("""COMPUTED_VALUE"""),0.0)</f>
        <v>0</v>
      </c>
      <c r="AH78" s="170">
        <f>IFERROR(__xludf.DUMMYFUNCTION("""COMPUTED_VALUE"""),0.0)</f>
        <v>0</v>
      </c>
      <c r="AI78" s="170">
        <f>IFERROR(__xludf.DUMMYFUNCTION("""COMPUTED_VALUE"""),0.0)</f>
        <v>0</v>
      </c>
      <c r="AJ78" s="170">
        <f>IFERROR(__xludf.DUMMYFUNCTION("ROWS(QUERY(Entregas_BD!D:AM,""select D where D ='""&amp;D78&amp;""'"",1))-1"),1.0)</f>
        <v>1</v>
      </c>
    </row>
    <row r="79" ht="22.5" customHeight="1">
      <c r="A79" s="268" t="str">
        <f>IFERROR(__xludf.DUMMYFUNCTION("""COMPUTED_VALUE"""),"")</f>
        <v/>
      </c>
      <c r="B79" s="268" t="str">
        <f>IFERROR(__xludf.DUMMYFUNCTION("""COMPUTED_VALUE"""),"")</f>
        <v/>
      </c>
      <c r="C79" s="268">
        <f>IFERROR(__xludf.DUMMYFUNCTION("""COMPUTED_VALUE"""),177.0)</f>
        <v>177</v>
      </c>
      <c r="D79" s="268" t="str">
        <f>IFERROR(__xludf.DUMMYFUNCTION("""COMPUTED_VALUE"""),"SAMU de Duque de Caxias")</f>
        <v>SAMU de Duque de Caxias</v>
      </c>
      <c r="E79" s="268" t="str">
        <f>IFERROR(__xludf.DUMMYFUNCTION("""COMPUTED_VALUE"""),"BAIXADA FLUMINENSE")</f>
        <v>BAIXADA FLUMINENSE</v>
      </c>
      <c r="F79" s="268" t="str">
        <f>IFERROR(__xludf.DUMMYFUNCTION("""COMPUTED_VALUE"""),"Duque de Caxias")</f>
        <v>Duque de Caxias</v>
      </c>
      <c r="G79" s="268" t="str">
        <f>IFERROR(__xludf.DUMMYFUNCTION("""COMPUTED_VALUE"""),"Parque Beira Mar")</f>
        <v>Parque Beira Mar</v>
      </c>
      <c r="H79" s="268" t="str">
        <f>IFERROR(__xludf.DUMMYFUNCTION("""COMPUTED_VALUE"""),"Unidade básica - BAIXA COMPLEXIDADE")</f>
        <v>Unidade básica - BAIXA COMPLEXIDADE</v>
      </c>
      <c r="I79" s="268" t="str">
        <f>IFERROR(__xludf.DUMMYFUNCTION("""COMPUTED_VALUE"""),"Público")</f>
        <v>Público</v>
      </c>
      <c r="J79" s="268" t="str">
        <f>IFERROR(__xludf.DUMMYFUNCTION("""COMPUTED_VALUE"""),"")</f>
        <v/>
      </c>
      <c r="K79" s="268" t="str">
        <f>IFERROR(__xludf.DUMMYFUNCTION("""COMPUTED_VALUE"""),"")</f>
        <v/>
      </c>
      <c r="L79" s="268" t="str">
        <f>IFERROR(__xludf.DUMMYFUNCTION("""COMPUTED_VALUE"""),"")</f>
        <v/>
      </c>
      <c r="M79" s="268" t="str">
        <f>IFERROR(__xludf.DUMMYFUNCTION("""COMPUTED_VALUE"""),"")</f>
        <v/>
      </c>
      <c r="N79" s="268">
        <f>IFERROR(__xludf.DUMMYFUNCTION("""COMPUTED_VALUE"""),0.0)</f>
        <v>0</v>
      </c>
      <c r="O79" s="268">
        <f>IFERROR(__xludf.DUMMYFUNCTION("""COMPUTED_VALUE"""),0.0)</f>
        <v>0</v>
      </c>
      <c r="P79" s="268">
        <f>IFERROR(__xludf.DUMMYFUNCTION("""COMPUTED_VALUE"""),0.0)</f>
        <v>0</v>
      </c>
      <c r="Q79" s="268">
        <f>IFERROR(__xludf.DUMMYFUNCTION("""COMPUTED_VALUE"""),0.0)</f>
        <v>0</v>
      </c>
      <c r="R79" s="268">
        <f>IFERROR(__xludf.DUMMYFUNCTION("""COMPUTED_VALUE"""),0.0)</f>
        <v>0</v>
      </c>
      <c r="S79" s="268">
        <f>IFERROR(__xludf.DUMMYFUNCTION("""COMPUTED_VALUE"""),0.0)</f>
        <v>0</v>
      </c>
      <c r="T79" s="268">
        <f>IFERROR(__xludf.DUMMYFUNCTION("""COMPUTED_VALUE"""),120.0)</f>
        <v>120</v>
      </c>
      <c r="U79" s="268">
        <f>IFERROR(__xludf.DUMMYFUNCTION("""COMPUTED_VALUE"""),0.0)</f>
        <v>0</v>
      </c>
      <c r="V79" s="268">
        <f>IFERROR(__xludf.DUMMYFUNCTION("""COMPUTED_VALUE"""),0.0)</f>
        <v>0</v>
      </c>
      <c r="W79" s="268">
        <f>IFERROR(__xludf.DUMMYFUNCTION("""COMPUTED_VALUE"""),0.0)</f>
        <v>0</v>
      </c>
      <c r="X79" s="268">
        <f>IFERROR(__xludf.DUMMYFUNCTION("""COMPUTED_VALUE"""),0.0)</f>
        <v>0</v>
      </c>
      <c r="Y79" s="268">
        <f>IFERROR(__xludf.DUMMYFUNCTION("""COMPUTED_VALUE"""),0.0)</f>
        <v>0</v>
      </c>
      <c r="Z79" s="268">
        <f>IFERROR(__xludf.DUMMYFUNCTION("""COMPUTED_VALUE"""),-120.0)</f>
        <v>-120</v>
      </c>
      <c r="AA79" s="268">
        <f>IFERROR(__xludf.DUMMYFUNCTION("""COMPUTED_VALUE"""),0.0)</f>
        <v>0</v>
      </c>
      <c r="AB79" s="268">
        <f>IFERROR(__xludf.DUMMYFUNCTION("""COMPUTED_VALUE"""),0.0)</f>
        <v>0</v>
      </c>
      <c r="AC79" s="268">
        <f>IFERROR(__xludf.DUMMYFUNCTION("""COMPUTED_VALUE"""),0.0)</f>
        <v>0</v>
      </c>
      <c r="AD79" s="268">
        <f>IFERROR(__xludf.DUMMYFUNCTION("""COMPUTED_VALUE"""),0.0)</f>
        <v>0</v>
      </c>
      <c r="AE79" s="268">
        <f>IFERROR(__xludf.DUMMYFUNCTION("""COMPUTED_VALUE"""),0.0)</f>
        <v>0</v>
      </c>
      <c r="AF79" s="268" t="str">
        <f>IFERROR(__xludf.DUMMYFUNCTION("""COMPUTED_VALUE"""),"")</f>
        <v/>
      </c>
      <c r="AG79" s="268">
        <f>IFERROR(__xludf.DUMMYFUNCTION("""COMPUTED_VALUE"""),0.0)</f>
        <v>0</v>
      </c>
      <c r="AH79" s="268">
        <f>IFERROR(__xludf.DUMMYFUNCTION("""COMPUTED_VALUE"""),0.0)</f>
        <v>0</v>
      </c>
      <c r="AI79" s="268">
        <f>IFERROR(__xludf.DUMMYFUNCTION("""COMPUTED_VALUE"""),0.0)</f>
        <v>0</v>
      </c>
      <c r="AJ79" s="268">
        <f>IFERROR(__xludf.DUMMYFUNCTION("ROWS(QUERY(Entregas_BD!D:AM,""select D where D ='""&amp;D79&amp;""'"",1))-1"),1.0)</f>
        <v>1</v>
      </c>
    </row>
    <row r="80" ht="22.5" customHeight="1">
      <c r="A80" s="170" t="str">
        <f>IFERROR(__xludf.DUMMYFUNCTION("""COMPUTED_VALUE"""),"")</f>
        <v/>
      </c>
      <c r="B80" s="170" t="str">
        <f>IFERROR(__xludf.DUMMYFUNCTION("""COMPUTED_VALUE"""),"")</f>
        <v/>
      </c>
      <c r="C80" s="170">
        <f>IFERROR(__xludf.DUMMYFUNCTION("""COMPUTED_VALUE"""),178.0)</f>
        <v>178</v>
      </c>
      <c r="D80" s="170" t="str">
        <f>IFERROR(__xludf.DUMMYFUNCTION("""COMPUTED_VALUE"""),"SAMU do Município de São João de Meriti")</f>
        <v>SAMU do Município de São João de Meriti</v>
      </c>
      <c r="E80" s="170" t="str">
        <f>IFERROR(__xludf.DUMMYFUNCTION("""COMPUTED_VALUE"""),"BAIXADA FLUMINENSE")</f>
        <v>BAIXADA FLUMINENSE</v>
      </c>
      <c r="F80" s="170" t="str">
        <f>IFERROR(__xludf.DUMMYFUNCTION("""COMPUTED_VALUE"""),"Sao Joao de Meriti")</f>
        <v>Sao Joao de Meriti</v>
      </c>
      <c r="G80" s="170" t="str">
        <f>IFERROR(__xludf.DUMMYFUNCTION("""COMPUTED_VALUE"""),"Jardim Meriti")</f>
        <v>Jardim Meriti</v>
      </c>
      <c r="H80" s="170" t="str">
        <f>IFERROR(__xludf.DUMMYFUNCTION("""COMPUTED_VALUE"""),"Unidade básica - BAIXA COMPLEXIDADE")</f>
        <v>Unidade básica - BAIXA COMPLEXIDADE</v>
      </c>
      <c r="I80" s="170" t="str">
        <f>IFERROR(__xludf.DUMMYFUNCTION("""COMPUTED_VALUE"""),"Público")</f>
        <v>Público</v>
      </c>
      <c r="J80" s="170" t="str">
        <f>IFERROR(__xludf.DUMMYFUNCTION("""COMPUTED_VALUE"""),"")</f>
        <v/>
      </c>
      <c r="K80" s="170" t="str">
        <f>IFERROR(__xludf.DUMMYFUNCTION("""COMPUTED_VALUE"""),"")</f>
        <v/>
      </c>
      <c r="L80" s="170" t="str">
        <f>IFERROR(__xludf.DUMMYFUNCTION("""COMPUTED_VALUE"""),"")</f>
        <v/>
      </c>
      <c r="M80" s="170" t="str">
        <f>IFERROR(__xludf.DUMMYFUNCTION("""COMPUTED_VALUE"""),"")</f>
        <v/>
      </c>
      <c r="N80" s="170">
        <f>IFERROR(__xludf.DUMMYFUNCTION("""COMPUTED_VALUE"""),0.0)</f>
        <v>0</v>
      </c>
      <c r="O80" s="170">
        <f>IFERROR(__xludf.DUMMYFUNCTION("""COMPUTED_VALUE"""),0.0)</f>
        <v>0</v>
      </c>
      <c r="P80" s="170">
        <f>IFERROR(__xludf.DUMMYFUNCTION("""COMPUTED_VALUE"""),0.0)</f>
        <v>0</v>
      </c>
      <c r="Q80" s="170">
        <f>IFERROR(__xludf.DUMMYFUNCTION("""COMPUTED_VALUE"""),0.0)</f>
        <v>0</v>
      </c>
      <c r="R80" s="170">
        <f>IFERROR(__xludf.DUMMYFUNCTION("""COMPUTED_VALUE"""),0.0)</f>
        <v>0</v>
      </c>
      <c r="S80" s="170">
        <f>IFERROR(__xludf.DUMMYFUNCTION("""COMPUTED_VALUE"""),0.0)</f>
        <v>0</v>
      </c>
      <c r="T80" s="170">
        <f>IFERROR(__xludf.DUMMYFUNCTION("""COMPUTED_VALUE"""),120.0)</f>
        <v>120</v>
      </c>
      <c r="U80" s="170">
        <f>IFERROR(__xludf.DUMMYFUNCTION("""COMPUTED_VALUE"""),0.0)</f>
        <v>0</v>
      </c>
      <c r="V80" s="170">
        <f>IFERROR(__xludf.DUMMYFUNCTION("""COMPUTED_VALUE"""),0.0)</f>
        <v>0</v>
      </c>
      <c r="W80" s="170">
        <f>IFERROR(__xludf.DUMMYFUNCTION("""COMPUTED_VALUE"""),0.0)</f>
        <v>0</v>
      </c>
      <c r="X80" s="170">
        <f>IFERROR(__xludf.DUMMYFUNCTION("""COMPUTED_VALUE"""),0.0)</f>
        <v>0</v>
      </c>
      <c r="Y80" s="170">
        <f>IFERROR(__xludf.DUMMYFUNCTION("""COMPUTED_VALUE"""),0.0)</f>
        <v>0</v>
      </c>
      <c r="Z80" s="170">
        <f>IFERROR(__xludf.DUMMYFUNCTION("""COMPUTED_VALUE"""),-120.0)</f>
        <v>-120</v>
      </c>
      <c r="AA80" s="170">
        <f>IFERROR(__xludf.DUMMYFUNCTION("""COMPUTED_VALUE"""),0.0)</f>
        <v>0</v>
      </c>
      <c r="AB80" s="170">
        <f>IFERROR(__xludf.DUMMYFUNCTION("""COMPUTED_VALUE"""),0.0)</f>
        <v>0</v>
      </c>
      <c r="AC80" s="170">
        <f>IFERROR(__xludf.DUMMYFUNCTION("""COMPUTED_VALUE"""),0.0)</f>
        <v>0</v>
      </c>
      <c r="AD80" s="170">
        <f>IFERROR(__xludf.DUMMYFUNCTION("""COMPUTED_VALUE"""),0.0)</f>
        <v>0</v>
      </c>
      <c r="AE80" s="170">
        <f>IFERROR(__xludf.DUMMYFUNCTION("""COMPUTED_VALUE"""),0.0)</f>
        <v>0</v>
      </c>
      <c r="AF80" s="170" t="str">
        <f>IFERROR(__xludf.DUMMYFUNCTION("""COMPUTED_VALUE"""),"")</f>
        <v/>
      </c>
      <c r="AG80" s="170">
        <f>IFERROR(__xludf.DUMMYFUNCTION("""COMPUTED_VALUE"""),0.0)</f>
        <v>0</v>
      </c>
      <c r="AH80" s="170">
        <f>IFERROR(__xludf.DUMMYFUNCTION("""COMPUTED_VALUE"""),0.0)</f>
        <v>0</v>
      </c>
      <c r="AI80" s="170">
        <f>IFERROR(__xludf.DUMMYFUNCTION("""COMPUTED_VALUE"""),0.0)</f>
        <v>0</v>
      </c>
      <c r="AJ80" s="170">
        <f>IFERROR(__xludf.DUMMYFUNCTION("ROWS(QUERY(Entregas_BD!D:AM,""select D where D ='""&amp;D80&amp;""'"",1))-1"),1.0)</f>
        <v>1</v>
      </c>
    </row>
    <row r="81" ht="22.5" customHeight="1">
      <c r="A81" s="268" t="str">
        <f>IFERROR(__xludf.DUMMYFUNCTION("""COMPUTED_VALUE"""),"")</f>
        <v/>
      </c>
      <c r="B81" s="268" t="str">
        <f>IFERROR(__xludf.DUMMYFUNCTION("""COMPUTED_VALUE"""),"")</f>
        <v/>
      </c>
      <c r="C81" s="268">
        <f>IFERROR(__xludf.DUMMYFUNCTION("""COMPUTED_VALUE"""),186.0)</f>
        <v>186</v>
      </c>
      <c r="D81" s="268" t="str">
        <f>IFERROR(__xludf.DUMMYFUNCTION("""COMPUTED_VALUE"""),"UBS Otacilio da Silva")</f>
        <v>UBS Otacilio da Silva</v>
      </c>
      <c r="E81" s="268" t="str">
        <f>IFERROR(__xludf.DUMMYFUNCTION("""COMPUTED_VALUE"""),"BAIXADA FLUMINENSE")</f>
        <v>BAIXADA FLUMINENSE</v>
      </c>
      <c r="F81" s="268" t="str">
        <f>IFERROR(__xludf.DUMMYFUNCTION("""COMPUTED_VALUE"""),"Duque de Caxias")</f>
        <v>Duque de Caxias</v>
      </c>
      <c r="G81" s="268" t="str">
        <f>IFERROR(__xludf.DUMMYFUNCTION("""COMPUTED_VALUE"""),"Olavo Bilac")</f>
        <v>Olavo Bilac</v>
      </c>
      <c r="H81" s="268" t="str">
        <f>IFERROR(__xludf.DUMMYFUNCTION("""COMPUTED_VALUE"""),"Unidade básica - BAIXA COMPLEXIDADE")</f>
        <v>Unidade básica - BAIXA COMPLEXIDADE</v>
      </c>
      <c r="I81" s="268" t="str">
        <f>IFERROR(__xludf.DUMMYFUNCTION("""COMPUTED_VALUE"""),"Público")</f>
        <v>Público</v>
      </c>
      <c r="J81" s="268" t="str">
        <f>IFERROR(__xludf.DUMMYFUNCTION("""COMPUTED_VALUE"""),"")</f>
        <v/>
      </c>
      <c r="K81" s="268" t="str">
        <f>IFERROR(__xludf.DUMMYFUNCTION("""COMPUTED_VALUE"""),"")</f>
        <v/>
      </c>
      <c r="L81" s="268" t="str">
        <f>IFERROR(__xludf.DUMMYFUNCTION("""COMPUTED_VALUE"""),"")</f>
        <v/>
      </c>
      <c r="M81" s="268" t="str">
        <f>IFERROR(__xludf.DUMMYFUNCTION("""COMPUTED_VALUE"""),"")</f>
        <v/>
      </c>
      <c r="N81" s="268">
        <f>IFERROR(__xludf.DUMMYFUNCTION("""COMPUTED_VALUE"""),0.0)</f>
        <v>0</v>
      </c>
      <c r="O81" s="268">
        <f>IFERROR(__xludf.DUMMYFUNCTION("""COMPUTED_VALUE"""),0.0)</f>
        <v>0</v>
      </c>
      <c r="P81" s="268">
        <f>IFERROR(__xludf.DUMMYFUNCTION("""COMPUTED_VALUE"""),0.0)</f>
        <v>0</v>
      </c>
      <c r="Q81" s="268">
        <f>IFERROR(__xludf.DUMMYFUNCTION("""COMPUTED_VALUE"""),0.0)</f>
        <v>0</v>
      </c>
      <c r="R81" s="268">
        <f>IFERROR(__xludf.DUMMYFUNCTION("""COMPUTED_VALUE"""),0.0)</f>
        <v>0</v>
      </c>
      <c r="S81" s="268">
        <f>IFERROR(__xludf.DUMMYFUNCTION("""COMPUTED_VALUE"""),0.0)</f>
        <v>0</v>
      </c>
      <c r="T81" s="268">
        <f>IFERROR(__xludf.DUMMYFUNCTION("""COMPUTED_VALUE"""),25.0)</f>
        <v>25</v>
      </c>
      <c r="U81" s="268">
        <f>IFERROR(__xludf.DUMMYFUNCTION("""COMPUTED_VALUE"""),0.0)</f>
        <v>0</v>
      </c>
      <c r="V81" s="268">
        <f>IFERROR(__xludf.DUMMYFUNCTION("""COMPUTED_VALUE"""),0.0)</f>
        <v>0</v>
      </c>
      <c r="W81" s="268">
        <f>IFERROR(__xludf.DUMMYFUNCTION("""COMPUTED_VALUE"""),0.0)</f>
        <v>0</v>
      </c>
      <c r="X81" s="268">
        <f>IFERROR(__xludf.DUMMYFUNCTION("""COMPUTED_VALUE"""),0.0)</f>
        <v>0</v>
      </c>
      <c r="Y81" s="268">
        <f>IFERROR(__xludf.DUMMYFUNCTION("""COMPUTED_VALUE"""),0.0)</f>
        <v>0</v>
      </c>
      <c r="Z81" s="268">
        <f>IFERROR(__xludf.DUMMYFUNCTION("""COMPUTED_VALUE"""),-25.0)</f>
        <v>-25</v>
      </c>
      <c r="AA81" s="268">
        <f>IFERROR(__xludf.DUMMYFUNCTION("""COMPUTED_VALUE"""),0.0)</f>
        <v>0</v>
      </c>
      <c r="AB81" s="268">
        <f>IFERROR(__xludf.DUMMYFUNCTION("""COMPUTED_VALUE"""),0.0)</f>
        <v>0</v>
      </c>
      <c r="AC81" s="268">
        <f>IFERROR(__xludf.DUMMYFUNCTION("""COMPUTED_VALUE"""),0.0)</f>
        <v>0</v>
      </c>
      <c r="AD81" s="268">
        <f>IFERROR(__xludf.DUMMYFUNCTION("""COMPUTED_VALUE"""),0.0)</f>
        <v>0</v>
      </c>
      <c r="AE81" s="268">
        <f>IFERROR(__xludf.DUMMYFUNCTION("""COMPUTED_VALUE"""),0.0)</f>
        <v>0</v>
      </c>
      <c r="AF81" s="268" t="str">
        <f>IFERROR(__xludf.DUMMYFUNCTION("""COMPUTED_VALUE"""),"")</f>
        <v/>
      </c>
      <c r="AG81" s="268">
        <f>IFERROR(__xludf.DUMMYFUNCTION("""COMPUTED_VALUE"""),0.0)</f>
        <v>0</v>
      </c>
      <c r="AH81" s="268">
        <f>IFERROR(__xludf.DUMMYFUNCTION("""COMPUTED_VALUE"""),0.0)</f>
        <v>0</v>
      </c>
      <c r="AI81" s="268">
        <f>IFERROR(__xludf.DUMMYFUNCTION("""COMPUTED_VALUE"""),0.0)</f>
        <v>0</v>
      </c>
      <c r="AJ81" s="268">
        <f>IFERROR(__xludf.DUMMYFUNCTION("ROWS(QUERY(Entregas_BD!D:AM,""select D where D ='""&amp;D81&amp;""'"",1))-1"),1.0)</f>
        <v>1</v>
      </c>
    </row>
    <row r="82" ht="22.5" customHeight="1">
      <c r="A82" s="170" t="str">
        <f>IFERROR(__xludf.DUMMYFUNCTION("""COMPUTED_VALUE"""),"")</f>
        <v/>
      </c>
      <c r="B82" s="170" t="str">
        <f>IFERROR(__xludf.DUMMYFUNCTION("""COMPUTED_VALUE"""),"")</f>
        <v/>
      </c>
      <c r="C82" s="170">
        <f>IFERROR(__xludf.DUMMYFUNCTION("""COMPUTED_VALUE"""),189.0)</f>
        <v>189</v>
      </c>
      <c r="D82" s="170" t="str">
        <f>IFERROR(__xludf.DUMMYFUNCTION("""COMPUTED_VALUE"""),"Hospital UNIMED BARRA")</f>
        <v>Hospital UNIMED BARRA</v>
      </c>
      <c r="E82" s="170" t="str">
        <f>IFERROR(__xludf.DUMMYFUNCTION("""COMPUTED_VALUE"""),"ZONA OESTE")</f>
        <v>ZONA OESTE</v>
      </c>
      <c r="F82" s="170" t="str">
        <f>IFERROR(__xludf.DUMMYFUNCTION("""COMPUTED_VALUE"""),"Rio de Janeiro")</f>
        <v>Rio de Janeiro</v>
      </c>
      <c r="G82" s="170" t="str">
        <f>IFERROR(__xludf.DUMMYFUNCTION("""COMPUTED_VALUE"""),"Barra da Tijuca")</f>
        <v>Barra da Tijuca</v>
      </c>
      <c r="H82" s="170" t="str">
        <f>IFERROR(__xludf.DUMMYFUNCTION("""COMPUTED_VALUE"""),"Referência - ALTA COMPLEXIDADE")</f>
        <v>Referência - ALTA COMPLEXIDADE</v>
      </c>
      <c r="I82" s="170" t="str">
        <f>IFERROR(__xludf.DUMMYFUNCTION("""COMPUTED_VALUE"""),"Privado")</f>
        <v>Privado</v>
      </c>
      <c r="J82" s="170" t="str">
        <f>IFERROR(__xludf.DUMMYFUNCTION("""COMPUTED_VALUE"""),"")</f>
        <v/>
      </c>
      <c r="K82" s="170" t="str">
        <f>IFERROR(__xludf.DUMMYFUNCTION("""COMPUTED_VALUE"""),"")</f>
        <v/>
      </c>
      <c r="L82" s="170" t="str">
        <f>IFERROR(__xludf.DUMMYFUNCTION("""COMPUTED_VALUE"""),"")</f>
        <v/>
      </c>
      <c r="M82" s="170" t="str">
        <f>IFERROR(__xludf.DUMMYFUNCTION("""COMPUTED_VALUE"""),"")</f>
        <v/>
      </c>
      <c r="N82" s="170">
        <f>IFERROR(__xludf.DUMMYFUNCTION("""COMPUTED_VALUE"""),0.0)</f>
        <v>0</v>
      </c>
      <c r="O82" s="170">
        <f>IFERROR(__xludf.DUMMYFUNCTION("""COMPUTED_VALUE"""),0.0)</f>
        <v>0</v>
      </c>
      <c r="P82" s="170">
        <f>IFERROR(__xludf.DUMMYFUNCTION("""COMPUTED_VALUE"""),0.0)</f>
        <v>0</v>
      </c>
      <c r="Q82" s="170">
        <f>IFERROR(__xludf.DUMMYFUNCTION("""COMPUTED_VALUE"""),0.0)</f>
        <v>0</v>
      </c>
      <c r="R82" s="170">
        <f>IFERROR(__xludf.DUMMYFUNCTION("""COMPUTED_VALUE"""),0.0)</f>
        <v>0</v>
      </c>
      <c r="S82" s="170">
        <f>IFERROR(__xludf.DUMMYFUNCTION("""COMPUTED_VALUE"""),0.0)</f>
        <v>0</v>
      </c>
      <c r="T82" s="170">
        <f>IFERROR(__xludf.DUMMYFUNCTION("""COMPUTED_VALUE"""),50.0)</f>
        <v>50</v>
      </c>
      <c r="U82" s="170">
        <f>IFERROR(__xludf.DUMMYFUNCTION("""COMPUTED_VALUE"""),0.0)</f>
        <v>0</v>
      </c>
      <c r="V82" s="170">
        <f>IFERROR(__xludf.DUMMYFUNCTION("""COMPUTED_VALUE"""),0.0)</f>
        <v>0</v>
      </c>
      <c r="W82" s="170">
        <f>IFERROR(__xludf.DUMMYFUNCTION("""COMPUTED_VALUE"""),0.0)</f>
        <v>0</v>
      </c>
      <c r="X82" s="170">
        <f>IFERROR(__xludf.DUMMYFUNCTION("""COMPUTED_VALUE"""),0.0)</f>
        <v>0</v>
      </c>
      <c r="Y82" s="170">
        <f>IFERROR(__xludf.DUMMYFUNCTION("""COMPUTED_VALUE"""),0.0)</f>
        <v>0</v>
      </c>
      <c r="Z82" s="170">
        <f>IFERROR(__xludf.DUMMYFUNCTION("""COMPUTED_VALUE"""),-50.0)</f>
        <v>-50</v>
      </c>
      <c r="AA82" s="170">
        <f>IFERROR(__xludf.DUMMYFUNCTION("""COMPUTED_VALUE"""),0.0)</f>
        <v>0</v>
      </c>
      <c r="AB82" s="170">
        <f>IFERROR(__xludf.DUMMYFUNCTION("""COMPUTED_VALUE"""),0.0)</f>
        <v>0</v>
      </c>
      <c r="AC82" s="170">
        <f>IFERROR(__xludf.DUMMYFUNCTION("""COMPUTED_VALUE"""),0.0)</f>
        <v>0</v>
      </c>
      <c r="AD82" s="170">
        <f>IFERROR(__xludf.DUMMYFUNCTION("""COMPUTED_VALUE"""),0.0)</f>
        <v>0</v>
      </c>
      <c r="AE82" s="170">
        <f>IFERROR(__xludf.DUMMYFUNCTION("""COMPUTED_VALUE"""),0.0)</f>
        <v>0</v>
      </c>
      <c r="AF82" s="170" t="str">
        <f>IFERROR(__xludf.DUMMYFUNCTION("""COMPUTED_VALUE"""),"")</f>
        <v/>
      </c>
      <c r="AG82" s="170">
        <f>IFERROR(__xludf.DUMMYFUNCTION("""COMPUTED_VALUE"""),0.0)</f>
        <v>0</v>
      </c>
      <c r="AH82" s="170">
        <f>IFERROR(__xludf.DUMMYFUNCTION("""COMPUTED_VALUE"""),0.0)</f>
        <v>0</v>
      </c>
      <c r="AI82" s="170">
        <f>IFERROR(__xludf.DUMMYFUNCTION("""COMPUTED_VALUE"""),0.0)</f>
        <v>0</v>
      </c>
      <c r="AJ82" s="170">
        <f>IFERROR(__xludf.DUMMYFUNCTION("ROWS(QUERY(Entregas_BD!D:AM,""select D where D ='""&amp;D82&amp;""'"",1))-1"),1.0)</f>
        <v>1</v>
      </c>
    </row>
    <row r="83" ht="22.5" customHeight="1">
      <c r="A83" s="268" t="str">
        <f>IFERROR(__xludf.DUMMYFUNCTION("""COMPUTED_VALUE"""),"")</f>
        <v/>
      </c>
      <c r="B83" s="268" t="str">
        <f>IFERROR(__xludf.DUMMYFUNCTION("""COMPUTED_VALUE"""),"")</f>
        <v/>
      </c>
      <c r="C83" s="268">
        <f>IFERROR(__xludf.DUMMYFUNCTION("""COMPUTED_VALUE"""),190.0)</f>
        <v>190</v>
      </c>
      <c r="D83" s="268" t="str">
        <f>IFERROR(__xludf.DUMMYFUNCTION("""COMPUTED_VALUE"""),"UPA 24h Dr. Mário Monteiro")</f>
        <v>UPA 24h Dr. Mário Monteiro</v>
      </c>
      <c r="E83" s="269" t="str">
        <f>IFERROR(__xludf.DUMMYFUNCTION("""COMPUTED_VALUE"""),"REGIAO METROPOLITANA")</f>
        <v>REGIAO METROPOLITANA</v>
      </c>
      <c r="F83" s="268" t="str">
        <f>IFERROR(__xludf.DUMMYFUNCTION("""COMPUTED_VALUE"""),"Niteroi")</f>
        <v>Niteroi</v>
      </c>
      <c r="G83" s="268" t="str">
        <f>IFERROR(__xludf.DUMMYFUNCTION("""COMPUTED_VALUE"""),"Regiao oceanica")</f>
        <v>Regiao oceanica</v>
      </c>
      <c r="H83" s="268" t="str">
        <f>IFERROR(__xludf.DUMMYFUNCTION("""COMPUTED_VALUE"""),"Grande emergência - MÉDIA COMPLEXIDADE")</f>
        <v>Grande emergência - MÉDIA COMPLEXIDADE</v>
      </c>
      <c r="I83" s="268" t="str">
        <f>IFERROR(__xludf.DUMMYFUNCTION("""COMPUTED_VALUE"""),"Público")</f>
        <v>Público</v>
      </c>
      <c r="J83" s="268" t="str">
        <f>IFERROR(__xludf.DUMMYFUNCTION("""COMPUTED_VALUE"""),"")</f>
        <v/>
      </c>
      <c r="K83" s="268" t="str">
        <f>IFERROR(__xludf.DUMMYFUNCTION("""COMPUTED_VALUE"""),"")</f>
        <v/>
      </c>
      <c r="L83" s="268" t="str">
        <f>IFERROR(__xludf.DUMMYFUNCTION("""COMPUTED_VALUE"""),"")</f>
        <v/>
      </c>
      <c r="M83" s="268" t="str">
        <f>IFERROR(__xludf.DUMMYFUNCTION("""COMPUTED_VALUE"""),"")</f>
        <v/>
      </c>
      <c r="N83" s="268">
        <f>IFERROR(__xludf.DUMMYFUNCTION("""COMPUTED_VALUE"""),0.0)</f>
        <v>0</v>
      </c>
      <c r="O83" s="268">
        <f>IFERROR(__xludf.DUMMYFUNCTION("""COMPUTED_VALUE"""),0.0)</f>
        <v>0</v>
      </c>
      <c r="P83" s="268">
        <f>IFERROR(__xludf.DUMMYFUNCTION("""COMPUTED_VALUE"""),0.0)</f>
        <v>0</v>
      </c>
      <c r="Q83" s="268">
        <f>IFERROR(__xludf.DUMMYFUNCTION("""COMPUTED_VALUE"""),0.0)</f>
        <v>0</v>
      </c>
      <c r="R83" s="268">
        <f>IFERROR(__xludf.DUMMYFUNCTION("""COMPUTED_VALUE"""),0.0)</f>
        <v>0</v>
      </c>
      <c r="S83" s="268">
        <f>IFERROR(__xludf.DUMMYFUNCTION("""COMPUTED_VALUE"""),0.0)</f>
        <v>0</v>
      </c>
      <c r="T83" s="268">
        <f>IFERROR(__xludf.DUMMYFUNCTION("""COMPUTED_VALUE"""),5.0)</f>
        <v>5</v>
      </c>
      <c r="U83" s="268">
        <f>IFERROR(__xludf.DUMMYFUNCTION("""COMPUTED_VALUE"""),0.0)</f>
        <v>0</v>
      </c>
      <c r="V83" s="268">
        <f>IFERROR(__xludf.DUMMYFUNCTION("""COMPUTED_VALUE"""),0.0)</f>
        <v>0</v>
      </c>
      <c r="W83" s="268">
        <f>IFERROR(__xludf.DUMMYFUNCTION("""COMPUTED_VALUE"""),0.0)</f>
        <v>0</v>
      </c>
      <c r="X83" s="268">
        <f>IFERROR(__xludf.DUMMYFUNCTION("""COMPUTED_VALUE"""),0.0)</f>
        <v>0</v>
      </c>
      <c r="Y83" s="268">
        <f>IFERROR(__xludf.DUMMYFUNCTION("""COMPUTED_VALUE"""),0.0)</f>
        <v>0</v>
      </c>
      <c r="Z83" s="268">
        <f>IFERROR(__xludf.DUMMYFUNCTION("""COMPUTED_VALUE"""),-5.0)</f>
        <v>-5</v>
      </c>
      <c r="AA83" s="268">
        <f>IFERROR(__xludf.DUMMYFUNCTION("""COMPUTED_VALUE"""),0.0)</f>
        <v>0</v>
      </c>
      <c r="AB83" s="268">
        <f>IFERROR(__xludf.DUMMYFUNCTION("""COMPUTED_VALUE"""),0.0)</f>
        <v>0</v>
      </c>
      <c r="AC83" s="268">
        <f>IFERROR(__xludf.DUMMYFUNCTION("""COMPUTED_VALUE"""),0.0)</f>
        <v>0</v>
      </c>
      <c r="AD83" s="268">
        <f>IFERROR(__xludf.DUMMYFUNCTION("""COMPUTED_VALUE"""),0.0)</f>
        <v>0</v>
      </c>
      <c r="AE83" s="268">
        <f>IFERROR(__xludf.DUMMYFUNCTION("""COMPUTED_VALUE"""),0.0)</f>
        <v>0</v>
      </c>
      <c r="AF83" s="268" t="str">
        <f>IFERROR(__xludf.DUMMYFUNCTION("""COMPUTED_VALUE"""),"")</f>
        <v/>
      </c>
      <c r="AG83" s="268">
        <f>IFERROR(__xludf.DUMMYFUNCTION("""COMPUTED_VALUE"""),0.0)</f>
        <v>0</v>
      </c>
      <c r="AH83" s="268">
        <f>IFERROR(__xludf.DUMMYFUNCTION("""COMPUTED_VALUE"""),0.0)</f>
        <v>0</v>
      </c>
      <c r="AI83" s="268">
        <f>IFERROR(__xludf.DUMMYFUNCTION("""COMPUTED_VALUE"""),0.0)</f>
        <v>0</v>
      </c>
      <c r="AJ83" s="268">
        <f>IFERROR(__xludf.DUMMYFUNCTION("ROWS(QUERY(Entregas_BD!D:AM,""select D where D ='""&amp;D83&amp;""'"",1))-1"),1.0)</f>
        <v>1</v>
      </c>
    </row>
    <row r="84" ht="22.5" customHeight="1">
      <c r="A84" s="170" t="str">
        <f>IFERROR(__xludf.DUMMYFUNCTION("""COMPUTED_VALUE"""),"")</f>
        <v/>
      </c>
      <c r="B84" s="170" t="str">
        <f>IFERROR(__xludf.DUMMYFUNCTION("""COMPUTED_VALUE"""),"")</f>
        <v/>
      </c>
      <c r="C84" s="170">
        <f>IFERROR(__xludf.DUMMYFUNCTION("""COMPUTED_VALUE"""),191.0)</f>
        <v>191</v>
      </c>
      <c r="D84" s="170" t="str">
        <f>IFERROR(__xludf.DUMMYFUNCTION("""COMPUTED_VALUE"""),"UPA 24h Manguinhos")</f>
        <v>UPA 24h Manguinhos</v>
      </c>
      <c r="E84" s="270" t="str">
        <f>IFERROR(__xludf.DUMMYFUNCTION("""COMPUTED_VALUE"""),"ZONA NORTE")</f>
        <v>ZONA NORTE</v>
      </c>
      <c r="F84" s="170" t="str">
        <f>IFERROR(__xludf.DUMMYFUNCTION("""COMPUTED_VALUE"""),"Rio de Janeiro")</f>
        <v>Rio de Janeiro</v>
      </c>
      <c r="G84" s="170" t="str">
        <f>IFERROR(__xludf.DUMMYFUNCTION("""COMPUTED_VALUE"""),"Benfica")</f>
        <v>Benfica</v>
      </c>
      <c r="H84" s="170" t="str">
        <f>IFERROR(__xludf.DUMMYFUNCTION("""COMPUTED_VALUE"""),"Grande emergência - MÉDIA COMPLEXIDADE")</f>
        <v>Grande emergência - MÉDIA COMPLEXIDADE</v>
      </c>
      <c r="I84" s="170" t="str">
        <f>IFERROR(__xludf.DUMMYFUNCTION("""COMPUTED_VALUE"""),"Público")</f>
        <v>Público</v>
      </c>
      <c r="J84" s="170" t="str">
        <f>IFERROR(__xludf.DUMMYFUNCTION("""COMPUTED_VALUE"""),"")</f>
        <v/>
      </c>
      <c r="K84" s="170" t="str">
        <f>IFERROR(__xludf.DUMMYFUNCTION("""COMPUTED_VALUE"""),"")</f>
        <v/>
      </c>
      <c r="L84" s="170" t="str">
        <f>IFERROR(__xludf.DUMMYFUNCTION("""COMPUTED_VALUE"""),"")</f>
        <v/>
      </c>
      <c r="M84" s="170" t="str">
        <f>IFERROR(__xludf.DUMMYFUNCTION("""COMPUTED_VALUE"""),"")</f>
        <v/>
      </c>
      <c r="N84" s="170">
        <f>IFERROR(__xludf.DUMMYFUNCTION("""COMPUTED_VALUE"""),0.0)</f>
        <v>0</v>
      </c>
      <c r="O84" s="170">
        <f>IFERROR(__xludf.DUMMYFUNCTION("""COMPUTED_VALUE"""),0.0)</f>
        <v>0</v>
      </c>
      <c r="P84" s="170">
        <f>IFERROR(__xludf.DUMMYFUNCTION("""COMPUTED_VALUE"""),0.0)</f>
        <v>0</v>
      </c>
      <c r="Q84" s="170">
        <f>IFERROR(__xludf.DUMMYFUNCTION("""COMPUTED_VALUE"""),0.0)</f>
        <v>0</v>
      </c>
      <c r="R84" s="170">
        <f>IFERROR(__xludf.DUMMYFUNCTION("""COMPUTED_VALUE"""),0.0)</f>
        <v>0</v>
      </c>
      <c r="S84" s="170">
        <f>IFERROR(__xludf.DUMMYFUNCTION("""COMPUTED_VALUE"""),0.0)</f>
        <v>0</v>
      </c>
      <c r="T84" s="170">
        <f>IFERROR(__xludf.DUMMYFUNCTION("""COMPUTED_VALUE"""),5.0)</f>
        <v>5</v>
      </c>
      <c r="U84" s="170">
        <f>IFERROR(__xludf.DUMMYFUNCTION("""COMPUTED_VALUE"""),0.0)</f>
        <v>0</v>
      </c>
      <c r="V84" s="170">
        <f>IFERROR(__xludf.DUMMYFUNCTION("""COMPUTED_VALUE"""),0.0)</f>
        <v>0</v>
      </c>
      <c r="W84" s="170">
        <f>IFERROR(__xludf.DUMMYFUNCTION("""COMPUTED_VALUE"""),0.0)</f>
        <v>0</v>
      </c>
      <c r="X84" s="170">
        <f>IFERROR(__xludf.DUMMYFUNCTION("""COMPUTED_VALUE"""),0.0)</f>
        <v>0</v>
      </c>
      <c r="Y84" s="170">
        <f>IFERROR(__xludf.DUMMYFUNCTION("""COMPUTED_VALUE"""),25.0)</f>
        <v>25</v>
      </c>
      <c r="Z84" s="170">
        <f>IFERROR(__xludf.DUMMYFUNCTION("""COMPUTED_VALUE"""),-5.0)</f>
        <v>-5</v>
      </c>
      <c r="AA84" s="170">
        <f>IFERROR(__xludf.DUMMYFUNCTION("""COMPUTED_VALUE"""),0.0)</f>
        <v>0</v>
      </c>
      <c r="AB84" s="170">
        <f>IFERROR(__xludf.DUMMYFUNCTION("""COMPUTED_VALUE"""),0.0)</f>
        <v>0</v>
      </c>
      <c r="AC84" s="170">
        <f>IFERROR(__xludf.DUMMYFUNCTION("""COMPUTED_VALUE"""),0.0)</f>
        <v>0</v>
      </c>
      <c r="AD84" s="170">
        <f>IFERROR(__xludf.DUMMYFUNCTION("""COMPUTED_VALUE"""),-25.0)</f>
        <v>-25</v>
      </c>
      <c r="AE84" s="170">
        <f>IFERROR(__xludf.DUMMYFUNCTION("""COMPUTED_VALUE"""),0.0)</f>
        <v>0</v>
      </c>
      <c r="AF84" s="170" t="str">
        <f>IFERROR(__xludf.DUMMYFUNCTION("""COMPUTED_VALUE"""),"")</f>
        <v/>
      </c>
      <c r="AG84" s="170">
        <f>IFERROR(__xludf.DUMMYFUNCTION("""COMPUTED_VALUE"""),0.0)</f>
        <v>0</v>
      </c>
      <c r="AH84" s="170">
        <f>IFERROR(__xludf.DUMMYFUNCTION("""COMPUTED_VALUE"""),0.0)</f>
        <v>0</v>
      </c>
      <c r="AI84" s="170">
        <f>IFERROR(__xludf.DUMMYFUNCTION("""COMPUTED_VALUE"""),0.0)</f>
        <v>0</v>
      </c>
      <c r="AJ84" s="170">
        <f>IFERROR(__xludf.DUMMYFUNCTION("ROWS(QUERY(Entregas_BD!D:AM,""select D where D ='""&amp;D84&amp;""'"",1))-1"),1.0)</f>
        <v>1</v>
      </c>
    </row>
    <row r="85" ht="22.5" customHeight="1">
      <c r="A85" s="268" t="str">
        <f>IFERROR(__xludf.DUMMYFUNCTION("""COMPUTED_VALUE"""),"")</f>
        <v/>
      </c>
      <c r="B85" s="268" t="str">
        <f>IFERROR(__xludf.DUMMYFUNCTION("""COMPUTED_VALUE"""),"")</f>
        <v/>
      </c>
      <c r="C85" s="268">
        <f>IFERROR(__xludf.DUMMYFUNCTION("""COMPUTED_VALUE"""),192.0)</f>
        <v>192</v>
      </c>
      <c r="D85" s="268" t="str">
        <f>IFERROR(__xludf.DUMMYFUNCTION("""COMPUTED_VALUE"""),"UPA Ângela Maria Brito")</f>
        <v>UPA Ângela Maria Brito</v>
      </c>
      <c r="E85" s="271" t="str">
        <f>IFERROR(__xludf.DUMMYFUNCTION("""COMPUTED_VALUE"""),"REGIAO METROPOLITANA")</f>
        <v>REGIAO METROPOLITANA</v>
      </c>
      <c r="F85" s="268" t="str">
        <f>IFERROR(__xludf.DUMMYFUNCTION("""COMPUTED_VALUE"""),"Niterói")</f>
        <v>Niterói</v>
      </c>
      <c r="G85" s="268" t="str">
        <f>IFERROR(__xludf.DUMMYFUNCTION("""COMPUTED_VALUE"""),"Centro / Silva Jardim")</f>
        <v>Centro / Silva Jardim</v>
      </c>
      <c r="H85" s="268" t="str">
        <f>IFERROR(__xludf.DUMMYFUNCTION("""COMPUTED_VALUE"""),"Grande emergência - MÉDIA COMPLEXIDADE")</f>
        <v>Grande emergência - MÉDIA COMPLEXIDADE</v>
      </c>
      <c r="I85" s="268" t="str">
        <f>IFERROR(__xludf.DUMMYFUNCTION("""COMPUTED_VALUE"""),"Público")</f>
        <v>Público</v>
      </c>
      <c r="J85" s="268" t="str">
        <f>IFERROR(__xludf.DUMMYFUNCTION("""COMPUTED_VALUE"""),"")</f>
        <v/>
      </c>
      <c r="K85" s="268" t="str">
        <f>IFERROR(__xludf.DUMMYFUNCTION("""COMPUTED_VALUE"""),"")</f>
        <v/>
      </c>
      <c r="L85" s="268" t="str">
        <f>IFERROR(__xludf.DUMMYFUNCTION("""COMPUTED_VALUE"""),"")</f>
        <v/>
      </c>
      <c r="M85" s="268" t="str">
        <f>IFERROR(__xludf.DUMMYFUNCTION("""COMPUTED_VALUE"""),"")</f>
        <v/>
      </c>
      <c r="N85" s="268">
        <f>IFERROR(__xludf.DUMMYFUNCTION("""COMPUTED_VALUE"""),0.0)</f>
        <v>0</v>
      </c>
      <c r="O85" s="268">
        <f>IFERROR(__xludf.DUMMYFUNCTION("""COMPUTED_VALUE"""),0.0)</f>
        <v>0</v>
      </c>
      <c r="P85" s="268">
        <f>IFERROR(__xludf.DUMMYFUNCTION("""COMPUTED_VALUE"""),0.0)</f>
        <v>0</v>
      </c>
      <c r="Q85" s="268">
        <f>IFERROR(__xludf.DUMMYFUNCTION("""COMPUTED_VALUE"""),0.0)</f>
        <v>0</v>
      </c>
      <c r="R85" s="268">
        <f>IFERROR(__xludf.DUMMYFUNCTION("""COMPUTED_VALUE"""),0.0)</f>
        <v>0</v>
      </c>
      <c r="S85" s="268">
        <f>IFERROR(__xludf.DUMMYFUNCTION("""COMPUTED_VALUE"""),0.0)</f>
        <v>0</v>
      </c>
      <c r="T85" s="268">
        <f>IFERROR(__xludf.DUMMYFUNCTION("""COMPUTED_VALUE"""),20.0)</f>
        <v>20</v>
      </c>
      <c r="U85" s="268">
        <f>IFERROR(__xludf.DUMMYFUNCTION("""COMPUTED_VALUE"""),0.0)</f>
        <v>0</v>
      </c>
      <c r="V85" s="268">
        <f>IFERROR(__xludf.DUMMYFUNCTION("""COMPUTED_VALUE"""),0.0)</f>
        <v>0</v>
      </c>
      <c r="W85" s="268">
        <f>IFERROR(__xludf.DUMMYFUNCTION("""COMPUTED_VALUE"""),0.0)</f>
        <v>0</v>
      </c>
      <c r="X85" s="268">
        <f>IFERROR(__xludf.DUMMYFUNCTION("""COMPUTED_VALUE"""),0.0)</f>
        <v>0</v>
      </c>
      <c r="Y85" s="268">
        <f>IFERROR(__xludf.DUMMYFUNCTION("""COMPUTED_VALUE"""),0.0)</f>
        <v>0</v>
      </c>
      <c r="Z85" s="268">
        <f>IFERROR(__xludf.DUMMYFUNCTION("""COMPUTED_VALUE"""),-20.0)</f>
        <v>-20</v>
      </c>
      <c r="AA85" s="268">
        <f>IFERROR(__xludf.DUMMYFUNCTION("""COMPUTED_VALUE"""),0.0)</f>
        <v>0</v>
      </c>
      <c r="AB85" s="268">
        <f>IFERROR(__xludf.DUMMYFUNCTION("""COMPUTED_VALUE"""),0.0)</f>
        <v>0</v>
      </c>
      <c r="AC85" s="268">
        <f>IFERROR(__xludf.DUMMYFUNCTION("""COMPUTED_VALUE"""),0.0)</f>
        <v>0</v>
      </c>
      <c r="AD85" s="268">
        <f>IFERROR(__xludf.DUMMYFUNCTION("""COMPUTED_VALUE"""),0.0)</f>
        <v>0</v>
      </c>
      <c r="AE85" s="268">
        <f>IFERROR(__xludf.DUMMYFUNCTION("""COMPUTED_VALUE"""),0.0)</f>
        <v>0</v>
      </c>
      <c r="AF85" s="268" t="str">
        <f>IFERROR(__xludf.DUMMYFUNCTION("""COMPUTED_VALUE"""),"")</f>
        <v/>
      </c>
      <c r="AG85" s="268">
        <f>IFERROR(__xludf.DUMMYFUNCTION("""COMPUTED_VALUE"""),0.0)</f>
        <v>0</v>
      </c>
      <c r="AH85" s="268">
        <f>IFERROR(__xludf.DUMMYFUNCTION("""COMPUTED_VALUE"""),0.0)</f>
        <v>0</v>
      </c>
      <c r="AI85" s="268">
        <f>IFERROR(__xludf.DUMMYFUNCTION("""COMPUTED_VALUE"""),0.0)</f>
        <v>0</v>
      </c>
      <c r="AJ85" s="268">
        <f>IFERROR(__xludf.DUMMYFUNCTION("ROWS(QUERY(Entregas_BD!D:AM,""select D where D ='""&amp;D85&amp;""'"",1))-1"),1.0)</f>
        <v>1</v>
      </c>
    </row>
    <row r="86" ht="22.5" customHeight="1">
      <c r="A86" s="170" t="str">
        <f>IFERROR(__xludf.DUMMYFUNCTION("""COMPUTED_VALUE"""),"")</f>
        <v/>
      </c>
      <c r="B86" s="170" t="str">
        <f>IFERROR(__xludf.DUMMYFUNCTION("""COMPUTED_VALUE"""),"")</f>
        <v/>
      </c>
      <c r="C86" s="170">
        <f>IFERROR(__xludf.DUMMYFUNCTION("""COMPUTED_VALUE"""),193.0)</f>
        <v>193</v>
      </c>
      <c r="D86" s="170" t="str">
        <f>IFERROR(__xludf.DUMMYFUNCTION("""COMPUTED_VALUE"""),"Upa Campo Grande 2")</f>
        <v>Upa Campo Grande 2</v>
      </c>
      <c r="E86" s="270" t="str">
        <f>IFERROR(__xludf.DUMMYFUNCTION("""COMPUTED_VALUE"""),"ZONA OESTE")</f>
        <v>ZONA OESTE</v>
      </c>
      <c r="F86" s="170" t="str">
        <f>IFERROR(__xludf.DUMMYFUNCTION("""COMPUTED_VALUE"""),"Rio de Janeiro")</f>
        <v>Rio de Janeiro</v>
      </c>
      <c r="G86" s="170" t="str">
        <f>IFERROR(__xludf.DUMMYFUNCTION("""COMPUTED_VALUE"""),"Campo Grande")</f>
        <v>Campo Grande</v>
      </c>
      <c r="H86" s="170" t="str">
        <f>IFERROR(__xludf.DUMMYFUNCTION("""COMPUTED_VALUE"""),"Grande emergência - MÉDIA COMPLEXIDADE")</f>
        <v>Grande emergência - MÉDIA COMPLEXIDADE</v>
      </c>
      <c r="I86" s="170" t="str">
        <f>IFERROR(__xludf.DUMMYFUNCTION("""COMPUTED_VALUE"""),"Público")</f>
        <v>Público</v>
      </c>
      <c r="J86" s="170" t="str">
        <f>IFERROR(__xludf.DUMMYFUNCTION("""COMPUTED_VALUE"""),"")</f>
        <v/>
      </c>
      <c r="K86" s="170" t="str">
        <f>IFERROR(__xludf.DUMMYFUNCTION("""COMPUTED_VALUE"""),"")</f>
        <v/>
      </c>
      <c r="L86" s="170" t="str">
        <f>IFERROR(__xludf.DUMMYFUNCTION("""COMPUTED_VALUE"""),"")</f>
        <v/>
      </c>
      <c r="M86" s="170" t="str">
        <f>IFERROR(__xludf.DUMMYFUNCTION("""COMPUTED_VALUE"""),"")</f>
        <v/>
      </c>
      <c r="N86" s="170">
        <f>IFERROR(__xludf.DUMMYFUNCTION("""COMPUTED_VALUE"""),0.0)</f>
        <v>0</v>
      </c>
      <c r="O86" s="170">
        <f>IFERROR(__xludf.DUMMYFUNCTION("""COMPUTED_VALUE"""),0.0)</f>
        <v>0</v>
      </c>
      <c r="P86" s="170">
        <f>IFERROR(__xludf.DUMMYFUNCTION("""COMPUTED_VALUE"""),0.0)</f>
        <v>0</v>
      </c>
      <c r="Q86" s="170">
        <f>IFERROR(__xludf.DUMMYFUNCTION("""COMPUTED_VALUE"""),0.0)</f>
        <v>0</v>
      </c>
      <c r="R86" s="170">
        <f>IFERROR(__xludf.DUMMYFUNCTION("""COMPUTED_VALUE"""),0.0)</f>
        <v>0</v>
      </c>
      <c r="S86" s="170">
        <f>IFERROR(__xludf.DUMMYFUNCTION("""COMPUTED_VALUE"""),0.0)</f>
        <v>0</v>
      </c>
      <c r="T86" s="170">
        <f>IFERROR(__xludf.DUMMYFUNCTION("""COMPUTED_VALUE"""),55.0)</f>
        <v>55</v>
      </c>
      <c r="U86" s="170">
        <f>IFERROR(__xludf.DUMMYFUNCTION("""COMPUTED_VALUE"""),0.0)</f>
        <v>0</v>
      </c>
      <c r="V86" s="170">
        <f>IFERROR(__xludf.DUMMYFUNCTION("""COMPUTED_VALUE"""),0.0)</f>
        <v>0</v>
      </c>
      <c r="W86" s="170">
        <f>IFERROR(__xludf.DUMMYFUNCTION("""COMPUTED_VALUE"""),25.0)</f>
        <v>25</v>
      </c>
      <c r="X86" s="170">
        <f>IFERROR(__xludf.DUMMYFUNCTION("""COMPUTED_VALUE"""),25.0)</f>
        <v>25</v>
      </c>
      <c r="Y86" s="170">
        <f>IFERROR(__xludf.DUMMYFUNCTION("""COMPUTED_VALUE"""),5.0)</f>
        <v>5</v>
      </c>
      <c r="Z86" s="170">
        <f>IFERROR(__xludf.DUMMYFUNCTION("""COMPUTED_VALUE"""),-55.0)</f>
        <v>-55</v>
      </c>
      <c r="AA86" s="170">
        <f>IFERROR(__xludf.DUMMYFUNCTION("""COMPUTED_VALUE"""),0.0)</f>
        <v>0</v>
      </c>
      <c r="AB86" s="170">
        <f>IFERROR(__xludf.DUMMYFUNCTION("""COMPUTED_VALUE"""),0.0)</f>
        <v>0</v>
      </c>
      <c r="AC86" s="170">
        <f>IFERROR(__xludf.DUMMYFUNCTION("""COMPUTED_VALUE"""),-25.0)</f>
        <v>-25</v>
      </c>
      <c r="AD86" s="170">
        <f>IFERROR(__xludf.DUMMYFUNCTION("""COMPUTED_VALUE"""),-5.0)</f>
        <v>-5</v>
      </c>
      <c r="AE86" s="170">
        <f>IFERROR(__xludf.DUMMYFUNCTION("""COMPUTED_VALUE"""),-25.0)</f>
        <v>-25</v>
      </c>
      <c r="AF86" s="170" t="str">
        <f>IFERROR(__xludf.DUMMYFUNCTION("""COMPUTED_VALUE"""),"")</f>
        <v/>
      </c>
      <c r="AG86" s="170">
        <f>IFERROR(__xludf.DUMMYFUNCTION("""COMPUTED_VALUE"""),0.0)</f>
        <v>0</v>
      </c>
      <c r="AH86" s="170">
        <f>IFERROR(__xludf.DUMMYFUNCTION("""COMPUTED_VALUE"""),0.0)</f>
        <v>0</v>
      </c>
      <c r="AI86" s="170">
        <f>IFERROR(__xludf.DUMMYFUNCTION("""COMPUTED_VALUE"""),0.0)</f>
        <v>0</v>
      </c>
      <c r="AJ86" s="170">
        <f>IFERROR(__xludf.DUMMYFUNCTION("ROWS(QUERY(Entregas_BD!D:AM,""select D where D ='""&amp;D86&amp;""'"",1))-1"),2.0)</f>
        <v>2</v>
      </c>
    </row>
    <row r="87" ht="22.5" customHeight="1">
      <c r="A87" s="268" t="str">
        <f>IFERROR(__xludf.DUMMYFUNCTION("""COMPUTED_VALUE"""),"")</f>
        <v/>
      </c>
      <c r="B87" s="268" t="str">
        <f>IFERROR(__xludf.DUMMYFUNCTION("""COMPUTED_VALUE"""),"")</f>
        <v/>
      </c>
      <c r="C87" s="268">
        <f>IFERROR(__xludf.DUMMYFUNCTION("""COMPUTED_VALUE"""),194.0)</f>
        <v>194</v>
      </c>
      <c r="D87" s="268" t="str">
        <f>IFERROR(__xludf.DUMMYFUNCTION("""COMPUTED_VALUE"""),"UPA Copacabana")</f>
        <v>UPA Copacabana</v>
      </c>
      <c r="E87" s="272" t="str">
        <f>IFERROR(__xludf.DUMMYFUNCTION("""COMPUTED_VALUE"""),"ZONA SUL")</f>
        <v>ZONA SUL</v>
      </c>
      <c r="F87" s="268" t="str">
        <f>IFERROR(__xludf.DUMMYFUNCTION("""COMPUTED_VALUE"""),"Rio de Janeiro")</f>
        <v>Rio de Janeiro</v>
      </c>
      <c r="G87" s="268" t="str">
        <f>IFERROR(__xludf.DUMMYFUNCTION("""COMPUTED_VALUE"""),"Copacabana")</f>
        <v>Copacabana</v>
      </c>
      <c r="H87" s="268" t="str">
        <f>IFERROR(__xludf.DUMMYFUNCTION("""COMPUTED_VALUE"""),"Grande emergência - MÉDIA COMPLEXIDADE")</f>
        <v>Grande emergência - MÉDIA COMPLEXIDADE</v>
      </c>
      <c r="I87" s="268" t="str">
        <f>IFERROR(__xludf.DUMMYFUNCTION("""COMPUTED_VALUE"""),"Público")</f>
        <v>Público</v>
      </c>
      <c r="J87" s="268" t="str">
        <f>IFERROR(__xludf.DUMMYFUNCTION("""COMPUTED_VALUE"""),"")</f>
        <v/>
      </c>
      <c r="K87" s="268" t="str">
        <f>IFERROR(__xludf.DUMMYFUNCTION("""COMPUTED_VALUE"""),"")</f>
        <v/>
      </c>
      <c r="L87" s="268" t="str">
        <f>IFERROR(__xludf.DUMMYFUNCTION("""COMPUTED_VALUE"""),"")</f>
        <v/>
      </c>
      <c r="M87" s="268" t="str">
        <f>IFERROR(__xludf.DUMMYFUNCTION("""COMPUTED_VALUE"""),"")</f>
        <v/>
      </c>
      <c r="N87" s="268">
        <f>IFERROR(__xludf.DUMMYFUNCTION("""COMPUTED_VALUE"""),0.0)</f>
        <v>0</v>
      </c>
      <c r="O87" s="268">
        <f>IFERROR(__xludf.DUMMYFUNCTION("""COMPUTED_VALUE"""),0.0)</f>
        <v>0</v>
      </c>
      <c r="P87" s="268">
        <f>IFERROR(__xludf.DUMMYFUNCTION("""COMPUTED_VALUE"""),0.0)</f>
        <v>0</v>
      </c>
      <c r="Q87" s="268">
        <f>IFERROR(__xludf.DUMMYFUNCTION("""COMPUTED_VALUE"""),0.0)</f>
        <v>0</v>
      </c>
      <c r="R87" s="268">
        <f>IFERROR(__xludf.DUMMYFUNCTION("""COMPUTED_VALUE"""),0.0)</f>
        <v>0</v>
      </c>
      <c r="S87" s="268">
        <f>IFERROR(__xludf.DUMMYFUNCTION("""COMPUTED_VALUE"""),0.0)</f>
        <v>0</v>
      </c>
      <c r="T87" s="268">
        <f>IFERROR(__xludf.DUMMYFUNCTION("""COMPUTED_VALUE"""),20.0)</f>
        <v>20</v>
      </c>
      <c r="U87" s="268">
        <f>IFERROR(__xludf.DUMMYFUNCTION("""COMPUTED_VALUE"""),0.0)</f>
        <v>0</v>
      </c>
      <c r="V87" s="268">
        <f>IFERROR(__xludf.DUMMYFUNCTION("""COMPUTED_VALUE"""),0.0)</f>
        <v>0</v>
      </c>
      <c r="W87" s="268">
        <f>IFERROR(__xludf.DUMMYFUNCTION("""COMPUTED_VALUE"""),0.0)</f>
        <v>0</v>
      </c>
      <c r="X87" s="268">
        <f>IFERROR(__xludf.DUMMYFUNCTION("""COMPUTED_VALUE"""),25.0)</f>
        <v>25</v>
      </c>
      <c r="Y87" s="268">
        <f>IFERROR(__xludf.DUMMYFUNCTION("""COMPUTED_VALUE"""),0.0)</f>
        <v>0</v>
      </c>
      <c r="Z87" s="268">
        <f>IFERROR(__xludf.DUMMYFUNCTION("""COMPUTED_VALUE"""),-20.0)</f>
        <v>-20</v>
      </c>
      <c r="AA87" s="268">
        <f>IFERROR(__xludf.DUMMYFUNCTION("""COMPUTED_VALUE"""),0.0)</f>
        <v>0</v>
      </c>
      <c r="AB87" s="268">
        <f>IFERROR(__xludf.DUMMYFUNCTION("""COMPUTED_VALUE"""),0.0)</f>
        <v>0</v>
      </c>
      <c r="AC87" s="268">
        <f>IFERROR(__xludf.DUMMYFUNCTION("""COMPUTED_VALUE"""),0.0)</f>
        <v>0</v>
      </c>
      <c r="AD87" s="268">
        <f>IFERROR(__xludf.DUMMYFUNCTION("""COMPUTED_VALUE"""),0.0)</f>
        <v>0</v>
      </c>
      <c r="AE87" s="268">
        <f>IFERROR(__xludf.DUMMYFUNCTION("""COMPUTED_VALUE"""),-25.0)</f>
        <v>-25</v>
      </c>
      <c r="AF87" s="268" t="str">
        <f>IFERROR(__xludf.DUMMYFUNCTION("""COMPUTED_VALUE"""),"")</f>
        <v/>
      </c>
      <c r="AG87" s="268">
        <f>IFERROR(__xludf.DUMMYFUNCTION("""COMPUTED_VALUE"""),0.0)</f>
        <v>0</v>
      </c>
      <c r="AH87" s="268">
        <f>IFERROR(__xludf.DUMMYFUNCTION("""COMPUTED_VALUE"""),0.0)</f>
        <v>0</v>
      </c>
      <c r="AI87" s="268">
        <f>IFERROR(__xludf.DUMMYFUNCTION("""COMPUTED_VALUE"""),0.0)</f>
        <v>0</v>
      </c>
      <c r="AJ87" s="268">
        <f>IFERROR(__xludf.DUMMYFUNCTION("ROWS(QUERY(Entregas_BD!D:AM,""select D where D ='""&amp;D87&amp;""'"",1))-1"),1.0)</f>
        <v>1</v>
      </c>
    </row>
    <row r="88" ht="22.5" customHeight="1">
      <c r="A88" s="170" t="str">
        <f>IFERROR(__xludf.DUMMYFUNCTION("""COMPUTED_VALUE"""),"")</f>
        <v/>
      </c>
      <c r="B88" s="170" t="str">
        <f>IFERROR(__xludf.DUMMYFUNCTION("""COMPUTED_VALUE"""),"")</f>
        <v/>
      </c>
      <c r="C88" s="170">
        <f>IFERROR(__xludf.DUMMYFUNCTION("""COMPUTED_VALUE"""),197.0)</f>
        <v>197</v>
      </c>
      <c r="D88" s="170" t="str">
        <f>IFERROR(__xludf.DUMMYFUNCTION("""COMPUTED_VALUE"""),"Upa engenho de dentro")</f>
        <v>Upa engenho de dentro</v>
      </c>
      <c r="E88" s="270" t="str">
        <f>IFERROR(__xludf.DUMMYFUNCTION("""COMPUTED_VALUE"""),"ZONA NORTE")</f>
        <v>ZONA NORTE</v>
      </c>
      <c r="F88" s="170" t="str">
        <f>IFERROR(__xludf.DUMMYFUNCTION("""COMPUTED_VALUE"""),"Rio de Janeiro")</f>
        <v>Rio de Janeiro</v>
      </c>
      <c r="G88" s="170" t="str">
        <f>IFERROR(__xludf.DUMMYFUNCTION("""COMPUTED_VALUE"""),"Engenho de dentro")</f>
        <v>Engenho de dentro</v>
      </c>
      <c r="H88" s="170" t="str">
        <f>IFERROR(__xludf.DUMMYFUNCTION("""COMPUTED_VALUE"""),"Grande emergência - MÉDIA COMPLEXIDADE")</f>
        <v>Grande emergência - MÉDIA COMPLEXIDADE</v>
      </c>
      <c r="I88" s="170" t="str">
        <f>IFERROR(__xludf.DUMMYFUNCTION("""COMPUTED_VALUE"""),"Público")</f>
        <v>Público</v>
      </c>
      <c r="J88" s="170" t="str">
        <f>IFERROR(__xludf.DUMMYFUNCTION("""COMPUTED_VALUE"""),"")</f>
        <v/>
      </c>
      <c r="K88" s="170" t="str">
        <f>IFERROR(__xludf.DUMMYFUNCTION("""COMPUTED_VALUE"""),"")</f>
        <v/>
      </c>
      <c r="L88" s="170" t="str">
        <f>IFERROR(__xludf.DUMMYFUNCTION("""COMPUTED_VALUE"""),"")</f>
        <v/>
      </c>
      <c r="M88" s="170" t="str">
        <f>IFERROR(__xludf.DUMMYFUNCTION("""COMPUTED_VALUE"""),"")</f>
        <v/>
      </c>
      <c r="N88" s="170">
        <f>IFERROR(__xludf.DUMMYFUNCTION("""COMPUTED_VALUE"""),0.0)</f>
        <v>0</v>
      </c>
      <c r="O88" s="170">
        <f>IFERROR(__xludf.DUMMYFUNCTION("""COMPUTED_VALUE"""),0.0)</f>
        <v>0</v>
      </c>
      <c r="P88" s="170">
        <f>IFERROR(__xludf.DUMMYFUNCTION("""COMPUTED_VALUE"""),0.0)</f>
        <v>0</v>
      </c>
      <c r="Q88" s="170">
        <f>IFERROR(__xludf.DUMMYFUNCTION("""COMPUTED_VALUE"""),0.0)</f>
        <v>0</v>
      </c>
      <c r="R88" s="170">
        <f>IFERROR(__xludf.DUMMYFUNCTION("""COMPUTED_VALUE"""),0.0)</f>
        <v>0</v>
      </c>
      <c r="S88" s="170">
        <f>IFERROR(__xludf.DUMMYFUNCTION("""COMPUTED_VALUE"""),0.0)</f>
        <v>0</v>
      </c>
      <c r="T88" s="170">
        <f>IFERROR(__xludf.DUMMYFUNCTION("""COMPUTED_VALUE"""),0.0)</f>
        <v>0</v>
      </c>
      <c r="U88" s="170">
        <f>IFERROR(__xludf.DUMMYFUNCTION("""COMPUTED_VALUE"""),0.0)</f>
        <v>0</v>
      </c>
      <c r="V88" s="170">
        <f>IFERROR(__xludf.DUMMYFUNCTION("""COMPUTED_VALUE"""),0.0)</f>
        <v>0</v>
      </c>
      <c r="W88" s="170">
        <f>IFERROR(__xludf.DUMMYFUNCTION("""COMPUTED_VALUE"""),0.0)</f>
        <v>0</v>
      </c>
      <c r="X88" s="170">
        <f>IFERROR(__xludf.DUMMYFUNCTION("""COMPUTED_VALUE"""),25.0)</f>
        <v>25</v>
      </c>
      <c r="Y88" s="170">
        <f>IFERROR(__xludf.DUMMYFUNCTION("""COMPUTED_VALUE"""),5.0)</f>
        <v>5</v>
      </c>
      <c r="Z88" s="170">
        <f>IFERROR(__xludf.DUMMYFUNCTION("""COMPUTED_VALUE"""),0.0)</f>
        <v>0</v>
      </c>
      <c r="AA88" s="170">
        <f>IFERROR(__xludf.DUMMYFUNCTION("""COMPUTED_VALUE"""),0.0)</f>
        <v>0</v>
      </c>
      <c r="AB88" s="170">
        <f>IFERROR(__xludf.DUMMYFUNCTION("""COMPUTED_VALUE"""),0.0)</f>
        <v>0</v>
      </c>
      <c r="AC88" s="170">
        <f>IFERROR(__xludf.DUMMYFUNCTION("""COMPUTED_VALUE"""),0.0)</f>
        <v>0</v>
      </c>
      <c r="AD88" s="170">
        <f>IFERROR(__xludf.DUMMYFUNCTION("""COMPUTED_VALUE"""),-5.0)</f>
        <v>-5</v>
      </c>
      <c r="AE88" s="170">
        <f>IFERROR(__xludf.DUMMYFUNCTION("""COMPUTED_VALUE"""),-25.0)</f>
        <v>-25</v>
      </c>
      <c r="AF88" s="170" t="str">
        <f>IFERROR(__xludf.DUMMYFUNCTION("""COMPUTED_VALUE"""),"")</f>
        <v/>
      </c>
      <c r="AG88" s="170">
        <f>IFERROR(__xludf.DUMMYFUNCTION("""COMPUTED_VALUE"""),0.0)</f>
        <v>0</v>
      </c>
      <c r="AH88" s="170">
        <f>IFERROR(__xludf.DUMMYFUNCTION("""COMPUTED_VALUE"""),0.0)</f>
        <v>0</v>
      </c>
      <c r="AI88" s="170">
        <f>IFERROR(__xludf.DUMMYFUNCTION("""COMPUTED_VALUE"""),0.0)</f>
        <v>0</v>
      </c>
      <c r="AJ88" s="170">
        <f>IFERROR(__xludf.DUMMYFUNCTION("ROWS(QUERY(Entregas_BD!D:AM,""select D where D ='""&amp;D88&amp;""'"",1))-1"),1.0)</f>
        <v>1</v>
      </c>
    </row>
    <row r="89" ht="22.5" customHeight="1">
      <c r="A89" s="268" t="str">
        <f>IFERROR(__xludf.DUMMYFUNCTION("""COMPUTED_VALUE"""),"")</f>
        <v/>
      </c>
      <c r="B89" s="268" t="str">
        <f>IFERROR(__xludf.DUMMYFUNCTION("""COMPUTED_VALUE"""),"")</f>
        <v/>
      </c>
      <c r="C89" s="268">
        <f>IFERROR(__xludf.DUMMYFUNCTION("""COMPUTED_VALUE"""),198.0)</f>
        <v>198</v>
      </c>
      <c r="D89" s="268" t="str">
        <f>IFERROR(__xludf.DUMMYFUNCTION("""COMPUTED_VALUE"""),"UPA Irajá")</f>
        <v>UPA Irajá</v>
      </c>
      <c r="E89" s="272" t="str">
        <f>IFERROR(__xludf.DUMMYFUNCTION("""COMPUTED_VALUE"""),"ZONA NORTE")</f>
        <v>ZONA NORTE</v>
      </c>
      <c r="F89" s="268" t="str">
        <f>IFERROR(__xludf.DUMMYFUNCTION("""COMPUTED_VALUE"""),"Rio de Janeiro")</f>
        <v>Rio de Janeiro</v>
      </c>
      <c r="G89" s="268" t="str">
        <f>IFERROR(__xludf.DUMMYFUNCTION("""COMPUTED_VALUE"""),"Iraja")</f>
        <v>Iraja</v>
      </c>
      <c r="H89" s="268" t="str">
        <f>IFERROR(__xludf.DUMMYFUNCTION("""COMPUTED_VALUE"""),"Grande emergência - MÉDIA COMPLEXIDADE")</f>
        <v>Grande emergência - MÉDIA COMPLEXIDADE</v>
      </c>
      <c r="I89" s="268" t="str">
        <f>IFERROR(__xludf.DUMMYFUNCTION("""COMPUTED_VALUE"""),"Público")</f>
        <v>Público</v>
      </c>
      <c r="J89" s="268" t="str">
        <f>IFERROR(__xludf.DUMMYFUNCTION("""COMPUTED_VALUE"""),"")</f>
        <v/>
      </c>
      <c r="K89" s="268" t="str">
        <f>IFERROR(__xludf.DUMMYFUNCTION("""COMPUTED_VALUE"""),"")</f>
        <v/>
      </c>
      <c r="L89" s="268" t="str">
        <f>IFERROR(__xludf.DUMMYFUNCTION("""COMPUTED_VALUE"""),"")</f>
        <v/>
      </c>
      <c r="M89" s="268" t="str">
        <f>IFERROR(__xludf.DUMMYFUNCTION("""COMPUTED_VALUE"""),"")</f>
        <v/>
      </c>
      <c r="N89" s="268">
        <f>IFERROR(__xludf.DUMMYFUNCTION("""COMPUTED_VALUE"""),0.0)</f>
        <v>0</v>
      </c>
      <c r="O89" s="268">
        <f>IFERROR(__xludf.DUMMYFUNCTION("""COMPUTED_VALUE"""),0.0)</f>
        <v>0</v>
      </c>
      <c r="P89" s="268">
        <f>IFERROR(__xludf.DUMMYFUNCTION("""COMPUTED_VALUE"""),0.0)</f>
        <v>0</v>
      </c>
      <c r="Q89" s="268">
        <f>IFERROR(__xludf.DUMMYFUNCTION("""COMPUTED_VALUE"""),0.0)</f>
        <v>0</v>
      </c>
      <c r="R89" s="268">
        <f>IFERROR(__xludf.DUMMYFUNCTION("""COMPUTED_VALUE"""),0.0)</f>
        <v>0</v>
      </c>
      <c r="S89" s="268">
        <f>IFERROR(__xludf.DUMMYFUNCTION("""COMPUTED_VALUE"""),0.0)</f>
        <v>0</v>
      </c>
      <c r="T89" s="268">
        <f>IFERROR(__xludf.DUMMYFUNCTION("""COMPUTED_VALUE"""),50.0)</f>
        <v>50</v>
      </c>
      <c r="U89" s="268">
        <f>IFERROR(__xludf.DUMMYFUNCTION("""COMPUTED_VALUE"""),0.0)</f>
        <v>0</v>
      </c>
      <c r="V89" s="268">
        <f>IFERROR(__xludf.DUMMYFUNCTION("""COMPUTED_VALUE"""),0.0)</f>
        <v>0</v>
      </c>
      <c r="W89" s="268">
        <f>IFERROR(__xludf.DUMMYFUNCTION("""COMPUTED_VALUE"""),0.0)</f>
        <v>0</v>
      </c>
      <c r="X89" s="268">
        <f>IFERROR(__xludf.DUMMYFUNCTION("""COMPUTED_VALUE"""),25.0)</f>
        <v>25</v>
      </c>
      <c r="Y89" s="268">
        <f>IFERROR(__xludf.DUMMYFUNCTION("""COMPUTED_VALUE"""),0.0)</f>
        <v>0</v>
      </c>
      <c r="Z89" s="268">
        <f>IFERROR(__xludf.DUMMYFUNCTION("""COMPUTED_VALUE"""),-50.0)</f>
        <v>-50</v>
      </c>
      <c r="AA89" s="268">
        <f>IFERROR(__xludf.DUMMYFUNCTION("""COMPUTED_VALUE"""),0.0)</f>
        <v>0</v>
      </c>
      <c r="AB89" s="268">
        <f>IFERROR(__xludf.DUMMYFUNCTION("""COMPUTED_VALUE"""),0.0)</f>
        <v>0</v>
      </c>
      <c r="AC89" s="268">
        <f>IFERROR(__xludf.DUMMYFUNCTION("""COMPUTED_VALUE"""),0.0)</f>
        <v>0</v>
      </c>
      <c r="AD89" s="268">
        <f>IFERROR(__xludf.DUMMYFUNCTION("""COMPUTED_VALUE"""),0.0)</f>
        <v>0</v>
      </c>
      <c r="AE89" s="268">
        <f>IFERROR(__xludf.DUMMYFUNCTION("""COMPUTED_VALUE"""),-25.0)</f>
        <v>-25</v>
      </c>
      <c r="AF89" s="268" t="str">
        <f>IFERROR(__xludf.DUMMYFUNCTION("""COMPUTED_VALUE"""),"")</f>
        <v/>
      </c>
      <c r="AG89" s="268">
        <f>IFERROR(__xludf.DUMMYFUNCTION("""COMPUTED_VALUE"""),0.0)</f>
        <v>0</v>
      </c>
      <c r="AH89" s="268">
        <f>IFERROR(__xludf.DUMMYFUNCTION("""COMPUTED_VALUE"""),0.0)</f>
        <v>0</v>
      </c>
      <c r="AI89" s="268">
        <f>IFERROR(__xludf.DUMMYFUNCTION("""COMPUTED_VALUE"""),0.0)</f>
        <v>0</v>
      </c>
      <c r="AJ89" s="268">
        <f>IFERROR(__xludf.DUMMYFUNCTION("ROWS(QUERY(Entregas_BD!D:AM,""select D where D ='""&amp;D89&amp;""'"",1))-1"),1.0)</f>
        <v>1</v>
      </c>
    </row>
    <row r="90" ht="22.5" customHeight="1">
      <c r="A90" s="170" t="str">
        <f>IFERROR(__xludf.DUMMYFUNCTION("""COMPUTED_VALUE"""),"")</f>
        <v/>
      </c>
      <c r="B90" s="170" t="str">
        <f>IFERROR(__xludf.DUMMYFUNCTION("""COMPUTED_VALUE"""),"")</f>
        <v/>
      </c>
      <c r="C90" s="170">
        <f>IFERROR(__xludf.DUMMYFUNCTION("""COMPUTED_VALUE"""),199.0)</f>
        <v>199</v>
      </c>
      <c r="D90" s="170" t="str">
        <f>IFERROR(__xludf.DUMMYFUNCTION("""COMPUTED_VALUE"""),"UPA Jardim Iris- Sao Joao de Meriti")</f>
        <v>UPA Jardim Iris- Sao Joao de Meriti</v>
      </c>
      <c r="E90" s="270" t="str">
        <f>IFERROR(__xludf.DUMMYFUNCTION("""COMPUTED_VALUE"""),"BAIXADA FLUMINENSE")</f>
        <v>BAIXADA FLUMINENSE</v>
      </c>
      <c r="F90" s="170" t="str">
        <f>IFERROR(__xludf.DUMMYFUNCTION("""COMPUTED_VALUE"""),"Rio de Janeiro")</f>
        <v>Rio de Janeiro</v>
      </c>
      <c r="G90" s="170" t="str">
        <f>IFERROR(__xludf.DUMMYFUNCTION("""COMPUTED_VALUE"""),"Jardim Iris")</f>
        <v>Jardim Iris</v>
      </c>
      <c r="H90" s="170" t="str">
        <f>IFERROR(__xludf.DUMMYFUNCTION("""COMPUTED_VALUE"""),"Referência - ALTA COMPLEXIDADE")</f>
        <v>Referência - ALTA COMPLEXIDADE</v>
      </c>
      <c r="I90" s="170" t="str">
        <f>IFERROR(__xludf.DUMMYFUNCTION("""COMPUTED_VALUE"""),"Público")</f>
        <v>Público</v>
      </c>
      <c r="J90" s="170" t="str">
        <f>IFERROR(__xludf.DUMMYFUNCTION("""COMPUTED_VALUE"""),"")</f>
        <v/>
      </c>
      <c r="K90" s="170" t="str">
        <f>IFERROR(__xludf.DUMMYFUNCTION("""COMPUTED_VALUE"""),"")</f>
        <v/>
      </c>
      <c r="L90" s="170" t="str">
        <f>IFERROR(__xludf.DUMMYFUNCTION("""COMPUTED_VALUE"""),"")</f>
        <v/>
      </c>
      <c r="M90" s="170" t="str">
        <f>IFERROR(__xludf.DUMMYFUNCTION("""COMPUTED_VALUE"""),"")</f>
        <v/>
      </c>
      <c r="N90" s="170">
        <f>IFERROR(__xludf.DUMMYFUNCTION("""COMPUTED_VALUE"""),0.0)</f>
        <v>0</v>
      </c>
      <c r="O90" s="170">
        <f>IFERROR(__xludf.DUMMYFUNCTION("""COMPUTED_VALUE"""),0.0)</f>
        <v>0</v>
      </c>
      <c r="P90" s="170">
        <f>IFERROR(__xludf.DUMMYFUNCTION("""COMPUTED_VALUE"""),0.0)</f>
        <v>0</v>
      </c>
      <c r="Q90" s="170">
        <f>IFERROR(__xludf.DUMMYFUNCTION("""COMPUTED_VALUE"""),0.0)</f>
        <v>0</v>
      </c>
      <c r="R90" s="170">
        <f>IFERROR(__xludf.DUMMYFUNCTION("""COMPUTED_VALUE"""),0.0)</f>
        <v>0</v>
      </c>
      <c r="S90" s="170">
        <f>IFERROR(__xludf.DUMMYFUNCTION("""COMPUTED_VALUE"""),0.0)</f>
        <v>0</v>
      </c>
      <c r="T90" s="170">
        <f>IFERROR(__xludf.DUMMYFUNCTION("""COMPUTED_VALUE"""),55.0)</f>
        <v>55</v>
      </c>
      <c r="U90" s="170">
        <f>IFERROR(__xludf.DUMMYFUNCTION("""COMPUTED_VALUE"""),0.0)</f>
        <v>0</v>
      </c>
      <c r="V90" s="170">
        <f>IFERROR(__xludf.DUMMYFUNCTION("""COMPUTED_VALUE"""),0.0)</f>
        <v>0</v>
      </c>
      <c r="W90" s="170">
        <f>IFERROR(__xludf.DUMMYFUNCTION("""COMPUTED_VALUE"""),0.0)</f>
        <v>0</v>
      </c>
      <c r="X90" s="170">
        <f>IFERROR(__xludf.DUMMYFUNCTION("""COMPUTED_VALUE"""),0.0)</f>
        <v>0</v>
      </c>
      <c r="Y90" s="170">
        <f>IFERROR(__xludf.DUMMYFUNCTION("""COMPUTED_VALUE"""),6.0)</f>
        <v>6</v>
      </c>
      <c r="Z90" s="170">
        <f>IFERROR(__xludf.DUMMYFUNCTION("""COMPUTED_VALUE"""),-55.0)</f>
        <v>-55</v>
      </c>
      <c r="AA90" s="170">
        <f>IFERROR(__xludf.DUMMYFUNCTION("""COMPUTED_VALUE"""),0.0)</f>
        <v>0</v>
      </c>
      <c r="AB90" s="170">
        <f>IFERROR(__xludf.DUMMYFUNCTION("""COMPUTED_VALUE"""),0.0)</f>
        <v>0</v>
      </c>
      <c r="AC90" s="170">
        <f>IFERROR(__xludf.DUMMYFUNCTION("""COMPUTED_VALUE"""),0.0)</f>
        <v>0</v>
      </c>
      <c r="AD90" s="170">
        <f>IFERROR(__xludf.DUMMYFUNCTION("""COMPUTED_VALUE"""),-6.0)</f>
        <v>-6</v>
      </c>
      <c r="AE90" s="170">
        <f>IFERROR(__xludf.DUMMYFUNCTION("""COMPUTED_VALUE"""),0.0)</f>
        <v>0</v>
      </c>
      <c r="AF90" s="170" t="str">
        <f>IFERROR(__xludf.DUMMYFUNCTION("""COMPUTED_VALUE"""),"")</f>
        <v/>
      </c>
      <c r="AG90" s="170">
        <f>IFERROR(__xludf.DUMMYFUNCTION("""COMPUTED_VALUE"""),0.0)</f>
        <v>0</v>
      </c>
      <c r="AH90" s="170">
        <f>IFERROR(__xludf.DUMMYFUNCTION("""COMPUTED_VALUE"""),0.0)</f>
        <v>0</v>
      </c>
      <c r="AI90" s="170">
        <f>IFERROR(__xludf.DUMMYFUNCTION("""COMPUTED_VALUE"""),0.0)</f>
        <v>0</v>
      </c>
      <c r="AJ90" s="170">
        <f>IFERROR(__xludf.DUMMYFUNCTION("ROWS(QUERY(Entregas_BD!D:AM,""select D where D ='""&amp;D90&amp;""'"",1))-1"),1.0)</f>
        <v>1</v>
      </c>
    </row>
    <row r="91" ht="22.5" customHeight="1">
      <c r="A91" s="268" t="str">
        <f>IFERROR(__xludf.DUMMYFUNCTION("""COMPUTED_VALUE"""),"")</f>
        <v/>
      </c>
      <c r="B91" s="268" t="str">
        <f>IFERROR(__xludf.DUMMYFUNCTION("""COMPUTED_VALUE"""),"")</f>
        <v/>
      </c>
      <c r="C91" s="268">
        <f>IFERROR(__xludf.DUMMYFUNCTION("""COMPUTED_VALUE"""),201.0)</f>
        <v>201</v>
      </c>
      <c r="D91" s="268" t="str">
        <f>IFERROR(__xludf.DUMMYFUNCTION("""COMPUTED_VALUE"""),"Upa Rocinha")</f>
        <v>Upa Rocinha</v>
      </c>
      <c r="E91" s="272" t="str">
        <f>IFERROR(__xludf.DUMMYFUNCTION("""COMPUTED_VALUE"""),"ZONA SUL")</f>
        <v>ZONA SUL</v>
      </c>
      <c r="F91" s="268" t="str">
        <f>IFERROR(__xludf.DUMMYFUNCTION("""COMPUTED_VALUE"""),"Rio de Janeiro")</f>
        <v>Rio de Janeiro</v>
      </c>
      <c r="G91" s="268" t="str">
        <f>IFERROR(__xludf.DUMMYFUNCTION("""COMPUTED_VALUE"""),"Rocinha")</f>
        <v>Rocinha</v>
      </c>
      <c r="H91" s="268" t="str">
        <f>IFERROR(__xludf.DUMMYFUNCTION("""COMPUTED_VALUE"""),"Grande emergência - MÉDIA COMPLEXIDADE")</f>
        <v>Grande emergência - MÉDIA COMPLEXIDADE</v>
      </c>
      <c r="I91" s="268" t="str">
        <f>IFERROR(__xludf.DUMMYFUNCTION("""COMPUTED_VALUE"""),"Público")</f>
        <v>Público</v>
      </c>
      <c r="J91" s="268" t="str">
        <f>IFERROR(__xludf.DUMMYFUNCTION("""COMPUTED_VALUE"""),"")</f>
        <v/>
      </c>
      <c r="K91" s="268" t="str">
        <f>IFERROR(__xludf.DUMMYFUNCTION("""COMPUTED_VALUE"""),"")</f>
        <v/>
      </c>
      <c r="L91" s="268" t="str">
        <f>IFERROR(__xludf.DUMMYFUNCTION("""COMPUTED_VALUE"""),"")</f>
        <v/>
      </c>
      <c r="M91" s="268" t="str">
        <f>IFERROR(__xludf.DUMMYFUNCTION("""COMPUTED_VALUE"""),"")</f>
        <v/>
      </c>
      <c r="N91" s="268">
        <f>IFERROR(__xludf.DUMMYFUNCTION("""COMPUTED_VALUE"""),0.0)</f>
        <v>0</v>
      </c>
      <c r="O91" s="268">
        <f>IFERROR(__xludf.DUMMYFUNCTION("""COMPUTED_VALUE"""),0.0)</f>
        <v>0</v>
      </c>
      <c r="P91" s="268">
        <f>IFERROR(__xludf.DUMMYFUNCTION("""COMPUTED_VALUE"""),0.0)</f>
        <v>0</v>
      </c>
      <c r="Q91" s="268">
        <f>IFERROR(__xludf.DUMMYFUNCTION("""COMPUTED_VALUE"""),0.0)</f>
        <v>0</v>
      </c>
      <c r="R91" s="268">
        <f>IFERROR(__xludf.DUMMYFUNCTION("""COMPUTED_VALUE"""),0.0)</f>
        <v>0</v>
      </c>
      <c r="S91" s="268">
        <f>IFERROR(__xludf.DUMMYFUNCTION("""COMPUTED_VALUE"""),0.0)</f>
        <v>0</v>
      </c>
      <c r="T91" s="268">
        <f>IFERROR(__xludf.DUMMYFUNCTION("""COMPUTED_VALUE"""),5.0)</f>
        <v>5</v>
      </c>
      <c r="U91" s="268">
        <f>IFERROR(__xludf.DUMMYFUNCTION("""COMPUTED_VALUE"""),0.0)</f>
        <v>0</v>
      </c>
      <c r="V91" s="268">
        <f>IFERROR(__xludf.DUMMYFUNCTION("""COMPUTED_VALUE"""),0.0)</f>
        <v>0</v>
      </c>
      <c r="W91" s="268">
        <f>IFERROR(__xludf.DUMMYFUNCTION("""COMPUTED_VALUE"""),0.0)</f>
        <v>0</v>
      </c>
      <c r="X91" s="268">
        <f>IFERROR(__xludf.DUMMYFUNCTION("""COMPUTED_VALUE"""),10.0)</f>
        <v>10</v>
      </c>
      <c r="Y91" s="268">
        <f>IFERROR(__xludf.DUMMYFUNCTION("""COMPUTED_VALUE"""),7.5)</f>
        <v>7.5</v>
      </c>
      <c r="Z91" s="268">
        <f>IFERROR(__xludf.DUMMYFUNCTION("""COMPUTED_VALUE"""),-5.0)</f>
        <v>-5</v>
      </c>
      <c r="AA91" s="268">
        <f>IFERROR(__xludf.DUMMYFUNCTION("""COMPUTED_VALUE"""),0.0)</f>
        <v>0</v>
      </c>
      <c r="AB91" s="268">
        <f>IFERROR(__xludf.DUMMYFUNCTION("""COMPUTED_VALUE"""),0.0)</f>
        <v>0</v>
      </c>
      <c r="AC91" s="268">
        <f>IFERROR(__xludf.DUMMYFUNCTION("""COMPUTED_VALUE"""),0.0)</f>
        <v>0</v>
      </c>
      <c r="AD91" s="268">
        <f>IFERROR(__xludf.DUMMYFUNCTION("""COMPUTED_VALUE"""),-7.5)</f>
        <v>-7.5</v>
      </c>
      <c r="AE91" s="268">
        <f>IFERROR(__xludf.DUMMYFUNCTION("""COMPUTED_VALUE"""),-10.0)</f>
        <v>-10</v>
      </c>
      <c r="AF91" s="268" t="str">
        <f>IFERROR(__xludf.DUMMYFUNCTION("""COMPUTED_VALUE"""),"")</f>
        <v/>
      </c>
      <c r="AG91" s="268">
        <f>IFERROR(__xludf.DUMMYFUNCTION("""COMPUTED_VALUE"""),0.0)</f>
        <v>0</v>
      </c>
      <c r="AH91" s="268">
        <f>IFERROR(__xludf.DUMMYFUNCTION("""COMPUTED_VALUE"""),0.0)</f>
        <v>0</v>
      </c>
      <c r="AI91" s="268">
        <f>IFERROR(__xludf.DUMMYFUNCTION("""COMPUTED_VALUE"""),0.0)</f>
        <v>0</v>
      </c>
      <c r="AJ91" s="268">
        <f>IFERROR(__xludf.DUMMYFUNCTION("ROWS(QUERY(Entregas_BD!D:AM,""select D where D ='""&amp;D91&amp;""'"",1))-1"),1.0)</f>
        <v>1</v>
      </c>
    </row>
    <row r="92" ht="22.5" customHeight="1">
      <c r="A92" s="170" t="str">
        <f>IFERROR(__xludf.DUMMYFUNCTION("""COMPUTED_VALUE"""),"")</f>
        <v/>
      </c>
      <c r="B92" s="170" t="str">
        <f>IFERROR(__xludf.DUMMYFUNCTION("""COMPUTED_VALUE"""),"")</f>
        <v/>
      </c>
      <c r="C92" s="170">
        <f>IFERROR(__xludf.DUMMYFUNCTION("""COMPUTED_VALUE"""),202.0)</f>
        <v>202</v>
      </c>
      <c r="D92" s="170" t="str">
        <f>IFERROR(__xludf.DUMMYFUNCTION("""COMPUTED_VALUE"""),"UPA Tijuca")</f>
        <v>UPA Tijuca</v>
      </c>
      <c r="E92" s="270" t="str">
        <f>IFERROR(__xludf.DUMMYFUNCTION("""COMPUTED_VALUE"""),"ZONA NORTE")</f>
        <v>ZONA NORTE</v>
      </c>
      <c r="F92" s="170" t="str">
        <f>IFERROR(__xludf.DUMMYFUNCTION("""COMPUTED_VALUE"""),"Rio de Janeiro")</f>
        <v>Rio de Janeiro</v>
      </c>
      <c r="G92" s="170" t="str">
        <f>IFERROR(__xludf.DUMMYFUNCTION("""COMPUTED_VALUE"""),"Tijuca")</f>
        <v>Tijuca</v>
      </c>
      <c r="H92" s="170" t="str">
        <f>IFERROR(__xludf.DUMMYFUNCTION("""COMPUTED_VALUE"""),"Grande emergência - MÉDIA COMPLEXIDADE")</f>
        <v>Grande emergência - MÉDIA COMPLEXIDADE</v>
      </c>
      <c r="I92" s="170" t="str">
        <f>IFERROR(__xludf.DUMMYFUNCTION("""COMPUTED_VALUE"""),"Público")</f>
        <v>Público</v>
      </c>
      <c r="J92" s="170" t="str">
        <f>IFERROR(__xludf.DUMMYFUNCTION("""COMPUTED_VALUE"""),"")</f>
        <v/>
      </c>
      <c r="K92" s="170" t="str">
        <f>IFERROR(__xludf.DUMMYFUNCTION("""COMPUTED_VALUE"""),"")</f>
        <v/>
      </c>
      <c r="L92" s="170" t="str">
        <f>IFERROR(__xludf.DUMMYFUNCTION("""COMPUTED_VALUE"""),"")</f>
        <v/>
      </c>
      <c r="M92" s="170" t="str">
        <f>IFERROR(__xludf.DUMMYFUNCTION("""COMPUTED_VALUE"""),"")</f>
        <v/>
      </c>
      <c r="N92" s="170">
        <f>IFERROR(__xludf.DUMMYFUNCTION("""COMPUTED_VALUE"""),0.0)</f>
        <v>0</v>
      </c>
      <c r="O92" s="170">
        <f>IFERROR(__xludf.DUMMYFUNCTION("""COMPUTED_VALUE"""),0.0)</f>
        <v>0</v>
      </c>
      <c r="P92" s="170">
        <f>IFERROR(__xludf.DUMMYFUNCTION("""COMPUTED_VALUE"""),0.0)</f>
        <v>0</v>
      </c>
      <c r="Q92" s="170">
        <f>IFERROR(__xludf.DUMMYFUNCTION("""COMPUTED_VALUE"""),0.0)</f>
        <v>0</v>
      </c>
      <c r="R92" s="170">
        <f>IFERROR(__xludf.DUMMYFUNCTION("""COMPUTED_VALUE"""),0.0)</f>
        <v>0</v>
      </c>
      <c r="S92" s="170">
        <f>IFERROR(__xludf.DUMMYFUNCTION("""COMPUTED_VALUE"""),0.0)</f>
        <v>0</v>
      </c>
      <c r="T92" s="170">
        <f>IFERROR(__xludf.DUMMYFUNCTION("""COMPUTED_VALUE"""),5.0)</f>
        <v>5</v>
      </c>
      <c r="U92" s="170">
        <f>IFERROR(__xludf.DUMMYFUNCTION("""COMPUTED_VALUE"""),0.0)</f>
        <v>0</v>
      </c>
      <c r="V92" s="170">
        <f>IFERROR(__xludf.DUMMYFUNCTION("""COMPUTED_VALUE"""),0.0)</f>
        <v>0</v>
      </c>
      <c r="W92" s="170">
        <f>IFERROR(__xludf.DUMMYFUNCTION("""COMPUTED_VALUE"""),0.0)</f>
        <v>0</v>
      </c>
      <c r="X92" s="170">
        <f>IFERROR(__xludf.DUMMYFUNCTION("""COMPUTED_VALUE"""),0.0)</f>
        <v>0</v>
      </c>
      <c r="Y92" s="170">
        <f>IFERROR(__xludf.DUMMYFUNCTION("""COMPUTED_VALUE"""),0.0)</f>
        <v>0</v>
      </c>
      <c r="Z92" s="170">
        <f>IFERROR(__xludf.DUMMYFUNCTION("""COMPUTED_VALUE"""),-5.0)</f>
        <v>-5</v>
      </c>
      <c r="AA92" s="170">
        <f>IFERROR(__xludf.DUMMYFUNCTION("""COMPUTED_VALUE"""),0.0)</f>
        <v>0</v>
      </c>
      <c r="AB92" s="170">
        <f>IFERROR(__xludf.DUMMYFUNCTION("""COMPUTED_VALUE"""),0.0)</f>
        <v>0</v>
      </c>
      <c r="AC92" s="170">
        <f>IFERROR(__xludf.DUMMYFUNCTION("""COMPUTED_VALUE"""),0.0)</f>
        <v>0</v>
      </c>
      <c r="AD92" s="170">
        <f>IFERROR(__xludf.DUMMYFUNCTION("""COMPUTED_VALUE"""),0.0)</f>
        <v>0</v>
      </c>
      <c r="AE92" s="170">
        <f>IFERROR(__xludf.DUMMYFUNCTION("""COMPUTED_VALUE"""),0.0)</f>
        <v>0</v>
      </c>
      <c r="AF92" s="170" t="str">
        <f>IFERROR(__xludf.DUMMYFUNCTION("""COMPUTED_VALUE"""),"")</f>
        <v/>
      </c>
      <c r="AG92" s="170">
        <f>IFERROR(__xludf.DUMMYFUNCTION("""COMPUTED_VALUE"""),0.0)</f>
        <v>0</v>
      </c>
      <c r="AH92" s="170">
        <f>IFERROR(__xludf.DUMMYFUNCTION("""COMPUTED_VALUE"""),0.0)</f>
        <v>0</v>
      </c>
      <c r="AI92" s="170">
        <f>IFERROR(__xludf.DUMMYFUNCTION("""COMPUTED_VALUE"""),0.0)</f>
        <v>0</v>
      </c>
      <c r="AJ92" s="170">
        <f>IFERROR(__xludf.DUMMYFUNCTION("ROWS(QUERY(Entregas_BD!D:AM,""select D where D ='""&amp;D92&amp;""'"",1))-1"),2.0)</f>
        <v>2</v>
      </c>
    </row>
    <row r="93" ht="22.5" customHeight="1">
      <c r="A93" s="268" t="str">
        <f>IFERROR(__xludf.DUMMYFUNCTION("""COMPUTED_VALUE"""),"")</f>
        <v/>
      </c>
      <c r="B93" s="268" t="str">
        <f>IFERROR(__xludf.DUMMYFUNCTION("""COMPUTED_VALUE"""),"")</f>
        <v/>
      </c>
      <c r="C93" s="268">
        <f>IFERROR(__xludf.DUMMYFUNCTION("""COMPUTED_VALUE"""),207.0)</f>
        <v>207</v>
      </c>
      <c r="D93" s="268" t="str">
        <f>IFERROR(__xludf.DUMMYFUNCTION("""COMPUTED_VALUE"""),"HOSPITAL UNIVERSITÁRIO DE VASSOURAS - HUV")</f>
        <v>HOSPITAL UNIVERSITÁRIO DE VASSOURAS - HUV</v>
      </c>
      <c r="E93" s="272" t="str">
        <f>IFERROR(__xludf.DUMMYFUNCTION("""COMPUTED_VALUE"""),"REGIAO SERRANA")</f>
        <v>REGIAO SERRANA</v>
      </c>
      <c r="F93" s="268" t="str">
        <f>IFERROR(__xludf.DUMMYFUNCTION("""COMPUTED_VALUE"""),"VASSOURAS")</f>
        <v>VASSOURAS</v>
      </c>
      <c r="G93" s="268" t="str">
        <f>IFERROR(__xludf.DUMMYFUNCTION("""COMPUTED_VALUE"""),"MADRUGA")</f>
        <v>MADRUGA</v>
      </c>
      <c r="H93" s="268" t="str">
        <f>IFERROR(__xludf.DUMMYFUNCTION("""COMPUTED_VALUE"""),"Referência - ALTA COMPLEXIDADE")</f>
        <v>Referência - ALTA COMPLEXIDADE</v>
      </c>
      <c r="I93" s="268" t="str">
        <f>IFERROR(__xludf.DUMMYFUNCTION("""COMPUTED_VALUE"""),"Público")</f>
        <v>Público</v>
      </c>
      <c r="J93" s="268" t="str">
        <f>IFERROR(__xludf.DUMMYFUNCTION("""COMPUTED_VALUE"""),"")</f>
        <v/>
      </c>
      <c r="K93" s="268" t="str">
        <f>IFERROR(__xludf.DUMMYFUNCTION("""COMPUTED_VALUE"""),"")</f>
        <v/>
      </c>
      <c r="L93" s="268" t="str">
        <f>IFERROR(__xludf.DUMMYFUNCTION("""COMPUTED_VALUE"""),"")</f>
        <v/>
      </c>
      <c r="M93" s="268" t="str">
        <f>IFERROR(__xludf.DUMMYFUNCTION("""COMPUTED_VALUE"""),"")</f>
        <v/>
      </c>
      <c r="N93" s="268">
        <f>IFERROR(__xludf.DUMMYFUNCTION("""COMPUTED_VALUE"""),0.0)</f>
        <v>0</v>
      </c>
      <c r="O93" s="268">
        <f>IFERROR(__xludf.DUMMYFUNCTION("""COMPUTED_VALUE"""),0.0)</f>
        <v>0</v>
      </c>
      <c r="P93" s="268">
        <f>IFERROR(__xludf.DUMMYFUNCTION("""COMPUTED_VALUE"""),0.0)</f>
        <v>0</v>
      </c>
      <c r="Q93" s="268">
        <f>IFERROR(__xludf.DUMMYFUNCTION("""COMPUTED_VALUE"""),0.0)</f>
        <v>0</v>
      </c>
      <c r="R93" s="268">
        <f>IFERROR(__xludf.DUMMYFUNCTION("""COMPUTED_VALUE"""),0.0)</f>
        <v>0</v>
      </c>
      <c r="S93" s="268">
        <f>IFERROR(__xludf.DUMMYFUNCTION("""COMPUTED_VALUE"""),0.0)</f>
        <v>0</v>
      </c>
      <c r="T93" s="268">
        <f>IFERROR(__xludf.DUMMYFUNCTION("""COMPUTED_VALUE"""),250.0)</f>
        <v>250</v>
      </c>
      <c r="U93" s="268">
        <f>IFERROR(__xludf.DUMMYFUNCTION("""COMPUTED_VALUE"""),0.0)</f>
        <v>0</v>
      </c>
      <c r="V93" s="268">
        <f>IFERROR(__xludf.DUMMYFUNCTION("""COMPUTED_VALUE"""),0.0)</f>
        <v>0</v>
      </c>
      <c r="W93" s="268">
        <f>IFERROR(__xludf.DUMMYFUNCTION("""COMPUTED_VALUE"""),0.0)</f>
        <v>0</v>
      </c>
      <c r="X93" s="268">
        <f>IFERROR(__xludf.DUMMYFUNCTION("""COMPUTED_VALUE"""),0.0)</f>
        <v>0</v>
      </c>
      <c r="Y93" s="268">
        <f>IFERROR(__xludf.DUMMYFUNCTION("""COMPUTED_VALUE"""),0.0)</f>
        <v>0</v>
      </c>
      <c r="Z93" s="268">
        <f>IFERROR(__xludf.DUMMYFUNCTION("""COMPUTED_VALUE"""),-250.0)</f>
        <v>-250</v>
      </c>
      <c r="AA93" s="268">
        <f>IFERROR(__xludf.DUMMYFUNCTION("""COMPUTED_VALUE"""),0.0)</f>
        <v>0</v>
      </c>
      <c r="AB93" s="268">
        <f>IFERROR(__xludf.DUMMYFUNCTION("""COMPUTED_VALUE"""),0.0)</f>
        <v>0</v>
      </c>
      <c r="AC93" s="268">
        <f>IFERROR(__xludf.DUMMYFUNCTION("""COMPUTED_VALUE"""),0.0)</f>
        <v>0</v>
      </c>
      <c r="AD93" s="268">
        <f>IFERROR(__xludf.DUMMYFUNCTION("""COMPUTED_VALUE"""),0.0)</f>
        <v>0</v>
      </c>
      <c r="AE93" s="268">
        <f>IFERROR(__xludf.DUMMYFUNCTION("""COMPUTED_VALUE"""),0.0)</f>
        <v>0</v>
      </c>
      <c r="AF93" s="268" t="str">
        <f>IFERROR(__xludf.DUMMYFUNCTION("""COMPUTED_VALUE"""),"")</f>
        <v/>
      </c>
      <c r="AG93" s="268">
        <f>IFERROR(__xludf.DUMMYFUNCTION("""COMPUTED_VALUE"""),0.0)</f>
        <v>0</v>
      </c>
      <c r="AH93" s="268">
        <f>IFERROR(__xludf.DUMMYFUNCTION("""COMPUTED_VALUE"""),0.0)</f>
        <v>0</v>
      </c>
      <c r="AI93" s="268">
        <f>IFERROR(__xludf.DUMMYFUNCTION("""COMPUTED_VALUE"""),0.0)</f>
        <v>0</v>
      </c>
      <c r="AJ93" s="268">
        <f>IFERROR(__xludf.DUMMYFUNCTION("ROWS(QUERY(Entregas_BD!D:AM,""select D where D ='""&amp;D93&amp;""'"",1))-1"),1.0)</f>
        <v>1</v>
      </c>
    </row>
    <row r="94" ht="22.5" customHeight="1">
      <c r="A94" s="170" t="str">
        <f>IFERROR(__xludf.DUMMYFUNCTION("""COMPUTED_VALUE"""),"")</f>
        <v/>
      </c>
      <c r="B94" s="170" t="str">
        <f>IFERROR(__xludf.DUMMYFUNCTION("""COMPUTED_VALUE"""),"")</f>
        <v/>
      </c>
      <c r="C94" s="170">
        <f>IFERROR(__xludf.DUMMYFUNCTION("""COMPUTED_VALUE"""),208.0)</f>
        <v>208</v>
      </c>
      <c r="D94" s="170" t="str">
        <f>IFERROR(__xludf.DUMMYFUNCTION("""COMPUTED_VALUE"""),"UPA Cabuçu")</f>
        <v>UPA Cabuçu</v>
      </c>
      <c r="E94" s="270" t="str">
        <f>IFERROR(__xludf.DUMMYFUNCTION("""COMPUTED_VALUE"""),"BAIXADA FLUMINENSE")</f>
        <v>BAIXADA FLUMINENSE</v>
      </c>
      <c r="F94" s="170" t="str">
        <f>IFERROR(__xludf.DUMMYFUNCTION("""COMPUTED_VALUE"""),"Nova Iguaçu")</f>
        <v>Nova Iguaçu</v>
      </c>
      <c r="G94" s="170" t="str">
        <f>IFERROR(__xludf.DUMMYFUNCTION("""COMPUTED_VALUE"""),"Cabuçu")</f>
        <v>Cabuçu</v>
      </c>
      <c r="H94" s="170" t="str">
        <f>IFERROR(__xludf.DUMMYFUNCTION("""COMPUTED_VALUE"""),"Grande emergência - MÉDIA COMPLEXIDADE")</f>
        <v>Grande emergência - MÉDIA COMPLEXIDADE</v>
      </c>
      <c r="I94" s="170" t="str">
        <f>IFERROR(__xludf.DUMMYFUNCTION("""COMPUTED_VALUE"""),"Público")</f>
        <v>Público</v>
      </c>
      <c r="J94" s="170" t="str">
        <f>IFERROR(__xludf.DUMMYFUNCTION("""COMPUTED_VALUE"""),"")</f>
        <v/>
      </c>
      <c r="K94" s="170" t="str">
        <f>IFERROR(__xludf.DUMMYFUNCTION("""COMPUTED_VALUE"""),"")</f>
        <v/>
      </c>
      <c r="L94" s="170" t="str">
        <f>IFERROR(__xludf.DUMMYFUNCTION("""COMPUTED_VALUE"""),"")</f>
        <v/>
      </c>
      <c r="M94" s="170" t="str">
        <f>IFERROR(__xludf.DUMMYFUNCTION("""COMPUTED_VALUE"""),"")</f>
        <v/>
      </c>
      <c r="N94" s="170">
        <f>IFERROR(__xludf.DUMMYFUNCTION("""COMPUTED_VALUE"""),0.0)</f>
        <v>0</v>
      </c>
      <c r="O94" s="170">
        <f>IFERROR(__xludf.DUMMYFUNCTION("""COMPUTED_VALUE"""),0.0)</f>
        <v>0</v>
      </c>
      <c r="P94" s="170">
        <f>IFERROR(__xludf.DUMMYFUNCTION("""COMPUTED_VALUE"""),0.0)</f>
        <v>0</v>
      </c>
      <c r="Q94" s="170">
        <f>IFERROR(__xludf.DUMMYFUNCTION("""COMPUTED_VALUE"""),0.0)</f>
        <v>0</v>
      </c>
      <c r="R94" s="170">
        <f>IFERROR(__xludf.DUMMYFUNCTION("""COMPUTED_VALUE"""),0.0)</f>
        <v>0</v>
      </c>
      <c r="S94" s="170">
        <f>IFERROR(__xludf.DUMMYFUNCTION("""COMPUTED_VALUE"""),0.0)</f>
        <v>0</v>
      </c>
      <c r="T94" s="170">
        <f>IFERROR(__xludf.DUMMYFUNCTION("""COMPUTED_VALUE"""),50.0)</f>
        <v>50</v>
      </c>
      <c r="U94" s="170">
        <f>IFERROR(__xludf.DUMMYFUNCTION("""COMPUTED_VALUE"""),0.0)</f>
        <v>0</v>
      </c>
      <c r="V94" s="170">
        <f>IFERROR(__xludf.DUMMYFUNCTION("""COMPUTED_VALUE"""),0.0)</f>
        <v>0</v>
      </c>
      <c r="W94" s="170">
        <f>IFERROR(__xludf.DUMMYFUNCTION("""COMPUTED_VALUE"""),0.0)</f>
        <v>0</v>
      </c>
      <c r="X94" s="170">
        <f>IFERROR(__xludf.DUMMYFUNCTION("""COMPUTED_VALUE"""),0.0)</f>
        <v>0</v>
      </c>
      <c r="Y94" s="170">
        <f>IFERROR(__xludf.DUMMYFUNCTION("""COMPUTED_VALUE"""),0.0)</f>
        <v>0</v>
      </c>
      <c r="Z94" s="170">
        <f>IFERROR(__xludf.DUMMYFUNCTION("""COMPUTED_VALUE"""),-50.0)</f>
        <v>-50</v>
      </c>
      <c r="AA94" s="170">
        <f>IFERROR(__xludf.DUMMYFUNCTION("""COMPUTED_VALUE"""),0.0)</f>
        <v>0</v>
      </c>
      <c r="AB94" s="170">
        <f>IFERROR(__xludf.DUMMYFUNCTION("""COMPUTED_VALUE"""),0.0)</f>
        <v>0</v>
      </c>
      <c r="AC94" s="170">
        <f>IFERROR(__xludf.DUMMYFUNCTION("""COMPUTED_VALUE"""),0.0)</f>
        <v>0</v>
      </c>
      <c r="AD94" s="170">
        <f>IFERROR(__xludf.DUMMYFUNCTION("""COMPUTED_VALUE"""),0.0)</f>
        <v>0</v>
      </c>
      <c r="AE94" s="170">
        <f>IFERROR(__xludf.DUMMYFUNCTION("""COMPUTED_VALUE"""),0.0)</f>
        <v>0</v>
      </c>
      <c r="AF94" s="170" t="str">
        <f>IFERROR(__xludf.DUMMYFUNCTION("""COMPUTED_VALUE"""),"")</f>
        <v/>
      </c>
      <c r="AG94" s="170">
        <f>IFERROR(__xludf.DUMMYFUNCTION("""COMPUTED_VALUE"""),0.0)</f>
        <v>0</v>
      </c>
      <c r="AH94" s="170">
        <f>IFERROR(__xludf.DUMMYFUNCTION("""COMPUTED_VALUE"""),0.0)</f>
        <v>0</v>
      </c>
      <c r="AI94" s="170">
        <f>IFERROR(__xludf.DUMMYFUNCTION("""COMPUTED_VALUE"""),0.0)</f>
        <v>0</v>
      </c>
      <c r="AJ94" s="170">
        <f>IFERROR(__xludf.DUMMYFUNCTION("ROWS(QUERY(Entregas_BD!D:AM,""select D where D ='""&amp;D94&amp;""'"",1))-1"),1.0)</f>
        <v>1</v>
      </c>
    </row>
    <row r="95" ht="22.5" customHeight="1">
      <c r="A95" s="268" t="str">
        <f>IFERROR(__xludf.DUMMYFUNCTION("""COMPUTED_VALUE"""),"")</f>
        <v/>
      </c>
      <c r="B95" s="268" t="str">
        <f>IFERROR(__xludf.DUMMYFUNCTION("""COMPUTED_VALUE"""),"")</f>
        <v/>
      </c>
      <c r="C95" s="268">
        <f>IFERROR(__xludf.DUMMYFUNCTION("""COMPUTED_VALUE"""),210.0)</f>
        <v>210</v>
      </c>
      <c r="D95" s="268" t="str">
        <f>IFERROR(__xludf.DUMMYFUNCTION("""COMPUTED_VALUE"""),"Upa Copacabana")</f>
        <v>Upa Copacabana</v>
      </c>
      <c r="E95" s="269" t="str">
        <f>IFERROR(__xludf.DUMMYFUNCTION("""COMPUTED_VALUE"""),"ZONA SUL")</f>
        <v>ZONA SUL</v>
      </c>
      <c r="F95" s="268" t="str">
        <f>IFERROR(__xludf.DUMMYFUNCTION("""COMPUTED_VALUE"""),"Rio de Janeiro")</f>
        <v>Rio de Janeiro</v>
      </c>
      <c r="G95" s="268" t="str">
        <f>IFERROR(__xludf.DUMMYFUNCTION("""COMPUTED_VALUE"""),"Copacabana")</f>
        <v>Copacabana</v>
      </c>
      <c r="H95" s="268" t="str">
        <f>IFERROR(__xludf.DUMMYFUNCTION("""COMPUTED_VALUE"""),"Grande emergência - MÉDIA COMPLEXIDADE")</f>
        <v>Grande emergência - MÉDIA COMPLEXIDADE</v>
      </c>
      <c r="I95" s="268" t="str">
        <f>IFERROR(__xludf.DUMMYFUNCTION("""COMPUTED_VALUE"""),"Público")</f>
        <v>Público</v>
      </c>
      <c r="J95" s="268" t="str">
        <f>IFERROR(__xludf.DUMMYFUNCTION("""COMPUTED_VALUE"""),"")</f>
        <v/>
      </c>
      <c r="K95" s="268" t="str">
        <f>IFERROR(__xludf.DUMMYFUNCTION("""COMPUTED_VALUE"""),"")</f>
        <v/>
      </c>
      <c r="L95" s="268" t="str">
        <f>IFERROR(__xludf.DUMMYFUNCTION("""COMPUTED_VALUE"""),"")</f>
        <v/>
      </c>
      <c r="M95" s="268" t="str">
        <f>IFERROR(__xludf.DUMMYFUNCTION("""COMPUTED_VALUE"""),"")</f>
        <v/>
      </c>
      <c r="N95" s="268">
        <f>IFERROR(__xludf.DUMMYFUNCTION("""COMPUTED_VALUE"""),0.0)</f>
        <v>0</v>
      </c>
      <c r="O95" s="268">
        <f>IFERROR(__xludf.DUMMYFUNCTION("""COMPUTED_VALUE"""),0.0)</f>
        <v>0</v>
      </c>
      <c r="P95" s="268">
        <f>IFERROR(__xludf.DUMMYFUNCTION("""COMPUTED_VALUE"""),0.0)</f>
        <v>0</v>
      </c>
      <c r="Q95" s="268">
        <f>IFERROR(__xludf.DUMMYFUNCTION("""COMPUTED_VALUE"""),0.0)</f>
        <v>0</v>
      </c>
      <c r="R95" s="268">
        <f>IFERROR(__xludf.DUMMYFUNCTION("""COMPUTED_VALUE"""),0.0)</f>
        <v>0</v>
      </c>
      <c r="S95" s="268">
        <f>IFERROR(__xludf.DUMMYFUNCTION("""COMPUTED_VALUE"""),0.0)</f>
        <v>0</v>
      </c>
      <c r="T95" s="268">
        <f>IFERROR(__xludf.DUMMYFUNCTION("""COMPUTED_VALUE"""),50.0)</f>
        <v>50</v>
      </c>
      <c r="U95" s="268">
        <f>IFERROR(__xludf.DUMMYFUNCTION("""COMPUTED_VALUE"""),0.0)</f>
        <v>0</v>
      </c>
      <c r="V95" s="268">
        <f>IFERROR(__xludf.DUMMYFUNCTION("""COMPUTED_VALUE"""),0.0)</f>
        <v>0</v>
      </c>
      <c r="W95" s="268">
        <f>IFERROR(__xludf.DUMMYFUNCTION("""COMPUTED_VALUE"""),0.0)</f>
        <v>0</v>
      </c>
      <c r="X95" s="268">
        <f>IFERROR(__xludf.DUMMYFUNCTION("""COMPUTED_VALUE"""),0.0)</f>
        <v>0</v>
      </c>
      <c r="Y95" s="268">
        <f>IFERROR(__xludf.DUMMYFUNCTION("""COMPUTED_VALUE"""),6.0)</f>
        <v>6</v>
      </c>
      <c r="Z95" s="268">
        <f>IFERROR(__xludf.DUMMYFUNCTION("""COMPUTED_VALUE"""),-50.0)</f>
        <v>-50</v>
      </c>
      <c r="AA95" s="268">
        <f>IFERROR(__xludf.DUMMYFUNCTION("""COMPUTED_VALUE"""),0.0)</f>
        <v>0</v>
      </c>
      <c r="AB95" s="268">
        <f>IFERROR(__xludf.DUMMYFUNCTION("""COMPUTED_VALUE"""),0.0)</f>
        <v>0</v>
      </c>
      <c r="AC95" s="268">
        <f>IFERROR(__xludf.DUMMYFUNCTION("""COMPUTED_VALUE"""),0.0)</f>
        <v>0</v>
      </c>
      <c r="AD95" s="268">
        <f>IFERROR(__xludf.DUMMYFUNCTION("""COMPUTED_VALUE"""),-6.0)</f>
        <v>-6</v>
      </c>
      <c r="AE95" s="268">
        <f>IFERROR(__xludf.DUMMYFUNCTION("""COMPUTED_VALUE"""),0.0)</f>
        <v>0</v>
      </c>
      <c r="AF95" s="268" t="str">
        <f>IFERROR(__xludf.DUMMYFUNCTION("""COMPUTED_VALUE"""),"")</f>
        <v/>
      </c>
      <c r="AG95" s="268">
        <f>IFERROR(__xludf.DUMMYFUNCTION("""COMPUTED_VALUE"""),0.0)</f>
        <v>0</v>
      </c>
      <c r="AH95" s="268">
        <f>IFERROR(__xludf.DUMMYFUNCTION("""COMPUTED_VALUE"""),0.0)</f>
        <v>0</v>
      </c>
      <c r="AI95" s="268">
        <f>IFERROR(__xludf.DUMMYFUNCTION("""COMPUTED_VALUE"""),0.0)</f>
        <v>0</v>
      </c>
      <c r="AJ95" s="268">
        <f>IFERROR(__xludf.DUMMYFUNCTION("ROWS(QUERY(Entregas_BD!D:AM,""select D where D ='""&amp;D95&amp;""'"",1))-1"),1.0)</f>
        <v>1</v>
      </c>
    </row>
    <row r="96" ht="22.5" customHeight="1">
      <c r="A96" s="170" t="str">
        <f>IFERROR(__xludf.DUMMYFUNCTION("""COMPUTED_VALUE"""),"")</f>
        <v/>
      </c>
      <c r="B96" s="170" t="str">
        <f>IFERROR(__xludf.DUMMYFUNCTION("""COMPUTED_VALUE"""),"")</f>
        <v/>
      </c>
      <c r="C96" s="170">
        <f>IFERROR(__xludf.DUMMYFUNCTION("""COMPUTED_VALUE"""),212.0)</f>
        <v>212</v>
      </c>
      <c r="D96" s="170" t="str">
        <f>IFERROR(__xludf.DUMMYFUNCTION("""COMPUTED_VALUE"""),"Upa tamoios")</f>
        <v>Upa tamoios</v>
      </c>
      <c r="E96" s="270" t="str">
        <f>IFERROR(__xludf.DUMMYFUNCTION("""COMPUTED_VALUE"""),"REGIAO DOS LAGOS")</f>
        <v>REGIAO DOS LAGOS</v>
      </c>
      <c r="F96" s="170" t="str">
        <f>IFERROR(__xludf.DUMMYFUNCTION("""COMPUTED_VALUE"""),"Cabo frio")</f>
        <v>Cabo frio</v>
      </c>
      <c r="G96" s="170" t="str">
        <f>IFERROR(__xludf.DUMMYFUNCTION("""COMPUTED_VALUE"""),"Tamoios")</f>
        <v>Tamoios</v>
      </c>
      <c r="H96" s="170" t="str">
        <f>IFERROR(__xludf.DUMMYFUNCTION("""COMPUTED_VALUE"""),"Grande emergência - MÉDIA COMPLEXIDADE")</f>
        <v>Grande emergência - MÉDIA COMPLEXIDADE</v>
      </c>
      <c r="I96" s="170" t="str">
        <f>IFERROR(__xludf.DUMMYFUNCTION("""COMPUTED_VALUE"""),"Público")</f>
        <v>Público</v>
      </c>
      <c r="J96" s="170" t="str">
        <f>IFERROR(__xludf.DUMMYFUNCTION("""COMPUTED_VALUE"""),"")</f>
        <v/>
      </c>
      <c r="K96" s="170" t="str">
        <f>IFERROR(__xludf.DUMMYFUNCTION("""COMPUTED_VALUE"""),"")</f>
        <v/>
      </c>
      <c r="L96" s="170" t="str">
        <f>IFERROR(__xludf.DUMMYFUNCTION("""COMPUTED_VALUE"""),"")</f>
        <v/>
      </c>
      <c r="M96" s="170" t="str">
        <f>IFERROR(__xludf.DUMMYFUNCTION("""COMPUTED_VALUE"""),"")</f>
        <v/>
      </c>
      <c r="N96" s="170">
        <f>IFERROR(__xludf.DUMMYFUNCTION("""COMPUTED_VALUE"""),0.0)</f>
        <v>0</v>
      </c>
      <c r="O96" s="170">
        <f>IFERROR(__xludf.DUMMYFUNCTION("""COMPUTED_VALUE"""),0.0)</f>
        <v>0</v>
      </c>
      <c r="P96" s="170">
        <f>IFERROR(__xludf.DUMMYFUNCTION("""COMPUTED_VALUE"""),0.0)</f>
        <v>0</v>
      </c>
      <c r="Q96" s="170">
        <f>IFERROR(__xludf.DUMMYFUNCTION("""COMPUTED_VALUE"""),0.0)</f>
        <v>0</v>
      </c>
      <c r="R96" s="170">
        <f>IFERROR(__xludf.DUMMYFUNCTION("""COMPUTED_VALUE"""),0.0)</f>
        <v>0</v>
      </c>
      <c r="S96" s="170">
        <f>IFERROR(__xludf.DUMMYFUNCTION("""COMPUTED_VALUE"""),0.0)</f>
        <v>0</v>
      </c>
      <c r="T96" s="170">
        <f>IFERROR(__xludf.DUMMYFUNCTION("""COMPUTED_VALUE"""),50.0)</f>
        <v>50</v>
      </c>
      <c r="U96" s="170">
        <f>IFERROR(__xludf.DUMMYFUNCTION("""COMPUTED_VALUE"""),0.0)</f>
        <v>0</v>
      </c>
      <c r="V96" s="170">
        <f>IFERROR(__xludf.DUMMYFUNCTION("""COMPUTED_VALUE"""),0.0)</f>
        <v>0</v>
      </c>
      <c r="W96" s="170">
        <f>IFERROR(__xludf.DUMMYFUNCTION("""COMPUTED_VALUE"""),0.0)</f>
        <v>0</v>
      </c>
      <c r="X96" s="170">
        <f>IFERROR(__xludf.DUMMYFUNCTION("""COMPUTED_VALUE"""),0.0)</f>
        <v>0</v>
      </c>
      <c r="Y96" s="170">
        <f>IFERROR(__xludf.DUMMYFUNCTION("""COMPUTED_VALUE"""),0.0)</f>
        <v>0</v>
      </c>
      <c r="Z96" s="170">
        <f>IFERROR(__xludf.DUMMYFUNCTION("""COMPUTED_VALUE"""),-50.0)</f>
        <v>-50</v>
      </c>
      <c r="AA96" s="170">
        <f>IFERROR(__xludf.DUMMYFUNCTION("""COMPUTED_VALUE"""),0.0)</f>
        <v>0</v>
      </c>
      <c r="AB96" s="170">
        <f>IFERROR(__xludf.DUMMYFUNCTION("""COMPUTED_VALUE"""),0.0)</f>
        <v>0</v>
      </c>
      <c r="AC96" s="170">
        <f>IFERROR(__xludf.DUMMYFUNCTION("""COMPUTED_VALUE"""),0.0)</f>
        <v>0</v>
      </c>
      <c r="AD96" s="170">
        <f>IFERROR(__xludf.DUMMYFUNCTION("""COMPUTED_VALUE"""),0.0)</f>
        <v>0</v>
      </c>
      <c r="AE96" s="170">
        <f>IFERROR(__xludf.DUMMYFUNCTION("""COMPUTED_VALUE"""),0.0)</f>
        <v>0</v>
      </c>
      <c r="AF96" s="170" t="str">
        <f>IFERROR(__xludf.DUMMYFUNCTION("""COMPUTED_VALUE"""),"")</f>
        <v/>
      </c>
      <c r="AG96" s="170">
        <f>IFERROR(__xludf.DUMMYFUNCTION("""COMPUTED_VALUE"""),0.0)</f>
        <v>0</v>
      </c>
      <c r="AH96" s="170">
        <f>IFERROR(__xludf.DUMMYFUNCTION("""COMPUTED_VALUE"""),0.0)</f>
        <v>0</v>
      </c>
      <c r="AI96" s="170">
        <f>IFERROR(__xludf.DUMMYFUNCTION("""COMPUTED_VALUE"""),0.0)</f>
        <v>0</v>
      </c>
      <c r="AJ96" s="170">
        <f>IFERROR(__xludf.DUMMYFUNCTION("ROWS(QUERY(Entregas_BD!D:AM,""select D where D ='""&amp;D96&amp;""'"",1))-1"),1.0)</f>
        <v>1</v>
      </c>
    </row>
    <row r="97" ht="22.5" customHeight="1">
      <c r="A97" s="268" t="str">
        <f>IFERROR(__xludf.DUMMYFUNCTION("""COMPUTED_VALUE"""),"")</f>
        <v/>
      </c>
      <c r="B97" s="268" t="str">
        <f>IFERROR(__xludf.DUMMYFUNCTION("""COMPUTED_VALUE"""),"")</f>
        <v/>
      </c>
      <c r="C97" s="268">
        <f>IFERROR(__xludf.DUMMYFUNCTION("""COMPUTED_VALUE"""),213.0)</f>
        <v>213</v>
      </c>
      <c r="D97" s="268" t="str">
        <f>IFERROR(__xludf.DUMMYFUNCTION("""COMPUTED_VALUE"""),"Hospital Geral de Guarus")</f>
        <v>Hospital Geral de Guarus</v>
      </c>
      <c r="E97" s="272" t="str">
        <f>IFERROR(__xludf.DUMMYFUNCTION("""COMPUTED_VALUE"""),"REGIAO NORTE")</f>
        <v>REGIAO NORTE</v>
      </c>
      <c r="F97" s="268" t="str">
        <f>IFERROR(__xludf.DUMMYFUNCTION("""COMPUTED_VALUE"""),"Campos dos Goytacazes")</f>
        <v>Campos dos Goytacazes</v>
      </c>
      <c r="G97" s="268" t="str">
        <f>IFERROR(__xludf.DUMMYFUNCTION("""COMPUTED_VALUE"""),"Guarus")</f>
        <v>Guarus</v>
      </c>
      <c r="H97" s="268" t="str">
        <f>IFERROR(__xludf.DUMMYFUNCTION("""COMPUTED_VALUE"""),"Referência - ALTA COMPLEXIDADE")</f>
        <v>Referência - ALTA COMPLEXIDADE</v>
      </c>
      <c r="I97" s="268" t="str">
        <f>IFERROR(__xludf.DUMMYFUNCTION("""COMPUTED_VALUE"""),"Público")</f>
        <v>Público</v>
      </c>
      <c r="J97" s="268" t="str">
        <f>IFERROR(__xludf.DUMMYFUNCTION("""COMPUTED_VALUE"""),"")</f>
        <v/>
      </c>
      <c r="K97" s="268" t="str">
        <f>IFERROR(__xludf.DUMMYFUNCTION("""COMPUTED_VALUE"""),"")</f>
        <v/>
      </c>
      <c r="L97" s="268" t="str">
        <f>IFERROR(__xludf.DUMMYFUNCTION("""COMPUTED_VALUE"""),"")</f>
        <v/>
      </c>
      <c r="M97" s="268" t="str">
        <f>IFERROR(__xludf.DUMMYFUNCTION("""COMPUTED_VALUE"""),"")</f>
        <v/>
      </c>
      <c r="N97" s="268">
        <f>IFERROR(__xludf.DUMMYFUNCTION("""COMPUTED_VALUE"""),0.0)</f>
        <v>0</v>
      </c>
      <c r="O97" s="268">
        <f>IFERROR(__xludf.DUMMYFUNCTION("""COMPUTED_VALUE"""),0.0)</f>
        <v>0</v>
      </c>
      <c r="P97" s="268">
        <f>IFERROR(__xludf.DUMMYFUNCTION("""COMPUTED_VALUE"""),0.0)</f>
        <v>0</v>
      </c>
      <c r="Q97" s="268">
        <f>IFERROR(__xludf.DUMMYFUNCTION("""COMPUTED_VALUE"""),0.0)</f>
        <v>0</v>
      </c>
      <c r="R97" s="268">
        <f>IFERROR(__xludf.DUMMYFUNCTION("""COMPUTED_VALUE"""),0.0)</f>
        <v>0</v>
      </c>
      <c r="S97" s="268">
        <f>IFERROR(__xludf.DUMMYFUNCTION("""COMPUTED_VALUE"""),0.0)</f>
        <v>0</v>
      </c>
      <c r="T97" s="268">
        <f>IFERROR(__xludf.DUMMYFUNCTION("""COMPUTED_VALUE"""),50.0)</f>
        <v>50</v>
      </c>
      <c r="U97" s="268">
        <f>IFERROR(__xludf.DUMMYFUNCTION("""COMPUTED_VALUE"""),0.0)</f>
        <v>0</v>
      </c>
      <c r="V97" s="268">
        <f>IFERROR(__xludf.DUMMYFUNCTION("""COMPUTED_VALUE"""),0.0)</f>
        <v>0</v>
      </c>
      <c r="W97" s="268">
        <f>IFERROR(__xludf.DUMMYFUNCTION("""COMPUTED_VALUE"""),0.0)</f>
        <v>0</v>
      </c>
      <c r="X97" s="268">
        <f>IFERROR(__xludf.DUMMYFUNCTION("""COMPUTED_VALUE"""),0.0)</f>
        <v>0</v>
      </c>
      <c r="Y97" s="268">
        <f>IFERROR(__xludf.DUMMYFUNCTION("""COMPUTED_VALUE"""),0.0)</f>
        <v>0</v>
      </c>
      <c r="Z97" s="268">
        <f>IFERROR(__xludf.DUMMYFUNCTION("""COMPUTED_VALUE"""),-50.0)</f>
        <v>-50</v>
      </c>
      <c r="AA97" s="268">
        <f>IFERROR(__xludf.DUMMYFUNCTION("""COMPUTED_VALUE"""),0.0)</f>
        <v>0</v>
      </c>
      <c r="AB97" s="268">
        <f>IFERROR(__xludf.DUMMYFUNCTION("""COMPUTED_VALUE"""),0.0)</f>
        <v>0</v>
      </c>
      <c r="AC97" s="268">
        <f>IFERROR(__xludf.DUMMYFUNCTION("""COMPUTED_VALUE"""),0.0)</f>
        <v>0</v>
      </c>
      <c r="AD97" s="268">
        <f>IFERROR(__xludf.DUMMYFUNCTION("""COMPUTED_VALUE"""),0.0)</f>
        <v>0</v>
      </c>
      <c r="AE97" s="268">
        <f>IFERROR(__xludf.DUMMYFUNCTION("""COMPUTED_VALUE"""),0.0)</f>
        <v>0</v>
      </c>
      <c r="AF97" s="268" t="str">
        <f>IFERROR(__xludf.DUMMYFUNCTION("""COMPUTED_VALUE"""),"")</f>
        <v/>
      </c>
      <c r="AG97" s="268">
        <f>IFERROR(__xludf.DUMMYFUNCTION("""COMPUTED_VALUE"""),0.0)</f>
        <v>0</v>
      </c>
      <c r="AH97" s="268">
        <f>IFERROR(__xludf.DUMMYFUNCTION("""COMPUTED_VALUE"""),0.0)</f>
        <v>0</v>
      </c>
      <c r="AI97" s="268">
        <f>IFERROR(__xludf.DUMMYFUNCTION("""COMPUTED_VALUE"""),0.0)</f>
        <v>0</v>
      </c>
      <c r="AJ97" s="268">
        <f>IFERROR(__xludf.DUMMYFUNCTION("ROWS(QUERY(Entregas_BD!D:AM,""select D where D ='""&amp;D97&amp;""'"",1))-1"),3.0)</f>
        <v>3</v>
      </c>
    </row>
    <row r="98" ht="22.5" customHeight="1">
      <c r="A98" s="170" t="str">
        <f>IFERROR(__xludf.DUMMYFUNCTION("""COMPUTED_VALUE"""),"")</f>
        <v/>
      </c>
      <c r="B98" s="170" t="str">
        <f>IFERROR(__xludf.DUMMYFUNCTION("""COMPUTED_VALUE"""),"")</f>
        <v/>
      </c>
      <c r="C98" s="170">
        <f>IFERROR(__xludf.DUMMYFUNCTION("""COMPUTED_VALUE"""),215.0)</f>
        <v>215</v>
      </c>
      <c r="D98" s="170" t="str">
        <f>IFERROR(__xludf.DUMMYFUNCTION("""COMPUTED_VALUE"""),"UPA 24hs Barra de Macae RJ")</f>
        <v>UPA 24hs Barra de Macae RJ</v>
      </c>
      <c r="E98" s="270" t="str">
        <f>IFERROR(__xludf.DUMMYFUNCTION("""COMPUTED_VALUE"""),"REGIAO DOS LAGOS")</f>
        <v>REGIAO DOS LAGOS</v>
      </c>
      <c r="F98" s="170" t="str">
        <f>IFERROR(__xludf.DUMMYFUNCTION("""COMPUTED_VALUE"""),"Macae")</f>
        <v>Macae</v>
      </c>
      <c r="G98" s="170" t="str">
        <f>IFERROR(__xludf.DUMMYFUNCTION("""COMPUTED_VALUE"""),"Barra de Macae")</f>
        <v>Barra de Macae</v>
      </c>
      <c r="H98" s="170" t="str">
        <f>IFERROR(__xludf.DUMMYFUNCTION("""COMPUTED_VALUE"""),"Grande emergência - MÉDIA COMPLEXIDADE")</f>
        <v>Grande emergência - MÉDIA COMPLEXIDADE</v>
      </c>
      <c r="I98" s="170" t="str">
        <f>IFERROR(__xludf.DUMMYFUNCTION("""COMPUTED_VALUE"""),"Público")</f>
        <v>Público</v>
      </c>
      <c r="J98" s="170" t="str">
        <f>IFERROR(__xludf.DUMMYFUNCTION("""COMPUTED_VALUE"""),"")</f>
        <v/>
      </c>
      <c r="K98" s="170" t="str">
        <f>IFERROR(__xludf.DUMMYFUNCTION("""COMPUTED_VALUE"""),"")</f>
        <v/>
      </c>
      <c r="L98" s="170" t="str">
        <f>IFERROR(__xludf.DUMMYFUNCTION("""COMPUTED_VALUE"""),"")</f>
        <v/>
      </c>
      <c r="M98" s="170" t="str">
        <f>IFERROR(__xludf.DUMMYFUNCTION("""COMPUTED_VALUE"""),"")</f>
        <v/>
      </c>
      <c r="N98" s="170">
        <f>IFERROR(__xludf.DUMMYFUNCTION("""COMPUTED_VALUE"""),0.0)</f>
        <v>0</v>
      </c>
      <c r="O98" s="170">
        <f>IFERROR(__xludf.DUMMYFUNCTION("""COMPUTED_VALUE"""),0.0)</f>
        <v>0</v>
      </c>
      <c r="P98" s="170">
        <f>IFERROR(__xludf.DUMMYFUNCTION("""COMPUTED_VALUE"""),0.0)</f>
        <v>0</v>
      </c>
      <c r="Q98" s="170">
        <f>IFERROR(__xludf.DUMMYFUNCTION("""COMPUTED_VALUE"""),0.0)</f>
        <v>0</v>
      </c>
      <c r="R98" s="170">
        <f>IFERROR(__xludf.DUMMYFUNCTION("""COMPUTED_VALUE"""),0.0)</f>
        <v>0</v>
      </c>
      <c r="S98" s="170">
        <f>IFERROR(__xludf.DUMMYFUNCTION("""COMPUTED_VALUE"""),0.0)</f>
        <v>0</v>
      </c>
      <c r="T98" s="170">
        <f>IFERROR(__xludf.DUMMYFUNCTION("""COMPUTED_VALUE"""),50.0)</f>
        <v>50</v>
      </c>
      <c r="U98" s="170">
        <f>IFERROR(__xludf.DUMMYFUNCTION("""COMPUTED_VALUE"""),0.0)</f>
        <v>0</v>
      </c>
      <c r="V98" s="170">
        <f>IFERROR(__xludf.DUMMYFUNCTION("""COMPUTED_VALUE"""),0.0)</f>
        <v>0</v>
      </c>
      <c r="W98" s="170">
        <f>IFERROR(__xludf.DUMMYFUNCTION("""COMPUTED_VALUE"""),0.0)</f>
        <v>0</v>
      </c>
      <c r="X98" s="170">
        <f>IFERROR(__xludf.DUMMYFUNCTION("""COMPUTED_VALUE"""),0.0)</f>
        <v>0</v>
      </c>
      <c r="Y98" s="170">
        <f>IFERROR(__xludf.DUMMYFUNCTION("""COMPUTED_VALUE"""),0.0)</f>
        <v>0</v>
      </c>
      <c r="Z98" s="170">
        <f>IFERROR(__xludf.DUMMYFUNCTION("""COMPUTED_VALUE"""),-50.0)</f>
        <v>-50</v>
      </c>
      <c r="AA98" s="170">
        <f>IFERROR(__xludf.DUMMYFUNCTION("""COMPUTED_VALUE"""),0.0)</f>
        <v>0</v>
      </c>
      <c r="AB98" s="170">
        <f>IFERROR(__xludf.DUMMYFUNCTION("""COMPUTED_VALUE"""),0.0)</f>
        <v>0</v>
      </c>
      <c r="AC98" s="170">
        <f>IFERROR(__xludf.DUMMYFUNCTION("""COMPUTED_VALUE"""),0.0)</f>
        <v>0</v>
      </c>
      <c r="AD98" s="170">
        <f>IFERROR(__xludf.DUMMYFUNCTION("""COMPUTED_VALUE"""),0.0)</f>
        <v>0</v>
      </c>
      <c r="AE98" s="170">
        <f>IFERROR(__xludf.DUMMYFUNCTION("""COMPUTED_VALUE"""),0.0)</f>
        <v>0</v>
      </c>
      <c r="AF98" s="170" t="str">
        <f>IFERROR(__xludf.DUMMYFUNCTION("""COMPUTED_VALUE"""),"")</f>
        <v/>
      </c>
      <c r="AG98" s="170">
        <f>IFERROR(__xludf.DUMMYFUNCTION("""COMPUTED_VALUE"""),0.0)</f>
        <v>0</v>
      </c>
      <c r="AH98" s="170">
        <f>IFERROR(__xludf.DUMMYFUNCTION("""COMPUTED_VALUE"""),0.0)</f>
        <v>0</v>
      </c>
      <c r="AI98" s="170">
        <f>IFERROR(__xludf.DUMMYFUNCTION("""COMPUTED_VALUE"""),0.0)</f>
        <v>0</v>
      </c>
      <c r="AJ98" s="170">
        <f>IFERROR(__xludf.DUMMYFUNCTION("ROWS(QUERY(Entregas_BD!D:AM,""select D where D ='""&amp;D98&amp;""'"",1))-1"),1.0)</f>
        <v>1</v>
      </c>
    </row>
    <row r="99" ht="22.5" customHeight="1">
      <c r="A99" s="268" t="str">
        <f>IFERROR(__xludf.DUMMYFUNCTION("""COMPUTED_VALUE"""),"")</f>
        <v/>
      </c>
      <c r="B99" s="268" t="str">
        <f>IFERROR(__xludf.DUMMYFUNCTION("""COMPUTED_VALUE"""),"")</f>
        <v/>
      </c>
      <c r="C99" s="268">
        <f>IFERROR(__xludf.DUMMYFUNCTION("""COMPUTED_VALUE"""),216.0)</f>
        <v>216</v>
      </c>
      <c r="D99" s="268" t="str">
        <f>IFERROR(__xludf.DUMMYFUNCTION("""COMPUTED_VALUE"""),"Santa casa de São João da Barra ")</f>
        <v>Santa casa de São João da Barra </v>
      </c>
      <c r="E99" s="269" t="str">
        <f>IFERROR(__xludf.DUMMYFUNCTION("""COMPUTED_VALUE"""),"REGIAO NORTE")</f>
        <v>REGIAO NORTE</v>
      </c>
      <c r="F99" s="268" t="str">
        <f>IFERROR(__xludf.DUMMYFUNCTION("""COMPUTED_VALUE"""),"Sao Joao da Barra")</f>
        <v>Sao Joao da Barra</v>
      </c>
      <c r="G99" s="268" t="str">
        <f>IFERROR(__xludf.DUMMYFUNCTION("""COMPUTED_VALUE"""),"Centro")</f>
        <v>Centro</v>
      </c>
      <c r="H99" s="268" t="str">
        <f>IFERROR(__xludf.DUMMYFUNCTION("""COMPUTED_VALUE"""),"Grande emergência - MÉDIA COMPLEXIDADE")</f>
        <v>Grande emergência - MÉDIA COMPLEXIDADE</v>
      </c>
      <c r="I99" s="268" t="str">
        <f>IFERROR(__xludf.DUMMYFUNCTION("""COMPUTED_VALUE"""),"Público")</f>
        <v>Público</v>
      </c>
      <c r="J99" s="268" t="str">
        <f>IFERROR(__xludf.DUMMYFUNCTION("""COMPUTED_VALUE"""),"")</f>
        <v/>
      </c>
      <c r="K99" s="268" t="str">
        <f>IFERROR(__xludf.DUMMYFUNCTION("""COMPUTED_VALUE"""),"")</f>
        <v/>
      </c>
      <c r="L99" s="268" t="str">
        <f>IFERROR(__xludf.DUMMYFUNCTION("""COMPUTED_VALUE"""),"")</f>
        <v/>
      </c>
      <c r="M99" s="268" t="str">
        <f>IFERROR(__xludf.DUMMYFUNCTION("""COMPUTED_VALUE"""),"")</f>
        <v/>
      </c>
      <c r="N99" s="268">
        <f>IFERROR(__xludf.DUMMYFUNCTION("""COMPUTED_VALUE"""),0.0)</f>
        <v>0</v>
      </c>
      <c r="O99" s="268">
        <f>IFERROR(__xludf.DUMMYFUNCTION("""COMPUTED_VALUE"""),0.0)</f>
        <v>0</v>
      </c>
      <c r="P99" s="268">
        <f>IFERROR(__xludf.DUMMYFUNCTION("""COMPUTED_VALUE"""),0.0)</f>
        <v>0</v>
      </c>
      <c r="Q99" s="268">
        <f>IFERROR(__xludf.DUMMYFUNCTION("""COMPUTED_VALUE"""),0.0)</f>
        <v>0</v>
      </c>
      <c r="R99" s="268">
        <f>IFERROR(__xludf.DUMMYFUNCTION("""COMPUTED_VALUE"""),0.0)</f>
        <v>0</v>
      </c>
      <c r="S99" s="268">
        <f>IFERROR(__xludf.DUMMYFUNCTION("""COMPUTED_VALUE"""),0.0)</f>
        <v>0</v>
      </c>
      <c r="T99" s="268">
        <f>IFERROR(__xludf.DUMMYFUNCTION("""COMPUTED_VALUE"""),150.0)</f>
        <v>150</v>
      </c>
      <c r="U99" s="268">
        <f>IFERROR(__xludf.DUMMYFUNCTION("""COMPUTED_VALUE"""),0.0)</f>
        <v>0</v>
      </c>
      <c r="V99" s="268">
        <f>IFERROR(__xludf.DUMMYFUNCTION("""COMPUTED_VALUE"""),0.0)</f>
        <v>0</v>
      </c>
      <c r="W99" s="268">
        <f>IFERROR(__xludf.DUMMYFUNCTION("""COMPUTED_VALUE"""),25.0)</f>
        <v>25</v>
      </c>
      <c r="X99" s="268">
        <f>IFERROR(__xludf.DUMMYFUNCTION("""COMPUTED_VALUE"""),0.0)</f>
        <v>0</v>
      </c>
      <c r="Y99" s="268">
        <f>IFERROR(__xludf.DUMMYFUNCTION("""COMPUTED_VALUE"""),0.0)</f>
        <v>0</v>
      </c>
      <c r="Z99" s="268">
        <f>IFERROR(__xludf.DUMMYFUNCTION("""COMPUTED_VALUE"""),-150.0)</f>
        <v>-150</v>
      </c>
      <c r="AA99" s="268">
        <f>IFERROR(__xludf.DUMMYFUNCTION("""COMPUTED_VALUE"""),0.0)</f>
        <v>0</v>
      </c>
      <c r="AB99" s="268">
        <f>IFERROR(__xludf.DUMMYFUNCTION("""COMPUTED_VALUE"""),0.0)</f>
        <v>0</v>
      </c>
      <c r="AC99" s="268">
        <f>IFERROR(__xludf.DUMMYFUNCTION("""COMPUTED_VALUE"""),-25.0)</f>
        <v>-25</v>
      </c>
      <c r="AD99" s="268">
        <f>IFERROR(__xludf.DUMMYFUNCTION("""COMPUTED_VALUE"""),0.0)</f>
        <v>0</v>
      </c>
      <c r="AE99" s="268">
        <f>IFERROR(__xludf.DUMMYFUNCTION("""COMPUTED_VALUE"""),0.0)</f>
        <v>0</v>
      </c>
      <c r="AF99" s="268" t="str">
        <f>IFERROR(__xludf.DUMMYFUNCTION("""COMPUTED_VALUE"""),"")</f>
        <v/>
      </c>
      <c r="AG99" s="268">
        <f>IFERROR(__xludf.DUMMYFUNCTION("""COMPUTED_VALUE"""),0.0)</f>
        <v>0</v>
      </c>
      <c r="AH99" s="268">
        <f>IFERROR(__xludf.DUMMYFUNCTION("""COMPUTED_VALUE"""),0.0)</f>
        <v>0</v>
      </c>
      <c r="AI99" s="268">
        <f>IFERROR(__xludf.DUMMYFUNCTION("""COMPUTED_VALUE"""),0.0)</f>
        <v>0</v>
      </c>
      <c r="AJ99" s="268">
        <f>IFERROR(__xludf.DUMMYFUNCTION("ROWS(QUERY(Entregas_BD!D:AM,""select D where D ='""&amp;D99&amp;""'"",1))-1"),1.0)</f>
        <v>1</v>
      </c>
    </row>
    <row r="100" ht="22.5" customHeight="1">
      <c r="A100" s="170" t="str">
        <f>IFERROR(__xludf.DUMMYFUNCTION("""COMPUTED_VALUE"""),"")</f>
        <v/>
      </c>
      <c r="B100" s="170" t="str">
        <f>IFERROR(__xludf.DUMMYFUNCTION("""COMPUTED_VALUE"""),"")</f>
        <v/>
      </c>
      <c r="C100" s="170">
        <f>IFERROR(__xludf.DUMMYFUNCTION("""COMPUTED_VALUE"""),217.0)</f>
        <v>217</v>
      </c>
      <c r="D100" s="170" t="str">
        <f>IFERROR(__xludf.DUMMYFUNCTION("""COMPUTED_VALUE"""),"Hospital Municipal Angela Maria Simoes Menezes")</f>
        <v>Hospital Municipal Angela Maria Simoes Menezes</v>
      </c>
      <c r="E100" s="270" t="str">
        <f>IFERROR(__xludf.DUMMYFUNCTION("""COMPUTED_VALUE"""),"REGIAO DOS LAGOS")</f>
        <v>REGIAO DOS LAGOS</v>
      </c>
      <c r="F100" s="170" t="str">
        <f>IFERROR(__xludf.DUMMYFUNCTION("""COMPUTED_VALUE"""),"Casimiro de Abreu")</f>
        <v>Casimiro de Abreu</v>
      </c>
      <c r="G100" s="170" t="str">
        <f>IFERROR(__xludf.DUMMYFUNCTION("""COMPUTED_VALUE"""),"Santa Ely")</f>
        <v>Santa Ely</v>
      </c>
      <c r="H100" s="170" t="str">
        <f>IFERROR(__xludf.DUMMYFUNCTION("""COMPUTED_VALUE"""),"Grande emergência - MÉDIA COMPLEXIDADE")</f>
        <v>Grande emergência - MÉDIA COMPLEXIDADE</v>
      </c>
      <c r="I100" s="170" t="str">
        <f>IFERROR(__xludf.DUMMYFUNCTION("""COMPUTED_VALUE"""),"Público")</f>
        <v>Público</v>
      </c>
      <c r="J100" s="170" t="str">
        <f>IFERROR(__xludf.DUMMYFUNCTION("""COMPUTED_VALUE"""),"")</f>
        <v/>
      </c>
      <c r="K100" s="170" t="str">
        <f>IFERROR(__xludf.DUMMYFUNCTION("""COMPUTED_VALUE"""),"")</f>
        <v/>
      </c>
      <c r="L100" s="170" t="str">
        <f>IFERROR(__xludf.DUMMYFUNCTION("""COMPUTED_VALUE"""),"")</f>
        <v/>
      </c>
      <c r="M100" s="170" t="str">
        <f>IFERROR(__xludf.DUMMYFUNCTION("""COMPUTED_VALUE"""),"")</f>
        <v/>
      </c>
      <c r="N100" s="170">
        <f>IFERROR(__xludf.DUMMYFUNCTION("""COMPUTED_VALUE"""),0.0)</f>
        <v>0</v>
      </c>
      <c r="O100" s="170">
        <f>IFERROR(__xludf.DUMMYFUNCTION("""COMPUTED_VALUE"""),0.0)</f>
        <v>0</v>
      </c>
      <c r="P100" s="170">
        <f>IFERROR(__xludf.DUMMYFUNCTION("""COMPUTED_VALUE"""),0.0)</f>
        <v>0</v>
      </c>
      <c r="Q100" s="170">
        <f>IFERROR(__xludf.DUMMYFUNCTION("""COMPUTED_VALUE"""),0.0)</f>
        <v>0</v>
      </c>
      <c r="R100" s="170">
        <f>IFERROR(__xludf.DUMMYFUNCTION("""COMPUTED_VALUE"""),0.0)</f>
        <v>0</v>
      </c>
      <c r="S100" s="170">
        <f>IFERROR(__xludf.DUMMYFUNCTION("""COMPUTED_VALUE"""),0.0)</f>
        <v>0</v>
      </c>
      <c r="T100" s="170">
        <f>IFERROR(__xludf.DUMMYFUNCTION("""COMPUTED_VALUE"""),50.0)</f>
        <v>50</v>
      </c>
      <c r="U100" s="170">
        <f>IFERROR(__xludf.DUMMYFUNCTION("""COMPUTED_VALUE"""),0.0)</f>
        <v>0</v>
      </c>
      <c r="V100" s="170">
        <f>IFERROR(__xludf.DUMMYFUNCTION("""COMPUTED_VALUE"""),0.0)</f>
        <v>0</v>
      </c>
      <c r="W100" s="170">
        <f>IFERROR(__xludf.DUMMYFUNCTION("""COMPUTED_VALUE"""),0.0)</f>
        <v>0</v>
      </c>
      <c r="X100" s="170">
        <f>IFERROR(__xludf.DUMMYFUNCTION("""COMPUTED_VALUE"""),0.0)</f>
        <v>0</v>
      </c>
      <c r="Y100" s="170">
        <f>IFERROR(__xludf.DUMMYFUNCTION("""COMPUTED_VALUE"""),0.0)</f>
        <v>0</v>
      </c>
      <c r="Z100" s="170">
        <f>IFERROR(__xludf.DUMMYFUNCTION("""COMPUTED_VALUE"""),-50.0)</f>
        <v>-50</v>
      </c>
      <c r="AA100" s="170">
        <f>IFERROR(__xludf.DUMMYFUNCTION("""COMPUTED_VALUE"""),0.0)</f>
        <v>0</v>
      </c>
      <c r="AB100" s="170">
        <f>IFERROR(__xludf.DUMMYFUNCTION("""COMPUTED_VALUE"""),0.0)</f>
        <v>0</v>
      </c>
      <c r="AC100" s="170">
        <f>IFERROR(__xludf.DUMMYFUNCTION("""COMPUTED_VALUE"""),0.0)</f>
        <v>0</v>
      </c>
      <c r="AD100" s="170">
        <f>IFERROR(__xludf.DUMMYFUNCTION("""COMPUTED_VALUE"""),0.0)</f>
        <v>0</v>
      </c>
      <c r="AE100" s="170">
        <f>IFERROR(__xludf.DUMMYFUNCTION("""COMPUTED_VALUE"""),0.0)</f>
        <v>0</v>
      </c>
      <c r="AF100" s="170" t="str">
        <f>IFERROR(__xludf.DUMMYFUNCTION("""COMPUTED_VALUE"""),"")</f>
        <v/>
      </c>
      <c r="AG100" s="170">
        <f>IFERROR(__xludf.DUMMYFUNCTION("""COMPUTED_VALUE"""),0.0)</f>
        <v>0</v>
      </c>
      <c r="AH100" s="170">
        <f>IFERROR(__xludf.DUMMYFUNCTION("""COMPUTED_VALUE"""),0.0)</f>
        <v>0</v>
      </c>
      <c r="AI100" s="170">
        <f>IFERROR(__xludf.DUMMYFUNCTION("""COMPUTED_VALUE"""),0.0)</f>
        <v>0</v>
      </c>
      <c r="AJ100" s="170">
        <f>IFERROR(__xludf.DUMMYFUNCTION("ROWS(QUERY(Entregas_BD!D:AM,""select D where D ='""&amp;D100&amp;""'"",1))-1"),1.0)</f>
        <v>1</v>
      </c>
    </row>
    <row r="101" ht="22.5" customHeight="1">
      <c r="A101" s="268" t="str">
        <f>IFERROR(__xludf.DUMMYFUNCTION("""COMPUTED_VALUE"""),"")</f>
        <v/>
      </c>
      <c r="B101" s="268" t="str">
        <f>IFERROR(__xludf.DUMMYFUNCTION("""COMPUTED_VALUE"""),"")</f>
        <v/>
      </c>
      <c r="C101" s="268">
        <f>IFERROR(__xludf.DUMMYFUNCTION("""COMPUTED_VALUE"""),219.0)</f>
        <v>219</v>
      </c>
      <c r="D101" s="268" t="str">
        <f>IFERROR(__xludf.DUMMYFUNCTION("""COMPUTED_VALUE"""),"Hospital Estadual Eduardo Rabello")</f>
        <v>Hospital Estadual Eduardo Rabello</v>
      </c>
      <c r="E101" s="272" t="str">
        <f>IFERROR(__xludf.DUMMYFUNCTION("""COMPUTED_VALUE"""),"ZONA OESTE")</f>
        <v>ZONA OESTE</v>
      </c>
      <c r="F101" s="268" t="str">
        <f>IFERROR(__xludf.DUMMYFUNCTION("""COMPUTED_VALUE"""),"Rio de Janeiro")</f>
        <v>Rio de Janeiro</v>
      </c>
      <c r="G101" s="268" t="str">
        <f>IFERROR(__xludf.DUMMYFUNCTION("""COMPUTED_VALUE"""),"Senador Vasconcelos")</f>
        <v>Senador Vasconcelos</v>
      </c>
      <c r="H101" s="268" t="str">
        <f>IFERROR(__xludf.DUMMYFUNCTION("""COMPUTED_VALUE"""),"Referência - ALTA COMPLEXIDADE")</f>
        <v>Referência - ALTA COMPLEXIDADE</v>
      </c>
      <c r="I101" s="268" t="str">
        <f>IFERROR(__xludf.DUMMYFUNCTION("""COMPUTED_VALUE"""),"Público")</f>
        <v>Público</v>
      </c>
      <c r="J101" s="268" t="str">
        <f>IFERROR(__xludf.DUMMYFUNCTION("""COMPUTED_VALUE"""),"")</f>
        <v/>
      </c>
      <c r="K101" s="268" t="str">
        <f>IFERROR(__xludf.DUMMYFUNCTION("""COMPUTED_VALUE"""),"")</f>
        <v/>
      </c>
      <c r="L101" s="268" t="str">
        <f>IFERROR(__xludf.DUMMYFUNCTION("""COMPUTED_VALUE"""),"")</f>
        <v/>
      </c>
      <c r="M101" s="268" t="str">
        <f>IFERROR(__xludf.DUMMYFUNCTION("""COMPUTED_VALUE"""),"")</f>
        <v/>
      </c>
      <c r="N101" s="268">
        <f>IFERROR(__xludf.DUMMYFUNCTION("""COMPUTED_VALUE"""),0.0)</f>
        <v>0</v>
      </c>
      <c r="O101" s="268">
        <f>IFERROR(__xludf.DUMMYFUNCTION("""COMPUTED_VALUE"""),0.0)</f>
        <v>0</v>
      </c>
      <c r="P101" s="268">
        <f>IFERROR(__xludf.DUMMYFUNCTION("""COMPUTED_VALUE"""),0.0)</f>
        <v>0</v>
      </c>
      <c r="Q101" s="268">
        <f>IFERROR(__xludf.DUMMYFUNCTION("""COMPUTED_VALUE"""),0.0)</f>
        <v>0</v>
      </c>
      <c r="R101" s="268">
        <f>IFERROR(__xludf.DUMMYFUNCTION("""COMPUTED_VALUE"""),0.0)</f>
        <v>0</v>
      </c>
      <c r="S101" s="268">
        <f>IFERROR(__xludf.DUMMYFUNCTION("""COMPUTED_VALUE"""),0.0)</f>
        <v>0</v>
      </c>
      <c r="T101" s="268">
        <f>IFERROR(__xludf.DUMMYFUNCTION("""COMPUTED_VALUE"""),100.0)</f>
        <v>100</v>
      </c>
      <c r="U101" s="268">
        <f>IFERROR(__xludf.DUMMYFUNCTION("""COMPUTED_VALUE"""),0.0)</f>
        <v>0</v>
      </c>
      <c r="V101" s="268">
        <f>IFERROR(__xludf.DUMMYFUNCTION("""COMPUTED_VALUE"""),0.0)</f>
        <v>0</v>
      </c>
      <c r="W101" s="268">
        <f>IFERROR(__xludf.DUMMYFUNCTION("""COMPUTED_VALUE"""),0.0)</f>
        <v>0</v>
      </c>
      <c r="X101" s="268">
        <f>IFERROR(__xludf.DUMMYFUNCTION("""COMPUTED_VALUE"""),0.0)</f>
        <v>0</v>
      </c>
      <c r="Y101" s="268">
        <f>IFERROR(__xludf.DUMMYFUNCTION("""COMPUTED_VALUE"""),0.0)</f>
        <v>0</v>
      </c>
      <c r="Z101" s="268">
        <f>IFERROR(__xludf.DUMMYFUNCTION("""COMPUTED_VALUE"""),-100.0)</f>
        <v>-100</v>
      </c>
      <c r="AA101" s="268">
        <f>IFERROR(__xludf.DUMMYFUNCTION("""COMPUTED_VALUE"""),0.0)</f>
        <v>0</v>
      </c>
      <c r="AB101" s="268">
        <f>IFERROR(__xludf.DUMMYFUNCTION("""COMPUTED_VALUE"""),0.0)</f>
        <v>0</v>
      </c>
      <c r="AC101" s="268">
        <f>IFERROR(__xludf.DUMMYFUNCTION("""COMPUTED_VALUE"""),0.0)</f>
        <v>0</v>
      </c>
      <c r="AD101" s="268">
        <f>IFERROR(__xludf.DUMMYFUNCTION("""COMPUTED_VALUE"""),0.0)</f>
        <v>0</v>
      </c>
      <c r="AE101" s="268">
        <f>IFERROR(__xludf.DUMMYFUNCTION("""COMPUTED_VALUE"""),0.0)</f>
        <v>0</v>
      </c>
      <c r="AF101" s="268" t="str">
        <f>IFERROR(__xludf.DUMMYFUNCTION("""COMPUTED_VALUE"""),"")</f>
        <v/>
      </c>
      <c r="AG101" s="268">
        <f>IFERROR(__xludf.DUMMYFUNCTION("""COMPUTED_VALUE"""),0.0)</f>
        <v>0</v>
      </c>
      <c r="AH101" s="268">
        <f>IFERROR(__xludf.DUMMYFUNCTION("""COMPUTED_VALUE"""),0.0)</f>
        <v>0</v>
      </c>
      <c r="AI101" s="268">
        <f>IFERROR(__xludf.DUMMYFUNCTION("""COMPUTED_VALUE"""),0.0)</f>
        <v>0</v>
      </c>
      <c r="AJ101" s="268">
        <f>IFERROR(__xludf.DUMMYFUNCTION("ROWS(QUERY(Entregas_BD!D:AM,""select D where D ='""&amp;D101&amp;""'"",1))-1"),1.0)</f>
        <v>1</v>
      </c>
    </row>
    <row r="102" ht="22.5" customHeight="1">
      <c r="A102" s="170" t="str">
        <f>IFERROR(__xludf.DUMMYFUNCTION("""COMPUTED_VALUE"""),"")</f>
        <v/>
      </c>
      <c r="B102" s="170" t="str">
        <f>IFERROR(__xludf.DUMMYFUNCTION("""COMPUTED_VALUE"""),"")</f>
        <v/>
      </c>
      <c r="C102" s="170">
        <f>IFERROR(__xludf.DUMMYFUNCTION("""COMPUTED_VALUE"""),220.0)</f>
        <v>220</v>
      </c>
      <c r="D102" s="170" t="str">
        <f>IFERROR(__xludf.DUMMYFUNCTION("""COMPUTED_VALUE"""),"Testagem Covid-19 e Vacinacao")</f>
        <v>Testagem Covid-19 e Vacinacao</v>
      </c>
      <c r="E102" s="270" t="str">
        <f>IFERROR(__xludf.DUMMYFUNCTION("""COMPUTED_VALUE"""),"ZONA NORTE")</f>
        <v>ZONA NORTE</v>
      </c>
      <c r="F102" s="170" t="str">
        <f>IFERROR(__xludf.DUMMYFUNCTION("""COMPUTED_VALUE"""),"rio de janeiro")</f>
        <v>rio de janeiro</v>
      </c>
      <c r="G102" s="170" t="str">
        <f>IFERROR(__xludf.DUMMYFUNCTION("""COMPUTED_VALUE"""),"Cidade Universitaria")</f>
        <v>Cidade Universitaria</v>
      </c>
      <c r="H102" s="170" t="str">
        <f>IFERROR(__xludf.DUMMYFUNCTION("""COMPUTED_VALUE"""),"Unidade básica - BAIXA COMPLEXIDADE")</f>
        <v>Unidade básica - BAIXA COMPLEXIDADE</v>
      </c>
      <c r="I102" s="170" t="str">
        <f>IFERROR(__xludf.DUMMYFUNCTION("""COMPUTED_VALUE"""),"Público")</f>
        <v>Público</v>
      </c>
      <c r="J102" s="170" t="str">
        <f>IFERROR(__xludf.DUMMYFUNCTION("""COMPUTED_VALUE"""),"")</f>
        <v/>
      </c>
      <c r="K102" s="170" t="str">
        <f>IFERROR(__xludf.DUMMYFUNCTION("""COMPUTED_VALUE"""),"")</f>
        <v/>
      </c>
      <c r="L102" s="170" t="str">
        <f>IFERROR(__xludf.DUMMYFUNCTION("""COMPUTED_VALUE"""),"")</f>
        <v/>
      </c>
      <c r="M102" s="170" t="str">
        <f>IFERROR(__xludf.DUMMYFUNCTION("""COMPUTED_VALUE"""),"")</f>
        <v/>
      </c>
      <c r="N102" s="170">
        <f>IFERROR(__xludf.DUMMYFUNCTION("""COMPUTED_VALUE"""),0.0)</f>
        <v>0</v>
      </c>
      <c r="O102" s="170">
        <f>IFERROR(__xludf.DUMMYFUNCTION("""COMPUTED_VALUE"""),0.0)</f>
        <v>0</v>
      </c>
      <c r="P102" s="170">
        <f>IFERROR(__xludf.DUMMYFUNCTION("""COMPUTED_VALUE"""),0.0)</f>
        <v>0</v>
      </c>
      <c r="Q102" s="170">
        <f>IFERROR(__xludf.DUMMYFUNCTION("""COMPUTED_VALUE"""),0.0)</f>
        <v>0</v>
      </c>
      <c r="R102" s="170">
        <f>IFERROR(__xludf.DUMMYFUNCTION("""COMPUTED_VALUE"""),0.0)</f>
        <v>0</v>
      </c>
      <c r="S102" s="170">
        <f>IFERROR(__xludf.DUMMYFUNCTION("""COMPUTED_VALUE"""),0.0)</f>
        <v>0</v>
      </c>
      <c r="T102" s="170">
        <f>IFERROR(__xludf.DUMMYFUNCTION("""COMPUTED_VALUE"""),100.0)</f>
        <v>100</v>
      </c>
      <c r="U102" s="170">
        <f>IFERROR(__xludf.DUMMYFUNCTION("""COMPUTED_VALUE"""),0.0)</f>
        <v>0</v>
      </c>
      <c r="V102" s="170">
        <f>IFERROR(__xludf.DUMMYFUNCTION("""COMPUTED_VALUE"""),0.0)</f>
        <v>0</v>
      </c>
      <c r="W102" s="170">
        <f>IFERROR(__xludf.DUMMYFUNCTION("""COMPUTED_VALUE"""),0.0)</f>
        <v>0</v>
      </c>
      <c r="X102" s="170">
        <f>IFERROR(__xludf.DUMMYFUNCTION("""COMPUTED_VALUE"""),0.0)</f>
        <v>0</v>
      </c>
      <c r="Y102" s="170">
        <f>IFERROR(__xludf.DUMMYFUNCTION("""COMPUTED_VALUE"""),0.0)</f>
        <v>0</v>
      </c>
      <c r="Z102" s="170">
        <f>IFERROR(__xludf.DUMMYFUNCTION("""COMPUTED_VALUE"""),-100.0)</f>
        <v>-100</v>
      </c>
      <c r="AA102" s="170">
        <f>IFERROR(__xludf.DUMMYFUNCTION("""COMPUTED_VALUE"""),0.0)</f>
        <v>0</v>
      </c>
      <c r="AB102" s="170">
        <f>IFERROR(__xludf.DUMMYFUNCTION("""COMPUTED_VALUE"""),0.0)</f>
        <v>0</v>
      </c>
      <c r="AC102" s="170">
        <f>IFERROR(__xludf.DUMMYFUNCTION("""COMPUTED_VALUE"""),0.0)</f>
        <v>0</v>
      </c>
      <c r="AD102" s="170">
        <f>IFERROR(__xludf.DUMMYFUNCTION("""COMPUTED_VALUE"""),0.0)</f>
        <v>0</v>
      </c>
      <c r="AE102" s="170">
        <f>IFERROR(__xludf.DUMMYFUNCTION("""COMPUTED_VALUE"""),0.0)</f>
        <v>0</v>
      </c>
      <c r="AF102" s="170" t="str">
        <f>IFERROR(__xludf.DUMMYFUNCTION("""COMPUTED_VALUE"""),"")</f>
        <v/>
      </c>
      <c r="AG102" s="170">
        <f>IFERROR(__xludf.DUMMYFUNCTION("""COMPUTED_VALUE"""),0.0)</f>
        <v>0</v>
      </c>
      <c r="AH102" s="170">
        <f>IFERROR(__xludf.DUMMYFUNCTION("""COMPUTED_VALUE"""),0.0)</f>
        <v>0</v>
      </c>
      <c r="AI102" s="170">
        <f>IFERROR(__xludf.DUMMYFUNCTION("""COMPUTED_VALUE"""),0.0)</f>
        <v>0</v>
      </c>
      <c r="AJ102" s="170">
        <f>IFERROR(__xludf.DUMMYFUNCTION("ROWS(QUERY(Entregas_BD!D:AM,""select D where D ='""&amp;D102&amp;""'"",1))-1"),1.0)</f>
        <v>1</v>
      </c>
    </row>
    <row r="103" ht="22.5" customHeight="1">
      <c r="A103" s="268" t="str">
        <f>IFERROR(__xludf.DUMMYFUNCTION("""COMPUTED_VALUE"""),"")</f>
        <v/>
      </c>
      <c r="B103" s="268" t="str">
        <f>IFERROR(__xludf.DUMMYFUNCTION("""COMPUTED_VALUE"""),"")</f>
        <v/>
      </c>
      <c r="C103" s="268">
        <f>IFERROR(__xludf.DUMMYFUNCTION("""COMPUTED_VALUE"""),221.0)</f>
        <v>221</v>
      </c>
      <c r="D103" s="268" t="str">
        <f>IFERROR(__xludf.DUMMYFUNCTION("""COMPUTED_VALUE"""),"Instituto Oswaldo Cruz-IOC/FIOCRUZ")</f>
        <v>Instituto Oswaldo Cruz-IOC/FIOCRUZ</v>
      </c>
      <c r="E103" s="272" t="str">
        <f>IFERROR(__xludf.DUMMYFUNCTION("""COMPUTED_VALUE"""),"ZONA NORTE")</f>
        <v>ZONA NORTE</v>
      </c>
      <c r="F103" s="268" t="str">
        <f>IFERROR(__xludf.DUMMYFUNCTION("""COMPUTED_VALUE"""),"Rio de Janeiro")</f>
        <v>Rio de Janeiro</v>
      </c>
      <c r="G103" s="268" t="str">
        <f>IFERROR(__xludf.DUMMYFUNCTION("""COMPUTED_VALUE"""),"Manguinhos")</f>
        <v>Manguinhos</v>
      </c>
      <c r="H103" s="268" t="str">
        <f>IFERROR(__xludf.DUMMYFUNCTION("""COMPUTED_VALUE"""),"Intituição de pesquisa avançasda")</f>
        <v>Intituição de pesquisa avançasda</v>
      </c>
      <c r="I103" s="268" t="str">
        <f>IFERROR(__xludf.DUMMYFUNCTION("""COMPUTED_VALUE"""),"Público")</f>
        <v>Público</v>
      </c>
      <c r="J103" s="268" t="str">
        <f>IFERROR(__xludf.DUMMYFUNCTION("""COMPUTED_VALUE"""),"")</f>
        <v/>
      </c>
      <c r="K103" s="268" t="str">
        <f>IFERROR(__xludf.DUMMYFUNCTION("""COMPUTED_VALUE"""),"")</f>
        <v/>
      </c>
      <c r="L103" s="268" t="str">
        <f>IFERROR(__xludf.DUMMYFUNCTION("""COMPUTED_VALUE"""),"")</f>
        <v/>
      </c>
      <c r="M103" s="268" t="str">
        <f>IFERROR(__xludf.DUMMYFUNCTION("""COMPUTED_VALUE"""),"")</f>
        <v/>
      </c>
      <c r="N103" s="268">
        <f>IFERROR(__xludf.DUMMYFUNCTION("""COMPUTED_VALUE"""),0.0)</f>
        <v>0</v>
      </c>
      <c r="O103" s="268">
        <f>IFERROR(__xludf.DUMMYFUNCTION("""COMPUTED_VALUE"""),0.0)</f>
        <v>0</v>
      </c>
      <c r="P103" s="268">
        <f>IFERROR(__xludf.DUMMYFUNCTION("""COMPUTED_VALUE"""),0.0)</f>
        <v>0</v>
      </c>
      <c r="Q103" s="268">
        <f>IFERROR(__xludf.DUMMYFUNCTION("""COMPUTED_VALUE"""),0.0)</f>
        <v>0</v>
      </c>
      <c r="R103" s="268">
        <f>IFERROR(__xludf.DUMMYFUNCTION("""COMPUTED_VALUE"""),0.0)</f>
        <v>0</v>
      </c>
      <c r="S103" s="268">
        <f>IFERROR(__xludf.DUMMYFUNCTION("""COMPUTED_VALUE"""),0.0)</f>
        <v>0</v>
      </c>
      <c r="T103" s="268">
        <f>IFERROR(__xludf.DUMMYFUNCTION("""COMPUTED_VALUE"""),0.0)</f>
        <v>0</v>
      </c>
      <c r="U103" s="268">
        <f>IFERROR(__xludf.DUMMYFUNCTION("""COMPUTED_VALUE"""),0.0)</f>
        <v>0</v>
      </c>
      <c r="V103" s="268">
        <f>IFERROR(__xludf.DUMMYFUNCTION("""COMPUTED_VALUE"""),0.0)</f>
        <v>0</v>
      </c>
      <c r="W103" s="268">
        <f>IFERROR(__xludf.DUMMYFUNCTION("""COMPUTED_VALUE"""),100.0)</f>
        <v>100</v>
      </c>
      <c r="X103" s="268">
        <f>IFERROR(__xludf.DUMMYFUNCTION("""COMPUTED_VALUE"""),0.0)</f>
        <v>0</v>
      </c>
      <c r="Y103" s="268">
        <f>IFERROR(__xludf.DUMMYFUNCTION("""COMPUTED_VALUE"""),0.0)</f>
        <v>0</v>
      </c>
      <c r="Z103" s="268">
        <f>IFERROR(__xludf.DUMMYFUNCTION("""COMPUTED_VALUE"""),0.0)</f>
        <v>0</v>
      </c>
      <c r="AA103" s="268">
        <f>IFERROR(__xludf.DUMMYFUNCTION("""COMPUTED_VALUE"""),0.0)</f>
        <v>0</v>
      </c>
      <c r="AB103" s="268">
        <f>IFERROR(__xludf.DUMMYFUNCTION("""COMPUTED_VALUE"""),0.0)</f>
        <v>0</v>
      </c>
      <c r="AC103" s="268">
        <f>IFERROR(__xludf.DUMMYFUNCTION("""COMPUTED_VALUE"""),-100.0)</f>
        <v>-100</v>
      </c>
      <c r="AD103" s="268">
        <f>IFERROR(__xludf.DUMMYFUNCTION("""COMPUTED_VALUE"""),0.0)</f>
        <v>0</v>
      </c>
      <c r="AE103" s="268">
        <f>IFERROR(__xludf.DUMMYFUNCTION("""COMPUTED_VALUE"""),0.0)</f>
        <v>0</v>
      </c>
      <c r="AF103" s="268" t="str">
        <f>IFERROR(__xludf.DUMMYFUNCTION("""COMPUTED_VALUE"""),"")</f>
        <v/>
      </c>
      <c r="AG103" s="268">
        <f>IFERROR(__xludf.DUMMYFUNCTION("""COMPUTED_VALUE"""),0.0)</f>
        <v>0</v>
      </c>
      <c r="AH103" s="268">
        <f>IFERROR(__xludf.DUMMYFUNCTION("""COMPUTED_VALUE"""),0.0)</f>
        <v>0</v>
      </c>
      <c r="AI103" s="268">
        <f>IFERROR(__xludf.DUMMYFUNCTION("""COMPUTED_VALUE"""),0.0)</f>
        <v>0</v>
      </c>
      <c r="AJ103" s="268">
        <f>IFERROR(__xludf.DUMMYFUNCTION("ROWS(QUERY(Entregas_BD!D:AM,""select D where D ='""&amp;D103&amp;""'"",1))-1"),1.0)</f>
        <v>1</v>
      </c>
    </row>
    <row r="104" ht="22.5" customHeight="1">
      <c r="A104" s="170" t="str">
        <f>IFERROR(__xludf.DUMMYFUNCTION("""COMPUTED_VALUE"""),"")</f>
        <v/>
      </c>
      <c r="B104" s="170" t="str">
        <f>IFERROR(__xludf.DUMMYFUNCTION("""COMPUTED_VALUE"""),"")</f>
        <v/>
      </c>
      <c r="C104" s="170">
        <f>IFERROR(__xludf.DUMMYFUNCTION("""COMPUTED_VALUE"""),222.0)</f>
        <v>222</v>
      </c>
      <c r="D104" s="170" t="str">
        <f>IFERROR(__xludf.DUMMYFUNCTION("""COMPUTED_VALUE"""),"Escola de Enfermagem Anna Nery")</f>
        <v>Escola de Enfermagem Anna Nery</v>
      </c>
      <c r="E104" s="270" t="str">
        <f>IFERROR(__xludf.DUMMYFUNCTION("""COMPUTED_VALUE"""),"CENTRO")</f>
        <v>CENTRO</v>
      </c>
      <c r="F104" s="170" t="str">
        <f>IFERROR(__xludf.DUMMYFUNCTION("""COMPUTED_VALUE"""),"Rio de Janeiro")</f>
        <v>Rio de Janeiro</v>
      </c>
      <c r="G104" s="170" t="str">
        <f>IFERROR(__xludf.DUMMYFUNCTION("""COMPUTED_VALUE"""),"Cidade Nova")</f>
        <v>Cidade Nova</v>
      </c>
      <c r="H104" s="170" t="str">
        <f>IFERROR(__xludf.DUMMYFUNCTION("""COMPUTED_VALUE"""),"Unidade básica - BAIXA COMPLEXIDADE")</f>
        <v>Unidade básica - BAIXA COMPLEXIDADE</v>
      </c>
      <c r="I104" s="170" t="str">
        <f>IFERROR(__xludf.DUMMYFUNCTION("""COMPUTED_VALUE"""),"Público")</f>
        <v>Público</v>
      </c>
      <c r="J104" s="170" t="str">
        <f>IFERROR(__xludf.DUMMYFUNCTION("""COMPUTED_VALUE"""),"")</f>
        <v/>
      </c>
      <c r="K104" s="170" t="str">
        <f>IFERROR(__xludf.DUMMYFUNCTION("""COMPUTED_VALUE"""),"")</f>
        <v/>
      </c>
      <c r="L104" s="170" t="str">
        <f>IFERROR(__xludf.DUMMYFUNCTION("""COMPUTED_VALUE"""),"")</f>
        <v/>
      </c>
      <c r="M104" s="170" t="str">
        <f>IFERROR(__xludf.DUMMYFUNCTION("""COMPUTED_VALUE"""),"")</f>
        <v/>
      </c>
      <c r="N104" s="170">
        <f>IFERROR(__xludf.DUMMYFUNCTION("""COMPUTED_VALUE"""),0.0)</f>
        <v>0</v>
      </c>
      <c r="O104" s="170">
        <f>IFERROR(__xludf.DUMMYFUNCTION("""COMPUTED_VALUE"""),0.0)</f>
        <v>0</v>
      </c>
      <c r="P104" s="170">
        <f>IFERROR(__xludf.DUMMYFUNCTION("""COMPUTED_VALUE"""),0.0)</f>
        <v>0</v>
      </c>
      <c r="Q104" s="170">
        <f>IFERROR(__xludf.DUMMYFUNCTION("""COMPUTED_VALUE"""),0.0)</f>
        <v>0</v>
      </c>
      <c r="R104" s="170">
        <f>IFERROR(__xludf.DUMMYFUNCTION("""COMPUTED_VALUE"""),0.0)</f>
        <v>0</v>
      </c>
      <c r="S104" s="170">
        <f>IFERROR(__xludf.DUMMYFUNCTION("""COMPUTED_VALUE"""),0.0)</f>
        <v>0</v>
      </c>
      <c r="T104" s="170">
        <f>IFERROR(__xludf.DUMMYFUNCTION("""COMPUTED_VALUE"""),50.0)</f>
        <v>50</v>
      </c>
      <c r="U104" s="170">
        <f>IFERROR(__xludf.DUMMYFUNCTION("""COMPUTED_VALUE"""),0.0)</f>
        <v>0</v>
      </c>
      <c r="V104" s="170">
        <f>IFERROR(__xludf.DUMMYFUNCTION("""COMPUTED_VALUE"""),0.0)</f>
        <v>0</v>
      </c>
      <c r="W104" s="170">
        <f>IFERROR(__xludf.DUMMYFUNCTION("""COMPUTED_VALUE"""),0.0)</f>
        <v>0</v>
      </c>
      <c r="X104" s="170">
        <f>IFERROR(__xludf.DUMMYFUNCTION("""COMPUTED_VALUE"""),0.0)</f>
        <v>0</v>
      </c>
      <c r="Y104" s="170">
        <f>IFERROR(__xludf.DUMMYFUNCTION("""COMPUTED_VALUE"""),12.0)</f>
        <v>12</v>
      </c>
      <c r="Z104" s="170">
        <f>IFERROR(__xludf.DUMMYFUNCTION("""COMPUTED_VALUE"""),-50.0)</f>
        <v>-50</v>
      </c>
      <c r="AA104" s="170">
        <f>IFERROR(__xludf.DUMMYFUNCTION("""COMPUTED_VALUE"""),0.0)</f>
        <v>0</v>
      </c>
      <c r="AB104" s="170">
        <f>IFERROR(__xludf.DUMMYFUNCTION("""COMPUTED_VALUE"""),0.0)</f>
        <v>0</v>
      </c>
      <c r="AC104" s="170">
        <f>IFERROR(__xludf.DUMMYFUNCTION("""COMPUTED_VALUE"""),0.0)</f>
        <v>0</v>
      </c>
      <c r="AD104" s="170">
        <f>IFERROR(__xludf.DUMMYFUNCTION("""COMPUTED_VALUE"""),-12.0)</f>
        <v>-12</v>
      </c>
      <c r="AE104" s="170">
        <f>IFERROR(__xludf.DUMMYFUNCTION("""COMPUTED_VALUE"""),0.0)</f>
        <v>0</v>
      </c>
      <c r="AF104" s="170" t="str">
        <f>IFERROR(__xludf.DUMMYFUNCTION("""COMPUTED_VALUE"""),"")</f>
        <v/>
      </c>
      <c r="AG104" s="170">
        <f>IFERROR(__xludf.DUMMYFUNCTION("""COMPUTED_VALUE"""),0.0)</f>
        <v>0</v>
      </c>
      <c r="AH104" s="170">
        <f>IFERROR(__xludf.DUMMYFUNCTION("""COMPUTED_VALUE"""),0.0)</f>
        <v>0</v>
      </c>
      <c r="AI104" s="170">
        <f>IFERROR(__xludf.DUMMYFUNCTION("""COMPUTED_VALUE"""),0.0)</f>
        <v>0</v>
      </c>
      <c r="AJ104" s="170">
        <f>IFERROR(__xludf.DUMMYFUNCTION("ROWS(QUERY(Entregas_BD!D:AM,""select D where D ='""&amp;D104&amp;""'"",1))-1"),1.0)</f>
        <v>1</v>
      </c>
    </row>
    <row r="105" ht="22.5" customHeight="1">
      <c r="A105" s="268" t="str">
        <f>IFERROR(__xludf.DUMMYFUNCTION("""COMPUTED_VALUE"""),"")</f>
        <v/>
      </c>
      <c r="B105" s="268" t="str">
        <f>IFERROR(__xludf.DUMMYFUNCTION("""COMPUTED_VALUE"""),"")</f>
        <v/>
      </c>
      <c r="C105" s="268">
        <f>IFERROR(__xludf.DUMMYFUNCTION("""COMPUTED_VALUE"""),223.0)</f>
        <v>223</v>
      </c>
      <c r="D105" s="268" t="str">
        <f>IFERROR(__xludf.DUMMYFUNCTION("""COMPUTED_VALUE"""),"Maternidade Escola da UFRJ")</f>
        <v>Maternidade Escola da UFRJ</v>
      </c>
      <c r="E105" s="272" t="str">
        <f>IFERROR(__xludf.DUMMYFUNCTION("""COMPUTED_VALUE"""),"REGIAO METROPOLITANA")</f>
        <v>REGIAO METROPOLITANA</v>
      </c>
      <c r="F105" s="268" t="str">
        <f>IFERROR(__xludf.DUMMYFUNCTION("""COMPUTED_VALUE"""),"Rio de Janeiro")</f>
        <v>Rio de Janeiro</v>
      </c>
      <c r="G105" s="268" t="str">
        <f>IFERROR(__xludf.DUMMYFUNCTION("""COMPUTED_VALUE"""),"Laranjeiras")</f>
        <v>Laranjeiras</v>
      </c>
      <c r="H105" s="268" t="str">
        <f>IFERROR(__xludf.DUMMYFUNCTION("""COMPUTED_VALUE"""),"Referência - ALTA COMPLEXIDADE")</f>
        <v>Referência - ALTA COMPLEXIDADE</v>
      </c>
      <c r="I105" s="268" t="str">
        <f>IFERROR(__xludf.DUMMYFUNCTION("""COMPUTED_VALUE"""),"Público")</f>
        <v>Público</v>
      </c>
      <c r="J105" s="268" t="str">
        <f>IFERROR(__xludf.DUMMYFUNCTION("""COMPUTED_VALUE"""),"")</f>
        <v/>
      </c>
      <c r="K105" s="268" t="str">
        <f>IFERROR(__xludf.DUMMYFUNCTION("""COMPUTED_VALUE"""),"")</f>
        <v/>
      </c>
      <c r="L105" s="268" t="str">
        <f>IFERROR(__xludf.DUMMYFUNCTION("""COMPUTED_VALUE"""),"")</f>
        <v/>
      </c>
      <c r="M105" s="268" t="str">
        <f>IFERROR(__xludf.DUMMYFUNCTION("""COMPUTED_VALUE"""),"")</f>
        <v/>
      </c>
      <c r="N105" s="268">
        <f>IFERROR(__xludf.DUMMYFUNCTION("""COMPUTED_VALUE"""),0.0)</f>
        <v>0</v>
      </c>
      <c r="O105" s="268">
        <f>IFERROR(__xludf.DUMMYFUNCTION("""COMPUTED_VALUE"""),0.0)</f>
        <v>0</v>
      </c>
      <c r="P105" s="268">
        <f>IFERROR(__xludf.DUMMYFUNCTION("""COMPUTED_VALUE"""),0.0)</f>
        <v>0</v>
      </c>
      <c r="Q105" s="268">
        <f>IFERROR(__xludf.DUMMYFUNCTION("""COMPUTED_VALUE"""),0.0)</f>
        <v>0</v>
      </c>
      <c r="R105" s="268">
        <f>IFERROR(__xludf.DUMMYFUNCTION("""COMPUTED_VALUE"""),0.0)</f>
        <v>0</v>
      </c>
      <c r="S105" s="268">
        <f>IFERROR(__xludf.DUMMYFUNCTION("""COMPUTED_VALUE"""),0.0)</f>
        <v>0</v>
      </c>
      <c r="T105" s="268">
        <f>IFERROR(__xludf.DUMMYFUNCTION("""COMPUTED_VALUE"""),50.0)</f>
        <v>50</v>
      </c>
      <c r="U105" s="268">
        <f>IFERROR(__xludf.DUMMYFUNCTION("""COMPUTED_VALUE"""),0.0)</f>
        <v>0</v>
      </c>
      <c r="V105" s="268">
        <f>IFERROR(__xludf.DUMMYFUNCTION("""COMPUTED_VALUE"""),0.0)</f>
        <v>0</v>
      </c>
      <c r="W105" s="268">
        <f>IFERROR(__xludf.DUMMYFUNCTION("""COMPUTED_VALUE"""),0.0)</f>
        <v>0</v>
      </c>
      <c r="X105" s="268">
        <f>IFERROR(__xludf.DUMMYFUNCTION("""COMPUTED_VALUE"""),0.0)</f>
        <v>0</v>
      </c>
      <c r="Y105" s="268">
        <f>IFERROR(__xludf.DUMMYFUNCTION("""COMPUTED_VALUE"""),12.0)</f>
        <v>12</v>
      </c>
      <c r="Z105" s="268">
        <f>IFERROR(__xludf.DUMMYFUNCTION("""COMPUTED_VALUE"""),-50.0)</f>
        <v>-50</v>
      </c>
      <c r="AA105" s="268">
        <f>IFERROR(__xludf.DUMMYFUNCTION("""COMPUTED_VALUE"""),0.0)</f>
        <v>0</v>
      </c>
      <c r="AB105" s="268">
        <f>IFERROR(__xludf.DUMMYFUNCTION("""COMPUTED_VALUE"""),0.0)</f>
        <v>0</v>
      </c>
      <c r="AC105" s="268">
        <f>IFERROR(__xludf.DUMMYFUNCTION("""COMPUTED_VALUE"""),0.0)</f>
        <v>0</v>
      </c>
      <c r="AD105" s="268">
        <f>IFERROR(__xludf.DUMMYFUNCTION("""COMPUTED_VALUE"""),-12.0)</f>
        <v>-12</v>
      </c>
      <c r="AE105" s="268">
        <f>IFERROR(__xludf.DUMMYFUNCTION("""COMPUTED_VALUE"""),0.0)</f>
        <v>0</v>
      </c>
      <c r="AF105" s="268" t="str">
        <f>IFERROR(__xludf.DUMMYFUNCTION("""COMPUTED_VALUE"""),"")</f>
        <v/>
      </c>
      <c r="AG105" s="268">
        <f>IFERROR(__xludf.DUMMYFUNCTION("""COMPUTED_VALUE"""),0.0)</f>
        <v>0</v>
      </c>
      <c r="AH105" s="268">
        <f>IFERROR(__xludf.DUMMYFUNCTION("""COMPUTED_VALUE"""),0.0)</f>
        <v>0</v>
      </c>
      <c r="AI105" s="268">
        <f>IFERROR(__xludf.DUMMYFUNCTION("""COMPUTED_VALUE"""),0.0)</f>
        <v>0</v>
      </c>
      <c r="AJ105" s="268">
        <f>IFERROR(__xludf.DUMMYFUNCTION("ROWS(QUERY(Entregas_BD!D:AM,""select D where D ='""&amp;D105&amp;""'"",1))-1"),1.0)</f>
        <v>1</v>
      </c>
    </row>
    <row r="106" ht="22.5" customHeight="1">
      <c r="A106" s="170" t="str">
        <f>IFERROR(__xludf.DUMMYFUNCTION("""COMPUTED_VALUE"""),"")</f>
        <v/>
      </c>
      <c r="B106" s="170" t="str">
        <f>IFERROR(__xludf.DUMMYFUNCTION("""COMPUTED_VALUE"""),"")</f>
        <v/>
      </c>
      <c r="C106" s="170">
        <f>IFERROR(__xludf.DUMMYFUNCTION("""COMPUTED_VALUE"""),225.0)</f>
        <v>225</v>
      </c>
      <c r="D106" s="170" t="str">
        <f>IFERROR(__xludf.DUMMYFUNCTION("""COMPUTED_VALUE"""),"Coordenacao de atencao primaria a saude - cap 52")</f>
        <v>Coordenacao de atencao primaria a saude - cap 52</v>
      </c>
      <c r="E106" s="270" t="str">
        <f>IFERROR(__xludf.DUMMYFUNCTION("""COMPUTED_VALUE"""),"ZONA OESTE")</f>
        <v>ZONA OESTE</v>
      </c>
      <c r="F106" s="170" t="str">
        <f>IFERROR(__xludf.DUMMYFUNCTION("""COMPUTED_VALUE"""),"Inhoaiba")</f>
        <v>Inhoaiba</v>
      </c>
      <c r="G106" s="170" t="str">
        <f>IFERROR(__xludf.DUMMYFUNCTION("""COMPUTED_VALUE"""),"Campo Grande")</f>
        <v>Campo Grande</v>
      </c>
      <c r="H106" s="170" t="str">
        <f>IFERROR(__xludf.DUMMYFUNCTION("""COMPUTED_VALUE"""),"Unidade básica - BAIXA COMPLEXIDADE")</f>
        <v>Unidade básica - BAIXA COMPLEXIDADE</v>
      </c>
      <c r="I106" s="170" t="str">
        <f>IFERROR(__xludf.DUMMYFUNCTION("""COMPUTED_VALUE"""),"Público")</f>
        <v>Público</v>
      </c>
      <c r="J106" s="170" t="str">
        <f>IFERROR(__xludf.DUMMYFUNCTION("""COMPUTED_VALUE"""),"")</f>
        <v/>
      </c>
      <c r="K106" s="170" t="str">
        <f>IFERROR(__xludf.DUMMYFUNCTION("""COMPUTED_VALUE"""),"")</f>
        <v/>
      </c>
      <c r="L106" s="170" t="str">
        <f>IFERROR(__xludf.DUMMYFUNCTION("""COMPUTED_VALUE"""),"")</f>
        <v/>
      </c>
      <c r="M106" s="170" t="str">
        <f>IFERROR(__xludf.DUMMYFUNCTION("""COMPUTED_VALUE"""),"")</f>
        <v/>
      </c>
      <c r="N106" s="170">
        <f>IFERROR(__xludf.DUMMYFUNCTION("""COMPUTED_VALUE"""),0.0)</f>
        <v>0</v>
      </c>
      <c r="O106" s="170">
        <f>IFERROR(__xludf.DUMMYFUNCTION("""COMPUTED_VALUE"""),0.0)</f>
        <v>0</v>
      </c>
      <c r="P106" s="170">
        <f>IFERROR(__xludf.DUMMYFUNCTION("""COMPUTED_VALUE"""),0.0)</f>
        <v>0</v>
      </c>
      <c r="Q106" s="170">
        <f>IFERROR(__xludf.DUMMYFUNCTION("""COMPUTED_VALUE"""),0.0)</f>
        <v>0</v>
      </c>
      <c r="R106" s="170">
        <f>IFERROR(__xludf.DUMMYFUNCTION("""COMPUTED_VALUE"""),0.0)</f>
        <v>0</v>
      </c>
      <c r="S106" s="170">
        <f>IFERROR(__xludf.DUMMYFUNCTION("""COMPUTED_VALUE"""),0.0)</f>
        <v>0</v>
      </c>
      <c r="T106" s="170">
        <f>IFERROR(__xludf.DUMMYFUNCTION("""COMPUTED_VALUE"""),400.0)</f>
        <v>400</v>
      </c>
      <c r="U106" s="170">
        <f>IFERROR(__xludf.DUMMYFUNCTION("""COMPUTED_VALUE"""),0.0)</f>
        <v>0</v>
      </c>
      <c r="V106" s="170">
        <f>IFERROR(__xludf.DUMMYFUNCTION("""COMPUTED_VALUE"""),0.0)</f>
        <v>0</v>
      </c>
      <c r="W106" s="170">
        <f>IFERROR(__xludf.DUMMYFUNCTION("""COMPUTED_VALUE"""),0.0)</f>
        <v>0</v>
      </c>
      <c r="X106" s="170">
        <f>IFERROR(__xludf.DUMMYFUNCTION("""COMPUTED_VALUE"""),0.0)</f>
        <v>0</v>
      </c>
      <c r="Y106" s="170">
        <f>IFERROR(__xludf.DUMMYFUNCTION("""COMPUTED_VALUE"""),0.0)</f>
        <v>0</v>
      </c>
      <c r="Z106" s="170">
        <f>IFERROR(__xludf.DUMMYFUNCTION("""COMPUTED_VALUE"""),-400.0)</f>
        <v>-400</v>
      </c>
      <c r="AA106" s="170">
        <f>IFERROR(__xludf.DUMMYFUNCTION("""COMPUTED_VALUE"""),0.0)</f>
        <v>0</v>
      </c>
      <c r="AB106" s="170">
        <f>IFERROR(__xludf.DUMMYFUNCTION("""COMPUTED_VALUE"""),0.0)</f>
        <v>0</v>
      </c>
      <c r="AC106" s="170">
        <f>IFERROR(__xludf.DUMMYFUNCTION("""COMPUTED_VALUE"""),0.0)</f>
        <v>0</v>
      </c>
      <c r="AD106" s="170">
        <f>IFERROR(__xludf.DUMMYFUNCTION("""COMPUTED_VALUE"""),0.0)</f>
        <v>0</v>
      </c>
      <c r="AE106" s="170">
        <f>IFERROR(__xludf.DUMMYFUNCTION("""COMPUTED_VALUE"""),0.0)</f>
        <v>0</v>
      </c>
      <c r="AF106" s="170" t="str">
        <f>IFERROR(__xludf.DUMMYFUNCTION("""COMPUTED_VALUE"""),"")</f>
        <v/>
      </c>
      <c r="AG106" s="170">
        <f>IFERROR(__xludf.DUMMYFUNCTION("""COMPUTED_VALUE"""),0.0)</f>
        <v>0</v>
      </c>
      <c r="AH106" s="170">
        <f>IFERROR(__xludf.DUMMYFUNCTION("""COMPUTED_VALUE"""),0.0)</f>
        <v>0</v>
      </c>
      <c r="AI106" s="170">
        <f>IFERROR(__xludf.DUMMYFUNCTION("""COMPUTED_VALUE"""),0.0)</f>
        <v>0</v>
      </c>
      <c r="AJ106" s="170">
        <f>IFERROR(__xludf.DUMMYFUNCTION("ROWS(QUERY(Entregas_BD!D:AM,""select D where D ='""&amp;D106&amp;""'"",1))-1"),2.0)</f>
        <v>2</v>
      </c>
    </row>
    <row r="107" ht="22.5" customHeight="1">
      <c r="A107" s="268" t="str">
        <f>IFERROR(__xludf.DUMMYFUNCTION("""COMPUTED_VALUE"""),"")</f>
        <v/>
      </c>
      <c r="B107" s="268" t="str">
        <f>IFERROR(__xludf.DUMMYFUNCTION("""COMPUTED_VALUE"""),"")</f>
        <v/>
      </c>
      <c r="C107" s="268">
        <f>IFERROR(__xludf.DUMMYFUNCTION("""COMPUTED_VALUE"""),226.0)</f>
        <v>226</v>
      </c>
      <c r="D107" s="268" t="str">
        <f>IFERROR(__xludf.DUMMYFUNCTION("""COMPUTED_VALUE"""),"Hospital Ferreira Machado")</f>
        <v>Hospital Ferreira Machado</v>
      </c>
      <c r="E107" s="272" t="str">
        <f>IFERROR(__xludf.DUMMYFUNCTION("""COMPUTED_VALUE"""),"REGIAO NORTE")</f>
        <v>REGIAO NORTE</v>
      </c>
      <c r="F107" s="268" t="str">
        <f>IFERROR(__xludf.DUMMYFUNCTION("""COMPUTED_VALUE"""),"Campos dos Goytacazes")</f>
        <v>Campos dos Goytacazes</v>
      </c>
      <c r="G107" s="268" t="str">
        <f>IFERROR(__xludf.DUMMYFUNCTION("""COMPUTED_VALUE"""),"Centro")</f>
        <v>Centro</v>
      </c>
      <c r="H107" s="268" t="str">
        <f>IFERROR(__xludf.DUMMYFUNCTION("""COMPUTED_VALUE"""),"Grande emergência - MÉDIA COMPLEXIDADE")</f>
        <v>Grande emergência - MÉDIA COMPLEXIDADE</v>
      </c>
      <c r="I107" s="268" t="str">
        <f>IFERROR(__xludf.DUMMYFUNCTION("""COMPUTED_VALUE"""),"Público")</f>
        <v>Público</v>
      </c>
      <c r="J107" s="268" t="str">
        <f>IFERROR(__xludf.DUMMYFUNCTION("""COMPUTED_VALUE"""),"")</f>
        <v/>
      </c>
      <c r="K107" s="268" t="str">
        <f>IFERROR(__xludf.DUMMYFUNCTION("""COMPUTED_VALUE"""),"")</f>
        <v/>
      </c>
      <c r="L107" s="268" t="str">
        <f>IFERROR(__xludf.DUMMYFUNCTION("""COMPUTED_VALUE"""),"")</f>
        <v/>
      </c>
      <c r="M107" s="268" t="str">
        <f>IFERROR(__xludf.DUMMYFUNCTION("""COMPUTED_VALUE"""),"")</f>
        <v/>
      </c>
      <c r="N107" s="268">
        <f>IFERROR(__xludf.DUMMYFUNCTION("""COMPUTED_VALUE"""),0.0)</f>
        <v>0</v>
      </c>
      <c r="O107" s="268">
        <f>IFERROR(__xludf.DUMMYFUNCTION("""COMPUTED_VALUE"""),0.0)</f>
        <v>0</v>
      </c>
      <c r="P107" s="268">
        <f>IFERROR(__xludf.DUMMYFUNCTION("""COMPUTED_VALUE"""),0.0)</f>
        <v>0</v>
      </c>
      <c r="Q107" s="268">
        <f>IFERROR(__xludf.DUMMYFUNCTION("""COMPUTED_VALUE"""),0.0)</f>
        <v>0</v>
      </c>
      <c r="R107" s="268">
        <f>IFERROR(__xludf.DUMMYFUNCTION("""COMPUTED_VALUE"""),0.0)</f>
        <v>0</v>
      </c>
      <c r="S107" s="268">
        <f>IFERROR(__xludf.DUMMYFUNCTION("""COMPUTED_VALUE"""),0.0)</f>
        <v>0</v>
      </c>
      <c r="T107" s="268">
        <f>IFERROR(__xludf.DUMMYFUNCTION("""COMPUTED_VALUE"""),100.0)</f>
        <v>100</v>
      </c>
      <c r="U107" s="268">
        <f>IFERROR(__xludf.DUMMYFUNCTION("""COMPUTED_VALUE"""),0.0)</f>
        <v>0</v>
      </c>
      <c r="V107" s="268">
        <f>IFERROR(__xludf.DUMMYFUNCTION("""COMPUTED_VALUE"""),0.0)</f>
        <v>0</v>
      </c>
      <c r="W107" s="268">
        <f>IFERROR(__xludf.DUMMYFUNCTION("""COMPUTED_VALUE"""),0.0)</f>
        <v>0</v>
      </c>
      <c r="X107" s="268">
        <f>IFERROR(__xludf.DUMMYFUNCTION("""COMPUTED_VALUE"""),0.0)</f>
        <v>0</v>
      </c>
      <c r="Y107" s="268">
        <f>IFERROR(__xludf.DUMMYFUNCTION("""COMPUTED_VALUE"""),0.0)</f>
        <v>0</v>
      </c>
      <c r="Z107" s="268">
        <f>IFERROR(__xludf.DUMMYFUNCTION("""COMPUTED_VALUE"""),-100.0)</f>
        <v>-100</v>
      </c>
      <c r="AA107" s="268">
        <f>IFERROR(__xludf.DUMMYFUNCTION("""COMPUTED_VALUE"""),0.0)</f>
        <v>0</v>
      </c>
      <c r="AB107" s="268">
        <f>IFERROR(__xludf.DUMMYFUNCTION("""COMPUTED_VALUE"""),0.0)</f>
        <v>0</v>
      </c>
      <c r="AC107" s="268">
        <f>IFERROR(__xludf.DUMMYFUNCTION("""COMPUTED_VALUE"""),0.0)</f>
        <v>0</v>
      </c>
      <c r="AD107" s="268">
        <f>IFERROR(__xludf.DUMMYFUNCTION("""COMPUTED_VALUE"""),0.0)</f>
        <v>0</v>
      </c>
      <c r="AE107" s="268">
        <f>IFERROR(__xludf.DUMMYFUNCTION("""COMPUTED_VALUE"""),0.0)</f>
        <v>0</v>
      </c>
      <c r="AF107" s="268" t="str">
        <f>IFERROR(__xludf.DUMMYFUNCTION("""COMPUTED_VALUE"""),"")</f>
        <v/>
      </c>
      <c r="AG107" s="268">
        <f>IFERROR(__xludf.DUMMYFUNCTION("""COMPUTED_VALUE"""),0.0)</f>
        <v>0</v>
      </c>
      <c r="AH107" s="268">
        <f>IFERROR(__xludf.DUMMYFUNCTION("""COMPUTED_VALUE"""),0.0)</f>
        <v>0</v>
      </c>
      <c r="AI107" s="268">
        <f>IFERROR(__xludf.DUMMYFUNCTION("""COMPUTED_VALUE"""),0.0)</f>
        <v>0</v>
      </c>
      <c r="AJ107" s="268">
        <f>IFERROR(__xludf.DUMMYFUNCTION("ROWS(QUERY(Entregas_BD!D:AM,""select D where D ='""&amp;D107&amp;""'"",1))-1"),2.0)</f>
        <v>2</v>
      </c>
    </row>
    <row r="108" ht="22.5" customHeight="1">
      <c r="A108" s="170" t="str">
        <f>IFERROR(__xludf.DUMMYFUNCTION("""COMPUTED_VALUE"""),"")</f>
        <v/>
      </c>
      <c r="B108" s="170" t="str">
        <f>IFERROR(__xludf.DUMMYFUNCTION("""COMPUTED_VALUE"""),"")</f>
        <v/>
      </c>
      <c r="C108" s="170">
        <f>IFERROR(__xludf.DUMMYFUNCTION("""COMPUTED_VALUE"""),232.0)</f>
        <v>232</v>
      </c>
      <c r="D108" s="170" t="str">
        <f>IFERROR(__xludf.DUMMYFUNCTION("""COMPUTED_VALUE"""),"UPA Jacarepagua")</f>
        <v>UPA Jacarepagua</v>
      </c>
      <c r="E108" s="270" t="str">
        <f>IFERROR(__xludf.DUMMYFUNCTION("""COMPUTED_VALUE"""),"ZONA OESTE")</f>
        <v>ZONA OESTE</v>
      </c>
      <c r="F108" s="170" t="str">
        <f>IFERROR(__xludf.DUMMYFUNCTION("""COMPUTED_VALUE"""),"Rio de Janeiro")</f>
        <v>Rio de Janeiro</v>
      </c>
      <c r="G108" s="170" t="str">
        <f>IFERROR(__xludf.DUMMYFUNCTION("""COMPUTED_VALUE"""),"Taquara -Jacarepagua")</f>
        <v>Taquara -Jacarepagua</v>
      </c>
      <c r="H108" s="170" t="str">
        <f>IFERROR(__xludf.DUMMYFUNCTION("""COMPUTED_VALUE"""),"Grande emergência - MÉDIA COMPLEXIDADE
")</f>
        <v>Grande emergência - MÉDIA COMPLEXIDADE
</v>
      </c>
      <c r="I108" s="170" t="str">
        <f>IFERROR(__xludf.DUMMYFUNCTION("""COMPUTED_VALUE"""),"Público")</f>
        <v>Público</v>
      </c>
      <c r="J108" s="170" t="str">
        <f>IFERROR(__xludf.DUMMYFUNCTION("""COMPUTED_VALUE"""),"")</f>
        <v/>
      </c>
      <c r="K108" s="170" t="str">
        <f>IFERROR(__xludf.DUMMYFUNCTION("""COMPUTED_VALUE"""),"")</f>
        <v/>
      </c>
      <c r="L108" s="170" t="str">
        <f>IFERROR(__xludf.DUMMYFUNCTION("""COMPUTED_VALUE"""),"")</f>
        <v/>
      </c>
      <c r="M108" s="170" t="str">
        <f>IFERROR(__xludf.DUMMYFUNCTION("""COMPUTED_VALUE"""),"")</f>
        <v/>
      </c>
      <c r="N108" s="170">
        <f>IFERROR(__xludf.DUMMYFUNCTION("""COMPUTED_VALUE"""),0.0)</f>
        <v>0</v>
      </c>
      <c r="O108" s="170">
        <f>IFERROR(__xludf.DUMMYFUNCTION("""COMPUTED_VALUE"""),0.0)</f>
        <v>0</v>
      </c>
      <c r="P108" s="170">
        <f>IFERROR(__xludf.DUMMYFUNCTION("""COMPUTED_VALUE"""),0.0)</f>
        <v>0</v>
      </c>
      <c r="Q108" s="170">
        <f>IFERROR(__xludf.DUMMYFUNCTION("""COMPUTED_VALUE"""),0.0)</f>
        <v>0</v>
      </c>
      <c r="R108" s="170">
        <f>IFERROR(__xludf.DUMMYFUNCTION("""COMPUTED_VALUE"""),0.0)</f>
        <v>0</v>
      </c>
      <c r="S108" s="170">
        <f>IFERROR(__xludf.DUMMYFUNCTION("""COMPUTED_VALUE"""),0.0)</f>
        <v>0</v>
      </c>
      <c r="T108" s="170">
        <f>IFERROR(__xludf.DUMMYFUNCTION("""COMPUTED_VALUE"""),50.0)</f>
        <v>50</v>
      </c>
      <c r="U108" s="170">
        <f>IFERROR(__xludf.DUMMYFUNCTION("""COMPUTED_VALUE"""),0.0)</f>
        <v>0</v>
      </c>
      <c r="V108" s="170">
        <f>IFERROR(__xludf.DUMMYFUNCTION("""COMPUTED_VALUE"""),0.0)</f>
        <v>0</v>
      </c>
      <c r="W108" s="170">
        <f>IFERROR(__xludf.DUMMYFUNCTION("""COMPUTED_VALUE"""),50.0)</f>
        <v>50</v>
      </c>
      <c r="X108" s="170">
        <f>IFERROR(__xludf.DUMMYFUNCTION("""COMPUTED_VALUE"""),0.0)</f>
        <v>0</v>
      </c>
      <c r="Y108" s="170">
        <f>IFERROR(__xludf.DUMMYFUNCTION("""COMPUTED_VALUE"""),6.0)</f>
        <v>6</v>
      </c>
      <c r="Z108" s="170">
        <f>IFERROR(__xludf.DUMMYFUNCTION("""COMPUTED_VALUE"""),-50.0)</f>
        <v>-50</v>
      </c>
      <c r="AA108" s="170">
        <f>IFERROR(__xludf.DUMMYFUNCTION("""COMPUTED_VALUE"""),0.0)</f>
        <v>0</v>
      </c>
      <c r="AB108" s="170">
        <f>IFERROR(__xludf.DUMMYFUNCTION("""COMPUTED_VALUE"""),0.0)</f>
        <v>0</v>
      </c>
      <c r="AC108" s="170">
        <f>IFERROR(__xludf.DUMMYFUNCTION("""COMPUTED_VALUE"""),-50.0)</f>
        <v>-50</v>
      </c>
      <c r="AD108" s="170">
        <f>IFERROR(__xludf.DUMMYFUNCTION("""COMPUTED_VALUE"""),-6.0)</f>
        <v>-6</v>
      </c>
      <c r="AE108" s="170">
        <f>IFERROR(__xludf.DUMMYFUNCTION("""COMPUTED_VALUE"""),0.0)</f>
        <v>0</v>
      </c>
      <c r="AF108" s="170" t="str">
        <f>IFERROR(__xludf.DUMMYFUNCTION("""COMPUTED_VALUE"""),"")</f>
        <v/>
      </c>
      <c r="AG108" s="170">
        <f>IFERROR(__xludf.DUMMYFUNCTION("""COMPUTED_VALUE"""),0.0)</f>
        <v>0</v>
      </c>
      <c r="AH108" s="170">
        <f>IFERROR(__xludf.DUMMYFUNCTION("""COMPUTED_VALUE"""),0.0)</f>
        <v>0</v>
      </c>
      <c r="AI108" s="170">
        <f>IFERROR(__xludf.DUMMYFUNCTION("""COMPUTED_VALUE"""),0.0)</f>
        <v>0</v>
      </c>
      <c r="AJ108" s="170">
        <f>IFERROR(__xludf.DUMMYFUNCTION("ROWS(QUERY(Entregas_BD!D:AM,""select D where D ='""&amp;D108&amp;""'"",1))-1"),1.0)</f>
        <v>1</v>
      </c>
    </row>
    <row r="109" ht="22.5" customHeight="1">
      <c r="A109" s="268" t="str">
        <f>IFERROR(__xludf.DUMMYFUNCTION("""COMPUTED_VALUE"""),"")</f>
        <v/>
      </c>
      <c r="B109" s="268" t="str">
        <f>IFERROR(__xludf.DUMMYFUNCTION("""COMPUTED_VALUE"""),"")</f>
        <v/>
      </c>
      <c r="C109" s="268">
        <f>IFERROR(__xludf.DUMMYFUNCTION("""COMPUTED_VALUE"""),233.0)</f>
        <v>233</v>
      </c>
      <c r="D109" s="268" t="str">
        <f>IFERROR(__xludf.DUMMYFUNCTION("""COMPUTED_VALUE"""),"HOSPITAL MUNICIPAL DR MUNR RAFFUL")</f>
        <v>HOSPITAL MUNICIPAL DR MUNR RAFFUL</v>
      </c>
      <c r="E109" s="272" t="str">
        <f>IFERROR(__xludf.DUMMYFUNCTION("""COMPUTED_VALUE"""),"REGIAO MEDIO PARAIBA")</f>
        <v>REGIAO MEDIO PARAIBA</v>
      </c>
      <c r="F109" s="268" t="str">
        <f>IFERROR(__xludf.DUMMYFUNCTION("""COMPUTED_VALUE"""),"Volta Redonda")</f>
        <v>Volta Redonda</v>
      </c>
      <c r="G109" s="268" t="str">
        <f>IFERROR(__xludf.DUMMYFUNCTION("""COMPUTED_VALUE"""),"Retiro")</f>
        <v>Retiro</v>
      </c>
      <c r="H109" s="268" t="str">
        <f>IFERROR(__xludf.DUMMYFUNCTION("""COMPUTED_VALUE"""),"Hospital de Apoio - MÉDIA COMPLEXIDADE
")</f>
        <v>Hospital de Apoio - MÉDIA COMPLEXIDADE
</v>
      </c>
      <c r="I109" s="268" t="str">
        <f>IFERROR(__xludf.DUMMYFUNCTION("""COMPUTED_VALUE"""),"Público")</f>
        <v>Público</v>
      </c>
      <c r="J109" s="268" t="str">
        <f>IFERROR(__xludf.DUMMYFUNCTION("""COMPUTED_VALUE"""),"")</f>
        <v/>
      </c>
      <c r="K109" s="268" t="str">
        <f>IFERROR(__xludf.DUMMYFUNCTION("""COMPUTED_VALUE"""),"")</f>
        <v/>
      </c>
      <c r="L109" s="268" t="str">
        <f>IFERROR(__xludf.DUMMYFUNCTION("""COMPUTED_VALUE"""),"")</f>
        <v/>
      </c>
      <c r="M109" s="268" t="str">
        <f>IFERROR(__xludf.DUMMYFUNCTION("""COMPUTED_VALUE"""),"")</f>
        <v/>
      </c>
      <c r="N109" s="268">
        <f>IFERROR(__xludf.DUMMYFUNCTION("""COMPUTED_VALUE"""),0.0)</f>
        <v>0</v>
      </c>
      <c r="O109" s="268">
        <f>IFERROR(__xludf.DUMMYFUNCTION("""COMPUTED_VALUE"""),0.0)</f>
        <v>0</v>
      </c>
      <c r="P109" s="268">
        <f>IFERROR(__xludf.DUMMYFUNCTION("""COMPUTED_VALUE"""),0.0)</f>
        <v>0</v>
      </c>
      <c r="Q109" s="268">
        <f>IFERROR(__xludf.DUMMYFUNCTION("""COMPUTED_VALUE"""),0.0)</f>
        <v>0</v>
      </c>
      <c r="R109" s="268">
        <f>IFERROR(__xludf.DUMMYFUNCTION("""COMPUTED_VALUE"""),0.0)</f>
        <v>0</v>
      </c>
      <c r="S109" s="268">
        <f>IFERROR(__xludf.DUMMYFUNCTION("""COMPUTED_VALUE"""),0.0)</f>
        <v>0</v>
      </c>
      <c r="T109" s="268">
        <f>IFERROR(__xludf.DUMMYFUNCTION("""COMPUTED_VALUE"""),100.0)</f>
        <v>100</v>
      </c>
      <c r="U109" s="268">
        <f>IFERROR(__xludf.DUMMYFUNCTION("""COMPUTED_VALUE"""),0.0)</f>
        <v>0</v>
      </c>
      <c r="V109" s="268">
        <f>IFERROR(__xludf.DUMMYFUNCTION("""COMPUTED_VALUE"""),0.0)</f>
        <v>0</v>
      </c>
      <c r="W109" s="268">
        <f>IFERROR(__xludf.DUMMYFUNCTION("""COMPUTED_VALUE"""),100.0)</f>
        <v>100</v>
      </c>
      <c r="X109" s="268">
        <f>IFERROR(__xludf.DUMMYFUNCTION("""COMPUTED_VALUE"""),0.0)</f>
        <v>0</v>
      </c>
      <c r="Y109" s="268">
        <f>IFERROR(__xludf.DUMMYFUNCTION("""COMPUTED_VALUE"""),0.0)</f>
        <v>0</v>
      </c>
      <c r="Z109" s="268">
        <f>IFERROR(__xludf.DUMMYFUNCTION("""COMPUTED_VALUE"""),-100.0)</f>
        <v>-100</v>
      </c>
      <c r="AA109" s="268">
        <f>IFERROR(__xludf.DUMMYFUNCTION("""COMPUTED_VALUE"""),0.0)</f>
        <v>0</v>
      </c>
      <c r="AB109" s="268">
        <f>IFERROR(__xludf.DUMMYFUNCTION("""COMPUTED_VALUE"""),0.0)</f>
        <v>0</v>
      </c>
      <c r="AC109" s="268">
        <f>IFERROR(__xludf.DUMMYFUNCTION("""COMPUTED_VALUE"""),-100.0)</f>
        <v>-100</v>
      </c>
      <c r="AD109" s="268">
        <f>IFERROR(__xludf.DUMMYFUNCTION("""COMPUTED_VALUE"""),0.0)</f>
        <v>0</v>
      </c>
      <c r="AE109" s="268">
        <f>IFERROR(__xludf.DUMMYFUNCTION("""COMPUTED_VALUE"""),0.0)</f>
        <v>0</v>
      </c>
      <c r="AF109" s="268" t="str">
        <f>IFERROR(__xludf.DUMMYFUNCTION("""COMPUTED_VALUE"""),"")</f>
        <v/>
      </c>
      <c r="AG109" s="268">
        <f>IFERROR(__xludf.DUMMYFUNCTION("""COMPUTED_VALUE"""),0.0)</f>
        <v>0</v>
      </c>
      <c r="AH109" s="268">
        <f>IFERROR(__xludf.DUMMYFUNCTION("""COMPUTED_VALUE"""),0.0)</f>
        <v>0</v>
      </c>
      <c r="AI109" s="268">
        <f>IFERROR(__xludf.DUMMYFUNCTION("""COMPUTED_VALUE"""),0.0)</f>
        <v>0</v>
      </c>
      <c r="AJ109" s="268">
        <f>IFERROR(__xludf.DUMMYFUNCTION("ROWS(QUERY(Entregas_BD!D:AM,""select D where D ='""&amp;D109&amp;""'"",1))-1"),1.0)</f>
        <v>1</v>
      </c>
    </row>
    <row r="110" ht="22.5" customHeight="1">
      <c r="A110" s="170" t="str">
        <f>IFERROR(__xludf.DUMMYFUNCTION("""COMPUTED_VALUE"""),"")</f>
        <v/>
      </c>
      <c r="B110" s="170" t="str">
        <f>IFERROR(__xludf.DUMMYFUNCTION("""COMPUTED_VALUE"""),"")</f>
        <v/>
      </c>
      <c r="C110" s="170">
        <f>IFERROR(__xludf.DUMMYFUNCTION("""COMPUTED_VALUE"""),235.0)</f>
        <v>235</v>
      </c>
      <c r="D110" s="170" t="str">
        <f>IFERROR(__xludf.DUMMYFUNCTION("""COMPUTED_VALUE"""),"Hospital Municipal Rocha Maia")</f>
        <v>Hospital Municipal Rocha Maia</v>
      </c>
      <c r="E110" s="270" t="str">
        <f>IFERROR(__xludf.DUMMYFUNCTION("""COMPUTED_VALUE"""),"ZONA SUL")</f>
        <v>ZONA SUL</v>
      </c>
      <c r="F110" s="170" t="str">
        <f>IFERROR(__xludf.DUMMYFUNCTION("""COMPUTED_VALUE"""),"Rio de Janeiro")</f>
        <v>Rio de Janeiro</v>
      </c>
      <c r="G110" s="170" t="str">
        <f>IFERROR(__xludf.DUMMYFUNCTION("""COMPUTED_VALUE"""),"Botafogo")</f>
        <v>Botafogo</v>
      </c>
      <c r="H110" s="170" t="str">
        <f>IFERROR(__xludf.DUMMYFUNCTION("""COMPUTED_VALUE"""),"Hospital de Apoio - MÉDIA COMPLEXIDADE
")</f>
        <v>Hospital de Apoio - MÉDIA COMPLEXIDADE
</v>
      </c>
      <c r="I110" s="170" t="str">
        <f>IFERROR(__xludf.DUMMYFUNCTION("""COMPUTED_VALUE"""),"Público")</f>
        <v>Público</v>
      </c>
      <c r="J110" s="170" t="str">
        <f>IFERROR(__xludf.DUMMYFUNCTION("""COMPUTED_VALUE"""),"")</f>
        <v/>
      </c>
      <c r="K110" s="170" t="str">
        <f>IFERROR(__xludf.DUMMYFUNCTION("""COMPUTED_VALUE"""),"")</f>
        <v/>
      </c>
      <c r="L110" s="170" t="str">
        <f>IFERROR(__xludf.DUMMYFUNCTION("""COMPUTED_VALUE"""),"")</f>
        <v/>
      </c>
      <c r="M110" s="170" t="str">
        <f>IFERROR(__xludf.DUMMYFUNCTION("""COMPUTED_VALUE"""),"")</f>
        <v/>
      </c>
      <c r="N110" s="170">
        <f>IFERROR(__xludf.DUMMYFUNCTION("""COMPUTED_VALUE"""),0.0)</f>
        <v>0</v>
      </c>
      <c r="O110" s="170">
        <f>IFERROR(__xludf.DUMMYFUNCTION("""COMPUTED_VALUE"""),0.0)</f>
        <v>0</v>
      </c>
      <c r="P110" s="170">
        <f>IFERROR(__xludf.DUMMYFUNCTION("""COMPUTED_VALUE"""),0.0)</f>
        <v>0</v>
      </c>
      <c r="Q110" s="170">
        <f>IFERROR(__xludf.DUMMYFUNCTION("""COMPUTED_VALUE"""),0.0)</f>
        <v>0</v>
      </c>
      <c r="R110" s="170">
        <f>IFERROR(__xludf.DUMMYFUNCTION("""COMPUTED_VALUE"""),0.0)</f>
        <v>0</v>
      </c>
      <c r="S110" s="170">
        <f>IFERROR(__xludf.DUMMYFUNCTION("""COMPUTED_VALUE"""),0.0)</f>
        <v>0</v>
      </c>
      <c r="T110" s="170">
        <f>IFERROR(__xludf.DUMMYFUNCTION("""COMPUTED_VALUE"""),100.0)</f>
        <v>100</v>
      </c>
      <c r="U110" s="170">
        <f>IFERROR(__xludf.DUMMYFUNCTION("""COMPUTED_VALUE"""),0.0)</f>
        <v>0</v>
      </c>
      <c r="V110" s="170">
        <f>IFERROR(__xludf.DUMMYFUNCTION("""COMPUTED_VALUE"""),0.0)</f>
        <v>0</v>
      </c>
      <c r="W110" s="170">
        <f>IFERROR(__xludf.DUMMYFUNCTION("""COMPUTED_VALUE"""),0.0)</f>
        <v>0</v>
      </c>
      <c r="X110" s="170">
        <f>IFERROR(__xludf.DUMMYFUNCTION("""COMPUTED_VALUE"""),0.0)</f>
        <v>0</v>
      </c>
      <c r="Y110" s="170">
        <f>IFERROR(__xludf.DUMMYFUNCTION("""COMPUTED_VALUE"""),0.0)</f>
        <v>0</v>
      </c>
      <c r="Z110" s="170">
        <f>IFERROR(__xludf.DUMMYFUNCTION("""COMPUTED_VALUE"""),-100.0)</f>
        <v>-100</v>
      </c>
      <c r="AA110" s="170">
        <f>IFERROR(__xludf.DUMMYFUNCTION("""COMPUTED_VALUE"""),0.0)</f>
        <v>0</v>
      </c>
      <c r="AB110" s="170">
        <f>IFERROR(__xludf.DUMMYFUNCTION("""COMPUTED_VALUE"""),0.0)</f>
        <v>0</v>
      </c>
      <c r="AC110" s="170">
        <f>IFERROR(__xludf.DUMMYFUNCTION("""COMPUTED_VALUE"""),0.0)</f>
        <v>0</v>
      </c>
      <c r="AD110" s="170">
        <f>IFERROR(__xludf.DUMMYFUNCTION("""COMPUTED_VALUE"""),0.0)</f>
        <v>0</v>
      </c>
      <c r="AE110" s="170">
        <f>IFERROR(__xludf.DUMMYFUNCTION("""COMPUTED_VALUE"""),0.0)</f>
        <v>0</v>
      </c>
      <c r="AF110" s="170" t="str">
        <f>IFERROR(__xludf.DUMMYFUNCTION("""COMPUTED_VALUE"""),"")</f>
        <v/>
      </c>
      <c r="AG110" s="170">
        <f>IFERROR(__xludf.DUMMYFUNCTION("""COMPUTED_VALUE"""),0.0)</f>
        <v>0</v>
      </c>
      <c r="AH110" s="170">
        <f>IFERROR(__xludf.DUMMYFUNCTION("""COMPUTED_VALUE"""),0.0)</f>
        <v>0</v>
      </c>
      <c r="AI110" s="170">
        <f>IFERROR(__xludf.DUMMYFUNCTION("""COMPUTED_VALUE"""),0.0)</f>
        <v>0</v>
      </c>
      <c r="AJ110" s="170">
        <f>IFERROR(__xludf.DUMMYFUNCTION("ROWS(QUERY(Entregas_BD!D:AM,""select D where D ='""&amp;D110&amp;""'"",1))-1"),1.0)</f>
        <v>1</v>
      </c>
    </row>
    <row r="111" ht="22.5" customHeight="1">
      <c r="A111" s="268" t="str">
        <f>IFERROR(__xludf.DUMMYFUNCTION("""COMPUTED_VALUE"""),"")</f>
        <v/>
      </c>
      <c r="B111" s="268" t="str">
        <f>IFERROR(__xludf.DUMMYFUNCTION("""COMPUTED_VALUE"""),"")</f>
        <v/>
      </c>
      <c r="C111" s="268">
        <f>IFERROR(__xludf.DUMMYFUNCTION("""COMPUTED_VALUE"""),238.0)</f>
        <v>238</v>
      </c>
      <c r="D111" s="268" t="str">
        <f>IFERROR(__xludf.DUMMYFUNCTION("""COMPUTED_VALUE"""),"Hospital Central de Emergência de Cabo Frio")</f>
        <v>Hospital Central de Emergência de Cabo Frio</v>
      </c>
      <c r="E111" s="272" t="str">
        <f>IFERROR(__xludf.DUMMYFUNCTION("""COMPUTED_VALUE"""),"REGIAO DOS LAGOS")</f>
        <v>REGIAO DOS LAGOS</v>
      </c>
      <c r="F111" s="268" t="str">
        <f>IFERROR(__xludf.DUMMYFUNCTION("""COMPUTED_VALUE"""),"Cabo frio")</f>
        <v>Cabo frio</v>
      </c>
      <c r="G111" s="268" t="str">
        <f>IFERROR(__xludf.DUMMYFUNCTION("""COMPUTED_VALUE"""),"Sao Cristovao")</f>
        <v>Sao Cristovao</v>
      </c>
      <c r="H111" s="268" t="str">
        <f>IFERROR(__xludf.DUMMYFUNCTION("""COMPUTED_VALUE"""),"Grande emergência - MÉDIA COMPLEXIDADE
")</f>
        <v>Grande emergência - MÉDIA COMPLEXIDADE
</v>
      </c>
      <c r="I111" s="268" t="str">
        <f>IFERROR(__xludf.DUMMYFUNCTION("""COMPUTED_VALUE"""),"Público")</f>
        <v>Público</v>
      </c>
      <c r="J111" s="268" t="str">
        <f>IFERROR(__xludf.DUMMYFUNCTION("""COMPUTED_VALUE"""),"")</f>
        <v/>
      </c>
      <c r="K111" s="268" t="str">
        <f>IFERROR(__xludf.DUMMYFUNCTION("""COMPUTED_VALUE"""),"")</f>
        <v/>
      </c>
      <c r="L111" s="268" t="str">
        <f>IFERROR(__xludf.DUMMYFUNCTION("""COMPUTED_VALUE"""),"")</f>
        <v/>
      </c>
      <c r="M111" s="268" t="str">
        <f>IFERROR(__xludf.DUMMYFUNCTION("""COMPUTED_VALUE"""),"")</f>
        <v/>
      </c>
      <c r="N111" s="268">
        <f>IFERROR(__xludf.DUMMYFUNCTION("""COMPUTED_VALUE"""),0.0)</f>
        <v>0</v>
      </c>
      <c r="O111" s="268">
        <f>IFERROR(__xludf.DUMMYFUNCTION("""COMPUTED_VALUE"""),0.0)</f>
        <v>0</v>
      </c>
      <c r="P111" s="268">
        <f>IFERROR(__xludf.DUMMYFUNCTION("""COMPUTED_VALUE"""),0.0)</f>
        <v>0</v>
      </c>
      <c r="Q111" s="268">
        <f>IFERROR(__xludf.DUMMYFUNCTION("""COMPUTED_VALUE"""),0.0)</f>
        <v>0</v>
      </c>
      <c r="R111" s="268">
        <f>IFERROR(__xludf.DUMMYFUNCTION("""COMPUTED_VALUE"""),0.0)</f>
        <v>0</v>
      </c>
      <c r="S111" s="268">
        <f>IFERROR(__xludf.DUMMYFUNCTION("""COMPUTED_VALUE"""),0.0)</f>
        <v>0</v>
      </c>
      <c r="T111" s="268">
        <f>IFERROR(__xludf.DUMMYFUNCTION("""COMPUTED_VALUE"""),150.0)</f>
        <v>150</v>
      </c>
      <c r="U111" s="268">
        <f>IFERROR(__xludf.DUMMYFUNCTION("""COMPUTED_VALUE"""),0.0)</f>
        <v>0</v>
      </c>
      <c r="V111" s="268">
        <f>IFERROR(__xludf.DUMMYFUNCTION("""COMPUTED_VALUE"""),0.0)</f>
        <v>0</v>
      </c>
      <c r="W111" s="268">
        <f>IFERROR(__xludf.DUMMYFUNCTION("""COMPUTED_VALUE"""),0.0)</f>
        <v>0</v>
      </c>
      <c r="X111" s="268">
        <f>IFERROR(__xludf.DUMMYFUNCTION("""COMPUTED_VALUE"""),0.0)</f>
        <v>0</v>
      </c>
      <c r="Y111" s="268">
        <f>IFERROR(__xludf.DUMMYFUNCTION("""COMPUTED_VALUE"""),0.0)</f>
        <v>0</v>
      </c>
      <c r="Z111" s="268">
        <f>IFERROR(__xludf.DUMMYFUNCTION("""COMPUTED_VALUE"""),-150.0)</f>
        <v>-150</v>
      </c>
      <c r="AA111" s="268">
        <f>IFERROR(__xludf.DUMMYFUNCTION("""COMPUTED_VALUE"""),0.0)</f>
        <v>0</v>
      </c>
      <c r="AB111" s="268">
        <f>IFERROR(__xludf.DUMMYFUNCTION("""COMPUTED_VALUE"""),0.0)</f>
        <v>0</v>
      </c>
      <c r="AC111" s="268">
        <f>IFERROR(__xludf.DUMMYFUNCTION("""COMPUTED_VALUE"""),0.0)</f>
        <v>0</v>
      </c>
      <c r="AD111" s="268">
        <f>IFERROR(__xludf.DUMMYFUNCTION("""COMPUTED_VALUE"""),0.0)</f>
        <v>0</v>
      </c>
      <c r="AE111" s="268">
        <f>IFERROR(__xludf.DUMMYFUNCTION("""COMPUTED_VALUE"""),0.0)</f>
        <v>0</v>
      </c>
      <c r="AF111" s="268" t="str">
        <f>IFERROR(__xludf.DUMMYFUNCTION("""COMPUTED_VALUE"""),"")</f>
        <v/>
      </c>
      <c r="AG111" s="268">
        <f>IFERROR(__xludf.DUMMYFUNCTION("""COMPUTED_VALUE"""),0.0)</f>
        <v>0</v>
      </c>
      <c r="AH111" s="268">
        <f>IFERROR(__xludf.DUMMYFUNCTION("""COMPUTED_VALUE"""),0.0)</f>
        <v>0</v>
      </c>
      <c r="AI111" s="268">
        <f>IFERROR(__xludf.DUMMYFUNCTION("""COMPUTED_VALUE"""),0.0)</f>
        <v>0</v>
      </c>
      <c r="AJ111" s="268"/>
    </row>
    <row r="112" ht="22.5" customHeight="1">
      <c r="A112" s="170" t="str">
        <f>IFERROR(__xludf.DUMMYFUNCTION("""COMPUTED_VALUE"""),"")</f>
        <v/>
      </c>
      <c r="B112" s="170" t="str">
        <f>IFERROR(__xludf.DUMMYFUNCTION("""COMPUTED_VALUE"""),"")</f>
        <v/>
      </c>
      <c r="C112" s="170">
        <f>IFERROR(__xludf.DUMMYFUNCTION("""COMPUTED_VALUE"""),240.0)</f>
        <v>240</v>
      </c>
      <c r="D112" s="170" t="str">
        <f>IFERROR(__xludf.DUMMYFUNCTION("""COMPUTED_VALUE"""),"centro municipal de saude cesar pernetta")</f>
        <v>centro municipal de saude cesar pernetta</v>
      </c>
      <c r="E112" s="270" t="str">
        <f>IFERROR(__xludf.DUMMYFUNCTION("""COMPUTED_VALUE"""),"ZONA NORTE")</f>
        <v>ZONA NORTE</v>
      </c>
      <c r="F112" s="170" t="str">
        <f>IFERROR(__xludf.DUMMYFUNCTION("""COMPUTED_VALUE"""),"rio de janeiro")</f>
        <v>rio de janeiro</v>
      </c>
      <c r="G112" s="170" t="str">
        <f>IFERROR(__xludf.DUMMYFUNCTION("""COMPUTED_VALUE"""),"Meier")</f>
        <v>Meier</v>
      </c>
      <c r="H112" s="170" t="str">
        <f>IFERROR(__xludf.DUMMYFUNCTION("""COMPUTED_VALUE"""),"Unidade básica de saúde - BAIXA COMPLEXIDADE
")</f>
        <v>Unidade básica de saúde - BAIXA COMPLEXIDADE
</v>
      </c>
      <c r="I112" s="170" t="str">
        <f>IFERROR(__xludf.DUMMYFUNCTION("""COMPUTED_VALUE"""),"Público")</f>
        <v>Público</v>
      </c>
      <c r="J112" s="170" t="str">
        <f>IFERROR(__xludf.DUMMYFUNCTION("""COMPUTED_VALUE"""),"")</f>
        <v/>
      </c>
      <c r="K112" s="170" t="str">
        <f>IFERROR(__xludf.DUMMYFUNCTION("""COMPUTED_VALUE"""),"")</f>
        <v/>
      </c>
      <c r="L112" s="170" t="str">
        <f>IFERROR(__xludf.DUMMYFUNCTION("""COMPUTED_VALUE"""),"")</f>
        <v/>
      </c>
      <c r="M112" s="170" t="str">
        <f>IFERROR(__xludf.DUMMYFUNCTION("""COMPUTED_VALUE"""),"")</f>
        <v/>
      </c>
      <c r="N112" s="170">
        <f>IFERROR(__xludf.DUMMYFUNCTION("""COMPUTED_VALUE"""),0.0)</f>
        <v>0</v>
      </c>
      <c r="O112" s="170">
        <f>IFERROR(__xludf.DUMMYFUNCTION("""COMPUTED_VALUE"""),0.0)</f>
        <v>0</v>
      </c>
      <c r="P112" s="170">
        <f>IFERROR(__xludf.DUMMYFUNCTION("""COMPUTED_VALUE"""),0.0)</f>
        <v>0</v>
      </c>
      <c r="Q112" s="170">
        <f>IFERROR(__xludf.DUMMYFUNCTION("""COMPUTED_VALUE"""),0.0)</f>
        <v>0</v>
      </c>
      <c r="R112" s="170">
        <f>IFERROR(__xludf.DUMMYFUNCTION("""COMPUTED_VALUE"""),0.0)</f>
        <v>0</v>
      </c>
      <c r="S112" s="170">
        <f>IFERROR(__xludf.DUMMYFUNCTION("""COMPUTED_VALUE"""),0.0)</f>
        <v>0</v>
      </c>
      <c r="T112" s="170">
        <f>IFERROR(__xludf.DUMMYFUNCTION("""COMPUTED_VALUE"""),50.0)</f>
        <v>50</v>
      </c>
      <c r="U112" s="170">
        <f>IFERROR(__xludf.DUMMYFUNCTION("""COMPUTED_VALUE"""),0.0)</f>
        <v>0</v>
      </c>
      <c r="V112" s="170">
        <f>IFERROR(__xludf.DUMMYFUNCTION("""COMPUTED_VALUE"""),0.0)</f>
        <v>0</v>
      </c>
      <c r="W112" s="170">
        <f>IFERROR(__xludf.DUMMYFUNCTION("""COMPUTED_VALUE"""),25.0)</f>
        <v>25</v>
      </c>
      <c r="X112" s="170">
        <f>IFERROR(__xludf.DUMMYFUNCTION("""COMPUTED_VALUE"""),0.0)</f>
        <v>0</v>
      </c>
      <c r="Y112" s="170">
        <f>IFERROR(__xludf.DUMMYFUNCTION("""COMPUTED_VALUE"""),0.0)</f>
        <v>0</v>
      </c>
      <c r="Z112" s="170">
        <f>IFERROR(__xludf.DUMMYFUNCTION("""COMPUTED_VALUE"""),-50.0)</f>
        <v>-50</v>
      </c>
      <c r="AA112" s="170">
        <f>IFERROR(__xludf.DUMMYFUNCTION("""COMPUTED_VALUE"""),0.0)</f>
        <v>0</v>
      </c>
      <c r="AB112" s="170">
        <f>IFERROR(__xludf.DUMMYFUNCTION("""COMPUTED_VALUE"""),0.0)</f>
        <v>0</v>
      </c>
      <c r="AC112" s="170">
        <f>IFERROR(__xludf.DUMMYFUNCTION("""COMPUTED_VALUE"""),-25.0)</f>
        <v>-25</v>
      </c>
      <c r="AD112" s="170">
        <f>IFERROR(__xludf.DUMMYFUNCTION("""COMPUTED_VALUE"""),0.0)</f>
        <v>0</v>
      </c>
      <c r="AE112" s="170">
        <f>IFERROR(__xludf.DUMMYFUNCTION("""COMPUTED_VALUE"""),0.0)</f>
        <v>0</v>
      </c>
      <c r="AF112" s="170" t="str">
        <f>IFERROR(__xludf.DUMMYFUNCTION("""COMPUTED_VALUE"""),"")</f>
        <v/>
      </c>
      <c r="AG112" s="170">
        <f>IFERROR(__xludf.DUMMYFUNCTION("""COMPUTED_VALUE"""),0.0)</f>
        <v>0</v>
      </c>
      <c r="AH112" s="170">
        <f>IFERROR(__xludf.DUMMYFUNCTION("""COMPUTED_VALUE"""),0.0)</f>
        <v>0</v>
      </c>
      <c r="AI112" s="170">
        <f>IFERROR(__xludf.DUMMYFUNCTION("""COMPUTED_VALUE"""),0.0)</f>
        <v>0</v>
      </c>
      <c r="AJ112" s="170"/>
    </row>
    <row r="113" ht="22.5" customHeight="1">
      <c r="A113" s="268" t="str">
        <f>IFERROR(__xludf.DUMMYFUNCTION("""COMPUTED_VALUE"""),"")</f>
        <v/>
      </c>
      <c r="B113" s="268" t="str">
        <f>IFERROR(__xludf.DUMMYFUNCTION("""COMPUTED_VALUE"""),"")</f>
        <v/>
      </c>
      <c r="C113" s="268">
        <f>IFERROR(__xludf.DUMMYFUNCTION("""COMPUTED_VALUE"""),241.0)</f>
        <v>241</v>
      </c>
      <c r="D113" s="268" t="str">
        <f>IFERROR(__xludf.DUMMYFUNCTION("""COMPUTED_VALUE"""),"Faculdade de Odontologia da UFRJ")</f>
        <v>Faculdade de Odontologia da UFRJ</v>
      </c>
      <c r="E113" s="272" t="str">
        <f>IFERROR(__xludf.DUMMYFUNCTION("""COMPUTED_VALUE"""),"ZONA NORTE")</f>
        <v>ZONA NORTE</v>
      </c>
      <c r="F113" s="268" t="str">
        <f>IFERROR(__xludf.DUMMYFUNCTION("""COMPUTED_VALUE"""),"Rio de Janeiro")</f>
        <v>Rio de Janeiro</v>
      </c>
      <c r="G113" s="268" t="str">
        <f>IFERROR(__xludf.DUMMYFUNCTION("""COMPUTED_VALUE"""),"Ilha do Fundao - Cidade Universitaria")</f>
        <v>Ilha do Fundao - Cidade Universitaria</v>
      </c>
      <c r="H113" s="268" t="str">
        <f>IFERROR(__xludf.DUMMYFUNCTION("""COMPUTED_VALUE"""),"Unidade de atendimento publico odontológico
")</f>
        <v>Unidade de atendimento publico odontológico
</v>
      </c>
      <c r="I113" s="268" t="str">
        <f>IFERROR(__xludf.DUMMYFUNCTION("""COMPUTED_VALUE"""),"Público")</f>
        <v>Público</v>
      </c>
      <c r="J113" s="268" t="str">
        <f>IFERROR(__xludf.DUMMYFUNCTION("""COMPUTED_VALUE"""),"")</f>
        <v/>
      </c>
      <c r="K113" s="268" t="str">
        <f>IFERROR(__xludf.DUMMYFUNCTION("""COMPUTED_VALUE"""),"")</f>
        <v/>
      </c>
      <c r="L113" s="268" t="str">
        <f>IFERROR(__xludf.DUMMYFUNCTION("""COMPUTED_VALUE"""),"")</f>
        <v/>
      </c>
      <c r="M113" s="268" t="str">
        <f>IFERROR(__xludf.DUMMYFUNCTION("""COMPUTED_VALUE"""),"")</f>
        <v/>
      </c>
      <c r="N113" s="268">
        <f>IFERROR(__xludf.DUMMYFUNCTION("""COMPUTED_VALUE"""),0.0)</f>
        <v>0</v>
      </c>
      <c r="O113" s="268">
        <f>IFERROR(__xludf.DUMMYFUNCTION("""COMPUTED_VALUE"""),0.0)</f>
        <v>0</v>
      </c>
      <c r="P113" s="268">
        <f>IFERROR(__xludf.DUMMYFUNCTION("""COMPUTED_VALUE"""),0.0)</f>
        <v>0</v>
      </c>
      <c r="Q113" s="268">
        <f>IFERROR(__xludf.DUMMYFUNCTION("""COMPUTED_VALUE"""),0.0)</f>
        <v>0</v>
      </c>
      <c r="R113" s="268">
        <f>IFERROR(__xludf.DUMMYFUNCTION("""COMPUTED_VALUE"""),0.0)</f>
        <v>0</v>
      </c>
      <c r="S113" s="268">
        <f>IFERROR(__xludf.DUMMYFUNCTION("""COMPUTED_VALUE"""),0.0)</f>
        <v>0</v>
      </c>
      <c r="T113" s="268">
        <f>IFERROR(__xludf.DUMMYFUNCTION("""COMPUTED_VALUE"""),50.0)</f>
        <v>50</v>
      </c>
      <c r="U113" s="268">
        <f>IFERROR(__xludf.DUMMYFUNCTION("""COMPUTED_VALUE"""),0.0)</f>
        <v>0</v>
      </c>
      <c r="V113" s="268">
        <f>IFERROR(__xludf.DUMMYFUNCTION("""COMPUTED_VALUE"""),0.0)</f>
        <v>0</v>
      </c>
      <c r="W113" s="268">
        <f>IFERROR(__xludf.DUMMYFUNCTION("""COMPUTED_VALUE"""),0.0)</f>
        <v>0</v>
      </c>
      <c r="X113" s="268">
        <f>IFERROR(__xludf.DUMMYFUNCTION("""COMPUTED_VALUE"""),0.0)</f>
        <v>0</v>
      </c>
      <c r="Y113" s="268">
        <f>IFERROR(__xludf.DUMMYFUNCTION("""COMPUTED_VALUE"""),0.0)</f>
        <v>0</v>
      </c>
      <c r="Z113" s="268">
        <f>IFERROR(__xludf.DUMMYFUNCTION("""COMPUTED_VALUE"""),-50.0)</f>
        <v>-50</v>
      </c>
      <c r="AA113" s="268">
        <f>IFERROR(__xludf.DUMMYFUNCTION("""COMPUTED_VALUE"""),0.0)</f>
        <v>0</v>
      </c>
      <c r="AB113" s="268">
        <f>IFERROR(__xludf.DUMMYFUNCTION("""COMPUTED_VALUE"""),0.0)</f>
        <v>0</v>
      </c>
      <c r="AC113" s="268">
        <f>IFERROR(__xludf.DUMMYFUNCTION("""COMPUTED_VALUE"""),0.0)</f>
        <v>0</v>
      </c>
      <c r="AD113" s="268">
        <f>IFERROR(__xludf.DUMMYFUNCTION("""COMPUTED_VALUE"""),0.0)</f>
        <v>0</v>
      </c>
      <c r="AE113" s="268">
        <f>IFERROR(__xludf.DUMMYFUNCTION("""COMPUTED_VALUE"""),0.0)</f>
        <v>0</v>
      </c>
      <c r="AF113" s="268" t="str">
        <f>IFERROR(__xludf.DUMMYFUNCTION("""COMPUTED_VALUE"""),"")</f>
        <v/>
      </c>
      <c r="AG113" s="268">
        <f>IFERROR(__xludf.DUMMYFUNCTION("""COMPUTED_VALUE"""),0.0)</f>
        <v>0</v>
      </c>
      <c r="AH113" s="268">
        <f>IFERROR(__xludf.DUMMYFUNCTION("""COMPUTED_VALUE"""),0.0)</f>
        <v>0</v>
      </c>
      <c r="AI113" s="268">
        <f>IFERROR(__xludf.DUMMYFUNCTION("""COMPUTED_VALUE"""),0.0)</f>
        <v>0</v>
      </c>
      <c r="AJ113" s="268"/>
    </row>
    <row r="114" ht="22.5" customHeight="1">
      <c r="A114" s="170" t="str">
        <f>IFERROR(__xludf.DUMMYFUNCTION("""COMPUTED_VALUE"""),"")</f>
        <v/>
      </c>
      <c r="B114" s="170" t="str">
        <f>IFERROR(__xludf.DUMMYFUNCTION("""COMPUTED_VALUE"""),"")</f>
        <v/>
      </c>
      <c r="C114" s="170">
        <f>IFERROR(__xludf.DUMMYFUNCTION("""COMPUTED_VALUE"""),243.0)</f>
        <v>243</v>
      </c>
      <c r="D114" s="170" t="str">
        <f>IFERROR(__xludf.DUMMYFUNCTION("""COMPUTED_VALUE"""),"Clinica da Família Dr Moacyr A de Carvalho")</f>
        <v>Clinica da Família Dr Moacyr A de Carvalho</v>
      </c>
      <c r="E114" s="270" t="str">
        <f>IFERROR(__xludf.DUMMYFUNCTION("""COMPUTED_VALUE"""),"BAIXADA FLUMINENSE")</f>
        <v>BAIXADA FLUMINENSE</v>
      </c>
      <c r="F114" s="170" t="str">
        <f>IFERROR(__xludf.DUMMYFUNCTION("""COMPUTED_VALUE"""),"Nova Iguaçu")</f>
        <v>Nova Iguaçu</v>
      </c>
      <c r="G114" s="170" t="str">
        <f>IFERROR(__xludf.DUMMYFUNCTION("""COMPUTED_VALUE"""),"Austim")</f>
        <v>Austim</v>
      </c>
      <c r="H114" s="170" t="str">
        <f>IFERROR(__xludf.DUMMYFUNCTION("""COMPUTED_VALUE"""),"Unidade básica de saúde - BAIXA COMPLEXIDADE
")</f>
        <v>Unidade básica de saúde - BAIXA COMPLEXIDADE
</v>
      </c>
      <c r="I114" s="170" t="str">
        <f>IFERROR(__xludf.DUMMYFUNCTION("""COMPUTED_VALUE"""),"Público")</f>
        <v>Público</v>
      </c>
      <c r="J114" s="170" t="str">
        <f>IFERROR(__xludf.DUMMYFUNCTION("""COMPUTED_VALUE"""),"")</f>
        <v/>
      </c>
      <c r="K114" s="170" t="str">
        <f>IFERROR(__xludf.DUMMYFUNCTION("""COMPUTED_VALUE"""),"")</f>
        <v/>
      </c>
      <c r="L114" s="170" t="str">
        <f>IFERROR(__xludf.DUMMYFUNCTION("""COMPUTED_VALUE"""),"")</f>
        <v/>
      </c>
      <c r="M114" s="170" t="str">
        <f>IFERROR(__xludf.DUMMYFUNCTION("""COMPUTED_VALUE"""),"")</f>
        <v/>
      </c>
      <c r="N114" s="170">
        <f>IFERROR(__xludf.DUMMYFUNCTION("""COMPUTED_VALUE"""),0.0)</f>
        <v>0</v>
      </c>
      <c r="O114" s="170">
        <f>IFERROR(__xludf.DUMMYFUNCTION("""COMPUTED_VALUE"""),0.0)</f>
        <v>0</v>
      </c>
      <c r="P114" s="170">
        <f>IFERROR(__xludf.DUMMYFUNCTION("""COMPUTED_VALUE"""),0.0)</f>
        <v>0</v>
      </c>
      <c r="Q114" s="170">
        <f>IFERROR(__xludf.DUMMYFUNCTION("""COMPUTED_VALUE"""),0.0)</f>
        <v>0</v>
      </c>
      <c r="R114" s="170">
        <f>IFERROR(__xludf.DUMMYFUNCTION("""COMPUTED_VALUE"""),0.0)</f>
        <v>0</v>
      </c>
      <c r="S114" s="170">
        <f>IFERROR(__xludf.DUMMYFUNCTION("""COMPUTED_VALUE"""),0.0)</f>
        <v>0</v>
      </c>
      <c r="T114" s="170">
        <f>IFERROR(__xludf.DUMMYFUNCTION("""COMPUTED_VALUE"""),25.0)</f>
        <v>25</v>
      </c>
      <c r="U114" s="170">
        <f>IFERROR(__xludf.DUMMYFUNCTION("""COMPUTED_VALUE"""),0.0)</f>
        <v>0</v>
      </c>
      <c r="V114" s="170">
        <f>IFERROR(__xludf.DUMMYFUNCTION("""COMPUTED_VALUE"""),0.0)</f>
        <v>0</v>
      </c>
      <c r="W114" s="170">
        <f>IFERROR(__xludf.DUMMYFUNCTION("""COMPUTED_VALUE"""),0.0)</f>
        <v>0</v>
      </c>
      <c r="X114" s="170">
        <f>IFERROR(__xludf.DUMMYFUNCTION("""COMPUTED_VALUE"""),0.0)</f>
        <v>0</v>
      </c>
      <c r="Y114" s="170">
        <f>IFERROR(__xludf.DUMMYFUNCTION("""COMPUTED_VALUE"""),0.0)</f>
        <v>0</v>
      </c>
      <c r="Z114" s="170">
        <f>IFERROR(__xludf.DUMMYFUNCTION("""COMPUTED_VALUE"""),-25.0)</f>
        <v>-25</v>
      </c>
      <c r="AA114" s="170">
        <f>IFERROR(__xludf.DUMMYFUNCTION("""COMPUTED_VALUE"""),0.0)</f>
        <v>0</v>
      </c>
      <c r="AB114" s="170">
        <f>IFERROR(__xludf.DUMMYFUNCTION("""COMPUTED_VALUE"""),0.0)</f>
        <v>0</v>
      </c>
      <c r="AC114" s="170">
        <f>IFERROR(__xludf.DUMMYFUNCTION("""COMPUTED_VALUE"""),0.0)</f>
        <v>0</v>
      </c>
      <c r="AD114" s="170">
        <f>IFERROR(__xludf.DUMMYFUNCTION("""COMPUTED_VALUE"""),0.0)</f>
        <v>0</v>
      </c>
      <c r="AE114" s="170">
        <f>IFERROR(__xludf.DUMMYFUNCTION("""COMPUTED_VALUE"""),0.0)</f>
        <v>0</v>
      </c>
      <c r="AF114" s="170" t="str">
        <f>IFERROR(__xludf.DUMMYFUNCTION("""COMPUTED_VALUE"""),"")</f>
        <v/>
      </c>
      <c r="AG114" s="170">
        <f>IFERROR(__xludf.DUMMYFUNCTION("""COMPUTED_VALUE"""),0.0)</f>
        <v>0</v>
      </c>
      <c r="AH114" s="170">
        <f>IFERROR(__xludf.DUMMYFUNCTION("""COMPUTED_VALUE"""),0.0)</f>
        <v>0</v>
      </c>
      <c r="AI114" s="170">
        <f>IFERROR(__xludf.DUMMYFUNCTION("""COMPUTED_VALUE"""),0.0)</f>
        <v>0</v>
      </c>
      <c r="AJ114" s="170"/>
    </row>
    <row r="115" ht="22.5" customHeight="1">
      <c r="A115" s="268" t="str">
        <f>IFERROR(__xludf.DUMMYFUNCTION("""COMPUTED_VALUE"""),"")</f>
        <v/>
      </c>
      <c r="B115" s="268" t="str">
        <f>IFERROR(__xludf.DUMMYFUNCTION("""COMPUTED_VALUE"""),"")</f>
        <v/>
      </c>
      <c r="C115" s="268">
        <f>IFERROR(__xludf.DUMMYFUNCTION("""COMPUTED_VALUE"""),246.0)</f>
        <v>246</v>
      </c>
      <c r="D115" s="268" t="str">
        <f>IFERROR(__xludf.DUMMYFUNCTION("""COMPUTED_VALUE"""),"UBS Santa Lucia")</f>
        <v>UBS Santa Lucia</v>
      </c>
      <c r="E115" s="272" t="str">
        <f>IFERROR(__xludf.DUMMYFUNCTION("""COMPUTED_VALUE"""),"BAIXADA FLUMINENSE")</f>
        <v>BAIXADA FLUMINENSE</v>
      </c>
      <c r="F115" s="268" t="str">
        <f>IFERROR(__xludf.DUMMYFUNCTION("""COMPUTED_VALUE"""),"Duque de Caxias")</f>
        <v>Duque de Caxias</v>
      </c>
      <c r="G115" s="268" t="str">
        <f>IFERROR(__xludf.DUMMYFUNCTION("""COMPUTED_VALUE"""),"Santa Lucia")</f>
        <v>Santa Lucia</v>
      </c>
      <c r="H115" s="268" t="str">
        <f>IFERROR(__xludf.DUMMYFUNCTION("""COMPUTED_VALUE"""),"Unidade básica de saúde - BAIXA COMPLEXIDADE
")</f>
        <v>Unidade básica de saúde - BAIXA COMPLEXIDADE
</v>
      </c>
      <c r="I115" s="268" t="str">
        <f>IFERROR(__xludf.DUMMYFUNCTION("""COMPUTED_VALUE"""),"Público")</f>
        <v>Público</v>
      </c>
      <c r="J115" s="268" t="str">
        <f>IFERROR(__xludf.DUMMYFUNCTION("""COMPUTED_VALUE"""),"")</f>
        <v/>
      </c>
      <c r="K115" s="268" t="str">
        <f>IFERROR(__xludf.DUMMYFUNCTION("""COMPUTED_VALUE"""),"")</f>
        <v/>
      </c>
      <c r="L115" s="268" t="str">
        <f>IFERROR(__xludf.DUMMYFUNCTION("""COMPUTED_VALUE"""),"")</f>
        <v/>
      </c>
      <c r="M115" s="268" t="str">
        <f>IFERROR(__xludf.DUMMYFUNCTION("""COMPUTED_VALUE"""),"")</f>
        <v/>
      </c>
      <c r="N115" s="268">
        <f>IFERROR(__xludf.DUMMYFUNCTION("""COMPUTED_VALUE"""),0.0)</f>
        <v>0</v>
      </c>
      <c r="O115" s="268">
        <f>IFERROR(__xludf.DUMMYFUNCTION("""COMPUTED_VALUE"""),0.0)</f>
        <v>0</v>
      </c>
      <c r="P115" s="268">
        <f>IFERROR(__xludf.DUMMYFUNCTION("""COMPUTED_VALUE"""),0.0)</f>
        <v>0</v>
      </c>
      <c r="Q115" s="268">
        <f>IFERROR(__xludf.DUMMYFUNCTION("""COMPUTED_VALUE"""),0.0)</f>
        <v>0</v>
      </c>
      <c r="R115" s="268">
        <f>IFERROR(__xludf.DUMMYFUNCTION("""COMPUTED_VALUE"""),0.0)</f>
        <v>0</v>
      </c>
      <c r="S115" s="268">
        <f>IFERROR(__xludf.DUMMYFUNCTION("""COMPUTED_VALUE"""),0.0)</f>
        <v>0</v>
      </c>
      <c r="T115" s="268">
        <f>IFERROR(__xludf.DUMMYFUNCTION("""COMPUTED_VALUE"""),25.0)</f>
        <v>25</v>
      </c>
      <c r="U115" s="268">
        <f>IFERROR(__xludf.DUMMYFUNCTION("""COMPUTED_VALUE"""),0.0)</f>
        <v>0</v>
      </c>
      <c r="V115" s="268">
        <f>IFERROR(__xludf.DUMMYFUNCTION("""COMPUTED_VALUE"""),0.0)</f>
        <v>0</v>
      </c>
      <c r="W115" s="268">
        <f>IFERROR(__xludf.DUMMYFUNCTION("""COMPUTED_VALUE"""),0.0)</f>
        <v>0</v>
      </c>
      <c r="X115" s="268">
        <f>IFERROR(__xludf.DUMMYFUNCTION("""COMPUTED_VALUE"""),0.0)</f>
        <v>0</v>
      </c>
      <c r="Y115" s="268">
        <f>IFERROR(__xludf.DUMMYFUNCTION("""COMPUTED_VALUE"""),0.0)</f>
        <v>0</v>
      </c>
      <c r="Z115" s="268">
        <f>IFERROR(__xludf.DUMMYFUNCTION("""COMPUTED_VALUE"""),-25.0)</f>
        <v>-25</v>
      </c>
      <c r="AA115" s="268">
        <f>IFERROR(__xludf.DUMMYFUNCTION("""COMPUTED_VALUE"""),0.0)</f>
        <v>0</v>
      </c>
      <c r="AB115" s="268">
        <f>IFERROR(__xludf.DUMMYFUNCTION("""COMPUTED_VALUE"""),0.0)</f>
        <v>0</v>
      </c>
      <c r="AC115" s="268">
        <f>IFERROR(__xludf.DUMMYFUNCTION("""COMPUTED_VALUE"""),0.0)</f>
        <v>0</v>
      </c>
      <c r="AD115" s="268">
        <f>IFERROR(__xludf.DUMMYFUNCTION("""COMPUTED_VALUE"""),0.0)</f>
        <v>0</v>
      </c>
      <c r="AE115" s="268">
        <f>IFERROR(__xludf.DUMMYFUNCTION("""COMPUTED_VALUE"""),0.0)</f>
        <v>0</v>
      </c>
      <c r="AF115" s="268" t="str">
        <f>IFERROR(__xludf.DUMMYFUNCTION("""COMPUTED_VALUE"""),"")</f>
        <v/>
      </c>
      <c r="AG115" s="268">
        <f>IFERROR(__xludf.DUMMYFUNCTION("""COMPUTED_VALUE"""),0.0)</f>
        <v>0</v>
      </c>
      <c r="AH115" s="268">
        <f>IFERROR(__xludf.DUMMYFUNCTION("""COMPUTED_VALUE"""),0.0)</f>
        <v>0</v>
      </c>
      <c r="AI115" s="268">
        <f>IFERROR(__xludf.DUMMYFUNCTION("""COMPUTED_VALUE"""),0.0)</f>
        <v>0</v>
      </c>
      <c r="AJ115" s="268"/>
    </row>
    <row r="116" ht="22.5" customHeight="1">
      <c r="A116" s="170" t="str">
        <f>IFERROR(__xludf.DUMMYFUNCTION("""COMPUTED_VALUE"""),"")</f>
        <v/>
      </c>
      <c r="B116" s="170" t="str">
        <f>IFERROR(__xludf.DUMMYFUNCTION("""COMPUTED_VALUE"""),"")</f>
        <v/>
      </c>
      <c r="C116" s="170">
        <f>IFERROR(__xludf.DUMMYFUNCTION("""COMPUTED_VALUE"""),247.0)</f>
        <v>247</v>
      </c>
      <c r="D116" s="170" t="str">
        <f>IFERROR(__xludf.DUMMYFUNCTION("""COMPUTED_VALUE"""),"USF MANGUEIRINHA")</f>
        <v>USF MANGUEIRINHA</v>
      </c>
      <c r="E116" s="270" t="str">
        <f>IFERROR(__xludf.DUMMYFUNCTION("""COMPUTED_VALUE"""),"BAIXADA FLUMINENSE")</f>
        <v>BAIXADA FLUMINENSE</v>
      </c>
      <c r="F116" s="170" t="str">
        <f>IFERROR(__xludf.DUMMYFUNCTION("""COMPUTED_VALUE"""),"Duque de Caxias")</f>
        <v>Duque de Caxias</v>
      </c>
      <c r="G116" s="170" t="str">
        <f>IFERROR(__xludf.DUMMYFUNCTION("""COMPUTED_VALUE"""),"Centenario")</f>
        <v>Centenario</v>
      </c>
      <c r="H116" s="170" t="str">
        <f>IFERROR(__xludf.DUMMYFUNCTION("""COMPUTED_VALUE"""),"Unidade básica de saúde - BAIXA COMPLEXIDADE
")</f>
        <v>Unidade básica de saúde - BAIXA COMPLEXIDADE
</v>
      </c>
      <c r="I116" s="170" t="str">
        <f>IFERROR(__xludf.DUMMYFUNCTION("""COMPUTED_VALUE"""),"Público")</f>
        <v>Público</v>
      </c>
      <c r="J116" s="170" t="str">
        <f>IFERROR(__xludf.DUMMYFUNCTION("""COMPUTED_VALUE"""),"")</f>
        <v/>
      </c>
      <c r="K116" s="170" t="str">
        <f>IFERROR(__xludf.DUMMYFUNCTION("""COMPUTED_VALUE"""),"")</f>
        <v/>
      </c>
      <c r="L116" s="170" t="str">
        <f>IFERROR(__xludf.DUMMYFUNCTION("""COMPUTED_VALUE"""),"")</f>
        <v/>
      </c>
      <c r="M116" s="170" t="str">
        <f>IFERROR(__xludf.DUMMYFUNCTION("""COMPUTED_VALUE"""),"")</f>
        <v/>
      </c>
      <c r="N116" s="170">
        <f>IFERROR(__xludf.DUMMYFUNCTION("""COMPUTED_VALUE"""),0.0)</f>
        <v>0</v>
      </c>
      <c r="O116" s="170">
        <f>IFERROR(__xludf.DUMMYFUNCTION("""COMPUTED_VALUE"""),0.0)</f>
        <v>0</v>
      </c>
      <c r="P116" s="170">
        <f>IFERROR(__xludf.DUMMYFUNCTION("""COMPUTED_VALUE"""),0.0)</f>
        <v>0</v>
      </c>
      <c r="Q116" s="170">
        <f>IFERROR(__xludf.DUMMYFUNCTION("""COMPUTED_VALUE"""),0.0)</f>
        <v>0</v>
      </c>
      <c r="R116" s="170">
        <f>IFERROR(__xludf.DUMMYFUNCTION("""COMPUTED_VALUE"""),0.0)</f>
        <v>0</v>
      </c>
      <c r="S116" s="170">
        <f>IFERROR(__xludf.DUMMYFUNCTION("""COMPUTED_VALUE"""),0.0)</f>
        <v>0</v>
      </c>
      <c r="T116" s="170">
        <f>IFERROR(__xludf.DUMMYFUNCTION("""COMPUTED_VALUE"""),25.0)</f>
        <v>25</v>
      </c>
      <c r="U116" s="170">
        <f>IFERROR(__xludf.DUMMYFUNCTION("""COMPUTED_VALUE"""),0.0)</f>
        <v>0</v>
      </c>
      <c r="V116" s="170">
        <f>IFERROR(__xludf.DUMMYFUNCTION("""COMPUTED_VALUE"""),0.0)</f>
        <v>0</v>
      </c>
      <c r="W116" s="170">
        <f>IFERROR(__xludf.DUMMYFUNCTION("""COMPUTED_VALUE"""),0.0)</f>
        <v>0</v>
      </c>
      <c r="X116" s="170">
        <f>IFERROR(__xludf.DUMMYFUNCTION("""COMPUTED_VALUE"""),0.0)</f>
        <v>0</v>
      </c>
      <c r="Y116" s="170">
        <f>IFERROR(__xludf.DUMMYFUNCTION("""COMPUTED_VALUE"""),0.0)</f>
        <v>0</v>
      </c>
      <c r="Z116" s="170">
        <f>IFERROR(__xludf.DUMMYFUNCTION("""COMPUTED_VALUE"""),-25.0)</f>
        <v>-25</v>
      </c>
      <c r="AA116" s="170">
        <f>IFERROR(__xludf.DUMMYFUNCTION("""COMPUTED_VALUE"""),0.0)</f>
        <v>0</v>
      </c>
      <c r="AB116" s="170">
        <f>IFERROR(__xludf.DUMMYFUNCTION("""COMPUTED_VALUE"""),0.0)</f>
        <v>0</v>
      </c>
      <c r="AC116" s="170">
        <f>IFERROR(__xludf.DUMMYFUNCTION("""COMPUTED_VALUE"""),0.0)</f>
        <v>0</v>
      </c>
      <c r="AD116" s="170">
        <f>IFERROR(__xludf.DUMMYFUNCTION("""COMPUTED_VALUE"""),0.0)</f>
        <v>0</v>
      </c>
      <c r="AE116" s="170">
        <f>IFERROR(__xludf.DUMMYFUNCTION("""COMPUTED_VALUE"""),0.0)</f>
        <v>0</v>
      </c>
      <c r="AF116" s="170" t="str">
        <f>IFERROR(__xludf.DUMMYFUNCTION("""COMPUTED_VALUE"""),"")</f>
        <v/>
      </c>
      <c r="AG116" s="170">
        <f>IFERROR(__xludf.DUMMYFUNCTION("""COMPUTED_VALUE"""),0.0)</f>
        <v>0</v>
      </c>
      <c r="AH116" s="170">
        <f>IFERROR(__xludf.DUMMYFUNCTION("""COMPUTED_VALUE"""),0.0)</f>
        <v>0</v>
      </c>
      <c r="AI116" s="170">
        <f>IFERROR(__xludf.DUMMYFUNCTION("""COMPUTED_VALUE"""),0.0)</f>
        <v>0</v>
      </c>
      <c r="AJ116" s="170"/>
    </row>
    <row r="117" ht="22.5" customHeight="1">
      <c r="A117" s="268" t="str">
        <f>IFERROR(__xludf.DUMMYFUNCTION("""COMPUTED_VALUE"""),"")</f>
        <v/>
      </c>
      <c r="B117" s="268" t="str">
        <f>IFERROR(__xludf.DUMMYFUNCTION("""COMPUTED_VALUE"""),"")</f>
        <v/>
      </c>
      <c r="C117" s="268">
        <f>IFERROR(__xludf.DUMMYFUNCTION("""COMPUTED_VALUE"""),249.0)</f>
        <v>249</v>
      </c>
      <c r="D117" s="268" t="str">
        <f>IFERROR(__xludf.DUMMYFUNCTION("""COMPUTED_VALUE"""),"USF JARDIM GRAMACHO I, II, III, V")</f>
        <v>USF JARDIM GRAMACHO I, II, III, V</v>
      </c>
      <c r="E117" s="272" t="str">
        <f>IFERROR(__xludf.DUMMYFUNCTION("""COMPUTED_VALUE"""),"BAIXADA FLUMINENSE")</f>
        <v>BAIXADA FLUMINENSE</v>
      </c>
      <c r="F117" s="268" t="str">
        <f>IFERROR(__xludf.DUMMYFUNCTION("""COMPUTED_VALUE"""),"DUQUE DE CAXIAS")</f>
        <v>DUQUE DE CAXIAS</v>
      </c>
      <c r="G117" s="268" t="str">
        <f>IFERROR(__xludf.DUMMYFUNCTION("""COMPUTED_VALUE"""),"JARDIM GRAMACHO")</f>
        <v>JARDIM GRAMACHO</v>
      </c>
      <c r="H117" s="268" t="str">
        <f>IFERROR(__xludf.DUMMYFUNCTION("""COMPUTED_VALUE"""),"Unidade básica de saúde - BAIXA COMPLEXIDADE
")</f>
        <v>Unidade básica de saúde - BAIXA COMPLEXIDADE
</v>
      </c>
      <c r="I117" s="268" t="str">
        <f>IFERROR(__xludf.DUMMYFUNCTION("""COMPUTED_VALUE"""),"Público")</f>
        <v>Público</v>
      </c>
      <c r="J117" s="268" t="str">
        <f>IFERROR(__xludf.DUMMYFUNCTION("""COMPUTED_VALUE"""),"")</f>
        <v/>
      </c>
      <c r="K117" s="268" t="str">
        <f>IFERROR(__xludf.DUMMYFUNCTION("""COMPUTED_VALUE"""),"")</f>
        <v/>
      </c>
      <c r="L117" s="268" t="str">
        <f>IFERROR(__xludf.DUMMYFUNCTION("""COMPUTED_VALUE"""),"")</f>
        <v/>
      </c>
      <c r="M117" s="268" t="str">
        <f>IFERROR(__xludf.DUMMYFUNCTION("""COMPUTED_VALUE"""),"")</f>
        <v/>
      </c>
      <c r="N117" s="268">
        <f>IFERROR(__xludf.DUMMYFUNCTION("""COMPUTED_VALUE"""),0.0)</f>
        <v>0</v>
      </c>
      <c r="O117" s="268">
        <f>IFERROR(__xludf.DUMMYFUNCTION("""COMPUTED_VALUE"""),0.0)</f>
        <v>0</v>
      </c>
      <c r="P117" s="268">
        <f>IFERROR(__xludf.DUMMYFUNCTION("""COMPUTED_VALUE"""),0.0)</f>
        <v>0</v>
      </c>
      <c r="Q117" s="268">
        <f>IFERROR(__xludf.DUMMYFUNCTION("""COMPUTED_VALUE"""),0.0)</f>
        <v>0</v>
      </c>
      <c r="R117" s="268">
        <f>IFERROR(__xludf.DUMMYFUNCTION("""COMPUTED_VALUE"""),0.0)</f>
        <v>0</v>
      </c>
      <c r="S117" s="268">
        <f>IFERROR(__xludf.DUMMYFUNCTION("""COMPUTED_VALUE"""),0.0)</f>
        <v>0</v>
      </c>
      <c r="T117" s="268">
        <f>IFERROR(__xludf.DUMMYFUNCTION("""COMPUTED_VALUE"""),100.0)</f>
        <v>100</v>
      </c>
      <c r="U117" s="268">
        <f>IFERROR(__xludf.DUMMYFUNCTION("""COMPUTED_VALUE"""),0.0)</f>
        <v>0</v>
      </c>
      <c r="V117" s="268">
        <f>IFERROR(__xludf.DUMMYFUNCTION("""COMPUTED_VALUE"""),0.0)</f>
        <v>0</v>
      </c>
      <c r="W117" s="268">
        <f>IFERROR(__xludf.DUMMYFUNCTION("""COMPUTED_VALUE"""),0.0)</f>
        <v>0</v>
      </c>
      <c r="X117" s="268">
        <f>IFERROR(__xludf.DUMMYFUNCTION("""COMPUTED_VALUE"""),0.0)</f>
        <v>0</v>
      </c>
      <c r="Y117" s="268">
        <f>IFERROR(__xludf.DUMMYFUNCTION("""COMPUTED_VALUE"""),0.0)</f>
        <v>0</v>
      </c>
      <c r="Z117" s="268">
        <f>IFERROR(__xludf.DUMMYFUNCTION("""COMPUTED_VALUE"""),-100.0)</f>
        <v>-100</v>
      </c>
      <c r="AA117" s="268">
        <f>IFERROR(__xludf.DUMMYFUNCTION("""COMPUTED_VALUE"""),0.0)</f>
        <v>0</v>
      </c>
      <c r="AB117" s="268">
        <f>IFERROR(__xludf.DUMMYFUNCTION("""COMPUTED_VALUE"""),0.0)</f>
        <v>0</v>
      </c>
      <c r="AC117" s="268">
        <f>IFERROR(__xludf.DUMMYFUNCTION("""COMPUTED_VALUE"""),0.0)</f>
        <v>0</v>
      </c>
      <c r="AD117" s="268">
        <f>IFERROR(__xludf.DUMMYFUNCTION("""COMPUTED_VALUE"""),0.0)</f>
        <v>0</v>
      </c>
      <c r="AE117" s="268">
        <f>IFERROR(__xludf.DUMMYFUNCTION("""COMPUTED_VALUE"""),0.0)</f>
        <v>0</v>
      </c>
      <c r="AF117" s="268" t="str">
        <f>IFERROR(__xludf.DUMMYFUNCTION("""COMPUTED_VALUE"""),"")</f>
        <v/>
      </c>
      <c r="AG117" s="268">
        <f>IFERROR(__xludf.DUMMYFUNCTION("""COMPUTED_VALUE"""),0.0)</f>
        <v>0</v>
      </c>
      <c r="AH117" s="268">
        <f>IFERROR(__xludf.DUMMYFUNCTION("""COMPUTED_VALUE"""),0.0)</f>
        <v>0</v>
      </c>
      <c r="AI117" s="268">
        <f>IFERROR(__xludf.DUMMYFUNCTION("""COMPUTED_VALUE"""),0.0)</f>
        <v>0</v>
      </c>
      <c r="AJ117" s="268"/>
    </row>
    <row r="118" ht="22.5" customHeight="1">
      <c r="A118" s="170" t="str">
        <f>IFERROR(__xludf.DUMMYFUNCTION("""COMPUTED_VALUE"""),"")</f>
        <v/>
      </c>
      <c r="B118" s="170" t="str">
        <f>IFERROR(__xludf.DUMMYFUNCTION("""COMPUTED_VALUE"""),"")</f>
        <v/>
      </c>
      <c r="C118" s="170">
        <f>IFERROR(__xludf.DUMMYFUNCTION("""COMPUTED_VALUE"""),250.0)</f>
        <v>250</v>
      </c>
      <c r="D118" s="170" t="str">
        <f>IFERROR(__xludf.DUMMYFUNCTION("""COMPUTED_VALUE"""),"Jardim Gramacho IV")</f>
        <v>Jardim Gramacho IV</v>
      </c>
      <c r="E118" s="270" t="str">
        <f>IFERROR(__xludf.DUMMYFUNCTION("""COMPUTED_VALUE"""),"BAIXADA FLUMINENSE")</f>
        <v>BAIXADA FLUMINENSE</v>
      </c>
      <c r="F118" s="170" t="str">
        <f>IFERROR(__xludf.DUMMYFUNCTION("""COMPUTED_VALUE"""),"Duque de Caxias")</f>
        <v>Duque de Caxias</v>
      </c>
      <c r="G118" s="170" t="str">
        <f>IFERROR(__xludf.DUMMYFUNCTION("""COMPUTED_VALUE"""),"Jardim Gramacho")</f>
        <v>Jardim Gramacho</v>
      </c>
      <c r="H118" s="170" t="str">
        <f>IFERROR(__xludf.DUMMYFUNCTION("""COMPUTED_VALUE"""),"Unidade básica de saúde - BAIXA COMPLEXIDADE
")</f>
        <v>Unidade básica de saúde - BAIXA COMPLEXIDADE
</v>
      </c>
      <c r="I118" s="170" t="str">
        <f>IFERROR(__xludf.DUMMYFUNCTION("""COMPUTED_VALUE"""),"Público")</f>
        <v>Público</v>
      </c>
      <c r="J118" s="170" t="str">
        <f>IFERROR(__xludf.DUMMYFUNCTION("""COMPUTED_VALUE"""),"")</f>
        <v/>
      </c>
      <c r="K118" s="170" t="str">
        <f>IFERROR(__xludf.DUMMYFUNCTION("""COMPUTED_VALUE"""),"")</f>
        <v/>
      </c>
      <c r="L118" s="170" t="str">
        <f>IFERROR(__xludf.DUMMYFUNCTION("""COMPUTED_VALUE"""),"")</f>
        <v/>
      </c>
      <c r="M118" s="170" t="str">
        <f>IFERROR(__xludf.DUMMYFUNCTION("""COMPUTED_VALUE"""),"")</f>
        <v/>
      </c>
      <c r="N118" s="170">
        <f>IFERROR(__xludf.DUMMYFUNCTION("""COMPUTED_VALUE"""),0.0)</f>
        <v>0</v>
      </c>
      <c r="O118" s="170">
        <f>IFERROR(__xludf.DUMMYFUNCTION("""COMPUTED_VALUE"""),0.0)</f>
        <v>0</v>
      </c>
      <c r="P118" s="170">
        <f>IFERROR(__xludf.DUMMYFUNCTION("""COMPUTED_VALUE"""),0.0)</f>
        <v>0</v>
      </c>
      <c r="Q118" s="170">
        <f>IFERROR(__xludf.DUMMYFUNCTION("""COMPUTED_VALUE"""),0.0)</f>
        <v>0</v>
      </c>
      <c r="R118" s="170">
        <f>IFERROR(__xludf.DUMMYFUNCTION("""COMPUTED_VALUE"""),0.0)</f>
        <v>0</v>
      </c>
      <c r="S118" s="170">
        <f>IFERROR(__xludf.DUMMYFUNCTION("""COMPUTED_VALUE"""),0.0)</f>
        <v>0</v>
      </c>
      <c r="T118" s="170">
        <f>IFERROR(__xludf.DUMMYFUNCTION("""COMPUTED_VALUE"""),25.0)</f>
        <v>25</v>
      </c>
      <c r="U118" s="170">
        <f>IFERROR(__xludf.DUMMYFUNCTION("""COMPUTED_VALUE"""),0.0)</f>
        <v>0</v>
      </c>
      <c r="V118" s="170">
        <f>IFERROR(__xludf.DUMMYFUNCTION("""COMPUTED_VALUE"""),0.0)</f>
        <v>0</v>
      </c>
      <c r="W118" s="170">
        <f>IFERROR(__xludf.DUMMYFUNCTION("""COMPUTED_VALUE"""),0.0)</f>
        <v>0</v>
      </c>
      <c r="X118" s="170">
        <f>IFERROR(__xludf.DUMMYFUNCTION("""COMPUTED_VALUE"""),0.0)</f>
        <v>0</v>
      </c>
      <c r="Y118" s="170">
        <f>IFERROR(__xludf.DUMMYFUNCTION("""COMPUTED_VALUE"""),0.0)</f>
        <v>0</v>
      </c>
      <c r="Z118" s="170">
        <f>IFERROR(__xludf.DUMMYFUNCTION("""COMPUTED_VALUE"""),-25.0)</f>
        <v>-25</v>
      </c>
      <c r="AA118" s="170">
        <f>IFERROR(__xludf.DUMMYFUNCTION("""COMPUTED_VALUE"""),0.0)</f>
        <v>0</v>
      </c>
      <c r="AB118" s="170">
        <f>IFERROR(__xludf.DUMMYFUNCTION("""COMPUTED_VALUE"""),0.0)</f>
        <v>0</v>
      </c>
      <c r="AC118" s="170">
        <f>IFERROR(__xludf.DUMMYFUNCTION("""COMPUTED_VALUE"""),0.0)</f>
        <v>0</v>
      </c>
      <c r="AD118" s="170">
        <f>IFERROR(__xludf.DUMMYFUNCTION("""COMPUTED_VALUE"""),0.0)</f>
        <v>0</v>
      </c>
      <c r="AE118" s="170">
        <f>IFERROR(__xludf.DUMMYFUNCTION("""COMPUTED_VALUE"""),0.0)</f>
        <v>0</v>
      </c>
      <c r="AF118" s="170" t="str">
        <f>IFERROR(__xludf.DUMMYFUNCTION("""COMPUTED_VALUE"""),"")</f>
        <v/>
      </c>
      <c r="AG118" s="170">
        <f>IFERROR(__xludf.DUMMYFUNCTION("""COMPUTED_VALUE"""),0.0)</f>
        <v>0</v>
      </c>
      <c r="AH118" s="170">
        <f>IFERROR(__xludf.DUMMYFUNCTION("""COMPUTED_VALUE"""),0.0)</f>
        <v>0</v>
      </c>
      <c r="AI118" s="170">
        <f>IFERROR(__xludf.DUMMYFUNCTION("""COMPUTED_VALUE"""),0.0)</f>
        <v>0</v>
      </c>
      <c r="AJ118" s="170"/>
    </row>
    <row r="119" ht="22.5" customHeight="1">
      <c r="A119" s="268" t="str">
        <f>IFERROR(__xludf.DUMMYFUNCTION("""COMPUTED_VALUE"""),"")</f>
        <v/>
      </c>
      <c r="B119" s="268" t="str">
        <f>IFERROR(__xludf.DUMMYFUNCTION("""COMPUTED_VALUE"""),"")</f>
        <v/>
      </c>
      <c r="C119" s="268">
        <f>IFERROR(__xludf.DUMMYFUNCTION("""COMPUTED_VALUE"""),251.0)</f>
        <v>251</v>
      </c>
      <c r="D119" s="268" t="str">
        <f>IFERROR(__xludf.DUMMYFUNCTION("""COMPUTED_VALUE"""),"USF Trevo das Missões")</f>
        <v>USF Trevo das Missões</v>
      </c>
      <c r="E119" s="272" t="str">
        <f>IFERROR(__xludf.DUMMYFUNCTION("""COMPUTED_VALUE"""),"BAIXADA FLUMINENSE")</f>
        <v>BAIXADA FLUMINENSE</v>
      </c>
      <c r="F119" s="268" t="str">
        <f>IFERROR(__xludf.DUMMYFUNCTION("""COMPUTED_VALUE"""),"Duque de Caxias")</f>
        <v>Duque de Caxias</v>
      </c>
      <c r="G119" s="268" t="str">
        <f>IFERROR(__xludf.DUMMYFUNCTION("""COMPUTED_VALUE"""),"Trevo das Missoes")</f>
        <v>Trevo das Missoes</v>
      </c>
      <c r="H119" s="268" t="str">
        <f>IFERROR(__xludf.DUMMYFUNCTION("""COMPUTED_VALUE"""),"Unidade básica de saúde - BAIXA COMPLEXIDADE
")</f>
        <v>Unidade básica de saúde - BAIXA COMPLEXIDADE
</v>
      </c>
      <c r="I119" s="268" t="str">
        <f>IFERROR(__xludf.DUMMYFUNCTION("""COMPUTED_VALUE"""),"Público")</f>
        <v>Público</v>
      </c>
      <c r="J119" s="268" t="str">
        <f>IFERROR(__xludf.DUMMYFUNCTION("""COMPUTED_VALUE"""),"")</f>
        <v/>
      </c>
      <c r="K119" s="268" t="str">
        <f>IFERROR(__xludf.DUMMYFUNCTION("""COMPUTED_VALUE"""),"")</f>
        <v/>
      </c>
      <c r="L119" s="268" t="str">
        <f>IFERROR(__xludf.DUMMYFUNCTION("""COMPUTED_VALUE"""),"")</f>
        <v/>
      </c>
      <c r="M119" s="268" t="str">
        <f>IFERROR(__xludf.DUMMYFUNCTION("""COMPUTED_VALUE"""),"")</f>
        <v/>
      </c>
      <c r="N119" s="268">
        <f>IFERROR(__xludf.DUMMYFUNCTION("""COMPUTED_VALUE"""),0.0)</f>
        <v>0</v>
      </c>
      <c r="O119" s="268">
        <f>IFERROR(__xludf.DUMMYFUNCTION("""COMPUTED_VALUE"""),0.0)</f>
        <v>0</v>
      </c>
      <c r="P119" s="268">
        <f>IFERROR(__xludf.DUMMYFUNCTION("""COMPUTED_VALUE"""),0.0)</f>
        <v>0</v>
      </c>
      <c r="Q119" s="268">
        <f>IFERROR(__xludf.DUMMYFUNCTION("""COMPUTED_VALUE"""),0.0)</f>
        <v>0</v>
      </c>
      <c r="R119" s="268">
        <f>IFERROR(__xludf.DUMMYFUNCTION("""COMPUTED_VALUE"""),0.0)</f>
        <v>0</v>
      </c>
      <c r="S119" s="268">
        <f>IFERROR(__xludf.DUMMYFUNCTION("""COMPUTED_VALUE"""),0.0)</f>
        <v>0</v>
      </c>
      <c r="T119" s="268">
        <f>IFERROR(__xludf.DUMMYFUNCTION("""COMPUTED_VALUE"""),25.0)</f>
        <v>25</v>
      </c>
      <c r="U119" s="268">
        <f>IFERROR(__xludf.DUMMYFUNCTION("""COMPUTED_VALUE"""),0.0)</f>
        <v>0</v>
      </c>
      <c r="V119" s="268">
        <f>IFERROR(__xludf.DUMMYFUNCTION("""COMPUTED_VALUE"""),0.0)</f>
        <v>0</v>
      </c>
      <c r="W119" s="268">
        <f>IFERROR(__xludf.DUMMYFUNCTION("""COMPUTED_VALUE"""),0.0)</f>
        <v>0</v>
      </c>
      <c r="X119" s="268">
        <f>IFERROR(__xludf.DUMMYFUNCTION("""COMPUTED_VALUE"""),0.0)</f>
        <v>0</v>
      </c>
      <c r="Y119" s="268">
        <f>IFERROR(__xludf.DUMMYFUNCTION("""COMPUTED_VALUE"""),0.0)</f>
        <v>0</v>
      </c>
      <c r="Z119" s="268">
        <f>IFERROR(__xludf.DUMMYFUNCTION("""COMPUTED_VALUE"""),-25.0)</f>
        <v>-25</v>
      </c>
      <c r="AA119" s="268">
        <f>IFERROR(__xludf.DUMMYFUNCTION("""COMPUTED_VALUE"""),0.0)</f>
        <v>0</v>
      </c>
      <c r="AB119" s="268">
        <f>IFERROR(__xludf.DUMMYFUNCTION("""COMPUTED_VALUE"""),0.0)</f>
        <v>0</v>
      </c>
      <c r="AC119" s="268">
        <f>IFERROR(__xludf.DUMMYFUNCTION("""COMPUTED_VALUE"""),0.0)</f>
        <v>0</v>
      </c>
      <c r="AD119" s="268">
        <f>IFERROR(__xludf.DUMMYFUNCTION("""COMPUTED_VALUE"""),0.0)</f>
        <v>0</v>
      </c>
      <c r="AE119" s="268">
        <f>IFERROR(__xludf.DUMMYFUNCTION("""COMPUTED_VALUE"""),0.0)</f>
        <v>0</v>
      </c>
      <c r="AF119" s="268" t="str">
        <f>IFERROR(__xludf.DUMMYFUNCTION("""COMPUTED_VALUE"""),"")</f>
        <v/>
      </c>
      <c r="AG119" s="268">
        <f>IFERROR(__xludf.DUMMYFUNCTION("""COMPUTED_VALUE"""),0.0)</f>
        <v>0</v>
      </c>
      <c r="AH119" s="268">
        <f>IFERROR(__xludf.DUMMYFUNCTION("""COMPUTED_VALUE"""),0.0)</f>
        <v>0</v>
      </c>
      <c r="AI119" s="268">
        <f>IFERROR(__xludf.DUMMYFUNCTION("""COMPUTED_VALUE"""),0.0)</f>
        <v>0</v>
      </c>
      <c r="AJ119" s="268"/>
    </row>
    <row r="120" ht="22.5" customHeight="1">
      <c r="A120" s="170" t="str">
        <f>IFERROR(__xludf.DUMMYFUNCTION("""COMPUTED_VALUE"""),"")</f>
        <v/>
      </c>
      <c r="B120" s="170" t="str">
        <f>IFERROR(__xludf.DUMMYFUNCTION("""COMPUTED_VALUE"""),"")</f>
        <v/>
      </c>
      <c r="C120" s="170">
        <f>IFERROR(__xludf.DUMMYFUNCTION("""COMPUTED_VALUE"""),252.0)</f>
        <v>252</v>
      </c>
      <c r="D120" s="170" t="str">
        <f>IFERROR(__xludf.DUMMYFUNCTION("""COMPUTED_VALUE"""),"USF Beira Mar")</f>
        <v>USF Beira Mar</v>
      </c>
      <c r="E120" s="270" t="str">
        <f>IFERROR(__xludf.DUMMYFUNCTION("""COMPUTED_VALUE"""),"BAIXADA FLUMINENSE")</f>
        <v>BAIXADA FLUMINENSE</v>
      </c>
      <c r="F120" s="170" t="str">
        <f>IFERROR(__xludf.DUMMYFUNCTION("""COMPUTED_VALUE"""),"Duque de Caxias")</f>
        <v>Duque de Caxias</v>
      </c>
      <c r="G120" s="170" t="str">
        <f>IFERROR(__xludf.DUMMYFUNCTION("""COMPUTED_VALUE"""),"Parque Beira Mar")</f>
        <v>Parque Beira Mar</v>
      </c>
      <c r="H120" s="170" t="str">
        <f>IFERROR(__xludf.DUMMYFUNCTION("""COMPUTED_VALUE"""),"Unidade básica de saúde - BAIXA COMPLEXIDADE
")</f>
        <v>Unidade básica de saúde - BAIXA COMPLEXIDADE
</v>
      </c>
      <c r="I120" s="170" t="str">
        <f>IFERROR(__xludf.DUMMYFUNCTION("""COMPUTED_VALUE"""),"Público")</f>
        <v>Público</v>
      </c>
      <c r="J120" s="170" t="str">
        <f>IFERROR(__xludf.DUMMYFUNCTION("""COMPUTED_VALUE"""),"")</f>
        <v/>
      </c>
      <c r="K120" s="170" t="str">
        <f>IFERROR(__xludf.DUMMYFUNCTION("""COMPUTED_VALUE"""),"")</f>
        <v/>
      </c>
      <c r="L120" s="170" t="str">
        <f>IFERROR(__xludf.DUMMYFUNCTION("""COMPUTED_VALUE"""),"")</f>
        <v/>
      </c>
      <c r="M120" s="170" t="str">
        <f>IFERROR(__xludf.DUMMYFUNCTION("""COMPUTED_VALUE"""),"")</f>
        <v/>
      </c>
      <c r="N120" s="170">
        <f>IFERROR(__xludf.DUMMYFUNCTION("""COMPUTED_VALUE"""),0.0)</f>
        <v>0</v>
      </c>
      <c r="O120" s="170">
        <f>IFERROR(__xludf.DUMMYFUNCTION("""COMPUTED_VALUE"""),0.0)</f>
        <v>0</v>
      </c>
      <c r="P120" s="170">
        <f>IFERROR(__xludf.DUMMYFUNCTION("""COMPUTED_VALUE"""),0.0)</f>
        <v>0</v>
      </c>
      <c r="Q120" s="170">
        <f>IFERROR(__xludf.DUMMYFUNCTION("""COMPUTED_VALUE"""),0.0)</f>
        <v>0</v>
      </c>
      <c r="R120" s="170">
        <f>IFERROR(__xludf.DUMMYFUNCTION("""COMPUTED_VALUE"""),0.0)</f>
        <v>0</v>
      </c>
      <c r="S120" s="170">
        <f>IFERROR(__xludf.DUMMYFUNCTION("""COMPUTED_VALUE"""),0.0)</f>
        <v>0</v>
      </c>
      <c r="T120" s="170">
        <f>IFERROR(__xludf.DUMMYFUNCTION("""COMPUTED_VALUE"""),25.0)</f>
        <v>25</v>
      </c>
      <c r="U120" s="170">
        <f>IFERROR(__xludf.DUMMYFUNCTION("""COMPUTED_VALUE"""),0.0)</f>
        <v>0</v>
      </c>
      <c r="V120" s="170">
        <f>IFERROR(__xludf.DUMMYFUNCTION("""COMPUTED_VALUE"""),0.0)</f>
        <v>0</v>
      </c>
      <c r="W120" s="170">
        <f>IFERROR(__xludf.DUMMYFUNCTION("""COMPUTED_VALUE"""),0.0)</f>
        <v>0</v>
      </c>
      <c r="X120" s="170">
        <f>IFERROR(__xludf.DUMMYFUNCTION("""COMPUTED_VALUE"""),0.0)</f>
        <v>0</v>
      </c>
      <c r="Y120" s="170">
        <f>IFERROR(__xludf.DUMMYFUNCTION("""COMPUTED_VALUE"""),0.0)</f>
        <v>0</v>
      </c>
      <c r="Z120" s="170">
        <f>IFERROR(__xludf.DUMMYFUNCTION("""COMPUTED_VALUE"""),-25.0)</f>
        <v>-25</v>
      </c>
      <c r="AA120" s="170">
        <f>IFERROR(__xludf.DUMMYFUNCTION("""COMPUTED_VALUE"""),0.0)</f>
        <v>0</v>
      </c>
      <c r="AB120" s="170">
        <f>IFERROR(__xludf.DUMMYFUNCTION("""COMPUTED_VALUE"""),0.0)</f>
        <v>0</v>
      </c>
      <c r="AC120" s="170">
        <f>IFERROR(__xludf.DUMMYFUNCTION("""COMPUTED_VALUE"""),0.0)</f>
        <v>0</v>
      </c>
      <c r="AD120" s="170">
        <f>IFERROR(__xludf.DUMMYFUNCTION("""COMPUTED_VALUE"""),0.0)</f>
        <v>0</v>
      </c>
      <c r="AE120" s="170">
        <f>IFERROR(__xludf.DUMMYFUNCTION("""COMPUTED_VALUE"""),0.0)</f>
        <v>0</v>
      </c>
      <c r="AF120" s="170" t="str">
        <f>IFERROR(__xludf.DUMMYFUNCTION("""COMPUTED_VALUE"""),"")</f>
        <v/>
      </c>
      <c r="AG120" s="170">
        <f>IFERROR(__xludf.DUMMYFUNCTION("""COMPUTED_VALUE"""),0.0)</f>
        <v>0</v>
      </c>
      <c r="AH120" s="170">
        <f>IFERROR(__xludf.DUMMYFUNCTION("""COMPUTED_VALUE"""),0.0)</f>
        <v>0</v>
      </c>
      <c r="AI120" s="170">
        <f>IFERROR(__xludf.DUMMYFUNCTION("""COMPUTED_VALUE"""),0.0)</f>
        <v>0</v>
      </c>
      <c r="AJ120" s="170"/>
    </row>
    <row r="121" ht="22.5" customHeight="1">
      <c r="A121" s="268" t="str">
        <f>IFERROR(__xludf.DUMMYFUNCTION("""COMPUTED_VALUE"""),"")</f>
        <v/>
      </c>
      <c r="B121" s="268" t="str">
        <f>IFERROR(__xludf.DUMMYFUNCTION("""COMPUTED_VALUE"""),"")</f>
        <v/>
      </c>
      <c r="C121" s="268">
        <f>IFERROR(__xludf.DUMMYFUNCTION("""COMPUTED_VALUE"""),253.0)</f>
        <v>253</v>
      </c>
      <c r="D121" s="268" t="str">
        <f>IFERROR(__xludf.DUMMYFUNCTION("""COMPUTED_VALUE"""),"USF Parque Felicidade")</f>
        <v>USF Parque Felicidade</v>
      </c>
      <c r="E121" s="272" t="str">
        <f>IFERROR(__xludf.DUMMYFUNCTION("""COMPUTED_VALUE"""),"BAIXADA FLUMINENSE")</f>
        <v>BAIXADA FLUMINENSE</v>
      </c>
      <c r="F121" s="268" t="str">
        <f>IFERROR(__xludf.DUMMYFUNCTION("""COMPUTED_VALUE"""),"Duque de Caxias")</f>
        <v>Duque de Caxias</v>
      </c>
      <c r="G121" s="268" t="str">
        <f>IFERROR(__xludf.DUMMYFUNCTION("""COMPUTED_VALUE"""),"Parque Felicidade")</f>
        <v>Parque Felicidade</v>
      </c>
      <c r="H121" s="268" t="str">
        <f>IFERROR(__xludf.DUMMYFUNCTION("""COMPUTED_VALUE"""),"Unidade básica de saúde - BAIXA COMPLEXIDADE
")</f>
        <v>Unidade básica de saúde - BAIXA COMPLEXIDADE
</v>
      </c>
      <c r="I121" s="268" t="str">
        <f>IFERROR(__xludf.DUMMYFUNCTION("""COMPUTED_VALUE"""),"Público")</f>
        <v>Público</v>
      </c>
      <c r="J121" s="268" t="str">
        <f>IFERROR(__xludf.DUMMYFUNCTION("""COMPUTED_VALUE"""),"")</f>
        <v/>
      </c>
      <c r="K121" s="268" t="str">
        <f>IFERROR(__xludf.DUMMYFUNCTION("""COMPUTED_VALUE"""),"")</f>
        <v/>
      </c>
      <c r="L121" s="268" t="str">
        <f>IFERROR(__xludf.DUMMYFUNCTION("""COMPUTED_VALUE"""),"")</f>
        <v/>
      </c>
      <c r="M121" s="268" t="str">
        <f>IFERROR(__xludf.DUMMYFUNCTION("""COMPUTED_VALUE"""),"")</f>
        <v/>
      </c>
      <c r="N121" s="268">
        <f>IFERROR(__xludf.DUMMYFUNCTION("""COMPUTED_VALUE"""),0.0)</f>
        <v>0</v>
      </c>
      <c r="O121" s="268">
        <f>IFERROR(__xludf.DUMMYFUNCTION("""COMPUTED_VALUE"""),0.0)</f>
        <v>0</v>
      </c>
      <c r="P121" s="268">
        <f>IFERROR(__xludf.DUMMYFUNCTION("""COMPUTED_VALUE"""),0.0)</f>
        <v>0</v>
      </c>
      <c r="Q121" s="268">
        <f>IFERROR(__xludf.DUMMYFUNCTION("""COMPUTED_VALUE"""),0.0)</f>
        <v>0</v>
      </c>
      <c r="R121" s="268">
        <f>IFERROR(__xludf.DUMMYFUNCTION("""COMPUTED_VALUE"""),0.0)</f>
        <v>0</v>
      </c>
      <c r="S121" s="268">
        <f>IFERROR(__xludf.DUMMYFUNCTION("""COMPUTED_VALUE"""),0.0)</f>
        <v>0</v>
      </c>
      <c r="T121" s="268">
        <f>IFERROR(__xludf.DUMMYFUNCTION("""COMPUTED_VALUE"""),25.0)</f>
        <v>25</v>
      </c>
      <c r="U121" s="268">
        <f>IFERROR(__xludf.DUMMYFUNCTION("""COMPUTED_VALUE"""),0.0)</f>
        <v>0</v>
      </c>
      <c r="V121" s="268">
        <f>IFERROR(__xludf.DUMMYFUNCTION("""COMPUTED_VALUE"""),0.0)</f>
        <v>0</v>
      </c>
      <c r="W121" s="268">
        <f>IFERROR(__xludf.DUMMYFUNCTION("""COMPUTED_VALUE"""),0.0)</f>
        <v>0</v>
      </c>
      <c r="X121" s="268">
        <f>IFERROR(__xludf.DUMMYFUNCTION("""COMPUTED_VALUE"""),0.0)</f>
        <v>0</v>
      </c>
      <c r="Y121" s="268">
        <f>IFERROR(__xludf.DUMMYFUNCTION("""COMPUTED_VALUE"""),0.0)</f>
        <v>0</v>
      </c>
      <c r="Z121" s="268">
        <f>IFERROR(__xludf.DUMMYFUNCTION("""COMPUTED_VALUE"""),-25.0)</f>
        <v>-25</v>
      </c>
      <c r="AA121" s="268">
        <f>IFERROR(__xludf.DUMMYFUNCTION("""COMPUTED_VALUE"""),0.0)</f>
        <v>0</v>
      </c>
      <c r="AB121" s="268">
        <f>IFERROR(__xludf.DUMMYFUNCTION("""COMPUTED_VALUE"""),0.0)</f>
        <v>0</v>
      </c>
      <c r="AC121" s="268">
        <f>IFERROR(__xludf.DUMMYFUNCTION("""COMPUTED_VALUE"""),0.0)</f>
        <v>0</v>
      </c>
      <c r="AD121" s="268">
        <f>IFERROR(__xludf.DUMMYFUNCTION("""COMPUTED_VALUE"""),0.0)</f>
        <v>0</v>
      </c>
      <c r="AE121" s="268">
        <f>IFERROR(__xludf.DUMMYFUNCTION("""COMPUTED_VALUE"""),0.0)</f>
        <v>0</v>
      </c>
      <c r="AF121" s="268" t="str">
        <f>IFERROR(__xludf.DUMMYFUNCTION("""COMPUTED_VALUE"""),"")</f>
        <v/>
      </c>
      <c r="AG121" s="268">
        <f>IFERROR(__xludf.DUMMYFUNCTION("""COMPUTED_VALUE"""),0.0)</f>
        <v>0</v>
      </c>
      <c r="AH121" s="268">
        <f>IFERROR(__xludf.DUMMYFUNCTION("""COMPUTED_VALUE"""),0.0)</f>
        <v>0</v>
      </c>
      <c r="AI121" s="268">
        <f>IFERROR(__xludf.DUMMYFUNCTION("""COMPUTED_VALUE"""),0.0)</f>
        <v>0</v>
      </c>
      <c r="AJ121" s="268"/>
    </row>
    <row r="122" ht="22.5" customHeight="1">
      <c r="A122" s="170" t="str">
        <f>IFERROR(__xludf.DUMMYFUNCTION("""COMPUTED_VALUE"""),"")</f>
        <v/>
      </c>
      <c r="B122" s="170" t="str">
        <f>IFERROR(__xludf.DUMMYFUNCTION("""COMPUTED_VALUE"""),"")</f>
        <v/>
      </c>
      <c r="C122" s="170">
        <f>IFERROR(__xludf.DUMMYFUNCTION("""COMPUTED_VALUE"""),254.0)</f>
        <v>254</v>
      </c>
      <c r="D122" s="170" t="str">
        <f>IFERROR(__xludf.DUMMYFUNCTION("""COMPUTED_VALUE"""),"USF Gramacho")</f>
        <v>USF Gramacho</v>
      </c>
      <c r="E122" s="270" t="str">
        <f>IFERROR(__xludf.DUMMYFUNCTION("""COMPUTED_VALUE"""),"BAIXADA FLUMINENSE")</f>
        <v>BAIXADA FLUMINENSE</v>
      </c>
      <c r="F122" s="170" t="str">
        <f>IFERROR(__xludf.DUMMYFUNCTION("""COMPUTED_VALUE"""),"Duque de Caxias")</f>
        <v>Duque de Caxias</v>
      </c>
      <c r="G122" s="170" t="str">
        <f>IFERROR(__xludf.DUMMYFUNCTION("""COMPUTED_VALUE"""),"Gramacho")</f>
        <v>Gramacho</v>
      </c>
      <c r="H122" s="170" t="str">
        <f>IFERROR(__xludf.DUMMYFUNCTION("""COMPUTED_VALUE"""),"Unidade básica de saúde - BAIXA COMPLEXIDADE
")</f>
        <v>Unidade básica de saúde - BAIXA COMPLEXIDADE
</v>
      </c>
      <c r="I122" s="170" t="str">
        <f>IFERROR(__xludf.DUMMYFUNCTION("""COMPUTED_VALUE"""),"Público")</f>
        <v>Público</v>
      </c>
      <c r="J122" s="170" t="str">
        <f>IFERROR(__xludf.DUMMYFUNCTION("""COMPUTED_VALUE"""),"")</f>
        <v/>
      </c>
      <c r="K122" s="170" t="str">
        <f>IFERROR(__xludf.DUMMYFUNCTION("""COMPUTED_VALUE"""),"")</f>
        <v/>
      </c>
      <c r="L122" s="170" t="str">
        <f>IFERROR(__xludf.DUMMYFUNCTION("""COMPUTED_VALUE"""),"")</f>
        <v/>
      </c>
      <c r="M122" s="170" t="str">
        <f>IFERROR(__xludf.DUMMYFUNCTION("""COMPUTED_VALUE"""),"")</f>
        <v/>
      </c>
      <c r="N122" s="170">
        <f>IFERROR(__xludf.DUMMYFUNCTION("""COMPUTED_VALUE"""),0.0)</f>
        <v>0</v>
      </c>
      <c r="O122" s="170">
        <f>IFERROR(__xludf.DUMMYFUNCTION("""COMPUTED_VALUE"""),0.0)</f>
        <v>0</v>
      </c>
      <c r="P122" s="170">
        <f>IFERROR(__xludf.DUMMYFUNCTION("""COMPUTED_VALUE"""),0.0)</f>
        <v>0</v>
      </c>
      <c r="Q122" s="170">
        <f>IFERROR(__xludf.DUMMYFUNCTION("""COMPUTED_VALUE"""),0.0)</f>
        <v>0</v>
      </c>
      <c r="R122" s="170">
        <f>IFERROR(__xludf.DUMMYFUNCTION("""COMPUTED_VALUE"""),0.0)</f>
        <v>0</v>
      </c>
      <c r="S122" s="170">
        <f>IFERROR(__xludf.DUMMYFUNCTION("""COMPUTED_VALUE"""),0.0)</f>
        <v>0</v>
      </c>
      <c r="T122" s="170">
        <f>IFERROR(__xludf.DUMMYFUNCTION("""COMPUTED_VALUE"""),25.0)</f>
        <v>25</v>
      </c>
      <c r="U122" s="170">
        <f>IFERROR(__xludf.DUMMYFUNCTION("""COMPUTED_VALUE"""),0.0)</f>
        <v>0</v>
      </c>
      <c r="V122" s="170">
        <f>IFERROR(__xludf.DUMMYFUNCTION("""COMPUTED_VALUE"""),0.0)</f>
        <v>0</v>
      </c>
      <c r="W122" s="170">
        <f>IFERROR(__xludf.DUMMYFUNCTION("""COMPUTED_VALUE"""),0.0)</f>
        <v>0</v>
      </c>
      <c r="X122" s="170">
        <f>IFERROR(__xludf.DUMMYFUNCTION("""COMPUTED_VALUE"""),0.0)</f>
        <v>0</v>
      </c>
      <c r="Y122" s="170">
        <f>IFERROR(__xludf.DUMMYFUNCTION("""COMPUTED_VALUE"""),0.0)</f>
        <v>0</v>
      </c>
      <c r="Z122" s="170">
        <f>IFERROR(__xludf.DUMMYFUNCTION("""COMPUTED_VALUE"""),-25.0)</f>
        <v>-25</v>
      </c>
      <c r="AA122" s="170">
        <f>IFERROR(__xludf.DUMMYFUNCTION("""COMPUTED_VALUE"""),0.0)</f>
        <v>0</v>
      </c>
      <c r="AB122" s="170">
        <f>IFERROR(__xludf.DUMMYFUNCTION("""COMPUTED_VALUE"""),0.0)</f>
        <v>0</v>
      </c>
      <c r="AC122" s="170">
        <f>IFERROR(__xludf.DUMMYFUNCTION("""COMPUTED_VALUE"""),0.0)</f>
        <v>0</v>
      </c>
      <c r="AD122" s="170">
        <f>IFERROR(__xludf.DUMMYFUNCTION("""COMPUTED_VALUE"""),0.0)</f>
        <v>0</v>
      </c>
      <c r="AE122" s="170">
        <f>IFERROR(__xludf.DUMMYFUNCTION("""COMPUTED_VALUE"""),0.0)</f>
        <v>0</v>
      </c>
      <c r="AF122" s="170" t="str">
        <f>IFERROR(__xludf.DUMMYFUNCTION("""COMPUTED_VALUE"""),"")</f>
        <v/>
      </c>
      <c r="AG122" s="170">
        <f>IFERROR(__xludf.DUMMYFUNCTION("""COMPUTED_VALUE"""),0.0)</f>
        <v>0</v>
      </c>
      <c r="AH122" s="170">
        <f>IFERROR(__xludf.DUMMYFUNCTION("""COMPUTED_VALUE"""),0.0)</f>
        <v>0</v>
      </c>
      <c r="AI122" s="170">
        <f>IFERROR(__xludf.DUMMYFUNCTION("""COMPUTED_VALUE"""),0.0)</f>
        <v>0</v>
      </c>
      <c r="AJ122" s="170"/>
    </row>
    <row r="123" ht="22.5" customHeight="1">
      <c r="A123" s="268" t="str">
        <f>IFERROR(__xludf.DUMMYFUNCTION("""COMPUTED_VALUE"""),"")</f>
        <v/>
      </c>
      <c r="B123" s="268" t="str">
        <f>IFERROR(__xludf.DUMMYFUNCTION("""COMPUTED_VALUE"""),"")</f>
        <v/>
      </c>
      <c r="C123" s="268">
        <f>IFERROR(__xludf.DUMMYFUNCTION("""COMPUTED_VALUE"""),255.0)</f>
        <v>255</v>
      </c>
      <c r="D123" s="268" t="str">
        <f>IFERROR(__xludf.DUMMYFUNCTION("""COMPUTED_VALUE"""),"SERVICO DE ATENCAO DOMICILIAR - SAD")</f>
        <v>SERVICO DE ATENCAO DOMICILIAR - SAD</v>
      </c>
      <c r="E123" s="272" t="str">
        <f>IFERROR(__xludf.DUMMYFUNCTION("""COMPUTED_VALUE"""),"REGIAO METROPOLITANA")</f>
        <v>REGIAO METROPOLITANA</v>
      </c>
      <c r="F123" s="268" t="str">
        <f>IFERROR(__xludf.DUMMYFUNCTION("""COMPUTED_VALUE"""),"São Gonçalo")</f>
        <v>São Gonçalo</v>
      </c>
      <c r="G123" s="268" t="str">
        <f>IFERROR(__xludf.DUMMYFUNCTION("""COMPUTED_VALUE"""),"CENTRO")</f>
        <v>CENTRO</v>
      </c>
      <c r="H123" s="268" t="str">
        <f>IFERROR(__xludf.DUMMYFUNCTION("""COMPUTED_VALUE"""),"SERVIÇO DE ATENÇÃO DOMICILIAR - ATENÇÃO ESPECIALIZADA
")</f>
        <v>SERVIÇO DE ATENÇÃO DOMICILIAR - ATENÇÃO ESPECIALIZADA
</v>
      </c>
      <c r="I123" s="268" t="str">
        <f>IFERROR(__xludf.DUMMYFUNCTION("""COMPUTED_VALUE"""),"Público")</f>
        <v>Público</v>
      </c>
      <c r="J123" s="268" t="str">
        <f>IFERROR(__xludf.DUMMYFUNCTION("""COMPUTED_VALUE"""),"")</f>
        <v/>
      </c>
      <c r="K123" s="268" t="str">
        <f>IFERROR(__xludf.DUMMYFUNCTION("""COMPUTED_VALUE"""),"")</f>
        <v/>
      </c>
      <c r="L123" s="268" t="str">
        <f>IFERROR(__xludf.DUMMYFUNCTION("""COMPUTED_VALUE"""),"")</f>
        <v/>
      </c>
      <c r="M123" s="268" t="str">
        <f>IFERROR(__xludf.DUMMYFUNCTION("""COMPUTED_VALUE"""),"")</f>
        <v/>
      </c>
      <c r="N123" s="268">
        <f>IFERROR(__xludf.DUMMYFUNCTION("""COMPUTED_VALUE"""),0.0)</f>
        <v>0</v>
      </c>
      <c r="O123" s="268">
        <f>IFERROR(__xludf.DUMMYFUNCTION("""COMPUTED_VALUE"""),0.0)</f>
        <v>0</v>
      </c>
      <c r="P123" s="268">
        <f>IFERROR(__xludf.DUMMYFUNCTION("""COMPUTED_VALUE"""),0.0)</f>
        <v>0</v>
      </c>
      <c r="Q123" s="268">
        <f>IFERROR(__xludf.DUMMYFUNCTION("""COMPUTED_VALUE"""),0.0)</f>
        <v>0</v>
      </c>
      <c r="R123" s="268">
        <f>IFERROR(__xludf.DUMMYFUNCTION("""COMPUTED_VALUE"""),0.0)</f>
        <v>0</v>
      </c>
      <c r="S123" s="268">
        <f>IFERROR(__xludf.DUMMYFUNCTION("""COMPUTED_VALUE"""),0.0)</f>
        <v>0</v>
      </c>
      <c r="T123" s="268">
        <f>IFERROR(__xludf.DUMMYFUNCTION("""COMPUTED_VALUE"""),50.0)</f>
        <v>50</v>
      </c>
      <c r="U123" s="268">
        <f>IFERROR(__xludf.DUMMYFUNCTION("""COMPUTED_VALUE"""),0.0)</f>
        <v>0</v>
      </c>
      <c r="V123" s="268">
        <f>IFERROR(__xludf.DUMMYFUNCTION("""COMPUTED_VALUE"""),0.0)</f>
        <v>0</v>
      </c>
      <c r="W123" s="268">
        <f>IFERROR(__xludf.DUMMYFUNCTION("""COMPUTED_VALUE"""),0.0)</f>
        <v>0</v>
      </c>
      <c r="X123" s="268">
        <f>IFERROR(__xludf.DUMMYFUNCTION("""COMPUTED_VALUE"""),0.0)</f>
        <v>0</v>
      </c>
      <c r="Y123" s="268">
        <f>IFERROR(__xludf.DUMMYFUNCTION("""COMPUTED_VALUE"""),0.0)</f>
        <v>0</v>
      </c>
      <c r="Z123" s="268">
        <f>IFERROR(__xludf.DUMMYFUNCTION("""COMPUTED_VALUE"""),-50.0)</f>
        <v>-50</v>
      </c>
      <c r="AA123" s="268">
        <f>IFERROR(__xludf.DUMMYFUNCTION("""COMPUTED_VALUE"""),0.0)</f>
        <v>0</v>
      </c>
      <c r="AB123" s="268">
        <f>IFERROR(__xludf.DUMMYFUNCTION("""COMPUTED_VALUE"""),0.0)</f>
        <v>0</v>
      </c>
      <c r="AC123" s="268">
        <f>IFERROR(__xludf.DUMMYFUNCTION("""COMPUTED_VALUE"""),0.0)</f>
        <v>0</v>
      </c>
      <c r="AD123" s="268">
        <f>IFERROR(__xludf.DUMMYFUNCTION("""COMPUTED_VALUE"""),0.0)</f>
        <v>0</v>
      </c>
      <c r="AE123" s="268">
        <f>IFERROR(__xludf.DUMMYFUNCTION("""COMPUTED_VALUE"""),0.0)</f>
        <v>0</v>
      </c>
      <c r="AF123" s="268" t="str">
        <f>IFERROR(__xludf.DUMMYFUNCTION("""COMPUTED_VALUE"""),"")</f>
        <v/>
      </c>
      <c r="AG123" s="268">
        <f>IFERROR(__xludf.DUMMYFUNCTION("""COMPUTED_VALUE"""),0.0)</f>
        <v>0</v>
      </c>
      <c r="AH123" s="268">
        <f>IFERROR(__xludf.DUMMYFUNCTION("""COMPUTED_VALUE"""),0.0)</f>
        <v>0</v>
      </c>
      <c r="AI123" s="268">
        <f>IFERROR(__xludf.DUMMYFUNCTION("""COMPUTED_VALUE"""),0.0)</f>
        <v>0</v>
      </c>
      <c r="AJ123" s="268"/>
    </row>
    <row r="124" ht="22.5" customHeight="1">
      <c r="A124" s="170" t="str">
        <f>IFERROR(__xludf.DUMMYFUNCTION("""COMPUTED_VALUE"""),"")</f>
        <v/>
      </c>
      <c r="B124" s="170" t="str">
        <f>IFERROR(__xludf.DUMMYFUNCTION("""COMPUTED_VALUE"""),"")</f>
        <v/>
      </c>
      <c r="C124" s="170">
        <f>IFERROR(__xludf.DUMMYFUNCTION("""COMPUTED_VALUE"""),256.0)</f>
        <v>256</v>
      </c>
      <c r="D124" s="170" t="str">
        <f>IFERROR(__xludf.DUMMYFUNCTION("""COMPUTED_VALUE"""),"USF Dois Irmaos")</f>
        <v>USF Dois Irmaos</v>
      </c>
      <c r="E124" s="270" t="str">
        <f>IFERROR(__xludf.DUMMYFUNCTION("""COMPUTED_VALUE"""),"REGIAO METROPOLITANA")</f>
        <v>REGIAO METROPOLITANA</v>
      </c>
      <c r="F124" s="170" t="str">
        <f>IFERROR(__xludf.DUMMYFUNCTION("""COMPUTED_VALUE"""),"Duque de Caxias")</f>
        <v>Duque de Caxias</v>
      </c>
      <c r="G124" s="170" t="str">
        <f>IFERROR(__xludf.DUMMYFUNCTION("""COMPUTED_VALUE"""),"Parque Dois Irmaos")</f>
        <v>Parque Dois Irmaos</v>
      </c>
      <c r="H124" s="170" t="str">
        <f>IFERROR(__xludf.DUMMYFUNCTION("""COMPUTED_VALUE"""),"Unidade básica de saúde - BAIXA COMPLEXIDADE
")</f>
        <v>Unidade básica de saúde - BAIXA COMPLEXIDADE
</v>
      </c>
      <c r="I124" s="170" t="str">
        <f>IFERROR(__xludf.DUMMYFUNCTION("""COMPUTED_VALUE"""),"Público")</f>
        <v>Público</v>
      </c>
      <c r="J124" s="170" t="str">
        <f>IFERROR(__xludf.DUMMYFUNCTION("""COMPUTED_VALUE"""),"")</f>
        <v/>
      </c>
      <c r="K124" s="170" t="str">
        <f>IFERROR(__xludf.DUMMYFUNCTION("""COMPUTED_VALUE"""),"")</f>
        <v/>
      </c>
      <c r="L124" s="170" t="str">
        <f>IFERROR(__xludf.DUMMYFUNCTION("""COMPUTED_VALUE"""),"")</f>
        <v/>
      </c>
      <c r="M124" s="170" t="str">
        <f>IFERROR(__xludf.DUMMYFUNCTION("""COMPUTED_VALUE"""),"")</f>
        <v/>
      </c>
      <c r="N124" s="170">
        <f>IFERROR(__xludf.DUMMYFUNCTION("""COMPUTED_VALUE"""),0.0)</f>
        <v>0</v>
      </c>
      <c r="O124" s="170">
        <f>IFERROR(__xludf.DUMMYFUNCTION("""COMPUTED_VALUE"""),0.0)</f>
        <v>0</v>
      </c>
      <c r="P124" s="170">
        <f>IFERROR(__xludf.DUMMYFUNCTION("""COMPUTED_VALUE"""),0.0)</f>
        <v>0</v>
      </c>
      <c r="Q124" s="170">
        <f>IFERROR(__xludf.DUMMYFUNCTION("""COMPUTED_VALUE"""),0.0)</f>
        <v>0</v>
      </c>
      <c r="R124" s="170">
        <f>IFERROR(__xludf.DUMMYFUNCTION("""COMPUTED_VALUE"""),0.0)</f>
        <v>0</v>
      </c>
      <c r="S124" s="170">
        <f>IFERROR(__xludf.DUMMYFUNCTION("""COMPUTED_VALUE"""),0.0)</f>
        <v>0</v>
      </c>
      <c r="T124" s="170">
        <f>IFERROR(__xludf.DUMMYFUNCTION("""COMPUTED_VALUE"""),25.0)</f>
        <v>25</v>
      </c>
      <c r="U124" s="170">
        <f>IFERROR(__xludf.DUMMYFUNCTION("""COMPUTED_VALUE"""),0.0)</f>
        <v>0</v>
      </c>
      <c r="V124" s="170">
        <f>IFERROR(__xludf.DUMMYFUNCTION("""COMPUTED_VALUE"""),0.0)</f>
        <v>0</v>
      </c>
      <c r="W124" s="170">
        <f>IFERROR(__xludf.DUMMYFUNCTION("""COMPUTED_VALUE"""),0.0)</f>
        <v>0</v>
      </c>
      <c r="X124" s="170">
        <f>IFERROR(__xludf.DUMMYFUNCTION("""COMPUTED_VALUE"""),0.0)</f>
        <v>0</v>
      </c>
      <c r="Y124" s="170">
        <f>IFERROR(__xludf.DUMMYFUNCTION("""COMPUTED_VALUE"""),0.0)</f>
        <v>0</v>
      </c>
      <c r="Z124" s="170">
        <f>IFERROR(__xludf.DUMMYFUNCTION("""COMPUTED_VALUE"""),-25.0)</f>
        <v>-25</v>
      </c>
      <c r="AA124" s="170">
        <f>IFERROR(__xludf.DUMMYFUNCTION("""COMPUTED_VALUE"""),0.0)</f>
        <v>0</v>
      </c>
      <c r="AB124" s="170">
        <f>IFERROR(__xludf.DUMMYFUNCTION("""COMPUTED_VALUE"""),0.0)</f>
        <v>0</v>
      </c>
      <c r="AC124" s="170">
        <f>IFERROR(__xludf.DUMMYFUNCTION("""COMPUTED_VALUE"""),0.0)</f>
        <v>0</v>
      </c>
      <c r="AD124" s="170">
        <f>IFERROR(__xludf.DUMMYFUNCTION("""COMPUTED_VALUE"""),0.0)</f>
        <v>0</v>
      </c>
      <c r="AE124" s="170">
        <f>IFERROR(__xludf.DUMMYFUNCTION("""COMPUTED_VALUE"""),0.0)</f>
        <v>0</v>
      </c>
      <c r="AF124" s="170" t="str">
        <f>IFERROR(__xludf.DUMMYFUNCTION("""COMPUTED_VALUE"""),"")</f>
        <v/>
      </c>
      <c r="AG124" s="170">
        <f>IFERROR(__xludf.DUMMYFUNCTION("""COMPUTED_VALUE"""),0.0)</f>
        <v>0</v>
      </c>
      <c r="AH124" s="170">
        <f>IFERROR(__xludf.DUMMYFUNCTION("""COMPUTED_VALUE"""),0.0)</f>
        <v>0</v>
      </c>
      <c r="AI124" s="170">
        <f>IFERROR(__xludf.DUMMYFUNCTION("""COMPUTED_VALUE"""),0.0)</f>
        <v>0</v>
      </c>
      <c r="AJ124" s="170"/>
    </row>
    <row r="125" ht="22.5" customHeight="1">
      <c r="A125" s="268" t="str">
        <f>IFERROR(__xludf.DUMMYFUNCTION("""COMPUTED_VALUE"""),"")</f>
        <v/>
      </c>
      <c r="B125" s="268" t="str">
        <f>IFERROR(__xludf.DUMMYFUNCTION("""COMPUTED_VALUE"""),"")</f>
        <v/>
      </c>
      <c r="C125" s="268">
        <f>IFERROR(__xludf.DUMMYFUNCTION("""COMPUTED_VALUE"""),257.0)</f>
        <v>257</v>
      </c>
      <c r="D125" s="268" t="str">
        <f>IFERROR(__xludf.DUMMYFUNCTION("""COMPUTED_VALUE"""),"Posto Odontologico Professor Jose Herdy")</f>
        <v>Posto Odontologico Professor Jose Herdy</v>
      </c>
      <c r="E125" s="272" t="str">
        <f>IFERROR(__xludf.DUMMYFUNCTION("""COMPUTED_VALUE"""),"BAIXADA FLUMINENSE")</f>
        <v>BAIXADA FLUMINENSE</v>
      </c>
      <c r="F125" s="268" t="str">
        <f>IFERROR(__xludf.DUMMYFUNCTION("""COMPUTED_VALUE"""),"Duque de Caxias")</f>
        <v>Duque de Caxias</v>
      </c>
      <c r="G125" s="268" t="str">
        <f>IFERROR(__xludf.DUMMYFUNCTION("""COMPUTED_VALUE"""),"Parque Felicidade/ Vila Operaria")</f>
        <v>Parque Felicidade/ Vila Operaria</v>
      </c>
      <c r="H125" s="268" t="str">
        <f>IFERROR(__xludf.DUMMYFUNCTION("""COMPUTED_VALUE"""),"Unidade básica de saúde - BAIXA COMPLEXIDADE
")</f>
        <v>Unidade básica de saúde - BAIXA COMPLEXIDADE
</v>
      </c>
      <c r="I125" s="268" t="str">
        <f>IFERROR(__xludf.DUMMYFUNCTION("""COMPUTED_VALUE"""),"Público")</f>
        <v>Público</v>
      </c>
      <c r="J125" s="268" t="str">
        <f>IFERROR(__xludf.DUMMYFUNCTION("""COMPUTED_VALUE"""),"")</f>
        <v/>
      </c>
      <c r="K125" s="268" t="str">
        <f>IFERROR(__xludf.DUMMYFUNCTION("""COMPUTED_VALUE"""),"")</f>
        <v/>
      </c>
      <c r="L125" s="268" t="str">
        <f>IFERROR(__xludf.DUMMYFUNCTION("""COMPUTED_VALUE"""),"")</f>
        <v/>
      </c>
      <c r="M125" s="268" t="str">
        <f>IFERROR(__xludf.DUMMYFUNCTION("""COMPUTED_VALUE"""),"")</f>
        <v/>
      </c>
      <c r="N125" s="268">
        <f>IFERROR(__xludf.DUMMYFUNCTION("""COMPUTED_VALUE"""),0.0)</f>
        <v>0</v>
      </c>
      <c r="O125" s="268">
        <f>IFERROR(__xludf.DUMMYFUNCTION("""COMPUTED_VALUE"""),0.0)</f>
        <v>0</v>
      </c>
      <c r="P125" s="268">
        <f>IFERROR(__xludf.DUMMYFUNCTION("""COMPUTED_VALUE"""),0.0)</f>
        <v>0</v>
      </c>
      <c r="Q125" s="268">
        <f>IFERROR(__xludf.DUMMYFUNCTION("""COMPUTED_VALUE"""),0.0)</f>
        <v>0</v>
      </c>
      <c r="R125" s="268">
        <f>IFERROR(__xludf.DUMMYFUNCTION("""COMPUTED_VALUE"""),0.0)</f>
        <v>0</v>
      </c>
      <c r="S125" s="268">
        <f>IFERROR(__xludf.DUMMYFUNCTION("""COMPUTED_VALUE"""),0.0)</f>
        <v>0</v>
      </c>
      <c r="T125" s="268">
        <f>IFERROR(__xludf.DUMMYFUNCTION("""COMPUTED_VALUE"""),50.0)</f>
        <v>50</v>
      </c>
      <c r="U125" s="268">
        <f>IFERROR(__xludf.DUMMYFUNCTION("""COMPUTED_VALUE"""),0.0)</f>
        <v>0</v>
      </c>
      <c r="V125" s="268">
        <f>IFERROR(__xludf.DUMMYFUNCTION("""COMPUTED_VALUE"""),0.0)</f>
        <v>0</v>
      </c>
      <c r="W125" s="268">
        <f>IFERROR(__xludf.DUMMYFUNCTION("""COMPUTED_VALUE"""),0.0)</f>
        <v>0</v>
      </c>
      <c r="X125" s="268">
        <f>IFERROR(__xludf.DUMMYFUNCTION("""COMPUTED_VALUE"""),0.0)</f>
        <v>0</v>
      </c>
      <c r="Y125" s="268">
        <f>IFERROR(__xludf.DUMMYFUNCTION("""COMPUTED_VALUE"""),0.0)</f>
        <v>0</v>
      </c>
      <c r="Z125" s="268">
        <f>IFERROR(__xludf.DUMMYFUNCTION("""COMPUTED_VALUE"""),-50.0)</f>
        <v>-50</v>
      </c>
      <c r="AA125" s="268">
        <f>IFERROR(__xludf.DUMMYFUNCTION("""COMPUTED_VALUE"""),0.0)</f>
        <v>0</v>
      </c>
      <c r="AB125" s="268">
        <f>IFERROR(__xludf.DUMMYFUNCTION("""COMPUTED_VALUE"""),0.0)</f>
        <v>0</v>
      </c>
      <c r="AC125" s="268">
        <f>IFERROR(__xludf.DUMMYFUNCTION("""COMPUTED_VALUE"""),0.0)</f>
        <v>0</v>
      </c>
      <c r="AD125" s="268">
        <f>IFERROR(__xludf.DUMMYFUNCTION("""COMPUTED_VALUE"""),0.0)</f>
        <v>0</v>
      </c>
      <c r="AE125" s="268">
        <f>IFERROR(__xludf.DUMMYFUNCTION("""COMPUTED_VALUE"""),0.0)</f>
        <v>0</v>
      </c>
      <c r="AF125" s="268" t="str">
        <f>IFERROR(__xludf.DUMMYFUNCTION("""COMPUTED_VALUE"""),"")</f>
        <v/>
      </c>
      <c r="AG125" s="268">
        <f>IFERROR(__xludf.DUMMYFUNCTION("""COMPUTED_VALUE"""),0.0)</f>
        <v>0</v>
      </c>
      <c r="AH125" s="268">
        <f>IFERROR(__xludf.DUMMYFUNCTION("""COMPUTED_VALUE"""),0.0)</f>
        <v>0</v>
      </c>
      <c r="AI125" s="268">
        <f>IFERROR(__xludf.DUMMYFUNCTION("""COMPUTED_VALUE"""),0.0)</f>
        <v>0</v>
      </c>
      <c r="AJ125" s="268"/>
    </row>
    <row r="126" ht="22.5" customHeight="1">
      <c r="A126" s="170" t="str">
        <f>IFERROR(__xludf.DUMMYFUNCTION("""COMPUTED_VALUE"""),"")</f>
        <v/>
      </c>
      <c r="B126" s="170" t="str">
        <f>IFERROR(__xludf.DUMMYFUNCTION("""COMPUTED_VALUE"""),"")</f>
        <v/>
      </c>
      <c r="C126" s="170">
        <f>IFERROR(__xludf.DUMMYFUNCTION("""COMPUTED_VALUE"""),258.0)</f>
        <v>258</v>
      </c>
      <c r="D126" s="170" t="str">
        <f>IFERROR(__xludf.DUMMYFUNCTION("""COMPUTED_VALUE"""),"CMS PROF. MARIO VITOR DE ASSIS PACHECO")</f>
        <v>CMS PROF. MARIO VITOR DE ASSIS PACHECO</v>
      </c>
      <c r="E126" s="270" t="str">
        <f>IFERROR(__xludf.DUMMYFUNCTION("""COMPUTED_VALUE"""),"ZONA OESTE")</f>
        <v>ZONA OESTE</v>
      </c>
      <c r="F126" s="170" t="str">
        <f>IFERROR(__xludf.DUMMYFUNCTION("""COMPUTED_VALUE"""),"RIO DE JANEIRO")</f>
        <v>RIO DE JANEIRO</v>
      </c>
      <c r="G126" s="170" t="str">
        <f>IFERROR(__xludf.DUMMYFUNCTION("""COMPUTED_VALUE"""),"CAMPO GRANDE")</f>
        <v>CAMPO GRANDE</v>
      </c>
      <c r="H126" s="170" t="str">
        <f>IFERROR(__xludf.DUMMYFUNCTION("""COMPUTED_VALUE"""),"Unidade básica de saúde - BAIXA COMPLEXIDADE
")</f>
        <v>Unidade básica de saúde - BAIXA COMPLEXIDADE
</v>
      </c>
      <c r="I126" s="170" t="str">
        <f>IFERROR(__xludf.DUMMYFUNCTION("""COMPUTED_VALUE"""),"Público")</f>
        <v>Público</v>
      </c>
      <c r="J126" s="170" t="str">
        <f>IFERROR(__xludf.DUMMYFUNCTION("""COMPUTED_VALUE"""),"")</f>
        <v/>
      </c>
      <c r="K126" s="170" t="str">
        <f>IFERROR(__xludf.DUMMYFUNCTION("""COMPUTED_VALUE"""),"")</f>
        <v/>
      </c>
      <c r="L126" s="170" t="str">
        <f>IFERROR(__xludf.DUMMYFUNCTION("""COMPUTED_VALUE"""),"")</f>
        <v/>
      </c>
      <c r="M126" s="170" t="str">
        <f>IFERROR(__xludf.DUMMYFUNCTION("""COMPUTED_VALUE"""),"")</f>
        <v/>
      </c>
      <c r="N126" s="170">
        <f>IFERROR(__xludf.DUMMYFUNCTION("""COMPUTED_VALUE"""),0.0)</f>
        <v>0</v>
      </c>
      <c r="O126" s="170">
        <f>IFERROR(__xludf.DUMMYFUNCTION("""COMPUTED_VALUE"""),0.0)</f>
        <v>0</v>
      </c>
      <c r="P126" s="170">
        <f>IFERROR(__xludf.DUMMYFUNCTION("""COMPUTED_VALUE"""),0.0)</f>
        <v>0</v>
      </c>
      <c r="Q126" s="170">
        <f>IFERROR(__xludf.DUMMYFUNCTION("""COMPUTED_VALUE"""),0.0)</f>
        <v>0</v>
      </c>
      <c r="R126" s="170">
        <f>IFERROR(__xludf.DUMMYFUNCTION("""COMPUTED_VALUE"""),0.0)</f>
        <v>0</v>
      </c>
      <c r="S126" s="170">
        <f>IFERROR(__xludf.DUMMYFUNCTION("""COMPUTED_VALUE"""),0.0)</f>
        <v>0</v>
      </c>
      <c r="T126" s="170">
        <f>IFERROR(__xludf.DUMMYFUNCTION("""COMPUTED_VALUE"""),25.0)</f>
        <v>25</v>
      </c>
      <c r="U126" s="170">
        <f>IFERROR(__xludf.DUMMYFUNCTION("""COMPUTED_VALUE"""),0.0)</f>
        <v>0</v>
      </c>
      <c r="V126" s="170">
        <f>IFERROR(__xludf.DUMMYFUNCTION("""COMPUTED_VALUE"""),0.0)</f>
        <v>0</v>
      </c>
      <c r="W126" s="170">
        <f>IFERROR(__xludf.DUMMYFUNCTION("""COMPUTED_VALUE"""),25.0)</f>
        <v>25</v>
      </c>
      <c r="X126" s="170">
        <f>IFERROR(__xludf.DUMMYFUNCTION("""COMPUTED_VALUE"""),0.0)</f>
        <v>0</v>
      </c>
      <c r="Y126" s="170">
        <f>IFERROR(__xludf.DUMMYFUNCTION("""COMPUTED_VALUE"""),0.0)</f>
        <v>0</v>
      </c>
      <c r="Z126" s="170">
        <f>IFERROR(__xludf.DUMMYFUNCTION("""COMPUTED_VALUE"""),-25.0)</f>
        <v>-25</v>
      </c>
      <c r="AA126" s="170">
        <f>IFERROR(__xludf.DUMMYFUNCTION("""COMPUTED_VALUE"""),0.0)</f>
        <v>0</v>
      </c>
      <c r="AB126" s="170">
        <f>IFERROR(__xludf.DUMMYFUNCTION("""COMPUTED_VALUE"""),0.0)</f>
        <v>0</v>
      </c>
      <c r="AC126" s="170">
        <f>IFERROR(__xludf.DUMMYFUNCTION("""COMPUTED_VALUE"""),-25.0)</f>
        <v>-25</v>
      </c>
      <c r="AD126" s="170">
        <f>IFERROR(__xludf.DUMMYFUNCTION("""COMPUTED_VALUE"""),0.0)</f>
        <v>0</v>
      </c>
      <c r="AE126" s="170">
        <f>IFERROR(__xludf.DUMMYFUNCTION("""COMPUTED_VALUE"""),0.0)</f>
        <v>0</v>
      </c>
      <c r="AF126" s="170" t="str">
        <f>IFERROR(__xludf.DUMMYFUNCTION("""COMPUTED_VALUE"""),"")</f>
        <v/>
      </c>
      <c r="AG126" s="170">
        <f>IFERROR(__xludf.DUMMYFUNCTION("""COMPUTED_VALUE"""),0.0)</f>
        <v>0</v>
      </c>
      <c r="AH126" s="170">
        <f>IFERROR(__xludf.DUMMYFUNCTION("""COMPUTED_VALUE"""),0.0)</f>
        <v>0</v>
      </c>
      <c r="AI126" s="170">
        <f>IFERROR(__xludf.DUMMYFUNCTION("""COMPUTED_VALUE"""),0.0)</f>
        <v>0</v>
      </c>
      <c r="AJ126" s="170"/>
    </row>
    <row r="127" ht="22.5" customHeight="1">
      <c r="A127" s="268" t="str">
        <f>IFERROR(__xludf.DUMMYFUNCTION("""COMPUTED_VALUE"""),"")</f>
        <v/>
      </c>
      <c r="B127" s="268" t="str">
        <f>IFERROR(__xludf.DUMMYFUNCTION("""COMPUTED_VALUE"""),"")</f>
        <v/>
      </c>
      <c r="C127" s="268">
        <f>IFERROR(__xludf.DUMMYFUNCTION("""COMPUTED_VALUE"""),259.0)</f>
        <v>259</v>
      </c>
      <c r="D127" s="268" t="str">
        <f>IFERROR(__xludf.DUMMYFUNCTION("""COMPUTED_VALUE"""),"Ceo centro de especialidades odontologica II imbarie")</f>
        <v>Ceo centro de especialidades odontologica II imbarie</v>
      </c>
      <c r="E127" s="272" t="str">
        <f>IFERROR(__xludf.DUMMYFUNCTION("""COMPUTED_VALUE"""),"BAIXADA FLUMINENSE")</f>
        <v>BAIXADA FLUMINENSE</v>
      </c>
      <c r="F127" s="268" t="str">
        <f>IFERROR(__xludf.DUMMYFUNCTION("""COMPUTED_VALUE"""),"Duque de caxias")</f>
        <v>Duque de caxias</v>
      </c>
      <c r="G127" s="268" t="str">
        <f>IFERROR(__xludf.DUMMYFUNCTION("""COMPUTED_VALUE"""),"Imbarie")</f>
        <v>Imbarie</v>
      </c>
      <c r="H127" s="268" t="str">
        <f>IFERROR(__xludf.DUMMYFUNCTION("""COMPUTED_VALUE"""),"Centro especialidade  odontológica media complexidade 
")</f>
        <v>Centro especialidade  odontológica media complexidade 
</v>
      </c>
      <c r="I127" s="268" t="str">
        <f>IFERROR(__xludf.DUMMYFUNCTION("""COMPUTED_VALUE"""),"Público")</f>
        <v>Público</v>
      </c>
      <c r="J127" s="268" t="str">
        <f>IFERROR(__xludf.DUMMYFUNCTION("""COMPUTED_VALUE"""),"")</f>
        <v/>
      </c>
      <c r="K127" s="268" t="str">
        <f>IFERROR(__xludf.DUMMYFUNCTION("""COMPUTED_VALUE"""),"")</f>
        <v/>
      </c>
      <c r="L127" s="268" t="str">
        <f>IFERROR(__xludf.DUMMYFUNCTION("""COMPUTED_VALUE"""),"")</f>
        <v/>
      </c>
      <c r="M127" s="268" t="str">
        <f>IFERROR(__xludf.DUMMYFUNCTION("""COMPUTED_VALUE"""),"")</f>
        <v/>
      </c>
      <c r="N127" s="268">
        <f>IFERROR(__xludf.DUMMYFUNCTION("""COMPUTED_VALUE"""),0.0)</f>
        <v>0</v>
      </c>
      <c r="O127" s="268">
        <f>IFERROR(__xludf.DUMMYFUNCTION("""COMPUTED_VALUE"""),0.0)</f>
        <v>0</v>
      </c>
      <c r="P127" s="268">
        <f>IFERROR(__xludf.DUMMYFUNCTION("""COMPUTED_VALUE"""),0.0)</f>
        <v>0</v>
      </c>
      <c r="Q127" s="268">
        <f>IFERROR(__xludf.DUMMYFUNCTION("""COMPUTED_VALUE"""),0.0)</f>
        <v>0</v>
      </c>
      <c r="R127" s="268">
        <f>IFERROR(__xludf.DUMMYFUNCTION("""COMPUTED_VALUE"""),0.0)</f>
        <v>0</v>
      </c>
      <c r="S127" s="268">
        <f>IFERROR(__xludf.DUMMYFUNCTION("""COMPUTED_VALUE"""),0.0)</f>
        <v>0</v>
      </c>
      <c r="T127" s="268">
        <f>IFERROR(__xludf.DUMMYFUNCTION("""COMPUTED_VALUE"""),50.0)</f>
        <v>50</v>
      </c>
      <c r="U127" s="268">
        <f>IFERROR(__xludf.DUMMYFUNCTION("""COMPUTED_VALUE"""),0.0)</f>
        <v>0</v>
      </c>
      <c r="V127" s="268">
        <f>IFERROR(__xludf.DUMMYFUNCTION("""COMPUTED_VALUE"""),0.0)</f>
        <v>0</v>
      </c>
      <c r="W127" s="268">
        <f>IFERROR(__xludf.DUMMYFUNCTION("""COMPUTED_VALUE"""),0.0)</f>
        <v>0</v>
      </c>
      <c r="X127" s="268">
        <f>IFERROR(__xludf.DUMMYFUNCTION("""COMPUTED_VALUE"""),0.0)</f>
        <v>0</v>
      </c>
      <c r="Y127" s="268">
        <f>IFERROR(__xludf.DUMMYFUNCTION("""COMPUTED_VALUE"""),0.0)</f>
        <v>0</v>
      </c>
      <c r="Z127" s="268">
        <f>IFERROR(__xludf.DUMMYFUNCTION("""COMPUTED_VALUE"""),-50.0)</f>
        <v>-50</v>
      </c>
      <c r="AA127" s="268">
        <f>IFERROR(__xludf.DUMMYFUNCTION("""COMPUTED_VALUE"""),0.0)</f>
        <v>0</v>
      </c>
      <c r="AB127" s="268">
        <f>IFERROR(__xludf.DUMMYFUNCTION("""COMPUTED_VALUE"""),0.0)</f>
        <v>0</v>
      </c>
      <c r="AC127" s="268">
        <f>IFERROR(__xludf.DUMMYFUNCTION("""COMPUTED_VALUE"""),0.0)</f>
        <v>0</v>
      </c>
      <c r="AD127" s="268">
        <f>IFERROR(__xludf.DUMMYFUNCTION("""COMPUTED_VALUE"""),0.0)</f>
        <v>0</v>
      </c>
      <c r="AE127" s="268">
        <f>IFERROR(__xludf.DUMMYFUNCTION("""COMPUTED_VALUE"""),0.0)</f>
        <v>0</v>
      </c>
      <c r="AF127" s="268" t="str">
        <f>IFERROR(__xludf.DUMMYFUNCTION("""COMPUTED_VALUE"""),"")</f>
        <v/>
      </c>
      <c r="AG127" s="268">
        <f>IFERROR(__xludf.DUMMYFUNCTION("""COMPUTED_VALUE"""),0.0)</f>
        <v>0</v>
      </c>
      <c r="AH127" s="268">
        <f>IFERROR(__xludf.DUMMYFUNCTION("""COMPUTED_VALUE"""),0.0)</f>
        <v>0</v>
      </c>
      <c r="AI127" s="268">
        <f>IFERROR(__xludf.DUMMYFUNCTION("""COMPUTED_VALUE"""),0.0)</f>
        <v>0</v>
      </c>
      <c r="AJ127" s="268"/>
    </row>
    <row r="128" ht="22.5" customHeight="1">
      <c r="A128" s="170" t="str">
        <f>IFERROR(__xludf.DUMMYFUNCTION("""COMPUTED_VALUE"""),"")</f>
        <v/>
      </c>
      <c r="B128" s="170" t="str">
        <f>IFERROR(__xludf.DUMMYFUNCTION("""COMPUTED_VALUE"""),"")</f>
        <v/>
      </c>
      <c r="C128" s="170">
        <f>IFERROR(__xludf.DUMMYFUNCTION("""COMPUTED_VALUE"""),260.0)</f>
        <v>260</v>
      </c>
      <c r="D128" s="170" t="str">
        <f>IFERROR(__xludf.DUMMYFUNCTION("""COMPUTED_VALUE"""),"UMPA - UNIDADE MUNICIPAL DE PRONTO ATENDIMENTO")</f>
        <v>UMPA - UNIDADE MUNICIPAL DE PRONTO ATENDIMENTO</v>
      </c>
      <c r="E128" s="270" t="str">
        <f>IFERROR(__xludf.DUMMYFUNCTION("""COMPUTED_VALUE"""),"REGIAO METROPOLITANA")</f>
        <v>REGIAO METROPOLITANA</v>
      </c>
      <c r="F128" s="170" t="str">
        <f>IFERROR(__xludf.DUMMYFUNCTION("""COMPUTED_VALUE"""),"SaO GONÇALO")</f>
        <v>SaO GONÇALO</v>
      </c>
      <c r="G128" s="170" t="str">
        <f>IFERROR(__xludf.DUMMYFUNCTION("""COMPUTED_VALUE"""),"PACHECO")</f>
        <v>PACHECO</v>
      </c>
      <c r="H128" s="170" t="str">
        <f>IFERROR(__xludf.DUMMYFUNCTION("""COMPUTED_VALUE"""),"UNIDADE MNICIPAL DE PRONTO ATENDIMENTO 24H
")</f>
        <v>UNIDADE MNICIPAL DE PRONTO ATENDIMENTO 24H
</v>
      </c>
      <c r="I128" s="170" t="str">
        <f>IFERROR(__xludf.DUMMYFUNCTION("""COMPUTED_VALUE"""),"Público")</f>
        <v>Público</v>
      </c>
      <c r="J128" s="170" t="str">
        <f>IFERROR(__xludf.DUMMYFUNCTION("""COMPUTED_VALUE"""),"")</f>
        <v/>
      </c>
      <c r="K128" s="170" t="str">
        <f>IFERROR(__xludf.DUMMYFUNCTION("""COMPUTED_VALUE"""),"")</f>
        <v/>
      </c>
      <c r="L128" s="170" t="str">
        <f>IFERROR(__xludf.DUMMYFUNCTION("""COMPUTED_VALUE"""),"")</f>
        <v/>
      </c>
      <c r="M128" s="170" t="str">
        <f>IFERROR(__xludf.DUMMYFUNCTION("""COMPUTED_VALUE"""),"")</f>
        <v/>
      </c>
      <c r="N128" s="170">
        <f>IFERROR(__xludf.DUMMYFUNCTION("""COMPUTED_VALUE"""),0.0)</f>
        <v>0</v>
      </c>
      <c r="O128" s="170">
        <f>IFERROR(__xludf.DUMMYFUNCTION("""COMPUTED_VALUE"""),0.0)</f>
        <v>0</v>
      </c>
      <c r="P128" s="170">
        <f>IFERROR(__xludf.DUMMYFUNCTION("""COMPUTED_VALUE"""),0.0)</f>
        <v>0</v>
      </c>
      <c r="Q128" s="170">
        <f>IFERROR(__xludf.DUMMYFUNCTION("""COMPUTED_VALUE"""),0.0)</f>
        <v>0</v>
      </c>
      <c r="R128" s="170">
        <f>IFERROR(__xludf.DUMMYFUNCTION("""COMPUTED_VALUE"""),0.0)</f>
        <v>0</v>
      </c>
      <c r="S128" s="170">
        <f>IFERROR(__xludf.DUMMYFUNCTION("""COMPUTED_VALUE"""),0.0)</f>
        <v>0</v>
      </c>
      <c r="T128" s="170">
        <f>IFERROR(__xludf.DUMMYFUNCTION("""COMPUTED_VALUE"""),50.0)</f>
        <v>50</v>
      </c>
      <c r="U128" s="170">
        <f>IFERROR(__xludf.DUMMYFUNCTION("""COMPUTED_VALUE"""),0.0)</f>
        <v>0</v>
      </c>
      <c r="V128" s="170">
        <f>IFERROR(__xludf.DUMMYFUNCTION("""COMPUTED_VALUE"""),0.0)</f>
        <v>0</v>
      </c>
      <c r="W128" s="170">
        <f>IFERROR(__xludf.DUMMYFUNCTION("""COMPUTED_VALUE"""),50.0)</f>
        <v>50</v>
      </c>
      <c r="X128" s="170">
        <f>IFERROR(__xludf.DUMMYFUNCTION("""COMPUTED_VALUE"""),0.0)</f>
        <v>0</v>
      </c>
      <c r="Y128" s="170">
        <f>IFERROR(__xludf.DUMMYFUNCTION("""COMPUTED_VALUE"""),0.0)</f>
        <v>0</v>
      </c>
      <c r="Z128" s="170">
        <f>IFERROR(__xludf.DUMMYFUNCTION("""COMPUTED_VALUE"""),-50.0)</f>
        <v>-50</v>
      </c>
      <c r="AA128" s="170">
        <f>IFERROR(__xludf.DUMMYFUNCTION("""COMPUTED_VALUE"""),0.0)</f>
        <v>0</v>
      </c>
      <c r="AB128" s="170">
        <f>IFERROR(__xludf.DUMMYFUNCTION("""COMPUTED_VALUE"""),0.0)</f>
        <v>0</v>
      </c>
      <c r="AC128" s="170">
        <f>IFERROR(__xludf.DUMMYFUNCTION("""COMPUTED_VALUE"""),-50.0)</f>
        <v>-50</v>
      </c>
      <c r="AD128" s="170">
        <f>IFERROR(__xludf.DUMMYFUNCTION("""COMPUTED_VALUE"""),0.0)</f>
        <v>0</v>
      </c>
      <c r="AE128" s="170">
        <f>IFERROR(__xludf.DUMMYFUNCTION("""COMPUTED_VALUE"""),0.0)</f>
        <v>0</v>
      </c>
      <c r="AF128" s="170" t="str">
        <f>IFERROR(__xludf.DUMMYFUNCTION("""COMPUTED_VALUE"""),"")</f>
        <v/>
      </c>
      <c r="AG128" s="170">
        <f>IFERROR(__xludf.DUMMYFUNCTION("""COMPUTED_VALUE"""),0.0)</f>
        <v>0</v>
      </c>
      <c r="AH128" s="170">
        <f>IFERROR(__xludf.DUMMYFUNCTION("""COMPUTED_VALUE"""),0.0)</f>
        <v>0</v>
      </c>
      <c r="AI128" s="170">
        <f>IFERROR(__xludf.DUMMYFUNCTION("""COMPUTED_VALUE"""),0.0)</f>
        <v>0</v>
      </c>
      <c r="AJ128" s="170"/>
    </row>
    <row r="129" ht="22.5" customHeight="1">
      <c r="A129" s="268" t="str">
        <f>IFERROR(__xludf.DUMMYFUNCTION("""COMPUTED_VALUE"""),"")</f>
        <v/>
      </c>
      <c r="B129" s="268" t="str">
        <f>IFERROR(__xludf.DUMMYFUNCTION("""COMPUTED_VALUE"""),"")</f>
        <v/>
      </c>
      <c r="C129" s="268">
        <f>IFERROR(__xludf.DUMMYFUNCTION("""COMPUTED_VALUE"""),262.0)</f>
        <v>262</v>
      </c>
      <c r="D129" s="268" t="str">
        <f>IFERROR(__xludf.DUMMYFUNCTION("""COMPUTED_VALUE"""),"CMS Joao Candido")</f>
        <v>CMS Joao Candido</v>
      </c>
      <c r="E129" s="272" t="str">
        <f>IFERROR(__xludf.DUMMYFUNCTION("""COMPUTED_VALUE"""),"ZONA NORTE")</f>
        <v>ZONA NORTE</v>
      </c>
      <c r="F129" s="268" t="str">
        <f>IFERROR(__xludf.DUMMYFUNCTION("""COMPUTED_VALUE"""),"rio de janeiro")</f>
        <v>rio de janeiro</v>
      </c>
      <c r="G129" s="268" t="str">
        <f>IFERROR(__xludf.DUMMYFUNCTION("""COMPUTED_VALUE"""),"Penha Circular")</f>
        <v>Penha Circular</v>
      </c>
      <c r="H129" s="268" t="str">
        <f>IFERROR(__xludf.DUMMYFUNCTION("""COMPUTED_VALUE"""),"Unidade básica de saúde - BAIXA COMPLEXIDADE
")</f>
        <v>Unidade básica de saúde - BAIXA COMPLEXIDADE
</v>
      </c>
      <c r="I129" s="268" t="str">
        <f>IFERROR(__xludf.DUMMYFUNCTION("""COMPUTED_VALUE"""),"Público")</f>
        <v>Público</v>
      </c>
      <c r="J129" s="268" t="str">
        <f>IFERROR(__xludf.DUMMYFUNCTION("""COMPUTED_VALUE"""),"")</f>
        <v/>
      </c>
      <c r="K129" s="268" t="str">
        <f>IFERROR(__xludf.DUMMYFUNCTION("""COMPUTED_VALUE"""),"")</f>
        <v/>
      </c>
      <c r="L129" s="268" t="str">
        <f>IFERROR(__xludf.DUMMYFUNCTION("""COMPUTED_VALUE"""),"")</f>
        <v/>
      </c>
      <c r="M129" s="268" t="str">
        <f>IFERROR(__xludf.DUMMYFUNCTION("""COMPUTED_VALUE"""),"")</f>
        <v/>
      </c>
      <c r="N129" s="268">
        <f>IFERROR(__xludf.DUMMYFUNCTION("""COMPUTED_VALUE"""),0.0)</f>
        <v>0</v>
      </c>
      <c r="O129" s="268">
        <f>IFERROR(__xludf.DUMMYFUNCTION("""COMPUTED_VALUE"""),0.0)</f>
        <v>0</v>
      </c>
      <c r="P129" s="268">
        <f>IFERROR(__xludf.DUMMYFUNCTION("""COMPUTED_VALUE"""),0.0)</f>
        <v>0</v>
      </c>
      <c r="Q129" s="268">
        <f>IFERROR(__xludf.DUMMYFUNCTION("""COMPUTED_VALUE"""),0.0)</f>
        <v>0</v>
      </c>
      <c r="R129" s="268">
        <f>IFERROR(__xludf.DUMMYFUNCTION("""COMPUTED_VALUE"""),0.0)</f>
        <v>0</v>
      </c>
      <c r="S129" s="268">
        <f>IFERROR(__xludf.DUMMYFUNCTION("""COMPUTED_VALUE"""),0.0)</f>
        <v>0</v>
      </c>
      <c r="T129" s="268">
        <f>IFERROR(__xludf.DUMMYFUNCTION("""COMPUTED_VALUE"""),25.0)</f>
        <v>25</v>
      </c>
      <c r="U129" s="268">
        <f>IFERROR(__xludf.DUMMYFUNCTION("""COMPUTED_VALUE"""),0.0)</f>
        <v>0</v>
      </c>
      <c r="V129" s="268">
        <f>IFERROR(__xludf.DUMMYFUNCTION("""COMPUTED_VALUE"""),0.0)</f>
        <v>0</v>
      </c>
      <c r="W129" s="268">
        <f>IFERROR(__xludf.DUMMYFUNCTION("""COMPUTED_VALUE"""),0.0)</f>
        <v>0</v>
      </c>
      <c r="X129" s="268">
        <f>IFERROR(__xludf.DUMMYFUNCTION("""COMPUTED_VALUE"""),0.0)</f>
        <v>0</v>
      </c>
      <c r="Y129" s="268">
        <f>IFERROR(__xludf.DUMMYFUNCTION("""COMPUTED_VALUE"""),0.0)</f>
        <v>0</v>
      </c>
      <c r="Z129" s="268">
        <f>IFERROR(__xludf.DUMMYFUNCTION("""COMPUTED_VALUE"""),-25.0)</f>
        <v>-25</v>
      </c>
      <c r="AA129" s="268">
        <f>IFERROR(__xludf.DUMMYFUNCTION("""COMPUTED_VALUE"""),0.0)</f>
        <v>0</v>
      </c>
      <c r="AB129" s="268">
        <f>IFERROR(__xludf.DUMMYFUNCTION("""COMPUTED_VALUE"""),0.0)</f>
        <v>0</v>
      </c>
      <c r="AC129" s="268">
        <f>IFERROR(__xludf.DUMMYFUNCTION("""COMPUTED_VALUE"""),0.0)</f>
        <v>0</v>
      </c>
      <c r="AD129" s="268">
        <f>IFERROR(__xludf.DUMMYFUNCTION("""COMPUTED_VALUE"""),0.0)</f>
        <v>0</v>
      </c>
      <c r="AE129" s="268">
        <f>IFERROR(__xludf.DUMMYFUNCTION("""COMPUTED_VALUE"""),0.0)</f>
        <v>0</v>
      </c>
      <c r="AF129" s="268" t="str">
        <f>IFERROR(__xludf.DUMMYFUNCTION("""COMPUTED_VALUE"""),"")</f>
        <v/>
      </c>
      <c r="AG129" s="268">
        <f>IFERROR(__xludf.DUMMYFUNCTION("""COMPUTED_VALUE"""),0.0)</f>
        <v>0</v>
      </c>
      <c r="AH129" s="268">
        <f>IFERROR(__xludf.DUMMYFUNCTION("""COMPUTED_VALUE"""),0.0)</f>
        <v>0</v>
      </c>
      <c r="AI129" s="268">
        <f>IFERROR(__xludf.DUMMYFUNCTION("""COMPUTED_VALUE"""),0.0)</f>
        <v>0</v>
      </c>
      <c r="AJ129" s="268"/>
    </row>
    <row r="130" ht="22.5" customHeight="1">
      <c r="A130" s="170" t="str">
        <f>IFERROR(__xludf.DUMMYFUNCTION("""COMPUTED_VALUE"""),"")</f>
        <v/>
      </c>
      <c r="B130" s="170" t="str">
        <f>IFERROR(__xludf.DUMMYFUNCTION("""COMPUTED_VALUE"""),"")</f>
        <v/>
      </c>
      <c r="C130" s="170">
        <f>IFERROR(__xludf.DUMMYFUNCTION("""COMPUTED_VALUE"""),273.0)</f>
        <v>273</v>
      </c>
      <c r="D130" s="170" t="str">
        <f>IFERROR(__xludf.DUMMYFUNCTION("""COMPUTED_VALUE"""),"USF Parque Comercial")</f>
        <v>USF Parque Comercial</v>
      </c>
      <c r="E130" s="270" t="str">
        <f>IFERROR(__xludf.DUMMYFUNCTION("""COMPUTED_VALUE"""),"BAIXADA FLUMINENSE")</f>
        <v>BAIXADA FLUMINENSE</v>
      </c>
      <c r="F130" s="170" t="str">
        <f>IFERROR(__xludf.DUMMYFUNCTION("""COMPUTED_VALUE"""),"Duque de Caxias")</f>
        <v>Duque de Caxias</v>
      </c>
      <c r="G130" s="170" t="str">
        <f>IFERROR(__xludf.DUMMYFUNCTION("""COMPUTED_VALUE"""),"Sao Bento")</f>
        <v>Sao Bento</v>
      </c>
      <c r="H130" s="170" t="str">
        <f>IFERROR(__xludf.DUMMYFUNCTION("""COMPUTED_VALUE"""),"Unidade básica de saúde - BAIXA COMPLEXIDADE
")</f>
        <v>Unidade básica de saúde - BAIXA COMPLEXIDADE
</v>
      </c>
      <c r="I130" s="170" t="str">
        <f>IFERROR(__xludf.DUMMYFUNCTION("""COMPUTED_VALUE"""),"Público")</f>
        <v>Público</v>
      </c>
      <c r="J130" s="170" t="str">
        <f>IFERROR(__xludf.DUMMYFUNCTION("""COMPUTED_VALUE"""),"")</f>
        <v/>
      </c>
      <c r="K130" s="170" t="str">
        <f>IFERROR(__xludf.DUMMYFUNCTION("""COMPUTED_VALUE"""),"")</f>
        <v/>
      </c>
      <c r="L130" s="170" t="str">
        <f>IFERROR(__xludf.DUMMYFUNCTION("""COMPUTED_VALUE"""),"")</f>
        <v/>
      </c>
      <c r="M130" s="170" t="str">
        <f>IFERROR(__xludf.DUMMYFUNCTION("""COMPUTED_VALUE"""),"")</f>
        <v/>
      </c>
      <c r="N130" s="170">
        <f>IFERROR(__xludf.DUMMYFUNCTION("""COMPUTED_VALUE"""),0.0)</f>
        <v>0</v>
      </c>
      <c r="O130" s="170">
        <f>IFERROR(__xludf.DUMMYFUNCTION("""COMPUTED_VALUE"""),0.0)</f>
        <v>0</v>
      </c>
      <c r="P130" s="170">
        <f>IFERROR(__xludf.DUMMYFUNCTION("""COMPUTED_VALUE"""),0.0)</f>
        <v>0</v>
      </c>
      <c r="Q130" s="170">
        <f>IFERROR(__xludf.DUMMYFUNCTION("""COMPUTED_VALUE"""),0.0)</f>
        <v>0</v>
      </c>
      <c r="R130" s="170">
        <f>IFERROR(__xludf.DUMMYFUNCTION("""COMPUTED_VALUE"""),0.0)</f>
        <v>0</v>
      </c>
      <c r="S130" s="170">
        <f>IFERROR(__xludf.DUMMYFUNCTION("""COMPUTED_VALUE"""),0.0)</f>
        <v>0</v>
      </c>
      <c r="T130" s="170">
        <f>IFERROR(__xludf.DUMMYFUNCTION("""COMPUTED_VALUE"""),0.0)</f>
        <v>0</v>
      </c>
      <c r="U130" s="170">
        <f>IFERROR(__xludf.DUMMYFUNCTION("""COMPUTED_VALUE"""),0.0)</f>
        <v>0</v>
      </c>
      <c r="V130" s="170">
        <f>IFERROR(__xludf.DUMMYFUNCTION("""COMPUTED_VALUE"""),0.0)</f>
        <v>0</v>
      </c>
      <c r="W130" s="170">
        <f>IFERROR(__xludf.DUMMYFUNCTION("""COMPUTED_VALUE"""),25.0)</f>
        <v>25</v>
      </c>
      <c r="X130" s="170">
        <f>IFERROR(__xludf.DUMMYFUNCTION("""COMPUTED_VALUE"""),0.0)</f>
        <v>0</v>
      </c>
      <c r="Y130" s="170">
        <f>IFERROR(__xludf.DUMMYFUNCTION("""COMPUTED_VALUE"""),0.0)</f>
        <v>0</v>
      </c>
      <c r="Z130" s="170">
        <f>IFERROR(__xludf.DUMMYFUNCTION("""COMPUTED_VALUE"""),0.0)</f>
        <v>0</v>
      </c>
      <c r="AA130" s="170">
        <f>IFERROR(__xludf.DUMMYFUNCTION("""COMPUTED_VALUE"""),0.0)</f>
        <v>0</v>
      </c>
      <c r="AB130" s="170">
        <f>IFERROR(__xludf.DUMMYFUNCTION("""COMPUTED_VALUE"""),0.0)</f>
        <v>0</v>
      </c>
      <c r="AC130" s="170">
        <f>IFERROR(__xludf.DUMMYFUNCTION("""COMPUTED_VALUE"""),-25.0)</f>
        <v>-25</v>
      </c>
      <c r="AD130" s="170">
        <f>IFERROR(__xludf.DUMMYFUNCTION("""COMPUTED_VALUE"""),0.0)</f>
        <v>0</v>
      </c>
      <c r="AE130" s="170">
        <f>IFERROR(__xludf.DUMMYFUNCTION("""COMPUTED_VALUE"""),0.0)</f>
        <v>0</v>
      </c>
      <c r="AF130" s="170" t="str">
        <f>IFERROR(__xludf.DUMMYFUNCTION("""COMPUTED_VALUE"""),"")</f>
        <v/>
      </c>
      <c r="AG130" s="170">
        <f>IFERROR(__xludf.DUMMYFUNCTION("""COMPUTED_VALUE"""),0.0)</f>
        <v>0</v>
      </c>
      <c r="AH130" s="170">
        <f>IFERROR(__xludf.DUMMYFUNCTION("""COMPUTED_VALUE"""),0.0)</f>
        <v>0</v>
      </c>
      <c r="AI130" s="170">
        <f>IFERROR(__xludf.DUMMYFUNCTION("""COMPUTED_VALUE"""),0.0)</f>
        <v>0</v>
      </c>
      <c r="AJ130" s="170"/>
    </row>
    <row r="131" ht="22.5" customHeight="1">
      <c r="A131" s="268" t="str">
        <f>IFERROR(__xludf.DUMMYFUNCTION("""COMPUTED_VALUE"""),"")</f>
        <v/>
      </c>
      <c r="B131" s="268" t="str">
        <f>IFERROR(__xludf.DUMMYFUNCTION("""COMPUTED_VALUE"""),"")</f>
        <v/>
      </c>
      <c r="C131" s="268">
        <f>IFERROR(__xludf.DUMMYFUNCTION("""COMPUTED_VALUE"""),274.0)</f>
        <v>274</v>
      </c>
      <c r="D131" s="268" t="str">
        <f>IFERROR(__xludf.DUMMYFUNCTION("""COMPUTED_VALUE"""),"USF Parque Esperança")</f>
        <v>USF Parque Esperança</v>
      </c>
      <c r="E131" s="272" t="str">
        <f>IFERROR(__xludf.DUMMYFUNCTION("""COMPUTED_VALUE"""),"BAIXADA FLUMINENSE")</f>
        <v>BAIXADA FLUMINENSE</v>
      </c>
      <c r="F131" s="268" t="str">
        <f>IFERROR(__xludf.DUMMYFUNCTION("""COMPUTED_VALUE"""),"Duque de Caxias")</f>
        <v>Duque de Caxias</v>
      </c>
      <c r="G131" s="268" t="str">
        <f>IFERROR(__xludf.DUMMYFUNCTION("""COMPUTED_VALUE"""),"Jardim Vila Nova")</f>
        <v>Jardim Vila Nova</v>
      </c>
      <c r="H131" s="268" t="str">
        <f>IFERROR(__xludf.DUMMYFUNCTION("""COMPUTED_VALUE"""),"Unidade básica de saúde - BAIXA COMPLEXIDADE
")</f>
        <v>Unidade básica de saúde - BAIXA COMPLEXIDADE
</v>
      </c>
      <c r="I131" s="268" t="str">
        <f>IFERROR(__xludf.DUMMYFUNCTION("""COMPUTED_VALUE"""),"Público")</f>
        <v>Público</v>
      </c>
      <c r="J131" s="268" t="str">
        <f>IFERROR(__xludf.DUMMYFUNCTION("""COMPUTED_VALUE"""),"")</f>
        <v/>
      </c>
      <c r="K131" s="268" t="str">
        <f>IFERROR(__xludf.DUMMYFUNCTION("""COMPUTED_VALUE"""),"")</f>
        <v/>
      </c>
      <c r="L131" s="268" t="str">
        <f>IFERROR(__xludf.DUMMYFUNCTION("""COMPUTED_VALUE"""),"")</f>
        <v/>
      </c>
      <c r="M131" s="268" t="str">
        <f>IFERROR(__xludf.DUMMYFUNCTION("""COMPUTED_VALUE"""),"")</f>
        <v/>
      </c>
      <c r="N131" s="268">
        <f>IFERROR(__xludf.DUMMYFUNCTION("""COMPUTED_VALUE"""),0.0)</f>
        <v>0</v>
      </c>
      <c r="O131" s="268">
        <f>IFERROR(__xludf.DUMMYFUNCTION("""COMPUTED_VALUE"""),0.0)</f>
        <v>0</v>
      </c>
      <c r="P131" s="268">
        <f>IFERROR(__xludf.DUMMYFUNCTION("""COMPUTED_VALUE"""),0.0)</f>
        <v>0</v>
      </c>
      <c r="Q131" s="268">
        <f>IFERROR(__xludf.DUMMYFUNCTION("""COMPUTED_VALUE"""),0.0)</f>
        <v>0</v>
      </c>
      <c r="R131" s="268">
        <f>IFERROR(__xludf.DUMMYFUNCTION("""COMPUTED_VALUE"""),0.0)</f>
        <v>0</v>
      </c>
      <c r="S131" s="268">
        <f>IFERROR(__xludf.DUMMYFUNCTION("""COMPUTED_VALUE"""),0.0)</f>
        <v>0</v>
      </c>
      <c r="T131" s="268">
        <f>IFERROR(__xludf.DUMMYFUNCTION("""COMPUTED_VALUE"""),25.0)</f>
        <v>25</v>
      </c>
      <c r="U131" s="268">
        <f>IFERROR(__xludf.DUMMYFUNCTION("""COMPUTED_VALUE"""),0.0)</f>
        <v>0</v>
      </c>
      <c r="V131" s="268">
        <f>IFERROR(__xludf.DUMMYFUNCTION("""COMPUTED_VALUE"""),0.0)</f>
        <v>0</v>
      </c>
      <c r="W131" s="268">
        <f>IFERROR(__xludf.DUMMYFUNCTION("""COMPUTED_VALUE"""),0.0)</f>
        <v>0</v>
      </c>
      <c r="X131" s="268">
        <f>IFERROR(__xludf.DUMMYFUNCTION("""COMPUTED_VALUE"""),0.0)</f>
        <v>0</v>
      </c>
      <c r="Y131" s="268">
        <f>IFERROR(__xludf.DUMMYFUNCTION("""COMPUTED_VALUE"""),0.0)</f>
        <v>0</v>
      </c>
      <c r="Z131" s="268">
        <f>IFERROR(__xludf.DUMMYFUNCTION("""COMPUTED_VALUE"""),-25.0)</f>
        <v>-25</v>
      </c>
      <c r="AA131" s="268">
        <f>IFERROR(__xludf.DUMMYFUNCTION("""COMPUTED_VALUE"""),0.0)</f>
        <v>0</v>
      </c>
      <c r="AB131" s="268">
        <f>IFERROR(__xludf.DUMMYFUNCTION("""COMPUTED_VALUE"""),0.0)</f>
        <v>0</v>
      </c>
      <c r="AC131" s="268">
        <f>IFERROR(__xludf.DUMMYFUNCTION("""COMPUTED_VALUE"""),0.0)</f>
        <v>0</v>
      </c>
      <c r="AD131" s="268">
        <f>IFERROR(__xludf.DUMMYFUNCTION("""COMPUTED_VALUE"""),0.0)</f>
        <v>0</v>
      </c>
      <c r="AE131" s="268">
        <f>IFERROR(__xludf.DUMMYFUNCTION("""COMPUTED_VALUE"""),0.0)</f>
        <v>0</v>
      </c>
      <c r="AF131" s="268" t="str">
        <f>IFERROR(__xludf.DUMMYFUNCTION("""COMPUTED_VALUE"""),"")</f>
        <v/>
      </c>
      <c r="AG131" s="268">
        <f>IFERROR(__xludf.DUMMYFUNCTION("""COMPUTED_VALUE"""),0.0)</f>
        <v>0</v>
      </c>
      <c r="AH131" s="268">
        <f>IFERROR(__xludf.DUMMYFUNCTION("""COMPUTED_VALUE"""),0.0)</f>
        <v>0</v>
      </c>
      <c r="AI131" s="268">
        <f>IFERROR(__xludf.DUMMYFUNCTION("""COMPUTED_VALUE"""),0.0)</f>
        <v>0</v>
      </c>
      <c r="AJ131" s="268"/>
    </row>
    <row r="132" ht="22.5" customHeight="1">
      <c r="A132" s="170" t="str">
        <f>IFERROR(__xludf.DUMMYFUNCTION("""COMPUTED_VALUE"""),"")</f>
        <v/>
      </c>
      <c r="B132" s="170" t="str">
        <f>IFERROR(__xludf.DUMMYFUNCTION("""COMPUTED_VALUE"""),"")</f>
        <v/>
      </c>
      <c r="C132" s="170">
        <f>IFERROR(__xludf.DUMMYFUNCTION("""COMPUTED_VALUE"""),275.0)</f>
        <v>275</v>
      </c>
      <c r="D132" s="170" t="str">
        <f>IFERROR(__xludf.DUMMYFUNCTION("""COMPUTED_VALUE"""),"UPA CIDADE DE DEUS")</f>
        <v>UPA CIDADE DE DEUS</v>
      </c>
      <c r="E132" s="270" t="str">
        <f>IFERROR(__xludf.DUMMYFUNCTION("""COMPUTED_VALUE"""),"ZONA OESTE")</f>
        <v>ZONA OESTE</v>
      </c>
      <c r="F132" s="170" t="str">
        <f>IFERROR(__xludf.DUMMYFUNCTION("""COMPUTED_VALUE"""),"RIO DE JANEIRO")</f>
        <v>RIO DE JANEIRO</v>
      </c>
      <c r="G132" s="170" t="str">
        <f>IFERROR(__xludf.DUMMYFUNCTION("""COMPUTED_VALUE"""),"CIDADE DE DEUS")</f>
        <v>CIDADE DE DEUS</v>
      </c>
      <c r="H132" s="170" t="str">
        <f>IFERROR(__xludf.DUMMYFUNCTION("""COMPUTED_VALUE"""),"UPA - UNIDADE DE PRONTO ATENDIMENTO - MEDIA COMPLEXIDADE
")</f>
        <v>UPA - UNIDADE DE PRONTO ATENDIMENTO - MEDIA COMPLEXIDADE
</v>
      </c>
      <c r="I132" s="170" t="str">
        <f>IFERROR(__xludf.DUMMYFUNCTION("""COMPUTED_VALUE"""),"Público")</f>
        <v>Público</v>
      </c>
      <c r="J132" s="170" t="str">
        <f>IFERROR(__xludf.DUMMYFUNCTION("""COMPUTED_VALUE"""),"")</f>
        <v/>
      </c>
      <c r="K132" s="170" t="str">
        <f>IFERROR(__xludf.DUMMYFUNCTION("""COMPUTED_VALUE"""),"")</f>
        <v/>
      </c>
      <c r="L132" s="170" t="str">
        <f>IFERROR(__xludf.DUMMYFUNCTION("""COMPUTED_VALUE"""),"")</f>
        <v/>
      </c>
      <c r="M132" s="170" t="str">
        <f>IFERROR(__xludf.DUMMYFUNCTION("""COMPUTED_VALUE"""),"")</f>
        <v/>
      </c>
      <c r="N132" s="170">
        <f>IFERROR(__xludf.DUMMYFUNCTION("""COMPUTED_VALUE"""),0.0)</f>
        <v>0</v>
      </c>
      <c r="O132" s="170">
        <f>IFERROR(__xludf.DUMMYFUNCTION("""COMPUTED_VALUE"""),0.0)</f>
        <v>0</v>
      </c>
      <c r="P132" s="170">
        <f>IFERROR(__xludf.DUMMYFUNCTION("""COMPUTED_VALUE"""),0.0)</f>
        <v>0</v>
      </c>
      <c r="Q132" s="170">
        <f>IFERROR(__xludf.DUMMYFUNCTION("""COMPUTED_VALUE"""),0.0)</f>
        <v>0</v>
      </c>
      <c r="R132" s="170">
        <f>IFERROR(__xludf.DUMMYFUNCTION("""COMPUTED_VALUE"""),0.0)</f>
        <v>0</v>
      </c>
      <c r="S132" s="170">
        <f>IFERROR(__xludf.DUMMYFUNCTION("""COMPUTED_VALUE"""),0.0)</f>
        <v>0</v>
      </c>
      <c r="T132" s="170">
        <f>IFERROR(__xludf.DUMMYFUNCTION("""COMPUTED_VALUE"""),50.0)</f>
        <v>50</v>
      </c>
      <c r="U132" s="170">
        <f>IFERROR(__xludf.DUMMYFUNCTION("""COMPUTED_VALUE"""),0.0)</f>
        <v>0</v>
      </c>
      <c r="V132" s="170">
        <f>IFERROR(__xludf.DUMMYFUNCTION("""COMPUTED_VALUE"""),0.0)</f>
        <v>0</v>
      </c>
      <c r="W132" s="170">
        <f>IFERROR(__xludf.DUMMYFUNCTION("""COMPUTED_VALUE"""),25.0)</f>
        <v>25</v>
      </c>
      <c r="X132" s="170">
        <f>IFERROR(__xludf.DUMMYFUNCTION("""COMPUTED_VALUE"""),0.0)</f>
        <v>0</v>
      </c>
      <c r="Y132" s="170">
        <f>IFERROR(__xludf.DUMMYFUNCTION("""COMPUTED_VALUE"""),0.0)</f>
        <v>0</v>
      </c>
      <c r="Z132" s="170">
        <f>IFERROR(__xludf.DUMMYFUNCTION("""COMPUTED_VALUE"""),-50.0)</f>
        <v>-50</v>
      </c>
      <c r="AA132" s="170">
        <f>IFERROR(__xludf.DUMMYFUNCTION("""COMPUTED_VALUE"""),0.0)</f>
        <v>0</v>
      </c>
      <c r="AB132" s="170">
        <f>IFERROR(__xludf.DUMMYFUNCTION("""COMPUTED_VALUE"""),0.0)</f>
        <v>0</v>
      </c>
      <c r="AC132" s="170">
        <f>IFERROR(__xludf.DUMMYFUNCTION("""COMPUTED_VALUE"""),-25.0)</f>
        <v>-25</v>
      </c>
      <c r="AD132" s="170">
        <f>IFERROR(__xludf.DUMMYFUNCTION("""COMPUTED_VALUE"""),0.0)</f>
        <v>0</v>
      </c>
      <c r="AE132" s="170">
        <f>IFERROR(__xludf.DUMMYFUNCTION("""COMPUTED_VALUE"""),0.0)</f>
        <v>0</v>
      </c>
      <c r="AF132" s="170" t="str">
        <f>IFERROR(__xludf.DUMMYFUNCTION("""COMPUTED_VALUE"""),"")</f>
        <v/>
      </c>
      <c r="AG132" s="170">
        <f>IFERROR(__xludf.DUMMYFUNCTION("""COMPUTED_VALUE"""),0.0)</f>
        <v>0</v>
      </c>
      <c r="AH132" s="170">
        <f>IFERROR(__xludf.DUMMYFUNCTION("""COMPUTED_VALUE"""),0.0)</f>
        <v>0</v>
      </c>
      <c r="AI132" s="170">
        <f>IFERROR(__xludf.DUMMYFUNCTION("""COMPUTED_VALUE"""),0.0)</f>
        <v>0</v>
      </c>
      <c r="AJ132" s="170"/>
    </row>
    <row r="133" ht="22.5" customHeight="1">
      <c r="A133" s="268" t="str">
        <f>IFERROR(__xludf.DUMMYFUNCTION("""COMPUTED_VALUE"""),"")</f>
        <v/>
      </c>
      <c r="B133" s="268" t="str">
        <f>IFERROR(__xludf.DUMMYFUNCTION("""COMPUTED_VALUE"""),"")</f>
        <v/>
      </c>
      <c r="C133" s="268">
        <f>IFERROR(__xludf.DUMMYFUNCTION("""COMPUTED_VALUE"""),276.0)</f>
        <v>276</v>
      </c>
      <c r="D133" s="268" t="str">
        <f>IFERROR(__xludf.DUMMYFUNCTION("""COMPUTED_VALUE"""),"USF Nova Campinas")</f>
        <v>USF Nova Campinas</v>
      </c>
      <c r="E133" s="272" t="str">
        <f>IFERROR(__xludf.DUMMYFUNCTION("""COMPUTED_VALUE"""),"BAIXADA FLUMINENSE")</f>
        <v>BAIXADA FLUMINENSE</v>
      </c>
      <c r="F133" s="268" t="str">
        <f>IFERROR(__xludf.DUMMYFUNCTION("""COMPUTED_VALUE"""),"Duque de Caxias")</f>
        <v>Duque de Caxias</v>
      </c>
      <c r="G133" s="268" t="str">
        <f>IFERROR(__xludf.DUMMYFUNCTION("""COMPUTED_VALUE"""),"Nova Campinas")</f>
        <v>Nova Campinas</v>
      </c>
      <c r="H133" s="268" t="str">
        <f>IFERROR(__xludf.DUMMYFUNCTION("""COMPUTED_VALUE"""),"Unidade básica de saúde - BAIXA COMPLEXIDADE
")</f>
        <v>Unidade básica de saúde - BAIXA COMPLEXIDADE
</v>
      </c>
      <c r="I133" s="268" t="str">
        <f>IFERROR(__xludf.DUMMYFUNCTION("""COMPUTED_VALUE"""),"Público")</f>
        <v>Público</v>
      </c>
      <c r="J133" s="268" t="str">
        <f>IFERROR(__xludf.DUMMYFUNCTION("""COMPUTED_VALUE"""),"")</f>
        <v/>
      </c>
      <c r="K133" s="268" t="str">
        <f>IFERROR(__xludf.DUMMYFUNCTION("""COMPUTED_VALUE"""),"")</f>
        <v/>
      </c>
      <c r="L133" s="268" t="str">
        <f>IFERROR(__xludf.DUMMYFUNCTION("""COMPUTED_VALUE"""),"")</f>
        <v/>
      </c>
      <c r="M133" s="268" t="str">
        <f>IFERROR(__xludf.DUMMYFUNCTION("""COMPUTED_VALUE"""),"")</f>
        <v/>
      </c>
      <c r="N133" s="268">
        <f>IFERROR(__xludf.DUMMYFUNCTION("""COMPUTED_VALUE"""),0.0)</f>
        <v>0</v>
      </c>
      <c r="O133" s="268">
        <f>IFERROR(__xludf.DUMMYFUNCTION("""COMPUTED_VALUE"""),0.0)</f>
        <v>0</v>
      </c>
      <c r="P133" s="268">
        <f>IFERROR(__xludf.DUMMYFUNCTION("""COMPUTED_VALUE"""),0.0)</f>
        <v>0</v>
      </c>
      <c r="Q133" s="268">
        <f>IFERROR(__xludf.DUMMYFUNCTION("""COMPUTED_VALUE"""),0.0)</f>
        <v>0</v>
      </c>
      <c r="R133" s="268">
        <f>IFERROR(__xludf.DUMMYFUNCTION("""COMPUTED_VALUE"""),0.0)</f>
        <v>0</v>
      </c>
      <c r="S133" s="268">
        <f>IFERROR(__xludf.DUMMYFUNCTION("""COMPUTED_VALUE"""),0.0)</f>
        <v>0</v>
      </c>
      <c r="T133" s="268">
        <f>IFERROR(__xludf.DUMMYFUNCTION("""COMPUTED_VALUE"""),25.0)</f>
        <v>25</v>
      </c>
      <c r="U133" s="268">
        <f>IFERROR(__xludf.DUMMYFUNCTION("""COMPUTED_VALUE"""),0.0)</f>
        <v>0</v>
      </c>
      <c r="V133" s="268">
        <f>IFERROR(__xludf.DUMMYFUNCTION("""COMPUTED_VALUE"""),0.0)</f>
        <v>0</v>
      </c>
      <c r="W133" s="268">
        <f>IFERROR(__xludf.DUMMYFUNCTION("""COMPUTED_VALUE"""),0.0)</f>
        <v>0</v>
      </c>
      <c r="X133" s="268">
        <f>IFERROR(__xludf.DUMMYFUNCTION("""COMPUTED_VALUE"""),0.0)</f>
        <v>0</v>
      </c>
      <c r="Y133" s="268">
        <f>IFERROR(__xludf.DUMMYFUNCTION("""COMPUTED_VALUE"""),0.0)</f>
        <v>0</v>
      </c>
      <c r="Z133" s="268">
        <f>IFERROR(__xludf.DUMMYFUNCTION("""COMPUTED_VALUE"""),-25.0)</f>
        <v>-25</v>
      </c>
      <c r="AA133" s="268">
        <f>IFERROR(__xludf.DUMMYFUNCTION("""COMPUTED_VALUE"""),0.0)</f>
        <v>0</v>
      </c>
      <c r="AB133" s="268">
        <f>IFERROR(__xludf.DUMMYFUNCTION("""COMPUTED_VALUE"""),0.0)</f>
        <v>0</v>
      </c>
      <c r="AC133" s="268">
        <f>IFERROR(__xludf.DUMMYFUNCTION("""COMPUTED_VALUE"""),0.0)</f>
        <v>0</v>
      </c>
      <c r="AD133" s="268">
        <f>IFERROR(__xludf.DUMMYFUNCTION("""COMPUTED_VALUE"""),0.0)</f>
        <v>0</v>
      </c>
      <c r="AE133" s="268">
        <f>IFERROR(__xludf.DUMMYFUNCTION("""COMPUTED_VALUE"""),0.0)</f>
        <v>0</v>
      </c>
      <c r="AF133" s="268" t="str">
        <f>IFERROR(__xludf.DUMMYFUNCTION("""COMPUTED_VALUE"""),"")</f>
        <v/>
      </c>
      <c r="AG133" s="268">
        <f>IFERROR(__xludf.DUMMYFUNCTION("""COMPUTED_VALUE"""),0.0)</f>
        <v>0</v>
      </c>
      <c r="AH133" s="268">
        <f>IFERROR(__xludf.DUMMYFUNCTION("""COMPUTED_VALUE"""),0.0)</f>
        <v>0</v>
      </c>
      <c r="AI133" s="268">
        <f>IFERROR(__xludf.DUMMYFUNCTION("""COMPUTED_VALUE"""),0.0)</f>
        <v>0</v>
      </c>
      <c r="AJ133" s="268"/>
    </row>
    <row r="134" ht="22.5" customHeight="1">
      <c r="A134" s="170" t="str">
        <f>IFERROR(__xludf.DUMMYFUNCTION("""COMPUTED_VALUE"""),"")</f>
        <v/>
      </c>
      <c r="B134" s="170" t="str">
        <f>IFERROR(__xludf.DUMMYFUNCTION("""COMPUTED_VALUE"""),"")</f>
        <v/>
      </c>
      <c r="C134" s="170">
        <f>IFERROR(__xludf.DUMMYFUNCTION("""COMPUTED_VALUE"""),277.0)</f>
        <v>277</v>
      </c>
      <c r="D134" s="170" t="str">
        <f>IFERROR(__xludf.DUMMYFUNCTION("""COMPUTED_VALUE"""),"USF Parada Angelica")</f>
        <v>USF Parada Angelica</v>
      </c>
      <c r="E134" s="270" t="str">
        <f>IFERROR(__xludf.DUMMYFUNCTION("""COMPUTED_VALUE"""),"BAIXADA FLUMINENSE")</f>
        <v>BAIXADA FLUMINENSE</v>
      </c>
      <c r="F134" s="170" t="str">
        <f>IFERROR(__xludf.DUMMYFUNCTION("""COMPUTED_VALUE"""),"Duque de Caxias")</f>
        <v>Duque de Caxias</v>
      </c>
      <c r="G134" s="170" t="str">
        <f>IFERROR(__xludf.DUMMYFUNCTION("""COMPUTED_VALUE"""),"Parada Angelica")</f>
        <v>Parada Angelica</v>
      </c>
      <c r="H134" s="170" t="str">
        <f>IFERROR(__xludf.DUMMYFUNCTION("""COMPUTED_VALUE"""),"Unidade básica de saúde - BAIXA COMPLEXIDADE
")</f>
        <v>Unidade básica de saúde - BAIXA COMPLEXIDADE
</v>
      </c>
      <c r="I134" s="170" t="str">
        <f>IFERROR(__xludf.DUMMYFUNCTION("""COMPUTED_VALUE"""),"Público")</f>
        <v>Público</v>
      </c>
      <c r="J134" s="170" t="str">
        <f>IFERROR(__xludf.DUMMYFUNCTION("""COMPUTED_VALUE"""),"")</f>
        <v/>
      </c>
      <c r="K134" s="170" t="str">
        <f>IFERROR(__xludf.DUMMYFUNCTION("""COMPUTED_VALUE"""),"")</f>
        <v/>
      </c>
      <c r="L134" s="170" t="str">
        <f>IFERROR(__xludf.DUMMYFUNCTION("""COMPUTED_VALUE"""),"")</f>
        <v/>
      </c>
      <c r="M134" s="170" t="str">
        <f>IFERROR(__xludf.DUMMYFUNCTION("""COMPUTED_VALUE"""),"")</f>
        <v/>
      </c>
      <c r="N134" s="170">
        <f>IFERROR(__xludf.DUMMYFUNCTION("""COMPUTED_VALUE"""),0.0)</f>
        <v>0</v>
      </c>
      <c r="O134" s="170">
        <f>IFERROR(__xludf.DUMMYFUNCTION("""COMPUTED_VALUE"""),0.0)</f>
        <v>0</v>
      </c>
      <c r="P134" s="170">
        <f>IFERROR(__xludf.DUMMYFUNCTION("""COMPUTED_VALUE"""),0.0)</f>
        <v>0</v>
      </c>
      <c r="Q134" s="170">
        <f>IFERROR(__xludf.DUMMYFUNCTION("""COMPUTED_VALUE"""),0.0)</f>
        <v>0</v>
      </c>
      <c r="R134" s="170">
        <f>IFERROR(__xludf.DUMMYFUNCTION("""COMPUTED_VALUE"""),0.0)</f>
        <v>0</v>
      </c>
      <c r="S134" s="170">
        <f>IFERROR(__xludf.DUMMYFUNCTION("""COMPUTED_VALUE"""),0.0)</f>
        <v>0</v>
      </c>
      <c r="T134" s="170">
        <f>IFERROR(__xludf.DUMMYFUNCTION("""COMPUTED_VALUE"""),25.0)</f>
        <v>25</v>
      </c>
      <c r="U134" s="170">
        <f>IFERROR(__xludf.DUMMYFUNCTION("""COMPUTED_VALUE"""),0.0)</f>
        <v>0</v>
      </c>
      <c r="V134" s="170">
        <f>IFERROR(__xludf.DUMMYFUNCTION("""COMPUTED_VALUE"""),0.0)</f>
        <v>0</v>
      </c>
      <c r="W134" s="170">
        <f>IFERROR(__xludf.DUMMYFUNCTION("""COMPUTED_VALUE"""),0.0)</f>
        <v>0</v>
      </c>
      <c r="X134" s="170">
        <f>IFERROR(__xludf.DUMMYFUNCTION("""COMPUTED_VALUE"""),0.0)</f>
        <v>0</v>
      </c>
      <c r="Y134" s="170">
        <f>IFERROR(__xludf.DUMMYFUNCTION("""COMPUTED_VALUE"""),0.0)</f>
        <v>0</v>
      </c>
      <c r="Z134" s="170">
        <f>IFERROR(__xludf.DUMMYFUNCTION("""COMPUTED_VALUE"""),-25.0)</f>
        <v>-25</v>
      </c>
      <c r="AA134" s="170">
        <f>IFERROR(__xludf.DUMMYFUNCTION("""COMPUTED_VALUE"""),0.0)</f>
        <v>0</v>
      </c>
      <c r="AB134" s="170">
        <f>IFERROR(__xludf.DUMMYFUNCTION("""COMPUTED_VALUE"""),0.0)</f>
        <v>0</v>
      </c>
      <c r="AC134" s="170">
        <f>IFERROR(__xludf.DUMMYFUNCTION("""COMPUTED_VALUE"""),0.0)</f>
        <v>0</v>
      </c>
      <c r="AD134" s="170">
        <f>IFERROR(__xludf.DUMMYFUNCTION("""COMPUTED_VALUE"""),0.0)</f>
        <v>0</v>
      </c>
      <c r="AE134" s="170">
        <f>IFERROR(__xludf.DUMMYFUNCTION("""COMPUTED_VALUE"""),0.0)</f>
        <v>0</v>
      </c>
      <c r="AF134" s="170" t="str">
        <f>IFERROR(__xludf.DUMMYFUNCTION("""COMPUTED_VALUE"""),"")</f>
        <v/>
      </c>
      <c r="AG134" s="170">
        <f>IFERROR(__xludf.DUMMYFUNCTION("""COMPUTED_VALUE"""),0.0)</f>
        <v>0</v>
      </c>
      <c r="AH134" s="170">
        <f>IFERROR(__xludf.DUMMYFUNCTION("""COMPUTED_VALUE"""),0.0)</f>
        <v>0</v>
      </c>
      <c r="AI134" s="170">
        <f>IFERROR(__xludf.DUMMYFUNCTION("""COMPUTED_VALUE"""),0.0)</f>
        <v>0</v>
      </c>
      <c r="AJ134" s="170"/>
    </row>
    <row r="135" ht="22.5" customHeight="1">
      <c r="A135" s="268" t="str">
        <f>IFERROR(__xludf.DUMMYFUNCTION("""COMPUTED_VALUE"""),"")</f>
        <v/>
      </c>
      <c r="B135" s="268" t="str">
        <f>IFERROR(__xludf.DUMMYFUNCTION("""COMPUTED_VALUE"""),"")</f>
        <v/>
      </c>
      <c r="C135" s="268">
        <f>IFERROR(__xludf.DUMMYFUNCTION("""COMPUTED_VALUE"""),279.0)</f>
        <v>279</v>
      </c>
      <c r="D135" s="268" t="str">
        <f>IFERROR(__xludf.DUMMYFUNCTION("""COMPUTED_VALUE"""),"USF Parque Eldorado")</f>
        <v>USF Parque Eldorado</v>
      </c>
      <c r="E135" s="272" t="str">
        <f>IFERROR(__xludf.DUMMYFUNCTION("""COMPUTED_VALUE"""),"BAIXADA FLUMINENSE")</f>
        <v>BAIXADA FLUMINENSE</v>
      </c>
      <c r="F135" s="268" t="str">
        <f>IFERROR(__xludf.DUMMYFUNCTION("""COMPUTED_VALUE"""),"Duque de Caxias")</f>
        <v>Duque de Caxias</v>
      </c>
      <c r="G135" s="268" t="str">
        <f>IFERROR(__xludf.DUMMYFUNCTION("""COMPUTED_VALUE"""),"Parque Eldorado")</f>
        <v>Parque Eldorado</v>
      </c>
      <c r="H135" s="268" t="str">
        <f>IFERROR(__xludf.DUMMYFUNCTION("""COMPUTED_VALUE"""),"Unidade básica de saúde - BAIXA COMPLEXIDADE
")</f>
        <v>Unidade básica de saúde - BAIXA COMPLEXIDADE
</v>
      </c>
      <c r="I135" s="268" t="str">
        <f>IFERROR(__xludf.DUMMYFUNCTION("""COMPUTED_VALUE"""),"Público")</f>
        <v>Público</v>
      </c>
      <c r="J135" s="268" t="str">
        <f>IFERROR(__xludf.DUMMYFUNCTION("""COMPUTED_VALUE"""),"")</f>
        <v/>
      </c>
      <c r="K135" s="268" t="str">
        <f>IFERROR(__xludf.DUMMYFUNCTION("""COMPUTED_VALUE"""),"")</f>
        <v/>
      </c>
      <c r="L135" s="268" t="str">
        <f>IFERROR(__xludf.DUMMYFUNCTION("""COMPUTED_VALUE"""),"")</f>
        <v/>
      </c>
      <c r="M135" s="268" t="str">
        <f>IFERROR(__xludf.DUMMYFUNCTION("""COMPUTED_VALUE"""),"")</f>
        <v/>
      </c>
      <c r="N135" s="268">
        <f>IFERROR(__xludf.DUMMYFUNCTION("""COMPUTED_VALUE"""),0.0)</f>
        <v>0</v>
      </c>
      <c r="O135" s="268">
        <f>IFERROR(__xludf.DUMMYFUNCTION("""COMPUTED_VALUE"""),0.0)</f>
        <v>0</v>
      </c>
      <c r="P135" s="268">
        <f>IFERROR(__xludf.DUMMYFUNCTION("""COMPUTED_VALUE"""),0.0)</f>
        <v>0</v>
      </c>
      <c r="Q135" s="268">
        <f>IFERROR(__xludf.DUMMYFUNCTION("""COMPUTED_VALUE"""),0.0)</f>
        <v>0</v>
      </c>
      <c r="R135" s="268">
        <f>IFERROR(__xludf.DUMMYFUNCTION("""COMPUTED_VALUE"""),0.0)</f>
        <v>0</v>
      </c>
      <c r="S135" s="268">
        <f>IFERROR(__xludf.DUMMYFUNCTION("""COMPUTED_VALUE"""),0.0)</f>
        <v>0</v>
      </c>
      <c r="T135" s="268">
        <f>IFERROR(__xludf.DUMMYFUNCTION("""COMPUTED_VALUE"""),25.0)</f>
        <v>25</v>
      </c>
      <c r="U135" s="268">
        <f>IFERROR(__xludf.DUMMYFUNCTION("""COMPUTED_VALUE"""),0.0)</f>
        <v>0</v>
      </c>
      <c r="V135" s="268">
        <f>IFERROR(__xludf.DUMMYFUNCTION("""COMPUTED_VALUE"""),0.0)</f>
        <v>0</v>
      </c>
      <c r="W135" s="268">
        <f>IFERROR(__xludf.DUMMYFUNCTION("""COMPUTED_VALUE"""),0.0)</f>
        <v>0</v>
      </c>
      <c r="X135" s="268">
        <f>IFERROR(__xludf.DUMMYFUNCTION("""COMPUTED_VALUE"""),0.0)</f>
        <v>0</v>
      </c>
      <c r="Y135" s="268">
        <f>IFERROR(__xludf.DUMMYFUNCTION("""COMPUTED_VALUE"""),0.0)</f>
        <v>0</v>
      </c>
      <c r="Z135" s="268">
        <f>IFERROR(__xludf.DUMMYFUNCTION("""COMPUTED_VALUE"""),-25.0)</f>
        <v>-25</v>
      </c>
      <c r="AA135" s="268">
        <f>IFERROR(__xludf.DUMMYFUNCTION("""COMPUTED_VALUE"""),0.0)</f>
        <v>0</v>
      </c>
      <c r="AB135" s="268">
        <f>IFERROR(__xludf.DUMMYFUNCTION("""COMPUTED_VALUE"""),0.0)</f>
        <v>0</v>
      </c>
      <c r="AC135" s="268">
        <f>IFERROR(__xludf.DUMMYFUNCTION("""COMPUTED_VALUE"""),0.0)</f>
        <v>0</v>
      </c>
      <c r="AD135" s="268">
        <f>IFERROR(__xludf.DUMMYFUNCTION("""COMPUTED_VALUE"""),0.0)</f>
        <v>0</v>
      </c>
      <c r="AE135" s="268">
        <f>IFERROR(__xludf.DUMMYFUNCTION("""COMPUTED_VALUE"""),0.0)</f>
        <v>0</v>
      </c>
      <c r="AF135" s="268" t="str">
        <f>IFERROR(__xludf.DUMMYFUNCTION("""COMPUTED_VALUE"""),"")</f>
        <v/>
      </c>
      <c r="AG135" s="268">
        <f>IFERROR(__xludf.DUMMYFUNCTION("""COMPUTED_VALUE"""),0.0)</f>
        <v>0</v>
      </c>
      <c r="AH135" s="268">
        <f>IFERROR(__xludf.DUMMYFUNCTION("""COMPUTED_VALUE"""),0.0)</f>
        <v>0</v>
      </c>
      <c r="AI135" s="268">
        <f>IFERROR(__xludf.DUMMYFUNCTION("""COMPUTED_VALUE"""),0.0)</f>
        <v>0</v>
      </c>
      <c r="AJ135" s="268"/>
    </row>
    <row r="136" ht="22.5" customHeight="1">
      <c r="A136" s="170" t="str">
        <f>IFERROR(__xludf.DUMMYFUNCTION("""COMPUTED_VALUE"""),"")</f>
        <v/>
      </c>
      <c r="B136" s="170" t="str">
        <f>IFERROR(__xludf.DUMMYFUNCTION("""COMPUTED_VALUE"""),"")</f>
        <v/>
      </c>
      <c r="C136" s="170">
        <f>IFERROR(__xludf.DUMMYFUNCTION("""COMPUTED_VALUE"""),280.0)</f>
        <v>280</v>
      </c>
      <c r="D136" s="170" t="str">
        <f>IFERROR(__xludf.DUMMYFUNCTION("""COMPUTED_VALUE"""),"USF Centenario")</f>
        <v>USF Centenario</v>
      </c>
      <c r="E136" s="270" t="str">
        <f>IFERROR(__xludf.DUMMYFUNCTION("""COMPUTED_VALUE"""),"BAIXADA FLUMINENSE")</f>
        <v>BAIXADA FLUMINENSE</v>
      </c>
      <c r="F136" s="170" t="str">
        <f>IFERROR(__xludf.DUMMYFUNCTION("""COMPUTED_VALUE"""),"Duque de Caxias")</f>
        <v>Duque de Caxias</v>
      </c>
      <c r="G136" s="170" t="str">
        <f>IFERROR(__xludf.DUMMYFUNCTION("""COMPUTED_VALUE"""),"Centenario")</f>
        <v>Centenario</v>
      </c>
      <c r="H136" s="170" t="str">
        <f>IFERROR(__xludf.DUMMYFUNCTION("""COMPUTED_VALUE"""),"Unidade básica de saúde - BAIXA COMPLEXIDADE
")</f>
        <v>Unidade básica de saúde - BAIXA COMPLEXIDADE
</v>
      </c>
      <c r="I136" s="170" t="str">
        <f>IFERROR(__xludf.DUMMYFUNCTION("""COMPUTED_VALUE"""),"Público")</f>
        <v>Público</v>
      </c>
      <c r="J136" s="170" t="str">
        <f>IFERROR(__xludf.DUMMYFUNCTION("""COMPUTED_VALUE"""),"")</f>
        <v/>
      </c>
      <c r="K136" s="170" t="str">
        <f>IFERROR(__xludf.DUMMYFUNCTION("""COMPUTED_VALUE"""),"")</f>
        <v/>
      </c>
      <c r="L136" s="170" t="str">
        <f>IFERROR(__xludf.DUMMYFUNCTION("""COMPUTED_VALUE"""),"")</f>
        <v/>
      </c>
      <c r="M136" s="170" t="str">
        <f>IFERROR(__xludf.DUMMYFUNCTION("""COMPUTED_VALUE"""),"")</f>
        <v/>
      </c>
      <c r="N136" s="170">
        <f>IFERROR(__xludf.DUMMYFUNCTION("""COMPUTED_VALUE"""),0.0)</f>
        <v>0</v>
      </c>
      <c r="O136" s="170">
        <f>IFERROR(__xludf.DUMMYFUNCTION("""COMPUTED_VALUE"""),0.0)</f>
        <v>0</v>
      </c>
      <c r="P136" s="170">
        <f>IFERROR(__xludf.DUMMYFUNCTION("""COMPUTED_VALUE"""),0.0)</f>
        <v>0</v>
      </c>
      <c r="Q136" s="170">
        <f>IFERROR(__xludf.DUMMYFUNCTION("""COMPUTED_VALUE"""),0.0)</f>
        <v>0</v>
      </c>
      <c r="R136" s="170">
        <f>IFERROR(__xludf.DUMMYFUNCTION("""COMPUTED_VALUE"""),0.0)</f>
        <v>0</v>
      </c>
      <c r="S136" s="170">
        <f>IFERROR(__xludf.DUMMYFUNCTION("""COMPUTED_VALUE"""),0.0)</f>
        <v>0</v>
      </c>
      <c r="T136" s="170">
        <f>IFERROR(__xludf.DUMMYFUNCTION("""COMPUTED_VALUE"""),25.0)</f>
        <v>25</v>
      </c>
      <c r="U136" s="170">
        <f>IFERROR(__xludf.DUMMYFUNCTION("""COMPUTED_VALUE"""),0.0)</f>
        <v>0</v>
      </c>
      <c r="V136" s="170">
        <f>IFERROR(__xludf.DUMMYFUNCTION("""COMPUTED_VALUE"""),0.0)</f>
        <v>0</v>
      </c>
      <c r="W136" s="170">
        <f>IFERROR(__xludf.DUMMYFUNCTION("""COMPUTED_VALUE"""),0.0)</f>
        <v>0</v>
      </c>
      <c r="X136" s="170">
        <f>IFERROR(__xludf.DUMMYFUNCTION("""COMPUTED_VALUE"""),0.0)</f>
        <v>0</v>
      </c>
      <c r="Y136" s="170">
        <f>IFERROR(__xludf.DUMMYFUNCTION("""COMPUTED_VALUE"""),0.0)</f>
        <v>0</v>
      </c>
      <c r="Z136" s="170">
        <f>IFERROR(__xludf.DUMMYFUNCTION("""COMPUTED_VALUE"""),-25.0)</f>
        <v>-25</v>
      </c>
      <c r="AA136" s="170">
        <f>IFERROR(__xludf.DUMMYFUNCTION("""COMPUTED_VALUE"""),0.0)</f>
        <v>0</v>
      </c>
      <c r="AB136" s="170">
        <f>IFERROR(__xludf.DUMMYFUNCTION("""COMPUTED_VALUE"""),0.0)</f>
        <v>0</v>
      </c>
      <c r="AC136" s="170">
        <f>IFERROR(__xludf.DUMMYFUNCTION("""COMPUTED_VALUE"""),0.0)</f>
        <v>0</v>
      </c>
      <c r="AD136" s="170">
        <f>IFERROR(__xludf.DUMMYFUNCTION("""COMPUTED_VALUE"""),0.0)</f>
        <v>0</v>
      </c>
      <c r="AE136" s="170">
        <f>IFERROR(__xludf.DUMMYFUNCTION("""COMPUTED_VALUE"""),0.0)</f>
        <v>0</v>
      </c>
      <c r="AF136" s="170" t="str">
        <f>IFERROR(__xludf.DUMMYFUNCTION("""COMPUTED_VALUE"""),"")</f>
        <v/>
      </c>
      <c r="AG136" s="170">
        <f>IFERROR(__xludf.DUMMYFUNCTION("""COMPUTED_VALUE"""),0.0)</f>
        <v>0</v>
      </c>
      <c r="AH136" s="170">
        <f>IFERROR(__xludf.DUMMYFUNCTION("""COMPUTED_VALUE"""),0.0)</f>
        <v>0</v>
      </c>
      <c r="AI136" s="170">
        <f>IFERROR(__xludf.DUMMYFUNCTION("""COMPUTED_VALUE"""),0.0)</f>
        <v>0</v>
      </c>
      <c r="AJ136" s="170"/>
    </row>
    <row r="137" ht="22.5" customHeight="1">
      <c r="A137" s="268" t="str">
        <f>IFERROR(__xludf.DUMMYFUNCTION("""COMPUTED_VALUE"""),"")</f>
        <v/>
      </c>
      <c r="B137" s="268" t="str">
        <f>IFERROR(__xludf.DUMMYFUNCTION("""COMPUTED_VALUE"""),"")</f>
        <v/>
      </c>
      <c r="C137" s="268">
        <f>IFERROR(__xludf.DUMMYFUNCTION("""COMPUTED_VALUE"""),281.0)</f>
        <v>281</v>
      </c>
      <c r="D137" s="268" t="str">
        <f>IFERROR(__xludf.DUMMYFUNCTION("""COMPUTED_VALUE"""),"USF Parada Morabi")</f>
        <v>USF Parada Morabi</v>
      </c>
      <c r="E137" s="272" t="str">
        <f>IFERROR(__xludf.DUMMYFUNCTION("""COMPUTED_VALUE"""),"BAIXADA FLUMINENSE")</f>
        <v>BAIXADA FLUMINENSE</v>
      </c>
      <c r="F137" s="268" t="str">
        <f>IFERROR(__xludf.DUMMYFUNCTION("""COMPUTED_VALUE"""),"Duque de Caxias")</f>
        <v>Duque de Caxias</v>
      </c>
      <c r="G137" s="268" t="str">
        <f>IFERROR(__xludf.DUMMYFUNCTION("""COMPUTED_VALUE"""),"Parada Morabi")</f>
        <v>Parada Morabi</v>
      </c>
      <c r="H137" s="268" t="str">
        <f>IFERROR(__xludf.DUMMYFUNCTION("""COMPUTED_VALUE"""),"Unidade básica de saúde - BAIXA COMPLEXIDADE
")</f>
        <v>Unidade básica de saúde - BAIXA COMPLEXIDADE
</v>
      </c>
      <c r="I137" s="268" t="str">
        <f>IFERROR(__xludf.DUMMYFUNCTION("""COMPUTED_VALUE"""),"Público")</f>
        <v>Público</v>
      </c>
      <c r="J137" s="268" t="str">
        <f>IFERROR(__xludf.DUMMYFUNCTION("""COMPUTED_VALUE"""),"")</f>
        <v/>
      </c>
      <c r="K137" s="268" t="str">
        <f>IFERROR(__xludf.DUMMYFUNCTION("""COMPUTED_VALUE"""),"")</f>
        <v/>
      </c>
      <c r="L137" s="268" t="str">
        <f>IFERROR(__xludf.DUMMYFUNCTION("""COMPUTED_VALUE"""),"")</f>
        <v/>
      </c>
      <c r="M137" s="268" t="str">
        <f>IFERROR(__xludf.DUMMYFUNCTION("""COMPUTED_VALUE"""),"")</f>
        <v/>
      </c>
      <c r="N137" s="268">
        <f>IFERROR(__xludf.DUMMYFUNCTION("""COMPUTED_VALUE"""),0.0)</f>
        <v>0</v>
      </c>
      <c r="O137" s="268">
        <f>IFERROR(__xludf.DUMMYFUNCTION("""COMPUTED_VALUE"""),0.0)</f>
        <v>0</v>
      </c>
      <c r="P137" s="268">
        <f>IFERROR(__xludf.DUMMYFUNCTION("""COMPUTED_VALUE"""),0.0)</f>
        <v>0</v>
      </c>
      <c r="Q137" s="268">
        <f>IFERROR(__xludf.DUMMYFUNCTION("""COMPUTED_VALUE"""),0.0)</f>
        <v>0</v>
      </c>
      <c r="R137" s="268">
        <f>IFERROR(__xludf.DUMMYFUNCTION("""COMPUTED_VALUE"""),0.0)</f>
        <v>0</v>
      </c>
      <c r="S137" s="268">
        <f>IFERROR(__xludf.DUMMYFUNCTION("""COMPUTED_VALUE"""),0.0)</f>
        <v>0</v>
      </c>
      <c r="T137" s="268">
        <f>IFERROR(__xludf.DUMMYFUNCTION("""COMPUTED_VALUE"""),25.0)</f>
        <v>25</v>
      </c>
      <c r="U137" s="268">
        <f>IFERROR(__xludf.DUMMYFUNCTION("""COMPUTED_VALUE"""),0.0)</f>
        <v>0</v>
      </c>
      <c r="V137" s="268">
        <f>IFERROR(__xludf.DUMMYFUNCTION("""COMPUTED_VALUE"""),0.0)</f>
        <v>0</v>
      </c>
      <c r="W137" s="268">
        <f>IFERROR(__xludf.DUMMYFUNCTION("""COMPUTED_VALUE"""),0.0)</f>
        <v>0</v>
      </c>
      <c r="X137" s="268">
        <f>IFERROR(__xludf.DUMMYFUNCTION("""COMPUTED_VALUE"""),0.0)</f>
        <v>0</v>
      </c>
      <c r="Y137" s="268">
        <f>IFERROR(__xludf.DUMMYFUNCTION("""COMPUTED_VALUE"""),0.0)</f>
        <v>0</v>
      </c>
      <c r="Z137" s="268">
        <f>IFERROR(__xludf.DUMMYFUNCTION("""COMPUTED_VALUE"""),-25.0)</f>
        <v>-25</v>
      </c>
      <c r="AA137" s="268">
        <f>IFERROR(__xludf.DUMMYFUNCTION("""COMPUTED_VALUE"""),0.0)</f>
        <v>0</v>
      </c>
      <c r="AB137" s="268">
        <f>IFERROR(__xludf.DUMMYFUNCTION("""COMPUTED_VALUE"""),0.0)</f>
        <v>0</v>
      </c>
      <c r="AC137" s="268">
        <f>IFERROR(__xludf.DUMMYFUNCTION("""COMPUTED_VALUE"""),0.0)</f>
        <v>0</v>
      </c>
      <c r="AD137" s="268">
        <f>IFERROR(__xludf.DUMMYFUNCTION("""COMPUTED_VALUE"""),0.0)</f>
        <v>0</v>
      </c>
      <c r="AE137" s="268">
        <f>IFERROR(__xludf.DUMMYFUNCTION("""COMPUTED_VALUE"""),0.0)</f>
        <v>0</v>
      </c>
      <c r="AF137" s="268" t="str">
        <f>IFERROR(__xludf.DUMMYFUNCTION("""COMPUTED_VALUE"""),"")</f>
        <v/>
      </c>
      <c r="AG137" s="268">
        <f>IFERROR(__xludf.DUMMYFUNCTION("""COMPUTED_VALUE"""),0.0)</f>
        <v>0</v>
      </c>
      <c r="AH137" s="268">
        <f>IFERROR(__xludf.DUMMYFUNCTION("""COMPUTED_VALUE"""),0.0)</f>
        <v>0</v>
      </c>
      <c r="AI137" s="268">
        <f>IFERROR(__xludf.DUMMYFUNCTION("""COMPUTED_VALUE"""),0.0)</f>
        <v>0</v>
      </c>
      <c r="AJ137" s="268"/>
    </row>
    <row r="138" ht="22.5" customHeight="1">
      <c r="A138" s="170" t="str">
        <f>IFERROR(__xludf.DUMMYFUNCTION("""COMPUTED_VALUE"""),"")</f>
        <v/>
      </c>
      <c r="B138" s="170" t="str">
        <f>IFERROR(__xludf.DUMMYFUNCTION("""COMPUTED_VALUE"""),"")</f>
        <v/>
      </c>
      <c r="C138" s="170">
        <f>IFERROR(__xludf.DUMMYFUNCTION("""COMPUTED_VALUE"""),284.0)</f>
        <v>284</v>
      </c>
      <c r="D138" s="170" t="str">
        <f>IFERROR(__xludf.DUMMYFUNCTION("""COMPUTED_VALUE"""),"CF MARIA DE AZEVEDO RODRIGUES PEREIRA")</f>
        <v>CF MARIA DE AZEVEDO RODRIGUES PEREIRA</v>
      </c>
      <c r="E138" s="270" t="str">
        <f>IFERROR(__xludf.DUMMYFUNCTION("""COMPUTED_VALUE"""),"REGIAO METROPOLITANA")</f>
        <v>REGIAO METROPOLITANA</v>
      </c>
      <c r="F138" s="170" t="str">
        <f>IFERROR(__xludf.DUMMYFUNCTION("""COMPUTED_VALUE"""),"Rio de Janeiro")</f>
        <v>Rio de Janeiro</v>
      </c>
      <c r="G138" s="170" t="str">
        <f>IFERROR(__xludf.DUMMYFUNCTION("""COMPUTED_VALUE"""),"Anchieta")</f>
        <v>Anchieta</v>
      </c>
      <c r="H138" s="170" t="str">
        <f>IFERROR(__xludf.DUMMYFUNCTION("""COMPUTED_VALUE"""),"Unidade básica de saúde - BAIXA COMPLEXIDADE
")</f>
        <v>Unidade básica de saúde - BAIXA COMPLEXIDADE
</v>
      </c>
      <c r="I138" s="170" t="str">
        <f>IFERROR(__xludf.DUMMYFUNCTION("""COMPUTED_VALUE"""),"Público")</f>
        <v>Público</v>
      </c>
      <c r="J138" s="170" t="str">
        <f>IFERROR(__xludf.DUMMYFUNCTION("""COMPUTED_VALUE"""),"")</f>
        <v/>
      </c>
      <c r="K138" s="170" t="str">
        <f>IFERROR(__xludf.DUMMYFUNCTION("""COMPUTED_VALUE"""),"")</f>
        <v/>
      </c>
      <c r="L138" s="170" t="str">
        <f>IFERROR(__xludf.DUMMYFUNCTION("""COMPUTED_VALUE"""),"")</f>
        <v/>
      </c>
      <c r="M138" s="170" t="str">
        <f>IFERROR(__xludf.DUMMYFUNCTION("""COMPUTED_VALUE"""),"")</f>
        <v/>
      </c>
      <c r="N138" s="170">
        <f>IFERROR(__xludf.DUMMYFUNCTION("""COMPUTED_VALUE"""),0.0)</f>
        <v>0</v>
      </c>
      <c r="O138" s="170">
        <f>IFERROR(__xludf.DUMMYFUNCTION("""COMPUTED_VALUE"""),0.0)</f>
        <v>0</v>
      </c>
      <c r="P138" s="170">
        <f>IFERROR(__xludf.DUMMYFUNCTION("""COMPUTED_VALUE"""),0.0)</f>
        <v>0</v>
      </c>
      <c r="Q138" s="170">
        <f>IFERROR(__xludf.DUMMYFUNCTION("""COMPUTED_VALUE"""),0.0)</f>
        <v>0</v>
      </c>
      <c r="R138" s="170">
        <f>IFERROR(__xludf.DUMMYFUNCTION("""COMPUTED_VALUE"""),0.0)</f>
        <v>0</v>
      </c>
      <c r="S138" s="170">
        <f>IFERROR(__xludf.DUMMYFUNCTION("""COMPUTED_VALUE"""),0.0)</f>
        <v>0</v>
      </c>
      <c r="T138" s="170">
        <f>IFERROR(__xludf.DUMMYFUNCTION("""COMPUTED_VALUE"""),25.0)</f>
        <v>25</v>
      </c>
      <c r="U138" s="170">
        <f>IFERROR(__xludf.DUMMYFUNCTION("""COMPUTED_VALUE"""),0.0)</f>
        <v>0</v>
      </c>
      <c r="V138" s="170">
        <f>IFERROR(__xludf.DUMMYFUNCTION("""COMPUTED_VALUE"""),0.0)</f>
        <v>0</v>
      </c>
      <c r="W138" s="170">
        <f>IFERROR(__xludf.DUMMYFUNCTION("""COMPUTED_VALUE"""),0.0)</f>
        <v>0</v>
      </c>
      <c r="X138" s="170">
        <f>IFERROR(__xludf.DUMMYFUNCTION("""COMPUTED_VALUE"""),0.0)</f>
        <v>0</v>
      </c>
      <c r="Y138" s="170">
        <f>IFERROR(__xludf.DUMMYFUNCTION("""COMPUTED_VALUE"""),6.0)</f>
        <v>6</v>
      </c>
      <c r="Z138" s="170">
        <f>IFERROR(__xludf.DUMMYFUNCTION("""COMPUTED_VALUE"""),-25.0)</f>
        <v>-25</v>
      </c>
      <c r="AA138" s="170">
        <f>IFERROR(__xludf.DUMMYFUNCTION("""COMPUTED_VALUE"""),0.0)</f>
        <v>0</v>
      </c>
      <c r="AB138" s="170">
        <f>IFERROR(__xludf.DUMMYFUNCTION("""COMPUTED_VALUE"""),0.0)</f>
        <v>0</v>
      </c>
      <c r="AC138" s="170">
        <f>IFERROR(__xludf.DUMMYFUNCTION("""COMPUTED_VALUE"""),0.0)</f>
        <v>0</v>
      </c>
      <c r="AD138" s="170">
        <f>IFERROR(__xludf.DUMMYFUNCTION("""COMPUTED_VALUE"""),-6.0)</f>
        <v>-6</v>
      </c>
      <c r="AE138" s="170">
        <f>IFERROR(__xludf.DUMMYFUNCTION("""COMPUTED_VALUE"""),0.0)</f>
        <v>0</v>
      </c>
      <c r="AF138" s="170" t="str">
        <f>IFERROR(__xludf.DUMMYFUNCTION("""COMPUTED_VALUE"""),"")</f>
        <v/>
      </c>
      <c r="AG138" s="170">
        <f>IFERROR(__xludf.DUMMYFUNCTION("""COMPUTED_VALUE"""),0.0)</f>
        <v>0</v>
      </c>
      <c r="AH138" s="170">
        <f>IFERROR(__xludf.DUMMYFUNCTION("""COMPUTED_VALUE"""),0.0)</f>
        <v>0</v>
      </c>
      <c r="AI138" s="170">
        <f>IFERROR(__xludf.DUMMYFUNCTION("""COMPUTED_VALUE"""),0.0)</f>
        <v>0</v>
      </c>
      <c r="AJ138" s="170"/>
    </row>
    <row r="139" ht="22.5" customHeight="1">
      <c r="A139" s="268" t="str">
        <f>IFERROR(__xludf.DUMMYFUNCTION("""COMPUTED_VALUE"""),"")</f>
        <v/>
      </c>
      <c r="B139" s="268" t="str">
        <f>IFERROR(__xludf.DUMMYFUNCTION("""COMPUTED_VALUE"""),"")</f>
        <v/>
      </c>
      <c r="C139" s="268">
        <f>IFERROR(__xludf.DUMMYFUNCTION("""COMPUTED_VALUE"""),290.0)</f>
        <v>290</v>
      </c>
      <c r="D139" s="268" t="str">
        <f>IFERROR(__xludf.DUMMYFUNCTION("""COMPUTED_VALUE"""),"CMS PROF. SAVIO ANTUNES")</f>
        <v>CMS PROF. SAVIO ANTUNES</v>
      </c>
      <c r="E139" s="272" t="str">
        <f>IFERROR(__xludf.DUMMYFUNCTION("""COMPUTED_VALUE"""),"ZONA OESTE")</f>
        <v>ZONA OESTE</v>
      </c>
      <c r="F139" s="268" t="str">
        <f>IFERROR(__xludf.DUMMYFUNCTION("""COMPUTED_VALUE"""),"RIO DE JANEIRO")</f>
        <v>RIO DE JANEIRO</v>
      </c>
      <c r="G139" s="268" t="str">
        <f>IFERROR(__xludf.DUMMYFUNCTION("""COMPUTED_VALUE"""),"SANTA CRUZ (ANTARES)")</f>
        <v>SANTA CRUZ (ANTARES)</v>
      </c>
      <c r="H139" s="268" t="str">
        <f>IFERROR(__xludf.DUMMYFUNCTION("""COMPUTED_VALUE"""),"Unidade básica de saúde - BAIXA COMPLEXIDADE
")</f>
        <v>Unidade básica de saúde - BAIXA COMPLEXIDADE
</v>
      </c>
      <c r="I139" s="268" t="str">
        <f>IFERROR(__xludf.DUMMYFUNCTION("""COMPUTED_VALUE"""),"Público")</f>
        <v>Público</v>
      </c>
      <c r="J139" s="268" t="str">
        <f>IFERROR(__xludf.DUMMYFUNCTION("""COMPUTED_VALUE"""),"")</f>
        <v/>
      </c>
      <c r="K139" s="268" t="str">
        <f>IFERROR(__xludf.DUMMYFUNCTION("""COMPUTED_VALUE"""),"")</f>
        <v/>
      </c>
      <c r="L139" s="268" t="str">
        <f>IFERROR(__xludf.DUMMYFUNCTION("""COMPUTED_VALUE"""),"")</f>
        <v/>
      </c>
      <c r="M139" s="268" t="str">
        <f>IFERROR(__xludf.DUMMYFUNCTION("""COMPUTED_VALUE"""),"")</f>
        <v/>
      </c>
      <c r="N139" s="268">
        <f>IFERROR(__xludf.DUMMYFUNCTION("""COMPUTED_VALUE"""),0.0)</f>
        <v>0</v>
      </c>
      <c r="O139" s="268">
        <f>IFERROR(__xludf.DUMMYFUNCTION("""COMPUTED_VALUE"""),0.0)</f>
        <v>0</v>
      </c>
      <c r="P139" s="268">
        <f>IFERROR(__xludf.DUMMYFUNCTION("""COMPUTED_VALUE"""),0.0)</f>
        <v>0</v>
      </c>
      <c r="Q139" s="268">
        <f>IFERROR(__xludf.DUMMYFUNCTION("""COMPUTED_VALUE"""),0.0)</f>
        <v>0</v>
      </c>
      <c r="R139" s="268">
        <f>IFERROR(__xludf.DUMMYFUNCTION("""COMPUTED_VALUE"""),0.0)</f>
        <v>0</v>
      </c>
      <c r="S139" s="268">
        <f>IFERROR(__xludf.DUMMYFUNCTION("""COMPUTED_VALUE"""),0.0)</f>
        <v>0</v>
      </c>
      <c r="T139" s="268">
        <f>IFERROR(__xludf.DUMMYFUNCTION("""COMPUTED_VALUE"""),50.0)</f>
        <v>50</v>
      </c>
      <c r="U139" s="268">
        <f>IFERROR(__xludf.DUMMYFUNCTION("""COMPUTED_VALUE"""),0.0)</f>
        <v>0</v>
      </c>
      <c r="V139" s="268">
        <f>IFERROR(__xludf.DUMMYFUNCTION("""COMPUTED_VALUE"""),0.0)</f>
        <v>0</v>
      </c>
      <c r="W139" s="268">
        <f>IFERROR(__xludf.DUMMYFUNCTION("""COMPUTED_VALUE"""),25.0)</f>
        <v>25</v>
      </c>
      <c r="X139" s="268">
        <f>IFERROR(__xludf.DUMMYFUNCTION("""COMPUTED_VALUE"""),0.0)</f>
        <v>0</v>
      </c>
      <c r="Y139" s="268">
        <f>IFERROR(__xludf.DUMMYFUNCTION("""COMPUTED_VALUE"""),0.0)</f>
        <v>0</v>
      </c>
      <c r="Z139" s="268">
        <f>IFERROR(__xludf.DUMMYFUNCTION("""COMPUTED_VALUE"""),-50.0)</f>
        <v>-50</v>
      </c>
      <c r="AA139" s="268">
        <f>IFERROR(__xludf.DUMMYFUNCTION("""COMPUTED_VALUE"""),0.0)</f>
        <v>0</v>
      </c>
      <c r="AB139" s="268">
        <f>IFERROR(__xludf.DUMMYFUNCTION("""COMPUTED_VALUE"""),0.0)</f>
        <v>0</v>
      </c>
      <c r="AC139" s="268">
        <f>IFERROR(__xludf.DUMMYFUNCTION("""COMPUTED_VALUE"""),-25.0)</f>
        <v>-25</v>
      </c>
      <c r="AD139" s="268">
        <f>IFERROR(__xludf.DUMMYFUNCTION("""COMPUTED_VALUE"""),0.0)</f>
        <v>0</v>
      </c>
      <c r="AE139" s="268">
        <f>IFERROR(__xludf.DUMMYFUNCTION("""COMPUTED_VALUE"""),0.0)</f>
        <v>0</v>
      </c>
      <c r="AF139" s="268" t="str">
        <f>IFERROR(__xludf.DUMMYFUNCTION("""COMPUTED_VALUE"""),"")</f>
        <v/>
      </c>
      <c r="AG139" s="268">
        <f>IFERROR(__xludf.DUMMYFUNCTION("""COMPUTED_VALUE"""),0.0)</f>
        <v>0</v>
      </c>
      <c r="AH139" s="268">
        <f>IFERROR(__xludf.DUMMYFUNCTION("""COMPUTED_VALUE"""),0.0)</f>
        <v>0</v>
      </c>
      <c r="AI139" s="268">
        <f>IFERROR(__xludf.DUMMYFUNCTION("""COMPUTED_VALUE"""),0.0)</f>
        <v>0</v>
      </c>
      <c r="AJ139" s="268"/>
    </row>
    <row r="140" ht="22.5" customHeight="1">
      <c r="A140" s="170" t="str">
        <f>IFERROR(__xludf.DUMMYFUNCTION("""COMPUTED_VALUE"""),"")</f>
        <v/>
      </c>
      <c r="B140" s="170" t="str">
        <f>IFERROR(__xludf.DUMMYFUNCTION("""COMPUTED_VALUE"""),"")</f>
        <v/>
      </c>
      <c r="C140" s="170">
        <f>IFERROR(__xludf.DUMMYFUNCTION("""COMPUTED_VALUE"""),291.0)</f>
        <v>291</v>
      </c>
      <c r="D140" s="170" t="str">
        <f>IFERROR(__xludf.DUMMYFUNCTION("""COMPUTED_VALUE"""),"Clinica da Família Pastor Rosalvo Dantas")</f>
        <v>Clinica da Família Pastor Rosalvo Dantas</v>
      </c>
      <c r="E140" s="270" t="str">
        <f>IFERROR(__xludf.DUMMYFUNCTION("""COMPUTED_VALUE"""),"BAIXADA FLUMINENSE")</f>
        <v>BAIXADA FLUMINENSE</v>
      </c>
      <c r="F140" s="170" t="str">
        <f>IFERROR(__xludf.DUMMYFUNCTION("""COMPUTED_VALUE"""),"Queimados")</f>
        <v>Queimados</v>
      </c>
      <c r="G140" s="170" t="str">
        <f>IFERROR(__xludf.DUMMYFUNCTION("""COMPUTED_VALUE"""),"Valdariosa")</f>
        <v>Valdariosa</v>
      </c>
      <c r="H140" s="170" t="str">
        <f>IFERROR(__xludf.DUMMYFUNCTION("""COMPUTED_VALUE"""),"Unidade básica de saúde - BAIXA COMPLEXIDADE
")</f>
        <v>Unidade básica de saúde - BAIXA COMPLEXIDADE
</v>
      </c>
      <c r="I140" s="170" t="str">
        <f>IFERROR(__xludf.DUMMYFUNCTION("""COMPUTED_VALUE"""),"Público")</f>
        <v>Público</v>
      </c>
      <c r="J140" s="170" t="str">
        <f>IFERROR(__xludf.DUMMYFUNCTION("""COMPUTED_VALUE"""),"")</f>
        <v/>
      </c>
      <c r="K140" s="170" t="str">
        <f>IFERROR(__xludf.DUMMYFUNCTION("""COMPUTED_VALUE"""),"")</f>
        <v/>
      </c>
      <c r="L140" s="170" t="str">
        <f>IFERROR(__xludf.DUMMYFUNCTION("""COMPUTED_VALUE"""),"")</f>
        <v/>
      </c>
      <c r="M140" s="170" t="str">
        <f>IFERROR(__xludf.DUMMYFUNCTION("""COMPUTED_VALUE"""),"")</f>
        <v/>
      </c>
      <c r="N140" s="170">
        <f>IFERROR(__xludf.DUMMYFUNCTION("""COMPUTED_VALUE"""),0.0)</f>
        <v>0</v>
      </c>
      <c r="O140" s="170">
        <f>IFERROR(__xludf.DUMMYFUNCTION("""COMPUTED_VALUE"""),0.0)</f>
        <v>0</v>
      </c>
      <c r="P140" s="170">
        <f>IFERROR(__xludf.DUMMYFUNCTION("""COMPUTED_VALUE"""),0.0)</f>
        <v>0</v>
      </c>
      <c r="Q140" s="170">
        <f>IFERROR(__xludf.DUMMYFUNCTION("""COMPUTED_VALUE"""),0.0)</f>
        <v>0</v>
      </c>
      <c r="R140" s="170">
        <f>IFERROR(__xludf.DUMMYFUNCTION("""COMPUTED_VALUE"""),0.0)</f>
        <v>0</v>
      </c>
      <c r="S140" s="170">
        <f>IFERROR(__xludf.DUMMYFUNCTION("""COMPUTED_VALUE"""),0.0)</f>
        <v>0</v>
      </c>
      <c r="T140" s="170">
        <f>IFERROR(__xludf.DUMMYFUNCTION("""COMPUTED_VALUE"""),25.0)</f>
        <v>25</v>
      </c>
      <c r="U140" s="170">
        <f>IFERROR(__xludf.DUMMYFUNCTION("""COMPUTED_VALUE"""),0.0)</f>
        <v>0</v>
      </c>
      <c r="V140" s="170">
        <f>IFERROR(__xludf.DUMMYFUNCTION("""COMPUTED_VALUE"""),0.0)</f>
        <v>0</v>
      </c>
      <c r="W140" s="170">
        <f>IFERROR(__xludf.DUMMYFUNCTION("""COMPUTED_VALUE"""),0.0)</f>
        <v>0</v>
      </c>
      <c r="X140" s="170">
        <f>IFERROR(__xludf.DUMMYFUNCTION("""COMPUTED_VALUE"""),0.0)</f>
        <v>0</v>
      </c>
      <c r="Y140" s="170">
        <f>IFERROR(__xludf.DUMMYFUNCTION("""COMPUTED_VALUE"""),6.0)</f>
        <v>6</v>
      </c>
      <c r="Z140" s="170">
        <f>IFERROR(__xludf.DUMMYFUNCTION("""COMPUTED_VALUE"""),-25.0)</f>
        <v>-25</v>
      </c>
      <c r="AA140" s="170">
        <f>IFERROR(__xludf.DUMMYFUNCTION("""COMPUTED_VALUE"""),0.0)</f>
        <v>0</v>
      </c>
      <c r="AB140" s="170">
        <f>IFERROR(__xludf.DUMMYFUNCTION("""COMPUTED_VALUE"""),0.0)</f>
        <v>0</v>
      </c>
      <c r="AC140" s="170">
        <f>IFERROR(__xludf.DUMMYFUNCTION("""COMPUTED_VALUE"""),0.0)</f>
        <v>0</v>
      </c>
      <c r="AD140" s="170">
        <f>IFERROR(__xludf.DUMMYFUNCTION("""COMPUTED_VALUE"""),-6.0)</f>
        <v>-6</v>
      </c>
      <c r="AE140" s="170">
        <f>IFERROR(__xludf.DUMMYFUNCTION("""COMPUTED_VALUE"""),0.0)</f>
        <v>0</v>
      </c>
      <c r="AF140" s="170" t="str">
        <f>IFERROR(__xludf.DUMMYFUNCTION("""COMPUTED_VALUE"""),"")</f>
        <v/>
      </c>
      <c r="AG140" s="170">
        <f>IFERROR(__xludf.DUMMYFUNCTION("""COMPUTED_VALUE"""),0.0)</f>
        <v>0</v>
      </c>
      <c r="AH140" s="170">
        <f>IFERROR(__xludf.DUMMYFUNCTION("""COMPUTED_VALUE"""),0.0)</f>
        <v>0</v>
      </c>
      <c r="AI140" s="170">
        <f>IFERROR(__xludf.DUMMYFUNCTION("""COMPUTED_VALUE"""),0.0)</f>
        <v>0</v>
      </c>
      <c r="AJ140" s="170"/>
    </row>
    <row r="141" ht="22.5" customHeight="1">
      <c r="A141" s="268" t="str">
        <f>IFERROR(__xludf.DUMMYFUNCTION("""COMPUTED_VALUE"""),"")</f>
        <v/>
      </c>
      <c r="B141" s="268" t="str">
        <f>IFERROR(__xludf.DUMMYFUNCTION("""COMPUTED_VALUE"""),"")</f>
        <v/>
      </c>
      <c r="C141" s="268">
        <f>IFERROR(__xludf.DUMMYFUNCTION("""COMPUTED_VALUE"""),292.0)</f>
        <v>292</v>
      </c>
      <c r="D141" s="268" t="str">
        <f>IFERROR(__xludf.DUMMYFUNCTION("""COMPUTED_VALUE"""),"DEGASE")</f>
        <v>DEGASE</v>
      </c>
      <c r="E141" s="272" t="str">
        <f>IFERROR(__xludf.DUMMYFUNCTION("""COMPUTED_VALUE"""),"ZONA NORTE")</f>
        <v>ZONA NORTE</v>
      </c>
      <c r="F141" s="268" t="str">
        <f>IFERROR(__xludf.DUMMYFUNCTION("""COMPUTED_VALUE"""),"Rio de Janeiro")</f>
        <v>Rio de Janeiro</v>
      </c>
      <c r="G141" s="268" t="str">
        <f>IFERROR(__xludf.DUMMYFUNCTION("""COMPUTED_VALUE"""),"Galeao")</f>
        <v>Galeao</v>
      </c>
      <c r="H141" s="268" t="str">
        <f>IFERROR(__xludf.DUMMYFUNCTION("""COMPUTED_VALUE"""),"Departamento Geral de Ações Socioeducativas
")</f>
        <v>Departamento Geral de Ações Socioeducativas
</v>
      </c>
      <c r="I141" s="268" t="str">
        <f>IFERROR(__xludf.DUMMYFUNCTION("""COMPUTED_VALUE"""),"Público")</f>
        <v>Público</v>
      </c>
      <c r="J141" s="268" t="str">
        <f>IFERROR(__xludf.DUMMYFUNCTION("""COMPUTED_VALUE"""),"")</f>
        <v/>
      </c>
      <c r="K141" s="268" t="str">
        <f>IFERROR(__xludf.DUMMYFUNCTION("""COMPUTED_VALUE"""),"")</f>
        <v/>
      </c>
      <c r="L141" s="268" t="str">
        <f>IFERROR(__xludf.DUMMYFUNCTION("""COMPUTED_VALUE"""),"")</f>
        <v/>
      </c>
      <c r="M141" s="268" t="str">
        <f>IFERROR(__xludf.DUMMYFUNCTION("""COMPUTED_VALUE"""),"")</f>
        <v/>
      </c>
      <c r="N141" s="268">
        <f>IFERROR(__xludf.DUMMYFUNCTION("""COMPUTED_VALUE"""),0.0)</f>
        <v>0</v>
      </c>
      <c r="O141" s="268">
        <f>IFERROR(__xludf.DUMMYFUNCTION("""COMPUTED_VALUE"""),0.0)</f>
        <v>0</v>
      </c>
      <c r="P141" s="268">
        <f>IFERROR(__xludf.DUMMYFUNCTION("""COMPUTED_VALUE"""),0.0)</f>
        <v>0</v>
      </c>
      <c r="Q141" s="268">
        <f>IFERROR(__xludf.DUMMYFUNCTION("""COMPUTED_VALUE"""),0.0)</f>
        <v>0</v>
      </c>
      <c r="R141" s="268">
        <f>IFERROR(__xludf.DUMMYFUNCTION("""COMPUTED_VALUE"""),0.0)</f>
        <v>0</v>
      </c>
      <c r="S141" s="268">
        <f>IFERROR(__xludf.DUMMYFUNCTION("""COMPUTED_VALUE"""),0.0)</f>
        <v>0</v>
      </c>
      <c r="T141" s="268">
        <f>IFERROR(__xludf.DUMMYFUNCTION("""COMPUTED_VALUE"""),50.0)</f>
        <v>50</v>
      </c>
      <c r="U141" s="268">
        <f>IFERROR(__xludf.DUMMYFUNCTION("""COMPUTED_VALUE"""),0.0)</f>
        <v>0</v>
      </c>
      <c r="V141" s="268">
        <f>IFERROR(__xludf.DUMMYFUNCTION("""COMPUTED_VALUE"""),0.0)</f>
        <v>0</v>
      </c>
      <c r="W141" s="268">
        <f>IFERROR(__xludf.DUMMYFUNCTION("""COMPUTED_VALUE"""),0.0)</f>
        <v>0</v>
      </c>
      <c r="X141" s="268">
        <f>IFERROR(__xludf.DUMMYFUNCTION("""COMPUTED_VALUE"""),0.0)</f>
        <v>0</v>
      </c>
      <c r="Y141" s="268">
        <f>IFERROR(__xludf.DUMMYFUNCTION("""COMPUTED_VALUE"""),20.0)</f>
        <v>20</v>
      </c>
      <c r="Z141" s="268">
        <f>IFERROR(__xludf.DUMMYFUNCTION("""COMPUTED_VALUE"""),-50.0)</f>
        <v>-50</v>
      </c>
      <c r="AA141" s="268">
        <f>IFERROR(__xludf.DUMMYFUNCTION("""COMPUTED_VALUE"""),0.0)</f>
        <v>0</v>
      </c>
      <c r="AB141" s="268">
        <f>IFERROR(__xludf.DUMMYFUNCTION("""COMPUTED_VALUE"""),0.0)</f>
        <v>0</v>
      </c>
      <c r="AC141" s="268">
        <f>IFERROR(__xludf.DUMMYFUNCTION("""COMPUTED_VALUE"""),0.0)</f>
        <v>0</v>
      </c>
      <c r="AD141" s="268">
        <f>IFERROR(__xludf.DUMMYFUNCTION("""COMPUTED_VALUE"""),-20.0)</f>
        <v>-20</v>
      </c>
      <c r="AE141" s="268">
        <f>IFERROR(__xludf.DUMMYFUNCTION("""COMPUTED_VALUE"""),0.0)</f>
        <v>0</v>
      </c>
      <c r="AF141" s="268" t="str">
        <f>IFERROR(__xludf.DUMMYFUNCTION("""COMPUTED_VALUE"""),"")</f>
        <v/>
      </c>
      <c r="AG141" s="268">
        <f>IFERROR(__xludf.DUMMYFUNCTION("""COMPUTED_VALUE"""),0.0)</f>
        <v>0</v>
      </c>
      <c r="AH141" s="268">
        <f>IFERROR(__xludf.DUMMYFUNCTION("""COMPUTED_VALUE"""),0.0)</f>
        <v>0</v>
      </c>
      <c r="AI141" s="268">
        <f>IFERROR(__xludf.DUMMYFUNCTION("""COMPUTED_VALUE"""),0.0)</f>
        <v>0</v>
      </c>
      <c r="AJ141" s="268"/>
    </row>
    <row r="142" ht="22.5" customHeight="1">
      <c r="A142" s="170" t="str">
        <f>IFERROR(__xludf.DUMMYFUNCTION("""COMPUTED_VALUE"""),"")</f>
        <v/>
      </c>
      <c r="B142" s="170" t="str">
        <f>IFERROR(__xludf.DUMMYFUNCTION("""COMPUTED_VALUE"""),"")</f>
        <v/>
      </c>
      <c r="C142" s="170">
        <f>IFERROR(__xludf.DUMMYFUNCTION("""COMPUTED_VALUE"""),293.0)</f>
        <v>293</v>
      </c>
      <c r="D142" s="170" t="str">
        <f>IFERROR(__xludf.DUMMYFUNCTION("""COMPUTED_VALUE"""),"Clinica da Familia Armando Palhares Aguinaga")</f>
        <v>Clinica da Familia Armando Palhares Aguinaga</v>
      </c>
      <c r="E142" s="270" t="str">
        <f>IFERROR(__xludf.DUMMYFUNCTION("""COMPUTED_VALUE"""),"ZONA OESTE")</f>
        <v>ZONA OESTE</v>
      </c>
      <c r="F142" s="170" t="str">
        <f>IFERROR(__xludf.DUMMYFUNCTION("""COMPUTED_VALUE"""),"Rio de Janeiro")</f>
        <v>Rio de Janeiro</v>
      </c>
      <c r="G142" s="170" t="str">
        <f>IFERROR(__xludf.DUMMYFUNCTION("""COMPUTED_VALUE"""),"Realengo")</f>
        <v>Realengo</v>
      </c>
      <c r="H142" s="170" t="str">
        <f>IFERROR(__xludf.DUMMYFUNCTION("""COMPUTED_VALUE"""),"Unidade básica de saúde - BAIXA COMPLEXIDADE
")</f>
        <v>Unidade básica de saúde - BAIXA COMPLEXIDADE
</v>
      </c>
      <c r="I142" s="170" t="str">
        <f>IFERROR(__xludf.DUMMYFUNCTION("""COMPUTED_VALUE"""),"Público")</f>
        <v>Público</v>
      </c>
      <c r="J142" s="170" t="str">
        <f>IFERROR(__xludf.DUMMYFUNCTION("""COMPUTED_VALUE"""),"")</f>
        <v/>
      </c>
      <c r="K142" s="170" t="str">
        <f>IFERROR(__xludf.DUMMYFUNCTION("""COMPUTED_VALUE"""),"")</f>
        <v/>
      </c>
      <c r="L142" s="170" t="str">
        <f>IFERROR(__xludf.DUMMYFUNCTION("""COMPUTED_VALUE"""),"")</f>
        <v/>
      </c>
      <c r="M142" s="170" t="str">
        <f>IFERROR(__xludf.DUMMYFUNCTION("""COMPUTED_VALUE"""),"")</f>
        <v/>
      </c>
      <c r="N142" s="170">
        <f>IFERROR(__xludf.DUMMYFUNCTION("""COMPUTED_VALUE"""),0.0)</f>
        <v>0</v>
      </c>
      <c r="O142" s="170">
        <f>IFERROR(__xludf.DUMMYFUNCTION("""COMPUTED_VALUE"""),0.0)</f>
        <v>0</v>
      </c>
      <c r="P142" s="170">
        <f>IFERROR(__xludf.DUMMYFUNCTION("""COMPUTED_VALUE"""),0.0)</f>
        <v>0</v>
      </c>
      <c r="Q142" s="170">
        <f>IFERROR(__xludf.DUMMYFUNCTION("""COMPUTED_VALUE"""),0.0)</f>
        <v>0</v>
      </c>
      <c r="R142" s="170">
        <f>IFERROR(__xludf.DUMMYFUNCTION("""COMPUTED_VALUE"""),0.0)</f>
        <v>0</v>
      </c>
      <c r="S142" s="170">
        <f>IFERROR(__xludf.DUMMYFUNCTION("""COMPUTED_VALUE"""),0.0)</f>
        <v>0</v>
      </c>
      <c r="T142" s="170">
        <f>IFERROR(__xludf.DUMMYFUNCTION("""COMPUTED_VALUE"""),25.0)</f>
        <v>25</v>
      </c>
      <c r="U142" s="170">
        <f>IFERROR(__xludf.DUMMYFUNCTION("""COMPUTED_VALUE"""),0.0)</f>
        <v>0</v>
      </c>
      <c r="V142" s="170">
        <f>IFERROR(__xludf.DUMMYFUNCTION("""COMPUTED_VALUE"""),0.0)</f>
        <v>0</v>
      </c>
      <c r="W142" s="170">
        <f>IFERROR(__xludf.DUMMYFUNCTION("""COMPUTED_VALUE"""),25.0)</f>
        <v>25</v>
      </c>
      <c r="X142" s="170">
        <f>IFERROR(__xludf.DUMMYFUNCTION("""COMPUTED_VALUE"""),0.0)</f>
        <v>0</v>
      </c>
      <c r="Y142" s="170">
        <f>IFERROR(__xludf.DUMMYFUNCTION("""COMPUTED_VALUE"""),0.0)</f>
        <v>0</v>
      </c>
      <c r="Z142" s="170">
        <f>IFERROR(__xludf.DUMMYFUNCTION("""COMPUTED_VALUE"""),-25.0)</f>
        <v>-25</v>
      </c>
      <c r="AA142" s="170">
        <f>IFERROR(__xludf.DUMMYFUNCTION("""COMPUTED_VALUE"""),0.0)</f>
        <v>0</v>
      </c>
      <c r="AB142" s="170">
        <f>IFERROR(__xludf.DUMMYFUNCTION("""COMPUTED_VALUE"""),0.0)</f>
        <v>0</v>
      </c>
      <c r="AC142" s="170">
        <f>IFERROR(__xludf.DUMMYFUNCTION("""COMPUTED_VALUE"""),-25.0)</f>
        <v>-25</v>
      </c>
      <c r="AD142" s="170">
        <f>IFERROR(__xludf.DUMMYFUNCTION("""COMPUTED_VALUE"""),0.0)</f>
        <v>0</v>
      </c>
      <c r="AE142" s="170">
        <f>IFERROR(__xludf.DUMMYFUNCTION("""COMPUTED_VALUE"""),0.0)</f>
        <v>0</v>
      </c>
      <c r="AF142" s="170" t="str">
        <f>IFERROR(__xludf.DUMMYFUNCTION("""COMPUTED_VALUE"""),"")</f>
        <v/>
      </c>
      <c r="AG142" s="170">
        <f>IFERROR(__xludf.DUMMYFUNCTION("""COMPUTED_VALUE"""),0.0)</f>
        <v>0</v>
      </c>
      <c r="AH142" s="170">
        <f>IFERROR(__xludf.DUMMYFUNCTION("""COMPUTED_VALUE"""),0.0)</f>
        <v>0</v>
      </c>
      <c r="AI142" s="170">
        <f>IFERROR(__xludf.DUMMYFUNCTION("""COMPUTED_VALUE"""),0.0)</f>
        <v>0</v>
      </c>
      <c r="AJ142" s="170"/>
    </row>
    <row r="143" ht="22.5" customHeight="1">
      <c r="A143" s="268" t="str">
        <f>IFERROR(__xludf.DUMMYFUNCTION("""COMPUTED_VALUE"""),"")</f>
        <v/>
      </c>
      <c r="B143" s="268" t="str">
        <f>IFERROR(__xludf.DUMMYFUNCTION("""COMPUTED_VALUE"""),"")</f>
        <v/>
      </c>
      <c r="C143" s="268">
        <f>IFERROR(__xludf.DUMMYFUNCTION("""COMPUTED_VALUE"""),294.0)</f>
        <v>294</v>
      </c>
      <c r="D143" s="268" t="str">
        <f>IFERROR(__xludf.DUMMYFUNCTION("""COMPUTED_VALUE"""),"Consultorio na rua")</f>
        <v>Consultorio na rua</v>
      </c>
      <c r="E143" s="272" t="str">
        <f>IFERROR(__xludf.DUMMYFUNCTION("""COMPUTED_VALUE"""),"REGIAO METROPOLITANA")</f>
        <v>REGIAO METROPOLITANA</v>
      </c>
      <c r="F143" s="268" t="str">
        <f>IFERROR(__xludf.DUMMYFUNCTION("""COMPUTED_VALUE"""),"Maricá")</f>
        <v>Maricá</v>
      </c>
      <c r="G143" s="268" t="str">
        <f>IFERROR(__xludf.DUMMYFUNCTION("""COMPUTED_VALUE"""),"Centro")</f>
        <v>Centro</v>
      </c>
      <c r="H143" s="268" t="str">
        <f>IFERROR(__xludf.DUMMYFUNCTION("""COMPUTED_VALUE"""),"Estamos em atendimento na rua e hospital 
")</f>
        <v>Estamos em atendimento na rua e hospital 
</v>
      </c>
      <c r="I143" s="268" t="str">
        <f>IFERROR(__xludf.DUMMYFUNCTION("""COMPUTED_VALUE"""),"Público")</f>
        <v>Público</v>
      </c>
      <c r="J143" s="268" t="str">
        <f>IFERROR(__xludf.DUMMYFUNCTION("""COMPUTED_VALUE"""),"")</f>
        <v/>
      </c>
      <c r="K143" s="268" t="str">
        <f>IFERROR(__xludf.DUMMYFUNCTION("""COMPUTED_VALUE"""),"")</f>
        <v/>
      </c>
      <c r="L143" s="268" t="str">
        <f>IFERROR(__xludf.DUMMYFUNCTION("""COMPUTED_VALUE"""),"")</f>
        <v/>
      </c>
      <c r="M143" s="268" t="str">
        <f>IFERROR(__xludf.DUMMYFUNCTION("""COMPUTED_VALUE"""),"")</f>
        <v/>
      </c>
      <c r="N143" s="268">
        <f>IFERROR(__xludf.DUMMYFUNCTION("""COMPUTED_VALUE"""),0.0)</f>
        <v>0</v>
      </c>
      <c r="O143" s="268">
        <f>IFERROR(__xludf.DUMMYFUNCTION("""COMPUTED_VALUE"""),0.0)</f>
        <v>0</v>
      </c>
      <c r="P143" s="268">
        <f>IFERROR(__xludf.DUMMYFUNCTION("""COMPUTED_VALUE"""),0.0)</f>
        <v>0</v>
      </c>
      <c r="Q143" s="268">
        <f>IFERROR(__xludf.DUMMYFUNCTION("""COMPUTED_VALUE"""),0.0)</f>
        <v>0</v>
      </c>
      <c r="R143" s="268">
        <f>IFERROR(__xludf.DUMMYFUNCTION("""COMPUTED_VALUE"""),0.0)</f>
        <v>0</v>
      </c>
      <c r="S143" s="268">
        <f>IFERROR(__xludf.DUMMYFUNCTION("""COMPUTED_VALUE"""),0.0)</f>
        <v>0</v>
      </c>
      <c r="T143" s="268">
        <f>IFERROR(__xludf.DUMMYFUNCTION("""COMPUTED_VALUE"""),50.0)</f>
        <v>50</v>
      </c>
      <c r="U143" s="268">
        <f>IFERROR(__xludf.DUMMYFUNCTION("""COMPUTED_VALUE"""),0.0)</f>
        <v>0</v>
      </c>
      <c r="V143" s="268">
        <f>IFERROR(__xludf.DUMMYFUNCTION("""COMPUTED_VALUE"""),0.0)</f>
        <v>0</v>
      </c>
      <c r="W143" s="268">
        <f>IFERROR(__xludf.DUMMYFUNCTION("""COMPUTED_VALUE"""),0.0)</f>
        <v>0</v>
      </c>
      <c r="X143" s="268">
        <f>IFERROR(__xludf.DUMMYFUNCTION("""COMPUTED_VALUE"""),0.0)</f>
        <v>0</v>
      </c>
      <c r="Y143" s="268">
        <f>IFERROR(__xludf.DUMMYFUNCTION("""COMPUTED_VALUE"""),0.0)</f>
        <v>0</v>
      </c>
      <c r="Z143" s="268">
        <f>IFERROR(__xludf.DUMMYFUNCTION("""COMPUTED_VALUE"""),-50.0)</f>
        <v>-50</v>
      </c>
      <c r="AA143" s="268">
        <f>IFERROR(__xludf.DUMMYFUNCTION("""COMPUTED_VALUE"""),0.0)</f>
        <v>0</v>
      </c>
      <c r="AB143" s="268">
        <f>IFERROR(__xludf.DUMMYFUNCTION("""COMPUTED_VALUE"""),0.0)</f>
        <v>0</v>
      </c>
      <c r="AC143" s="268">
        <f>IFERROR(__xludf.DUMMYFUNCTION("""COMPUTED_VALUE"""),0.0)</f>
        <v>0</v>
      </c>
      <c r="AD143" s="268">
        <f>IFERROR(__xludf.DUMMYFUNCTION("""COMPUTED_VALUE"""),0.0)</f>
        <v>0</v>
      </c>
      <c r="AE143" s="268">
        <f>IFERROR(__xludf.DUMMYFUNCTION("""COMPUTED_VALUE"""),0.0)</f>
        <v>0</v>
      </c>
      <c r="AF143" s="268" t="str">
        <f>IFERROR(__xludf.DUMMYFUNCTION("""COMPUTED_VALUE"""),"")</f>
        <v/>
      </c>
      <c r="AG143" s="268">
        <f>IFERROR(__xludf.DUMMYFUNCTION("""COMPUTED_VALUE"""),0.0)</f>
        <v>0</v>
      </c>
      <c r="AH143" s="268">
        <f>IFERROR(__xludf.DUMMYFUNCTION("""COMPUTED_VALUE"""),0.0)</f>
        <v>0</v>
      </c>
      <c r="AI143" s="268">
        <f>IFERROR(__xludf.DUMMYFUNCTION("""COMPUTED_VALUE"""),0.0)</f>
        <v>0</v>
      </c>
      <c r="AJ143" s="268"/>
    </row>
    <row r="144" ht="22.5" customHeight="1">
      <c r="A144" s="170" t="str">
        <f>IFERROR(__xludf.DUMMYFUNCTION("""COMPUTED_VALUE"""),"")</f>
        <v/>
      </c>
      <c r="B144" s="170" t="str">
        <f>IFERROR(__xludf.DUMMYFUNCTION("""COMPUTED_VALUE"""),"")</f>
        <v/>
      </c>
      <c r="C144" s="170">
        <f>IFERROR(__xludf.DUMMYFUNCTION("""COMPUTED_VALUE"""),299.0)</f>
        <v>299</v>
      </c>
      <c r="D144" s="170" t="str">
        <f>IFERROR(__xludf.DUMMYFUNCTION("""COMPUTED_VALUE"""),"CMS Iraci Lopes")</f>
        <v>CMS Iraci Lopes</v>
      </c>
      <c r="E144" s="270" t="str">
        <f>IFERROR(__xludf.DUMMYFUNCTION("""COMPUTED_VALUE"""),"ZONA NORTE")</f>
        <v>ZONA NORTE</v>
      </c>
      <c r="F144" s="170" t="str">
        <f>IFERROR(__xludf.DUMMYFUNCTION("""COMPUTED_VALUE"""),"Rio de Janeiro")</f>
        <v>Rio de Janeiro</v>
      </c>
      <c r="G144" s="170" t="str">
        <f>IFERROR(__xludf.DUMMYFUNCTION("""COMPUTED_VALUE"""),"Vigario Geral")</f>
        <v>Vigario Geral</v>
      </c>
      <c r="H144" s="170" t="str">
        <f>IFERROR(__xludf.DUMMYFUNCTION("""COMPUTED_VALUE"""),"Unidade básica de saúde - BAIXA COMPLEXIDADE
")</f>
        <v>Unidade básica de saúde - BAIXA COMPLEXIDADE
</v>
      </c>
      <c r="I144" s="170" t="str">
        <f>IFERROR(__xludf.DUMMYFUNCTION("""COMPUTED_VALUE"""),"Público")</f>
        <v>Público</v>
      </c>
      <c r="J144" s="170" t="str">
        <f>IFERROR(__xludf.DUMMYFUNCTION("""COMPUTED_VALUE"""),"")</f>
        <v/>
      </c>
      <c r="K144" s="170" t="str">
        <f>IFERROR(__xludf.DUMMYFUNCTION("""COMPUTED_VALUE"""),"")</f>
        <v/>
      </c>
      <c r="L144" s="170" t="str">
        <f>IFERROR(__xludf.DUMMYFUNCTION("""COMPUTED_VALUE"""),"")</f>
        <v/>
      </c>
      <c r="M144" s="170" t="str">
        <f>IFERROR(__xludf.DUMMYFUNCTION("""COMPUTED_VALUE"""),"")</f>
        <v/>
      </c>
      <c r="N144" s="170">
        <f>IFERROR(__xludf.DUMMYFUNCTION("""COMPUTED_VALUE"""),0.0)</f>
        <v>0</v>
      </c>
      <c r="O144" s="170">
        <f>IFERROR(__xludf.DUMMYFUNCTION("""COMPUTED_VALUE"""),0.0)</f>
        <v>0</v>
      </c>
      <c r="P144" s="170">
        <f>IFERROR(__xludf.DUMMYFUNCTION("""COMPUTED_VALUE"""),0.0)</f>
        <v>0</v>
      </c>
      <c r="Q144" s="170">
        <f>IFERROR(__xludf.DUMMYFUNCTION("""COMPUTED_VALUE"""),0.0)</f>
        <v>0</v>
      </c>
      <c r="R144" s="170">
        <f>IFERROR(__xludf.DUMMYFUNCTION("""COMPUTED_VALUE"""),0.0)</f>
        <v>0</v>
      </c>
      <c r="S144" s="170">
        <f>IFERROR(__xludf.DUMMYFUNCTION("""COMPUTED_VALUE"""),0.0)</f>
        <v>0</v>
      </c>
      <c r="T144" s="170">
        <f>IFERROR(__xludf.DUMMYFUNCTION("""COMPUTED_VALUE"""),50.0)</f>
        <v>50</v>
      </c>
      <c r="U144" s="170">
        <f>IFERROR(__xludf.DUMMYFUNCTION("""COMPUTED_VALUE"""),0.0)</f>
        <v>0</v>
      </c>
      <c r="V144" s="170">
        <f>IFERROR(__xludf.DUMMYFUNCTION("""COMPUTED_VALUE"""),0.0)</f>
        <v>0</v>
      </c>
      <c r="W144" s="170">
        <f>IFERROR(__xludf.DUMMYFUNCTION("""COMPUTED_VALUE"""),0.0)</f>
        <v>0</v>
      </c>
      <c r="X144" s="170">
        <f>IFERROR(__xludf.DUMMYFUNCTION("""COMPUTED_VALUE"""),0.0)</f>
        <v>0</v>
      </c>
      <c r="Y144" s="170">
        <f>IFERROR(__xludf.DUMMYFUNCTION("""COMPUTED_VALUE"""),0.0)</f>
        <v>0</v>
      </c>
      <c r="Z144" s="170">
        <f>IFERROR(__xludf.DUMMYFUNCTION("""COMPUTED_VALUE"""),-50.0)</f>
        <v>-50</v>
      </c>
      <c r="AA144" s="170">
        <f>IFERROR(__xludf.DUMMYFUNCTION("""COMPUTED_VALUE"""),0.0)</f>
        <v>0</v>
      </c>
      <c r="AB144" s="170">
        <f>IFERROR(__xludf.DUMMYFUNCTION("""COMPUTED_VALUE"""),0.0)</f>
        <v>0</v>
      </c>
      <c r="AC144" s="170">
        <f>IFERROR(__xludf.DUMMYFUNCTION("""COMPUTED_VALUE"""),0.0)</f>
        <v>0</v>
      </c>
      <c r="AD144" s="170">
        <f>IFERROR(__xludf.DUMMYFUNCTION("""COMPUTED_VALUE"""),0.0)</f>
        <v>0</v>
      </c>
      <c r="AE144" s="170">
        <f>IFERROR(__xludf.DUMMYFUNCTION("""COMPUTED_VALUE"""),0.0)</f>
        <v>0</v>
      </c>
      <c r="AF144" s="170" t="str">
        <f>IFERROR(__xludf.DUMMYFUNCTION("""COMPUTED_VALUE"""),"")</f>
        <v/>
      </c>
      <c r="AG144" s="170">
        <f>IFERROR(__xludf.DUMMYFUNCTION("""COMPUTED_VALUE"""),0.0)</f>
        <v>0</v>
      </c>
      <c r="AH144" s="170">
        <f>IFERROR(__xludf.DUMMYFUNCTION("""COMPUTED_VALUE"""),0.0)</f>
        <v>0</v>
      </c>
      <c r="AI144" s="170">
        <f>IFERROR(__xludf.DUMMYFUNCTION("""COMPUTED_VALUE"""),0.0)</f>
        <v>0</v>
      </c>
      <c r="AJ144" s="170"/>
    </row>
    <row r="145" ht="22.5" customHeight="1">
      <c r="A145" s="268" t="str">
        <f>IFERROR(__xludf.DUMMYFUNCTION("""COMPUTED_VALUE"""),"")</f>
        <v/>
      </c>
      <c r="B145" s="268" t="str">
        <f>IFERROR(__xludf.DUMMYFUNCTION("""COMPUTED_VALUE"""),"")</f>
        <v/>
      </c>
      <c r="C145" s="268">
        <f>IFERROR(__xludf.DUMMYFUNCTION("""COMPUTED_VALUE"""),302.0)</f>
        <v>302</v>
      </c>
      <c r="D145" s="268" t="str">
        <f>IFERROR(__xludf.DUMMYFUNCTION("""COMPUTED_VALUE"""),"HOSPITAL ESTADUAL DE TRAUMATOLOGIA VEREADOR MELCHIADES CALAZANS")</f>
        <v>HOSPITAL ESTADUAL DE TRAUMATOLOGIA VEREADOR MELCHIADES CALAZANS</v>
      </c>
      <c r="E145" s="272" t="str">
        <f>IFERROR(__xludf.DUMMYFUNCTION("""COMPUTED_VALUE"""),"BAIXADA FLUMINENSE")</f>
        <v>BAIXADA FLUMINENSE</v>
      </c>
      <c r="F145" s="268" t="str">
        <f>IFERROR(__xludf.DUMMYFUNCTION("""COMPUTED_VALUE"""),"Nilópolis")</f>
        <v>Nilópolis</v>
      </c>
      <c r="G145" s="268" t="str">
        <f>IFERROR(__xludf.DUMMYFUNCTION("""COMPUTED_VALUE"""),"CABUIS")</f>
        <v>CABUIS</v>
      </c>
      <c r="H145" s="268" t="str">
        <f>IFERROR(__xludf.DUMMYFUNCTION("""COMPUTED_VALUE"""),"Hospital de Apoio - MÉDIA COMPLEXIDADE
")</f>
        <v>Hospital de Apoio - MÉDIA COMPLEXIDADE
</v>
      </c>
      <c r="I145" s="268" t="str">
        <f>IFERROR(__xludf.DUMMYFUNCTION("""COMPUTED_VALUE"""),"Público")</f>
        <v>Público</v>
      </c>
      <c r="J145" s="268" t="str">
        <f>IFERROR(__xludf.DUMMYFUNCTION("""COMPUTED_VALUE"""),"")</f>
        <v/>
      </c>
      <c r="K145" s="268" t="str">
        <f>IFERROR(__xludf.DUMMYFUNCTION("""COMPUTED_VALUE"""),"")</f>
        <v/>
      </c>
      <c r="L145" s="268" t="str">
        <f>IFERROR(__xludf.DUMMYFUNCTION("""COMPUTED_VALUE"""),"")</f>
        <v/>
      </c>
      <c r="M145" s="268" t="str">
        <f>IFERROR(__xludf.DUMMYFUNCTION("""COMPUTED_VALUE"""),"")</f>
        <v/>
      </c>
      <c r="N145" s="268">
        <f>IFERROR(__xludf.DUMMYFUNCTION("""COMPUTED_VALUE"""),0.0)</f>
        <v>0</v>
      </c>
      <c r="O145" s="268">
        <f>IFERROR(__xludf.DUMMYFUNCTION("""COMPUTED_VALUE"""),0.0)</f>
        <v>0</v>
      </c>
      <c r="P145" s="268">
        <f>IFERROR(__xludf.DUMMYFUNCTION("""COMPUTED_VALUE"""),0.0)</f>
        <v>0</v>
      </c>
      <c r="Q145" s="268">
        <f>IFERROR(__xludf.DUMMYFUNCTION("""COMPUTED_VALUE"""),0.0)</f>
        <v>0</v>
      </c>
      <c r="R145" s="268">
        <f>IFERROR(__xludf.DUMMYFUNCTION("""COMPUTED_VALUE"""),0.0)</f>
        <v>0</v>
      </c>
      <c r="S145" s="268">
        <f>IFERROR(__xludf.DUMMYFUNCTION("""COMPUTED_VALUE"""),0.0)</f>
        <v>0</v>
      </c>
      <c r="T145" s="268">
        <f>IFERROR(__xludf.DUMMYFUNCTION("""COMPUTED_VALUE"""),100.0)</f>
        <v>100</v>
      </c>
      <c r="U145" s="268">
        <f>IFERROR(__xludf.DUMMYFUNCTION("""COMPUTED_VALUE"""),0.0)</f>
        <v>0</v>
      </c>
      <c r="V145" s="268">
        <f>IFERROR(__xludf.DUMMYFUNCTION("""COMPUTED_VALUE"""),0.0)</f>
        <v>0</v>
      </c>
      <c r="W145" s="268">
        <f>IFERROR(__xludf.DUMMYFUNCTION("""COMPUTED_VALUE"""),0.0)</f>
        <v>0</v>
      </c>
      <c r="X145" s="268">
        <f>IFERROR(__xludf.DUMMYFUNCTION("""COMPUTED_VALUE"""),0.0)</f>
        <v>0</v>
      </c>
      <c r="Y145" s="268">
        <f>IFERROR(__xludf.DUMMYFUNCTION("""COMPUTED_VALUE"""),0.0)</f>
        <v>0</v>
      </c>
      <c r="Z145" s="268">
        <f>IFERROR(__xludf.DUMMYFUNCTION("""COMPUTED_VALUE"""),-100.0)</f>
        <v>-100</v>
      </c>
      <c r="AA145" s="268">
        <f>IFERROR(__xludf.DUMMYFUNCTION("""COMPUTED_VALUE"""),0.0)</f>
        <v>0</v>
      </c>
      <c r="AB145" s="268">
        <f>IFERROR(__xludf.DUMMYFUNCTION("""COMPUTED_VALUE"""),0.0)</f>
        <v>0</v>
      </c>
      <c r="AC145" s="268">
        <f>IFERROR(__xludf.DUMMYFUNCTION("""COMPUTED_VALUE"""),0.0)</f>
        <v>0</v>
      </c>
      <c r="AD145" s="268">
        <f>IFERROR(__xludf.DUMMYFUNCTION("""COMPUTED_VALUE"""),0.0)</f>
        <v>0</v>
      </c>
      <c r="AE145" s="268">
        <f>IFERROR(__xludf.DUMMYFUNCTION("""COMPUTED_VALUE"""),0.0)</f>
        <v>0</v>
      </c>
      <c r="AF145" s="268" t="str">
        <f>IFERROR(__xludf.DUMMYFUNCTION("""COMPUTED_VALUE"""),"")</f>
        <v/>
      </c>
      <c r="AG145" s="268">
        <f>IFERROR(__xludf.DUMMYFUNCTION("""COMPUTED_VALUE"""),0.0)</f>
        <v>0</v>
      </c>
      <c r="AH145" s="268">
        <f>IFERROR(__xludf.DUMMYFUNCTION("""COMPUTED_VALUE"""),0.0)</f>
        <v>0</v>
      </c>
      <c r="AI145" s="268">
        <f>IFERROR(__xludf.DUMMYFUNCTION("""COMPUTED_VALUE"""),0.0)</f>
        <v>0</v>
      </c>
      <c r="AJ145" s="268"/>
    </row>
    <row r="146" ht="22.5" customHeight="1">
      <c r="A146" s="170" t="str">
        <f>IFERROR(__xludf.DUMMYFUNCTION("""COMPUTED_VALUE"""),"")</f>
        <v/>
      </c>
      <c r="B146" s="170" t="str">
        <f>IFERROR(__xludf.DUMMYFUNCTION("""COMPUTED_VALUE"""),"")</f>
        <v/>
      </c>
      <c r="C146" s="170">
        <f>IFERROR(__xludf.DUMMYFUNCTION("""COMPUTED_VALUE"""),303.0)</f>
        <v>303</v>
      </c>
      <c r="D146" s="170" t="str">
        <f>IFERROR(__xludf.DUMMYFUNCTION("""COMPUTED_VALUE"""),"Superintendencia de Vigilancia em Saude")</f>
        <v>Superintendencia de Vigilancia em Saude</v>
      </c>
      <c r="E146" s="270" t="str">
        <f>IFERROR(__xludf.DUMMYFUNCTION("""COMPUTED_VALUE"""),"REGIAO METROPOLITANA")</f>
        <v>REGIAO METROPOLITANA</v>
      </c>
      <c r="F146" s="170" t="str">
        <f>IFERROR(__xludf.DUMMYFUNCTION("""COMPUTED_VALUE"""),"Rio de Janeiro")</f>
        <v>Rio de Janeiro</v>
      </c>
      <c r="G146" s="170" t="str">
        <f>IFERROR(__xludf.DUMMYFUNCTION("""COMPUTED_VALUE"""),"Cidade Nova")</f>
        <v>Cidade Nova</v>
      </c>
      <c r="H146" s="170" t="str">
        <f>IFERROR(__xludf.DUMMYFUNCTION("""COMPUTED_VALUE"""),"Unidade básica de saúde - BAIXA COMPLEXIDADE
")</f>
        <v>Unidade básica de saúde - BAIXA COMPLEXIDADE
</v>
      </c>
      <c r="I146" s="170" t="str">
        <f>IFERROR(__xludf.DUMMYFUNCTION("""COMPUTED_VALUE"""),"Público")</f>
        <v>Público</v>
      </c>
      <c r="J146" s="170" t="str">
        <f>IFERROR(__xludf.DUMMYFUNCTION("""COMPUTED_VALUE"""),"")</f>
        <v/>
      </c>
      <c r="K146" s="170" t="str">
        <f>IFERROR(__xludf.DUMMYFUNCTION("""COMPUTED_VALUE"""),"")</f>
        <v/>
      </c>
      <c r="L146" s="170" t="str">
        <f>IFERROR(__xludf.DUMMYFUNCTION("""COMPUTED_VALUE"""),"")</f>
        <v/>
      </c>
      <c r="M146" s="170" t="str">
        <f>IFERROR(__xludf.DUMMYFUNCTION("""COMPUTED_VALUE"""),"")</f>
        <v/>
      </c>
      <c r="N146" s="170">
        <f>IFERROR(__xludf.DUMMYFUNCTION("""COMPUTED_VALUE"""),0.0)</f>
        <v>0</v>
      </c>
      <c r="O146" s="170">
        <f>IFERROR(__xludf.DUMMYFUNCTION("""COMPUTED_VALUE"""),0.0)</f>
        <v>0</v>
      </c>
      <c r="P146" s="170">
        <f>IFERROR(__xludf.DUMMYFUNCTION("""COMPUTED_VALUE"""),0.0)</f>
        <v>0</v>
      </c>
      <c r="Q146" s="170">
        <f>IFERROR(__xludf.DUMMYFUNCTION("""COMPUTED_VALUE"""),0.0)</f>
        <v>0</v>
      </c>
      <c r="R146" s="170">
        <f>IFERROR(__xludf.DUMMYFUNCTION("""COMPUTED_VALUE"""),0.0)</f>
        <v>0</v>
      </c>
      <c r="S146" s="170">
        <f>IFERROR(__xludf.DUMMYFUNCTION("""COMPUTED_VALUE"""),0.0)</f>
        <v>0</v>
      </c>
      <c r="T146" s="170">
        <f>IFERROR(__xludf.DUMMYFUNCTION("""COMPUTED_VALUE"""),50.0)</f>
        <v>50</v>
      </c>
      <c r="U146" s="170">
        <f>IFERROR(__xludf.DUMMYFUNCTION("""COMPUTED_VALUE"""),0.0)</f>
        <v>0</v>
      </c>
      <c r="V146" s="170">
        <f>IFERROR(__xludf.DUMMYFUNCTION("""COMPUTED_VALUE"""),0.0)</f>
        <v>0</v>
      </c>
      <c r="W146" s="170">
        <f>IFERROR(__xludf.DUMMYFUNCTION("""COMPUTED_VALUE"""),0.0)</f>
        <v>0</v>
      </c>
      <c r="X146" s="170">
        <f>IFERROR(__xludf.DUMMYFUNCTION("""COMPUTED_VALUE"""),0.0)</f>
        <v>0</v>
      </c>
      <c r="Y146" s="170">
        <f>IFERROR(__xludf.DUMMYFUNCTION("""COMPUTED_VALUE"""),0.0)</f>
        <v>0</v>
      </c>
      <c r="Z146" s="170">
        <f>IFERROR(__xludf.DUMMYFUNCTION("""COMPUTED_VALUE"""),-50.0)</f>
        <v>-50</v>
      </c>
      <c r="AA146" s="170">
        <f>IFERROR(__xludf.DUMMYFUNCTION("""COMPUTED_VALUE"""),0.0)</f>
        <v>0</v>
      </c>
      <c r="AB146" s="170">
        <f>IFERROR(__xludf.DUMMYFUNCTION("""COMPUTED_VALUE"""),0.0)</f>
        <v>0</v>
      </c>
      <c r="AC146" s="170">
        <f>IFERROR(__xludf.DUMMYFUNCTION("""COMPUTED_VALUE"""),0.0)</f>
        <v>0</v>
      </c>
      <c r="AD146" s="170">
        <f>IFERROR(__xludf.DUMMYFUNCTION("""COMPUTED_VALUE"""),0.0)</f>
        <v>0</v>
      </c>
      <c r="AE146" s="170">
        <f>IFERROR(__xludf.DUMMYFUNCTION("""COMPUTED_VALUE"""),0.0)</f>
        <v>0</v>
      </c>
      <c r="AF146" s="170" t="str">
        <f>IFERROR(__xludf.DUMMYFUNCTION("""COMPUTED_VALUE"""),"")</f>
        <v/>
      </c>
      <c r="AG146" s="170">
        <f>IFERROR(__xludf.DUMMYFUNCTION("""COMPUTED_VALUE"""),0.0)</f>
        <v>0</v>
      </c>
      <c r="AH146" s="170">
        <f>IFERROR(__xludf.DUMMYFUNCTION("""COMPUTED_VALUE"""),0.0)</f>
        <v>0</v>
      </c>
      <c r="AI146" s="170">
        <f>IFERROR(__xludf.DUMMYFUNCTION("""COMPUTED_VALUE"""),0.0)</f>
        <v>0</v>
      </c>
      <c r="AJ146" s="170"/>
    </row>
    <row r="147" ht="22.5" customHeight="1">
      <c r="A147" s="268" t="str">
        <f>IFERROR(__xludf.DUMMYFUNCTION("""COMPUTED_VALUE"""),"")</f>
        <v/>
      </c>
      <c r="B147" s="268" t="str">
        <f>IFERROR(__xludf.DUMMYFUNCTION("""COMPUTED_VALUE"""),"")</f>
        <v/>
      </c>
      <c r="C147" s="268">
        <f>IFERROR(__xludf.DUMMYFUNCTION("""COMPUTED_VALUE"""),304.0)</f>
        <v>304</v>
      </c>
      <c r="D147" s="268" t="str">
        <f>IFERROR(__xludf.DUMMYFUNCTION("""COMPUTED_VALUE"""),"UPA MARÉ")</f>
        <v>UPA MARÉ</v>
      </c>
      <c r="E147" s="272" t="str">
        <f>IFERROR(__xludf.DUMMYFUNCTION("""COMPUTED_VALUE"""),"REGIAO METROPOLITANA")</f>
        <v>REGIAO METROPOLITANA</v>
      </c>
      <c r="F147" s="268" t="str">
        <f>IFERROR(__xludf.DUMMYFUNCTION("""COMPUTED_VALUE"""),"RIO DE JANEIRO")</f>
        <v>RIO DE JANEIRO</v>
      </c>
      <c r="G147" s="268" t="str">
        <f>IFERROR(__xludf.DUMMYFUNCTION("""COMPUTED_VALUE"""),"BONSUCESSO")</f>
        <v>BONSUCESSO</v>
      </c>
      <c r="H147" s="268" t="str">
        <f>IFERROR(__xludf.DUMMYFUNCTION("""COMPUTED_VALUE"""),"Unidade básica de saúde - BAIXA COMPLEXIDADE
")</f>
        <v>Unidade básica de saúde - BAIXA COMPLEXIDADE
</v>
      </c>
      <c r="I147" s="268" t="str">
        <f>IFERROR(__xludf.DUMMYFUNCTION("""COMPUTED_VALUE"""),"Público")</f>
        <v>Público</v>
      </c>
      <c r="J147" s="268" t="str">
        <f>IFERROR(__xludf.DUMMYFUNCTION("""COMPUTED_VALUE"""),"")</f>
        <v/>
      </c>
      <c r="K147" s="268" t="str">
        <f>IFERROR(__xludf.DUMMYFUNCTION("""COMPUTED_VALUE"""),"")</f>
        <v/>
      </c>
      <c r="L147" s="268" t="str">
        <f>IFERROR(__xludf.DUMMYFUNCTION("""COMPUTED_VALUE"""),"")</f>
        <v/>
      </c>
      <c r="M147" s="268" t="str">
        <f>IFERROR(__xludf.DUMMYFUNCTION("""COMPUTED_VALUE"""),"")</f>
        <v/>
      </c>
      <c r="N147" s="268">
        <f>IFERROR(__xludf.DUMMYFUNCTION("""COMPUTED_VALUE"""),0.0)</f>
        <v>0</v>
      </c>
      <c r="O147" s="268">
        <f>IFERROR(__xludf.DUMMYFUNCTION("""COMPUTED_VALUE"""),0.0)</f>
        <v>0</v>
      </c>
      <c r="P147" s="268">
        <f>IFERROR(__xludf.DUMMYFUNCTION("""COMPUTED_VALUE"""),0.0)</f>
        <v>0</v>
      </c>
      <c r="Q147" s="268">
        <f>IFERROR(__xludf.DUMMYFUNCTION("""COMPUTED_VALUE"""),0.0)</f>
        <v>0</v>
      </c>
      <c r="R147" s="268">
        <f>IFERROR(__xludf.DUMMYFUNCTION("""COMPUTED_VALUE"""),0.0)</f>
        <v>0</v>
      </c>
      <c r="S147" s="268">
        <f>IFERROR(__xludf.DUMMYFUNCTION("""COMPUTED_VALUE"""),0.0)</f>
        <v>0</v>
      </c>
      <c r="T147" s="268">
        <f>IFERROR(__xludf.DUMMYFUNCTION("""COMPUTED_VALUE"""),50.0)</f>
        <v>50</v>
      </c>
      <c r="U147" s="268">
        <f>IFERROR(__xludf.DUMMYFUNCTION("""COMPUTED_VALUE"""),0.0)</f>
        <v>0</v>
      </c>
      <c r="V147" s="268">
        <f>IFERROR(__xludf.DUMMYFUNCTION("""COMPUTED_VALUE"""),0.0)</f>
        <v>0</v>
      </c>
      <c r="W147" s="268">
        <f>IFERROR(__xludf.DUMMYFUNCTION("""COMPUTED_VALUE"""),0.0)</f>
        <v>0</v>
      </c>
      <c r="X147" s="268">
        <f>IFERROR(__xludf.DUMMYFUNCTION("""COMPUTED_VALUE"""),50.0)</f>
        <v>50</v>
      </c>
      <c r="Y147" s="268">
        <f>IFERROR(__xludf.DUMMYFUNCTION("""COMPUTED_VALUE"""),0.0)</f>
        <v>0</v>
      </c>
      <c r="Z147" s="268">
        <f>IFERROR(__xludf.DUMMYFUNCTION("""COMPUTED_VALUE"""),-50.0)</f>
        <v>-50</v>
      </c>
      <c r="AA147" s="268">
        <f>IFERROR(__xludf.DUMMYFUNCTION("""COMPUTED_VALUE"""),0.0)</f>
        <v>0</v>
      </c>
      <c r="AB147" s="268">
        <f>IFERROR(__xludf.DUMMYFUNCTION("""COMPUTED_VALUE"""),0.0)</f>
        <v>0</v>
      </c>
      <c r="AC147" s="268">
        <f>IFERROR(__xludf.DUMMYFUNCTION("""COMPUTED_VALUE"""),0.0)</f>
        <v>0</v>
      </c>
      <c r="AD147" s="268">
        <f>IFERROR(__xludf.DUMMYFUNCTION("""COMPUTED_VALUE"""),0.0)</f>
        <v>0</v>
      </c>
      <c r="AE147" s="268">
        <f>IFERROR(__xludf.DUMMYFUNCTION("""COMPUTED_VALUE"""),-50.0)</f>
        <v>-50</v>
      </c>
      <c r="AF147" s="268" t="str">
        <f>IFERROR(__xludf.DUMMYFUNCTION("""COMPUTED_VALUE"""),"")</f>
        <v/>
      </c>
      <c r="AG147" s="268">
        <f>IFERROR(__xludf.DUMMYFUNCTION("""COMPUTED_VALUE"""),0.0)</f>
        <v>0</v>
      </c>
      <c r="AH147" s="268">
        <f>IFERROR(__xludf.DUMMYFUNCTION("""COMPUTED_VALUE"""),0.0)</f>
        <v>0</v>
      </c>
      <c r="AI147" s="268">
        <f>IFERROR(__xludf.DUMMYFUNCTION("""COMPUTED_VALUE"""),0.0)</f>
        <v>0</v>
      </c>
      <c r="AJ147" s="268"/>
    </row>
    <row r="148" ht="22.5" customHeight="1">
      <c r="A148" s="170" t="str">
        <f>IFERROR(__xludf.DUMMYFUNCTION("""COMPUTED_VALUE"""),"")</f>
        <v/>
      </c>
      <c r="B148" s="170" t="str">
        <f>IFERROR(__xludf.DUMMYFUNCTION("""COMPUTED_VALUE"""),"")</f>
        <v/>
      </c>
      <c r="C148" s="170">
        <f>IFERROR(__xludf.DUMMYFUNCTION("""COMPUTED_VALUE"""),305.0)</f>
        <v>305</v>
      </c>
      <c r="D148" s="170" t="str">
        <f>IFERROR(__xludf.DUMMYFUNCTION("""COMPUTED_VALUE"""),"HOSPITAL MUNICIPAL DR. ADALBERTO DA GRAÇA")</f>
        <v>HOSPITAL MUNICIPAL DR. ADALBERTO DA GRAÇA</v>
      </c>
      <c r="E148" s="270" t="str">
        <f>IFERROR(__xludf.DUMMYFUNCTION("""COMPUTED_VALUE"""),"BAIXADA FLUMINENSE")</f>
        <v>BAIXADA FLUMINENSE</v>
      </c>
      <c r="F148" s="170" t="str">
        <f>IFERROR(__xludf.DUMMYFUNCTION("""COMPUTED_VALUE"""),"Paracambi")</f>
        <v>Paracambi</v>
      </c>
      <c r="G148" s="170" t="str">
        <f>IFERROR(__xludf.DUMMYFUNCTION("""COMPUTED_VALUE"""),"Lages")</f>
        <v>Lages</v>
      </c>
      <c r="H148" s="170" t="str">
        <f>IFERROR(__xludf.DUMMYFUNCTION("""COMPUTED_VALUE"""),"Unidade básica de saúde - BAIXA COMPLEXIDADE
")</f>
        <v>Unidade básica de saúde - BAIXA COMPLEXIDADE
</v>
      </c>
      <c r="I148" s="170" t="str">
        <f>IFERROR(__xludf.DUMMYFUNCTION("""COMPUTED_VALUE"""),"Público")</f>
        <v>Público</v>
      </c>
      <c r="J148" s="170" t="str">
        <f>IFERROR(__xludf.DUMMYFUNCTION("""COMPUTED_VALUE"""),"")</f>
        <v/>
      </c>
      <c r="K148" s="170" t="str">
        <f>IFERROR(__xludf.DUMMYFUNCTION("""COMPUTED_VALUE"""),"")</f>
        <v/>
      </c>
      <c r="L148" s="170" t="str">
        <f>IFERROR(__xludf.DUMMYFUNCTION("""COMPUTED_VALUE"""),"")</f>
        <v/>
      </c>
      <c r="M148" s="170" t="str">
        <f>IFERROR(__xludf.DUMMYFUNCTION("""COMPUTED_VALUE"""),"")</f>
        <v/>
      </c>
      <c r="N148" s="170">
        <f>IFERROR(__xludf.DUMMYFUNCTION("""COMPUTED_VALUE"""),0.0)</f>
        <v>0</v>
      </c>
      <c r="O148" s="170">
        <f>IFERROR(__xludf.DUMMYFUNCTION("""COMPUTED_VALUE"""),0.0)</f>
        <v>0</v>
      </c>
      <c r="P148" s="170">
        <f>IFERROR(__xludf.DUMMYFUNCTION("""COMPUTED_VALUE"""),0.0)</f>
        <v>0</v>
      </c>
      <c r="Q148" s="170">
        <f>IFERROR(__xludf.DUMMYFUNCTION("""COMPUTED_VALUE"""),0.0)</f>
        <v>0</v>
      </c>
      <c r="R148" s="170">
        <f>IFERROR(__xludf.DUMMYFUNCTION("""COMPUTED_VALUE"""),0.0)</f>
        <v>0</v>
      </c>
      <c r="S148" s="170">
        <f>IFERROR(__xludf.DUMMYFUNCTION("""COMPUTED_VALUE"""),0.0)</f>
        <v>0</v>
      </c>
      <c r="T148" s="170">
        <f>IFERROR(__xludf.DUMMYFUNCTION("""COMPUTED_VALUE"""),50.0)</f>
        <v>50</v>
      </c>
      <c r="U148" s="170">
        <f>IFERROR(__xludf.DUMMYFUNCTION("""COMPUTED_VALUE"""),0.0)</f>
        <v>0</v>
      </c>
      <c r="V148" s="170">
        <f>IFERROR(__xludf.DUMMYFUNCTION("""COMPUTED_VALUE"""),0.0)</f>
        <v>0</v>
      </c>
      <c r="W148" s="170">
        <f>IFERROR(__xludf.DUMMYFUNCTION("""COMPUTED_VALUE"""),25.0)</f>
        <v>25</v>
      </c>
      <c r="X148" s="170">
        <f>IFERROR(__xludf.DUMMYFUNCTION("""COMPUTED_VALUE"""),0.0)</f>
        <v>0</v>
      </c>
      <c r="Y148" s="170">
        <f>IFERROR(__xludf.DUMMYFUNCTION("""COMPUTED_VALUE"""),0.0)</f>
        <v>0</v>
      </c>
      <c r="Z148" s="170">
        <f>IFERROR(__xludf.DUMMYFUNCTION("""COMPUTED_VALUE"""),-50.0)</f>
        <v>-50</v>
      </c>
      <c r="AA148" s="170">
        <f>IFERROR(__xludf.DUMMYFUNCTION("""COMPUTED_VALUE"""),0.0)</f>
        <v>0</v>
      </c>
      <c r="AB148" s="170">
        <f>IFERROR(__xludf.DUMMYFUNCTION("""COMPUTED_VALUE"""),0.0)</f>
        <v>0</v>
      </c>
      <c r="AC148" s="170">
        <f>IFERROR(__xludf.DUMMYFUNCTION("""COMPUTED_VALUE"""),-25.0)</f>
        <v>-25</v>
      </c>
      <c r="AD148" s="170">
        <f>IFERROR(__xludf.DUMMYFUNCTION("""COMPUTED_VALUE"""),0.0)</f>
        <v>0</v>
      </c>
      <c r="AE148" s="170">
        <f>IFERROR(__xludf.DUMMYFUNCTION("""COMPUTED_VALUE"""),0.0)</f>
        <v>0</v>
      </c>
      <c r="AF148" s="170" t="str">
        <f>IFERROR(__xludf.DUMMYFUNCTION("""COMPUTED_VALUE"""),"")</f>
        <v/>
      </c>
      <c r="AG148" s="170">
        <f>IFERROR(__xludf.DUMMYFUNCTION("""COMPUTED_VALUE"""),0.0)</f>
        <v>0</v>
      </c>
      <c r="AH148" s="170">
        <f>IFERROR(__xludf.DUMMYFUNCTION("""COMPUTED_VALUE"""),0.0)</f>
        <v>0</v>
      </c>
      <c r="AI148" s="170">
        <f>IFERROR(__xludf.DUMMYFUNCTION("""COMPUTED_VALUE"""),0.0)</f>
        <v>0</v>
      </c>
      <c r="AJ148" s="170"/>
    </row>
    <row r="149" ht="22.5" customHeight="1">
      <c r="A149" s="268" t="str">
        <f>IFERROR(__xludf.DUMMYFUNCTION("""COMPUTED_VALUE"""),"")</f>
        <v/>
      </c>
      <c r="B149" s="268" t="str">
        <f>IFERROR(__xludf.DUMMYFUNCTION("""COMPUTED_VALUE"""),"")</f>
        <v/>
      </c>
      <c r="C149" s="268">
        <f>IFERROR(__xludf.DUMMYFUNCTION("""COMPUTED_VALUE"""),306.0)</f>
        <v>306</v>
      </c>
      <c r="D149" s="268" t="str">
        <f>IFERROR(__xludf.DUMMYFUNCTION("""COMPUTED_VALUE"""),"Abraço Campeão")</f>
        <v>Abraço Campeão</v>
      </c>
      <c r="E149" s="272" t="str">
        <f>IFERROR(__xludf.DUMMYFUNCTION("""COMPUTED_VALUE"""),"ZONA NORTE")</f>
        <v>ZONA NORTE</v>
      </c>
      <c r="F149" s="268" t="str">
        <f>IFERROR(__xludf.DUMMYFUNCTION("""COMPUTED_VALUE"""),"Rio de Janeiro")</f>
        <v>Rio de Janeiro</v>
      </c>
      <c r="G149" s="268" t="str">
        <f>IFERROR(__xludf.DUMMYFUNCTION("""COMPUTED_VALUE"""),"Bonsucesso")</f>
        <v>Bonsucesso</v>
      </c>
      <c r="H149" s="268" t="str">
        <f>IFERROR(__xludf.DUMMYFUNCTION("""COMPUTED_VALUE"""),"Outra Instituição")</f>
        <v>Outra Instituição</v>
      </c>
      <c r="I149" s="268" t="str">
        <f>IFERROR(__xludf.DUMMYFUNCTION("""COMPUTED_VALUE"""),"Público")</f>
        <v>Público</v>
      </c>
      <c r="J149" s="268" t="str">
        <f>IFERROR(__xludf.DUMMYFUNCTION("""COMPUTED_VALUE"""),"")</f>
        <v/>
      </c>
      <c r="K149" s="268" t="str">
        <f>IFERROR(__xludf.DUMMYFUNCTION("""COMPUTED_VALUE"""),"")</f>
        <v/>
      </c>
      <c r="L149" s="268" t="str">
        <f>IFERROR(__xludf.DUMMYFUNCTION("""COMPUTED_VALUE"""),"")</f>
        <v/>
      </c>
      <c r="M149" s="268" t="str">
        <f>IFERROR(__xludf.DUMMYFUNCTION("""COMPUTED_VALUE"""),"")</f>
        <v/>
      </c>
      <c r="N149" s="268">
        <f>IFERROR(__xludf.DUMMYFUNCTION("""COMPUTED_VALUE"""),0.0)</f>
        <v>0</v>
      </c>
      <c r="O149" s="268">
        <f>IFERROR(__xludf.DUMMYFUNCTION("""COMPUTED_VALUE"""),0.0)</f>
        <v>0</v>
      </c>
      <c r="P149" s="268">
        <f>IFERROR(__xludf.DUMMYFUNCTION("""COMPUTED_VALUE"""),0.0)</f>
        <v>0</v>
      </c>
      <c r="Q149" s="268">
        <f>IFERROR(__xludf.DUMMYFUNCTION("""COMPUTED_VALUE"""),0.0)</f>
        <v>0</v>
      </c>
      <c r="R149" s="268">
        <f>IFERROR(__xludf.DUMMYFUNCTION("""COMPUTED_VALUE"""),0.0)</f>
        <v>0</v>
      </c>
      <c r="S149" s="268">
        <f>IFERROR(__xludf.DUMMYFUNCTION("""COMPUTED_VALUE"""),0.0)</f>
        <v>0</v>
      </c>
      <c r="T149" s="268">
        <f>IFERROR(__xludf.DUMMYFUNCTION("""COMPUTED_VALUE"""),17.0)</f>
        <v>17</v>
      </c>
      <c r="U149" s="268">
        <f>IFERROR(__xludf.DUMMYFUNCTION("""COMPUTED_VALUE"""),0.0)</f>
        <v>0</v>
      </c>
      <c r="V149" s="268">
        <f>IFERROR(__xludf.DUMMYFUNCTION("""COMPUTED_VALUE"""),0.0)</f>
        <v>0</v>
      </c>
      <c r="W149" s="268">
        <f>IFERROR(__xludf.DUMMYFUNCTION("""COMPUTED_VALUE"""),0.0)</f>
        <v>0</v>
      </c>
      <c r="X149" s="268">
        <f>IFERROR(__xludf.DUMMYFUNCTION("""COMPUTED_VALUE"""),0.0)</f>
        <v>0</v>
      </c>
      <c r="Y149" s="268">
        <f>IFERROR(__xludf.DUMMYFUNCTION("""COMPUTED_VALUE"""),0.0)</f>
        <v>0</v>
      </c>
      <c r="Z149" s="268">
        <f>IFERROR(__xludf.DUMMYFUNCTION("""COMPUTED_VALUE"""),-17.0)</f>
        <v>-17</v>
      </c>
      <c r="AA149" s="268">
        <f>IFERROR(__xludf.DUMMYFUNCTION("""COMPUTED_VALUE"""),0.0)</f>
        <v>0</v>
      </c>
      <c r="AB149" s="268">
        <f>IFERROR(__xludf.DUMMYFUNCTION("""COMPUTED_VALUE"""),0.0)</f>
        <v>0</v>
      </c>
      <c r="AC149" s="268">
        <f>IFERROR(__xludf.DUMMYFUNCTION("""COMPUTED_VALUE"""),0.0)</f>
        <v>0</v>
      </c>
      <c r="AD149" s="268">
        <f>IFERROR(__xludf.DUMMYFUNCTION("""COMPUTED_VALUE"""),0.0)</f>
        <v>0</v>
      </c>
      <c r="AE149" s="268">
        <f>IFERROR(__xludf.DUMMYFUNCTION("""COMPUTED_VALUE"""),0.0)</f>
        <v>0</v>
      </c>
      <c r="AF149" s="268" t="str">
        <f>IFERROR(__xludf.DUMMYFUNCTION("""COMPUTED_VALUE"""),"")</f>
        <v/>
      </c>
      <c r="AG149" s="268">
        <f>IFERROR(__xludf.DUMMYFUNCTION("""COMPUTED_VALUE"""),0.0)</f>
        <v>0</v>
      </c>
      <c r="AH149" s="268">
        <f>IFERROR(__xludf.DUMMYFUNCTION("""COMPUTED_VALUE"""),0.0)</f>
        <v>0</v>
      </c>
      <c r="AI149" s="268">
        <f>IFERROR(__xludf.DUMMYFUNCTION("""COMPUTED_VALUE"""),0.0)</f>
        <v>0</v>
      </c>
      <c r="AJ149" s="268"/>
    </row>
    <row r="150" ht="22.5" customHeight="1">
      <c r="A150" s="170" t="str">
        <f>IFERROR(__xludf.DUMMYFUNCTION("""COMPUTED_VALUE"""),"")</f>
        <v/>
      </c>
      <c r="B150" s="170" t="str">
        <f>IFERROR(__xludf.DUMMYFUNCTION("""COMPUTED_VALUE"""),"")</f>
        <v/>
      </c>
      <c r="C150" s="170">
        <f>IFERROR(__xludf.DUMMYFUNCTION("""COMPUTED_VALUE"""),307.0)</f>
        <v>307</v>
      </c>
      <c r="D150" s="170" t="str">
        <f>IFERROR(__xludf.DUMMYFUNCTION("""COMPUTED_VALUE"""),"Ação Social do Grajaú")</f>
        <v>Ação Social do Grajaú</v>
      </c>
      <c r="E150" s="270" t="str">
        <f>IFERROR(__xludf.DUMMYFUNCTION("""COMPUTED_VALUE"""),"ZONA NORTE")</f>
        <v>ZONA NORTE</v>
      </c>
      <c r="F150" s="170" t="str">
        <f>IFERROR(__xludf.DUMMYFUNCTION("""COMPUTED_VALUE"""),"Rio de Janeiro")</f>
        <v>Rio de Janeiro</v>
      </c>
      <c r="G150" s="170" t="str">
        <f>IFERROR(__xludf.DUMMYFUNCTION("""COMPUTED_VALUE"""),"Grajau")</f>
        <v>Grajau</v>
      </c>
      <c r="H150" s="170" t="str">
        <f>IFERROR(__xludf.DUMMYFUNCTION("""COMPUTED_VALUE"""),"Outra Instituição")</f>
        <v>Outra Instituição</v>
      </c>
      <c r="I150" s="170" t="str">
        <f>IFERROR(__xludf.DUMMYFUNCTION("""COMPUTED_VALUE"""),"Público")</f>
        <v>Público</v>
      </c>
      <c r="J150" s="170" t="str">
        <f>IFERROR(__xludf.DUMMYFUNCTION("""COMPUTED_VALUE"""),"")</f>
        <v/>
      </c>
      <c r="K150" s="170" t="str">
        <f>IFERROR(__xludf.DUMMYFUNCTION("""COMPUTED_VALUE"""),"")</f>
        <v/>
      </c>
      <c r="L150" s="170" t="str">
        <f>IFERROR(__xludf.DUMMYFUNCTION("""COMPUTED_VALUE"""),"")</f>
        <v/>
      </c>
      <c r="M150" s="170" t="str">
        <f>IFERROR(__xludf.DUMMYFUNCTION("""COMPUTED_VALUE"""),"")</f>
        <v/>
      </c>
      <c r="N150" s="170">
        <f>IFERROR(__xludf.DUMMYFUNCTION("""COMPUTED_VALUE"""),0.0)</f>
        <v>0</v>
      </c>
      <c r="O150" s="170">
        <f>IFERROR(__xludf.DUMMYFUNCTION("""COMPUTED_VALUE"""),0.0)</f>
        <v>0</v>
      </c>
      <c r="P150" s="170">
        <f>IFERROR(__xludf.DUMMYFUNCTION("""COMPUTED_VALUE"""),0.0)</f>
        <v>0</v>
      </c>
      <c r="Q150" s="170">
        <f>IFERROR(__xludf.DUMMYFUNCTION("""COMPUTED_VALUE"""),0.0)</f>
        <v>0</v>
      </c>
      <c r="R150" s="170">
        <f>IFERROR(__xludf.DUMMYFUNCTION("""COMPUTED_VALUE"""),0.0)</f>
        <v>0</v>
      </c>
      <c r="S150" s="170">
        <f>IFERROR(__xludf.DUMMYFUNCTION("""COMPUTED_VALUE"""),0.0)</f>
        <v>0</v>
      </c>
      <c r="T150" s="170">
        <f>IFERROR(__xludf.DUMMYFUNCTION("""COMPUTED_VALUE"""),10.0)</f>
        <v>10</v>
      </c>
      <c r="U150" s="170">
        <f>IFERROR(__xludf.DUMMYFUNCTION("""COMPUTED_VALUE"""),0.0)</f>
        <v>0</v>
      </c>
      <c r="V150" s="170">
        <f>IFERROR(__xludf.DUMMYFUNCTION("""COMPUTED_VALUE"""),0.0)</f>
        <v>0</v>
      </c>
      <c r="W150" s="170">
        <f>IFERROR(__xludf.DUMMYFUNCTION("""COMPUTED_VALUE"""),0.0)</f>
        <v>0</v>
      </c>
      <c r="X150" s="170">
        <f>IFERROR(__xludf.DUMMYFUNCTION("""COMPUTED_VALUE"""),0.0)</f>
        <v>0</v>
      </c>
      <c r="Y150" s="170">
        <f>IFERROR(__xludf.DUMMYFUNCTION("""COMPUTED_VALUE"""),0.0)</f>
        <v>0</v>
      </c>
      <c r="Z150" s="170">
        <f>IFERROR(__xludf.DUMMYFUNCTION("""COMPUTED_VALUE"""),-10.0)</f>
        <v>-10</v>
      </c>
      <c r="AA150" s="170">
        <f>IFERROR(__xludf.DUMMYFUNCTION("""COMPUTED_VALUE"""),0.0)</f>
        <v>0</v>
      </c>
      <c r="AB150" s="170">
        <f>IFERROR(__xludf.DUMMYFUNCTION("""COMPUTED_VALUE"""),0.0)</f>
        <v>0</v>
      </c>
      <c r="AC150" s="170">
        <f>IFERROR(__xludf.DUMMYFUNCTION("""COMPUTED_VALUE"""),0.0)</f>
        <v>0</v>
      </c>
      <c r="AD150" s="170">
        <f>IFERROR(__xludf.DUMMYFUNCTION("""COMPUTED_VALUE"""),0.0)</f>
        <v>0</v>
      </c>
      <c r="AE150" s="170">
        <f>IFERROR(__xludf.DUMMYFUNCTION("""COMPUTED_VALUE"""),0.0)</f>
        <v>0</v>
      </c>
      <c r="AF150" s="170" t="str">
        <f>IFERROR(__xludf.DUMMYFUNCTION("""COMPUTED_VALUE"""),"")</f>
        <v/>
      </c>
      <c r="AG150" s="170">
        <f>IFERROR(__xludf.DUMMYFUNCTION("""COMPUTED_VALUE"""),0.0)</f>
        <v>0</v>
      </c>
      <c r="AH150" s="170">
        <f>IFERROR(__xludf.DUMMYFUNCTION("""COMPUTED_VALUE"""),0.0)</f>
        <v>0</v>
      </c>
      <c r="AI150" s="170">
        <f>IFERROR(__xludf.DUMMYFUNCTION("""COMPUTED_VALUE"""),0.0)</f>
        <v>0</v>
      </c>
      <c r="AJ150" s="170"/>
    </row>
    <row r="151" ht="22.5" customHeight="1">
      <c r="A151" s="268" t="str">
        <f>IFERROR(__xludf.DUMMYFUNCTION("""COMPUTED_VALUE"""),"")</f>
        <v/>
      </c>
      <c r="B151" s="268" t="str">
        <f>IFERROR(__xludf.DUMMYFUNCTION("""COMPUTED_VALUE"""),"")</f>
        <v/>
      </c>
      <c r="C151" s="268">
        <f>IFERROR(__xludf.DUMMYFUNCTION("""COMPUTED_VALUE"""),308.0)</f>
        <v>308</v>
      </c>
      <c r="D151" s="268" t="str">
        <f>IFERROR(__xludf.DUMMYFUNCTION("""COMPUTED_VALUE"""),"Hospital Samaritano")</f>
        <v>Hospital Samaritano</v>
      </c>
      <c r="E151" s="272" t="str">
        <f>IFERROR(__xludf.DUMMYFUNCTION("""COMPUTED_VALUE"""),"ZONA SUL")</f>
        <v>ZONA SUL</v>
      </c>
      <c r="F151" s="268" t="str">
        <f>IFERROR(__xludf.DUMMYFUNCTION("""COMPUTED_VALUE"""),"Rio de Janeiro")</f>
        <v>Rio de Janeiro</v>
      </c>
      <c r="G151" s="268" t="str">
        <f>IFERROR(__xludf.DUMMYFUNCTION("""COMPUTED_VALUE"""),"Botafogo")</f>
        <v>Botafogo</v>
      </c>
      <c r="H151" s="268" t="str">
        <f>IFERROR(__xludf.DUMMYFUNCTION("""COMPUTED_VALUE"""),"Referência - ALTA COMPLEXIDADE")</f>
        <v>Referência - ALTA COMPLEXIDADE</v>
      </c>
      <c r="I151" s="268" t="str">
        <f>IFERROR(__xludf.DUMMYFUNCTION("""COMPUTED_VALUE"""),"Público")</f>
        <v>Público</v>
      </c>
      <c r="J151" s="268" t="str">
        <f>IFERROR(__xludf.DUMMYFUNCTION("""COMPUTED_VALUE"""),"")</f>
        <v/>
      </c>
      <c r="K151" s="268" t="str">
        <f>IFERROR(__xludf.DUMMYFUNCTION("""COMPUTED_VALUE"""),"")</f>
        <v/>
      </c>
      <c r="L151" s="268" t="str">
        <f>IFERROR(__xludf.DUMMYFUNCTION("""COMPUTED_VALUE"""),"")</f>
        <v/>
      </c>
      <c r="M151" s="268" t="str">
        <f>IFERROR(__xludf.DUMMYFUNCTION("""COMPUTED_VALUE"""),"")</f>
        <v/>
      </c>
      <c r="N151" s="268">
        <f>IFERROR(__xludf.DUMMYFUNCTION("""COMPUTED_VALUE"""),0.0)</f>
        <v>0</v>
      </c>
      <c r="O151" s="268">
        <f>IFERROR(__xludf.DUMMYFUNCTION("""COMPUTED_VALUE"""),0.0)</f>
        <v>0</v>
      </c>
      <c r="P151" s="268">
        <f>IFERROR(__xludf.DUMMYFUNCTION("""COMPUTED_VALUE"""),0.0)</f>
        <v>0</v>
      </c>
      <c r="Q151" s="268">
        <f>IFERROR(__xludf.DUMMYFUNCTION("""COMPUTED_VALUE"""),0.0)</f>
        <v>0</v>
      </c>
      <c r="R151" s="268">
        <f>IFERROR(__xludf.DUMMYFUNCTION("""COMPUTED_VALUE"""),0.0)</f>
        <v>0</v>
      </c>
      <c r="S151" s="268">
        <f>IFERROR(__xludf.DUMMYFUNCTION("""COMPUTED_VALUE"""),0.0)</f>
        <v>0</v>
      </c>
      <c r="T151" s="268">
        <f>IFERROR(__xludf.DUMMYFUNCTION("""COMPUTED_VALUE"""),75.0)</f>
        <v>75</v>
      </c>
      <c r="U151" s="268">
        <f>IFERROR(__xludf.DUMMYFUNCTION("""COMPUTED_VALUE"""),0.0)</f>
        <v>0</v>
      </c>
      <c r="V151" s="268">
        <f>IFERROR(__xludf.DUMMYFUNCTION("""COMPUTED_VALUE"""),0.0)</f>
        <v>0</v>
      </c>
      <c r="W151" s="268">
        <f>IFERROR(__xludf.DUMMYFUNCTION("""COMPUTED_VALUE"""),0.0)</f>
        <v>0</v>
      </c>
      <c r="X151" s="268">
        <f>IFERROR(__xludf.DUMMYFUNCTION("""COMPUTED_VALUE"""),0.0)</f>
        <v>0</v>
      </c>
      <c r="Y151" s="268">
        <f>IFERROR(__xludf.DUMMYFUNCTION("""COMPUTED_VALUE"""),0.0)</f>
        <v>0</v>
      </c>
      <c r="Z151" s="268">
        <f>IFERROR(__xludf.DUMMYFUNCTION("""COMPUTED_VALUE"""),-75.0)</f>
        <v>-75</v>
      </c>
      <c r="AA151" s="268">
        <f>IFERROR(__xludf.DUMMYFUNCTION("""COMPUTED_VALUE"""),0.0)</f>
        <v>0</v>
      </c>
      <c r="AB151" s="268">
        <f>IFERROR(__xludf.DUMMYFUNCTION("""COMPUTED_VALUE"""),0.0)</f>
        <v>0</v>
      </c>
      <c r="AC151" s="268">
        <f>IFERROR(__xludf.DUMMYFUNCTION("""COMPUTED_VALUE"""),0.0)</f>
        <v>0</v>
      </c>
      <c r="AD151" s="268">
        <f>IFERROR(__xludf.DUMMYFUNCTION("""COMPUTED_VALUE"""),0.0)</f>
        <v>0</v>
      </c>
      <c r="AE151" s="268">
        <f>IFERROR(__xludf.DUMMYFUNCTION("""COMPUTED_VALUE"""),0.0)</f>
        <v>0</v>
      </c>
      <c r="AF151" s="268" t="str">
        <f>IFERROR(__xludf.DUMMYFUNCTION("""COMPUTED_VALUE"""),"")</f>
        <v/>
      </c>
      <c r="AG151" s="268">
        <f>IFERROR(__xludf.DUMMYFUNCTION("""COMPUTED_VALUE"""),0.0)</f>
        <v>0</v>
      </c>
      <c r="AH151" s="268">
        <f>IFERROR(__xludf.DUMMYFUNCTION("""COMPUTED_VALUE"""),0.0)</f>
        <v>0</v>
      </c>
      <c r="AI151" s="268">
        <f>IFERROR(__xludf.DUMMYFUNCTION("""COMPUTED_VALUE"""),0.0)</f>
        <v>0</v>
      </c>
      <c r="AJ151" s="268"/>
    </row>
    <row r="152" ht="22.5" customHeight="1">
      <c r="A152" s="170" t="str">
        <f>IFERROR(__xludf.DUMMYFUNCTION("""COMPUTED_VALUE"""),"")</f>
        <v/>
      </c>
      <c r="B152" s="170" t="str">
        <f>IFERROR(__xludf.DUMMYFUNCTION("""COMPUTED_VALUE"""),"")</f>
        <v/>
      </c>
      <c r="C152" s="170">
        <f>IFERROR(__xludf.DUMMYFUNCTION("""COMPUTED_VALUE"""),309.0)</f>
        <v>309</v>
      </c>
      <c r="D152" s="170" t="str">
        <f>IFERROR(__xludf.DUMMYFUNCTION("""COMPUTED_VALUE"""),"Hospital Samaritano - Botafogo")</f>
        <v>Hospital Samaritano - Botafogo</v>
      </c>
      <c r="E152" s="270" t="str">
        <f>IFERROR(__xludf.DUMMYFUNCTION("""COMPUTED_VALUE"""),"ZONA SUL")</f>
        <v>ZONA SUL</v>
      </c>
      <c r="F152" s="170" t="str">
        <f>IFERROR(__xludf.DUMMYFUNCTION("""COMPUTED_VALUE"""),"Rio de Janeiro")</f>
        <v>Rio de Janeiro</v>
      </c>
      <c r="G152" s="170" t="str">
        <f>IFERROR(__xludf.DUMMYFUNCTION("""COMPUTED_VALUE"""),"Botafogo")</f>
        <v>Botafogo</v>
      </c>
      <c r="H152" s="170" t="str">
        <f>IFERROR(__xludf.DUMMYFUNCTION("""COMPUTED_VALUE"""),"REferência - ALTA COMPLEXIDADE")</f>
        <v>REferência - ALTA COMPLEXIDADE</v>
      </c>
      <c r="I152" s="170" t="str">
        <f>IFERROR(__xludf.DUMMYFUNCTION("""COMPUTED_VALUE"""),"Público")</f>
        <v>Público</v>
      </c>
      <c r="J152" s="170" t="str">
        <f>IFERROR(__xludf.DUMMYFUNCTION("""COMPUTED_VALUE"""),"")</f>
        <v/>
      </c>
      <c r="K152" s="170" t="str">
        <f>IFERROR(__xludf.DUMMYFUNCTION("""COMPUTED_VALUE"""),"")</f>
        <v/>
      </c>
      <c r="L152" s="170" t="str">
        <f>IFERROR(__xludf.DUMMYFUNCTION("""COMPUTED_VALUE"""),"")</f>
        <v/>
      </c>
      <c r="M152" s="170" t="str">
        <f>IFERROR(__xludf.DUMMYFUNCTION("""COMPUTED_VALUE"""),"")</f>
        <v/>
      </c>
      <c r="N152" s="170">
        <f>IFERROR(__xludf.DUMMYFUNCTION("""COMPUTED_VALUE"""),0.0)</f>
        <v>0</v>
      </c>
      <c r="O152" s="170">
        <f>IFERROR(__xludf.DUMMYFUNCTION("""COMPUTED_VALUE"""),0.0)</f>
        <v>0</v>
      </c>
      <c r="P152" s="170">
        <f>IFERROR(__xludf.DUMMYFUNCTION("""COMPUTED_VALUE"""),0.0)</f>
        <v>0</v>
      </c>
      <c r="Q152" s="170">
        <f>IFERROR(__xludf.DUMMYFUNCTION("""COMPUTED_VALUE"""),0.0)</f>
        <v>0</v>
      </c>
      <c r="R152" s="170">
        <f>IFERROR(__xludf.DUMMYFUNCTION("""COMPUTED_VALUE"""),0.0)</f>
        <v>0</v>
      </c>
      <c r="S152" s="170">
        <f>IFERROR(__xludf.DUMMYFUNCTION("""COMPUTED_VALUE"""),0.0)</f>
        <v>0</v>
      </c>
      <c r="T152" s="170">
        <f>IFERROR(__xludf.DUMMYFUNCTION("""COMPUTED_VALUE"""),75.0)</f>
        <v>75</v>
      </c>
      <c r="U152" s="170">
        <f>IFERROR(__xludf.DUMMYFUNCTION("""COMPUTED_VALUE"""),0.0)</f>
        <v>0</v>
      </c>
      <c r="V152" s="170">
        <f>IFERROR(__xludf.DUMMYFUNCTION("""COMPUTED_VALUE"""),0.0)</f>
        <v>0</v>
      </c>
      <c r="W152" s="170">
        <f>IFERROR(__xludf.DUMMYFUNCTION("""COMPUTED_VALUE"""),0.0)</f>
        <v>0</v>
      </c>
      <c r="X152" s="170">
        <f>IFERROR(__xludf.DUMMYFUNCTION("""COMPUTED_VALUE"""),0.0)</f>
        <v>0</v>
      </c>
      <c r="Y152" s="170">
        <f>IFERROR(__xludf.DUMMYFUNCTION("""COMPUTED_VALUE"""),0.0)</f>
        <v>0</v>
      </c>
      <c r="Z152" s="170">
        <f>IFERROR(__xludf.DUMMYFUNCTION("""COMPUTED_VALUE"""),-75.0)</f>
        <v>-75</v>
      </c>
      <c r="AA152" s="170">
        <f>IFERROR(__xludf.DUMMYFUNCTION("""COMPUTED_VALUE"""),0.0)</f>
        <v>0</v>
      </c>
      <c r="AB152" s="170">
        <f>IFERROR(__xludf.DUMMYFUNCTION("""COMPUTED_VALUE"""),0.0)</f>
        <v>0</v>
      </c>
      <c r="AC152" s="170">
        <f>IFERROR(__xludf.DUMMYFUNCTION("""COMPUTED_VALUE"""),0.0)</f>
        <v>0</v>
      </c>
      <c r="AD152" s="170">
        <f>IFERROR(__xludf.DUMMYFUNCTION("""COMPUTED_VALUE"""),0.0)</f>
        <v>0</v>
      </c>
      <c r="AE152" s="170">
        <f>IFERROR(__xludf.DUMMYFUNCTION("""COMPUTED_VALUE"""),0.0)</f>
        <v>0</v>
      </c>
      <c r="AF152" s="170" t="str">
        <f>IFERROR(__xludf.DUMMYFUNCTION("""COMPUTED_VALUE"""),"")</f>
        <v/>
      </c>
      <c r="AG152" s="170">
        <f>IFERROR(__xludf.DUMMYFUNCTION("""COMPUTED_VALUE"""),0.0)</f>
        <v>0</v>
      </c>
      <c r="AH152" s="170">
        <f>IFERROR(__xludf.DUMMYFUNCTION("""COMPUTED_VALUE"""),0.0)</f>
        <v>0</v>
      </c>
      <c r="AI152" s="170">
        <f>IFERROR(__xludf.DUMMYFUNCTION("""COMPUTED_VALUE"""),0.0)</f>
        <v>0</v>
      </c>
      <c r="AJ152" s="170"/>
    </row>
    <row r="153" ht="22.5" customHeight="1">
      <c r="A153" s="268" t="str">
        <f>IFERROR(__xludf.DUMMYFUNCTION("""COMPUTED_VALUE"""),"")</f>
        <v/>
      </c>
      <c r="B153" s="268" t="str">
        <f>IFERROR(__xludf.DUMMYFUNCTION("""COMPUTED_VALUE"""),"")</f>
        <v/>
      </c>
      <c r="C153" s="268">
        <f>IFERROR(__xludf.DUMMYFUNCTION("""COMPUTED_VALUE"""),310.0)</f>
        <v>310</v>
      </c>
      <c r="D153" s="268" t="str">
        <f>IFERROR(__xludf.DUMMYFUNCTION("""COMPUTED_VALUE"""),"IPPMG - UFRJ")</f>
        <v>IPPMG - UFRJ</v>
      </c>
      <c r="E153" s="272" t="str">
        <f>IFERROR(__xludf.DUMMYFUNCTION("""COMPUTED_VALUE"""),"ZONA NORTE")</f>
        <v>ZONA NORTE</v>
      </c>
      <c r="F153" s="268" t="str">
        <f>IFERROR(__xludf.DUMMYFUNCTION("""COMPUTED_VALUE"""),"Rio de Janeiro")</f>
        <v>Rio de Janeiro</v>
      </c>
      <c r="G153" s="268" t="str">
        <f>IFERROR(__xludf.DUMMYFUNCTION("""COMPUTED_VALUE"""),"Cidade Universitaria")</f>
        <v>Cidade Universitaria</v>
      </c>
      <c r="H153" s="268" t="str">
        <f>IFERROR(__xludf.DUMMYFUNCTION("""COMPUTED_VALUE"""),"Referência - ALTA COMPLEXIDADE")</f>
        <v>Referência - ALTA COMPLEXIDADE</v>
      </c>
      <c r="I153" s="268" t="str">
        <f>IFERROR(__xludf.DUMMYFUNCTION("""COMPUTED_VALUE"""),"Público")</f>
        <v>Público</v>
      </c>
      <c r="J153" s="268" t="str">
        <f>IFERROR(__xludf.DUMMYFUNCTION("""COMPUTED_VALUE"""),"")</f>
        <v/>
      </c>
      <c r="K153" s="268" t="str">
        <f>IFERROR(__xludf.DUMMYFUNCTION("""COMPUTED_VALUE"""),"")</f>
        <v/>
      </c>
      <c r="L153" s="268" t="str">
        <f>IFERROR(__xludf.DUMMYFUNCTION("""COMPUTED_VALUE"""),"")</f>
        <v/>
      </c>
      <c r="M153" s="268" t="str">
        <f>IFERROR(__xludf.DUMMYFUNCTION("""COMPUTED_VALUE"""),"")</f>
        <v/>
      </c>
      <c r="N153" s="268">
        <f>IFERROR(__xludf.DUMMYFUNCTION("""COMPUTED_VALUE"""),0.0)</f>
        <v>0</v>
      </c>
      <c r="O153" s="268">
        <f>IFERROR(__xludf.DUMMYFUNCTION("""COMPUTED_VALUE"""),0.0)</f>
        <v>0</v>
      </c>
      <c r="P153" s="268">
        <f>IFERROR(__xludf.DUMMYFUNCTION("""COMPUTED_VALUE"""),0.0)</f>
        <v>0</v>
      </c>
      <c r="Q153" s="268">
        <f>IFERROR(__xludf.DUMMYFUNCTION("""COMPUTED_VALUE"""),0.0)</f>
        <v>0</v>
      </c>
      <c r="R153" s="268">
        <f>IFERROR(__xludf.DUMMYFUNCTION("""COMPUTED_VALUE"""),0.0)</f>
        <v>0</v>
      </c>
      <c r="S153" s="268">
        <f>IFERROR(__xludf.DUMMYFUNCTION("""COMPUTED_VALUE"""),0.0)</f>
        <v>0</v>
      </c>
      <c r="T153" s="268">
        <f>IFERROR(__xludf.DUMMYFUNCTION("""COMPUTED_VALUE"""),14.0)</f>
        <v>14</v>
      </c>
      <c r="U153" s="268">
        <f>IFERROR(__xludf.DUMMYFUNCTION("""COMPUTED_VALUE"""),0.0)</f>
        <v>0</v>
      </c>
      <c r="V153" s="268">
        <f>IFERROR(__xludf.DUMMYFUNCTION("""COMPUTED_VALUE"""),0.0)</f>
        <v>0</v>
      </c>
      <c r="W153" s="268">
        <f>IFERROR(__xludf.DUMMYFUNCTION("""COMPUTED_VALUE"""),0.0)</f>
        <v>0</v>
      </c>
      <c r="X153" s="268">
        <f>IFERROR(__xludf.DUMMYFUNCTION("""COMPUTED_VALUE"""),0.0)</f>
        <v>0</v>
      </c>
      <c r="Y153" s="268">
        <f>IFERROR(__xludf.DUMMYFUNCTION("""COMPUTED_VALUE"""),0.0)</f>
        <v>0</v>
      </c>
      <c r="Z153" s="268">
        <f>IFERROR(__xludf.DUMMYFUNCTION("""COMPUTED_VALUE"""),-14.0)</f>
        <v>-14</v>
      </c>
      <c r="AA153" s="268">
        <f>IFERROR(__xludf.DUMMYFUNCTION("""COMPUTED_VALUE"""),0.0)</f>
        <v>0</v>
      </c>
      <c r="AB153" s="268">
        <f>IFERROR(__xludf.DUMMYFUNCTION("""COMPUTED_VALUE"""),0.0)</f>
        <v>0</v>
      </c>
      <c r="AC153" s="268">
        <f>IFERROR(__xludf.DUMMYFUNCTION("""COMPUTED_VALUE"""),0.0)</f>
        <v>0</v>
      </c>
      <c r="AD153" s="268">
        <f>IFERROR(__xludf.DUMMYFUNCTION("""COMPUTED_VALUE"""),0.0)</f>
        <v>0</v>
      </c>
      <c r="AE153" s="268">
        <f>IFERROR(__xludf.DUMMYFUNCTION("""COMPUTED_VALUE"""),0.0)</f>
        <v>0</v>
      </c>
      <c r="AF153" s="268" t="str">
        <f>IFERROR(__xludf.DUMMYFUNCTION("""COMPUTED_VALUE"""),"")</f>
        <v/>
      </c>
      <c r="AG153" s="268">
        <f>IFERROR(__xludf.DUMMYFUNCTION("""COMPUTED_VALUE"""),0.0)</f>
        <v>0</v>
      </c>
      <c r="AH153" s="268">
        <f>IFERROR(__xludf.DUMMYFUNCTION("""COMPUTED_VALUE"""),0.0)</f>
        <v>0</v>
      </c>
      <c r="AI153" s="268">
        <f>IFERROR(__xludf.DUMMYFUNCTION("""COMPUTED_VALUE"""),0.0)</f>
        <v>0</v>
      </c>
      <c r="AJ153" s="268"/>
    </row>
    <row r="154" ht="22.5" customHeight="1">
      <c r="A154" s="170" t="str">
        <f>IFERROR(__xludf.DUMMYFUNCTION("""COMPUTED_VALUE"""),"")</f>
        <v/>
      </c>
      <c r="B154" s="170" t="str">
        <f>IFERROR(__xludf.DUMMYFUNCTION("""COMPUTED_VALUE"""),"")</f>
        <v/>
      </c>
      <c r="C154" s="170">
        <f>IFERROR(__xludf.DUMMYFUNCTION("""COMPUTED_VALUE"""),311.0)</f>
        <v>311</v>
      </c>
      <c r="D154" s="170" t="str">
        <f>IFERROR(__xludf.DUMMYFUNCTION("""COMPUTED_VALUE"""),"Jacarezinho contra o Coronavírus")</f>
        <v>Jacarezinho contra o Coronavírus</v>
      </c>
      <c r="E154" s="270" t="str">
        <f>IFERROR(__xludf.DUMMYFUNCTION("""COMPUTED_VALUE"""),"ZONA NORTE")</f>
        <v>ZONA NORTE</v>
      </c>
      <c r="F154" s="170" t="str">
        <f>IFERROR(__xludf.DUMMYFUNCTION("""COMPUTED_VALUE"""),"Rio de Janeiro")</f>
        <v>Rio de Janeiro</v>
      </c>
      <c r="G154" s="170" t="str">
        <f>IFERROR(__xludf.DUMMYFUNCTION("""COMPUTED_VALUE"""),"Jacarezinho")</f>
        <v>Jacarezinho</v>
      </c>
      <c r="H154" s="170" t="str">
        <f>IFERROR(__xludf.DUMMYFUNCTION("""COMPUTED_VALUE"""),"Outra Instituição")</f>
        <v>Outra Instituição</v>
      </c>
      <c r="I154" s="170" t="str">
        <f>IFERROR(__xludf.DUMMYFUNCTION("""COMPUTED_VALUE"""),"Público")</f>
        <v>Público</v>
      </c>
      <c r="J154" s="170" t="str">
        <f>IFERROR(__xludf.DUMMYFUNCTION("""COMPUTED_VALUE"""),"")</f>
        <v/>
      </c>
      <c r="K154" s="170" t="str">
        <f>IFERROR(__xludf.DUMMYFUNCTION("""COMPUTED_VALUE"""),"")</f>
        <v/>
      </c>
      <c r="L154" s="170" t="str">
        <f>IFERROR(__xludf.DUMMYFUNCTION("""COMPUTED_VALUE"""),"")</f>
        <v/>
      </c>
      <c r="M154" s="170" t="str">
        <f>IFERROR(__xludf.DUMMYFUNCTION("""COMPUTED_VALUE"""),"")</f>
        <v/>
      </c>
      <c r="N154" s="170">
        <f>IFERROR(__xludf.DUMMYFUNCTION("""COMPUTED_VALUE"""),0.0)</f>
        <v>0</v>
      </c>
      <c r="O154" s="170">
        <f>IFERROR(__xludf.DUMMYFUNCTION("""COMPUTED_VALUE"""),0.0)</f>
        <v>0</v>
      </c>
      <c r="P154" s="170">
        <f>IFERROR(__xludf.DUMMYFUNCTION("""COMPUTED_VALUE"""),0.0)</f>
        <v>0</v>
      </c>
      <c r="Q154" s="170">
        <f>IFERROR(__xludf.DUMMYFUNCTION("""COMPUTED_VALUE"""),0.0)</f>
        <v>0</v>
      </c>
      <c r="R154" s="170">
        <f>IFERROR(__xludf.DUMMYFUNCTION("""COMPUTED_VALUE"""),0.0)</f>
        <v>0</v>
      </c>
      <c r="S154" s="170">
        <f>IFERROR(__xludf.DUMMYFUNCTION("""COMPUTED_VALUE"""),0.0)</f>
        <v>0</v>
      </c>
      <c r="T154" s="170">
        <f>IFERROR(__xludf.DUMMYFUNCTION("""COMPUTED_VALUE"""),15.0)</f>
        <v>15</v>
      </c>
      <c r="U154" s="170">
        <f>IFERROR(__xludf.DUMMYFUNCTION("""COMPUTED_VALUE"""),0.0)</f>
        <v>0</v>
      </c>
      <c r="V154" s="170">
        <f>IFERROR(__xludf.DUMMYFUNCTION("""COMPUTED_VALUE"""),0.0)</f>
        <v>0</v>
      </c>
      <c r="W154" s="170">
        <f>IFERROR(__xludf.DUMMYFUNCTION("""COMPUTED_VALUE"""),0.0)</f>
        <v>0</v>
      </c>
      <c r="X154" s="170">
        <f>IFERROR(__xludf.DUMMYFUNCTION("""COMPUTED_VALUE"""),0.0)</f>
        <v>0</v>
      </c>
      <c r="Y154" s="170">
        <f>IFERROR(__xludf.DUMMYFUNCTION("""COMPUTED_VALUE"""),0.0)</f>
        <v>0</v>
      </c>
      <c r="Z154" s="170">
        <f>IFERROR(__xludf.DUMMYFUNCTION("""COMPUTED_VALUE"""),-15.0)</f>
        <v>-15</v>
      </c>
      <c r="AA154" s="170">
        <f>IFERROR(__xludf.DUMMYFUNCTION("""COMPUTED_VALUE"""),0.0)</f>
        <v>0</v>
      </c>
      <c r="AB154" s="170">
        <f>IFERROR(__xludf.DUMMYFUNCTION("""COMPUTED_VALUE"""),0.0)</f>
        <v>0</v>
      </c>
      <c r="AC154" s="170">
        <f>IFERROR(__xludf.DUMMYFUNCTION("""COMPUTED_VALUE"""),0.0)</f>
        <v>0</v>
      </c>
      <c r="AD154" s="170">
        <f>IFERROR(__xludf.DUMMYFUNCTION("""COMPUTED_VALUE"""),0.0)</f>
        <v>0</v>
      </c>
      <c r="AE154" s="170">
        <f>IFERROR(__xludf.DUMMYFUNCTION("""COMPUTED_VALUE"""),0.0)</f>
        <v>0</v>
      </c>
      <c r="AF154" s="170" t="str">
        <f>IFERROR(__xludf.DUMMYFUNCTION("""COMPUTED_VALUE"""),"")</f>
        <v/>
      </c>
      <c r="AG154" s="170">
        <f>IFERROR(__xludf.DUMMYFUNCTION("""COMPUTED_VALUE"""),0.0)</f>
        <v>0</v>
      </c>
      <c r="AH154" s="170">
        <f>IFERROR(__xludf.DUMMYFUNCTION("""COMPUTED_VALUE"""),0.0)</f>
        <v>0</v>
      </c>
      <c r="AI154" s="170">
        <f>IFERROR(__xludf.DUMMYFUNCTION("""COMPUTED_VALUE"""),0.0)</f>
        <v>0</v>
      </c>
      <c r="AJ154" s="170"/>
    </row>
    <row r="155" ht="22.5" customHeight="1">
      <c r="A155" s="268" t="str">
        <f>IFERROR(__xludf.DUMMYFUNCTION("""COMPUTED_VALUE"""),"")</f>
        <v/>
      </c>
      <c r="B155" s="268" t="str">
        <f>IFERROR(__xludf.DUMMYFUNCTION("""COMPUTED_VALUE"""),"")</f>
        <v/>
      </c>
      <c r="C155" s="268">
        <f>IFERROR(__xludf.DUMMYFUNCTION("""COMPUTED_VALUE"""),312.0)</f>
        <v>312</v>
      </c>
      <c r="D155" s="268" t="str">
        <f>IFERROR(__xludf.DUMMYFUNCTION("""COMPUTED_VALUE"""),"LAR DE IDOSOS - FROIEN FARAIN")</f>
        <v>LAR DE IDOSOS - FROIEN FARAIN</v>
      </c>
      <c r="E155" s="272" t="str">
        <f>IFERROR(__xludf.DUMMYFUNCTION("""COMPUTED_VALUE"""),"ZONA NORTE")</f>
        <v>ZONA NORTE</v>
      </c>
      <c r="F155" s="268" t="str">
        <f>IFERROR(__xludf.DUMMYFUNCTION("""COMPUTED_VALUE"""),"Rio de Janeiro")</f>
        <v>Rio de Janeiro</v>
      </c>
      <c r="G155" s="268" t="str">
        <f>IFERROR(__xludf.DUMMYFUNCTION("""COMPUTED_VALUE"""),"TIJUCA")</f>
        <v>TIJUCA</v>
      </c>
      <c r="H155" s="268" t="str">
        <f>IFERROR(__xludf.DUMMYFUNCTION("""COMPUTED_VALUE"""),"Outra Instituição")</f>
        <v>Outra Instituição</v>
      </c>
      <c r="I155" s="268" t="str">
        <f>IFERROR(__xludf.DUMMYFUNCTION("""COMPUTED_VALUE"""),"Público")</f>
        <v>Público</v>
      </c>
      <c r="J155" s="268" t="str">
        <f>IFERROR(__xludf.DUMMYFUNCTION("""COMPUTED_VALUE"""),"")</f>
        <v/>
      </c>
      <c r="K155" s="268" t="str">
        <f>IFERROR(__xludf.DUMMYFUNCTION("""COMPUTED_VALUE"""),"")</f>
        <v/>
      </c>
      <c r="L155" s="268" t="str">
        <f>IFERROR(__xludf.DUMMYFUNCTION("""COMPUTED_VALUE"""),"")</f>
        <v/>
      </c>
      <c r="M155" s="268" t="str">
        <f>IFERROR(__xludf.DUMMYFUNCTION("""COMPUTED_VALUE"""),"")</f>
        <v/>
      </c>
      <c r="N155" s="268">
        <f>IFERROR(__xludf.DUMMYFUNCTION("""COMPUTED_VALUE"""),0.0)</f>
        <v>0</v>
      </c>
      <c r="O155" s="268">
        <f>IFERROR(__xludf.DUMMYFUNCTION("""COMPUTED_VALUE"""),0.0)</f>
        <v>0</v>
      </c>
      <c r="P155" s="268">
        <f>IFERROR(__xludf.DUMMYFUNCTION("""COMPUTED_VALUE"""),0.0)</f>
        <v>0</v>
      </c>
      <c r="Q155" s="268">
        <f>IFERROR(__xludf.DUMMYFUNCTION("""COMPUTED_VALUE"""),0.0)</f>
        <v>0</v>
      </c>
      <c r="R155" s="268">
        <f>IFERROR(__xludf.DUMMYFUNCTION("""COMPUTED_VALUE"""),0.0)</f>
        <v>0</v>
      </c>
      <c r="S155" s="268">
        <f>IFERROR(__xludf.DUMMYFUNCTION("""COMPUTED_VALUE"""),0.0)</f>
        <v>0</v>
      </c>
      <c r="T155" s="268">
        <f>IFERROR(__xludf.DUMMYFUNCTION("""COMPUTED_VALUE"""),50.0)</f>
        <v>50</v>
      </c>
      <c r="U155" s="268">
        <f>IFERROR(__xludf.DUMMYFUNCTION("""COMPUTED_VALUE"""),0.0)</f>
        <v>0</v>
      </c>
      <c r="V155" s="268">
        <f>IFERROR(__xludf.DUMMYFUNCTION("""COMPUTED_VALUE"""),0.0)</f>
        <v>0</v>
      </c>
      <c r="W155" s="268">
        <f>IFERROR(__xludf.DUMMYFUNCTION("""COMPUTED_VALUE"""),0.0)</f>
        <v>0</v>
      </c>
      <c r="X155" s="268">
        <f>IFERROR(__xludf.DUMMYFUNCTION("""COMPUTED_VALUE"""),0.0)</f>
        <v>0</v>
      </c>
      <c r="Y155" s="268">
        <f>IFERROR(__xludf.DUMMYFUNCTION("""COMPUTED_VALUE"""),0.0)</f>
        <v>0</v>
      </c>
      <c r="Z155" s="268">
        <f>IFERROR(__xludf.DUMMYFUNCTION("""COMPUTED_VALUE"""),-50.0)</f>
        <v>-50</v>
      </c>
      <c r="AA155" s="268">
        <f>IFERROR(__xludf.DUMMYFUNCTION("""COMPUTED_VALUE"""),0.0)</f>
        <v>0</v>
      </c>
      <c r="AB155" s="268">
        <f>IFERROR(__xludf.DUMMYFUNCTION("""COMPUTED_VALUE"""),0.0)</f>
        <v>0</v>
      </c>
      <c r="AC155" s="268">
        <f>IFERROR(__xludf.DUMMYFUNCTION("""COMPUTED_VALUE"""),0.0)</f>
        <v>0</v>
      </c>
      <c r="AD155" s="268">
        <f>IFERROR(__xludf.DUMMYFUNCTION("""COMPUTED_VALUE"""),0.0)</f>
        <v>0</v>
      </c>
      <c r="AE155" s="268">
        <f>IFERROR(__xludf.DUMMYFUNCTION("""COMPUTED_VALUE"""),0.0)</f>
        <v>0</v>
      </c>
      <c r="AF155" s="268" t="str">
        <f>IFERROR(__xludf.DUMMYFUNCTION("""COMPUTED_VALUE"""),"")</f>
        <v/>
      </c>
      <c r="AG155" s="268">
        <f>IFERROR(__xludf.DUMMYFUNCTION("""COMPUTED_VALUE"""),0.0)</f>
        <v>0</v>
      </c>
      <c r="AH155" s="268">
        <f>IFERROR(__xludf.DUMMYFUNCTION("""COMPUTED_VALUE"""),0.0)</f>
        <v>0</v>
      </c>
      <c r="AI155" s="268">
        <f>IFERROR(__xludf.DUMMYFUNCTION("""COMPUTED_VALUE"""),0.0)</f>
        <v>0</v>
      </c>
      <c r="AJ155" s="268"/>
    </row>
    <row r="156" ht="22.5" customHeight="1">
      <c r="A156" s="170" t="str">
        <f>IFERROR(__xludf.DUMMYFUNCTION("""COMPUTED_VALUE"""),"")</f>
        <v/>
      </c>
      <c r="B156" s="170" t="str">
        <f>IFERROR(__xludf.DUMMYFUNCTION("""COMPUTED_VALUE"""),"")</f>
        <v/>
      </c>
      <c r="C156" s="170">
        <f>IFERROR(__xludf.DUMMYFUNCTION("""COMPUTED_VALUE"""),313.0)</f>
        <v>313</v>
      </c>
      <c r="D156" s="170" t="str">
        <f>IFERROR(__xludf.DUMMYFUNCTION("""COMPUTED_VALUE"""),"Maternidade Leila Diniz")</f>
        <v>Maternidade Leila Diniz</v>
      </c>
      <c r="E156" s="270" t="str">
        <f>IFERROR(__xludf.DUMMYFUNCTION("""COMPUTED_VALUE"""),"ZONA OESTE")</f>
        <v>ZONA OESTE</v>
      </c>
      <c r="F156" s="170" t="str">
        <f>IFERROR(__xludf.DUMMYFUNCTION("""COMPUTED_VALUE"""),"Rio de Janeiro")</f>
        <v>Rio de Janeiro</v>
      </c>
      <c r="G156" s="170" t="str">
        <f>IFERROR(__xludf.DUMMYFUNCTION("""COMPUTED_VALUE"""),"Barra da Tijuca")</f>
        <v>Barra da Tijuca</v>
      </c>
      <c r="H156" s="170" t="str">
        <f>IFERROR(__xludf.DUMMYFUNCTION("""COMPUTED_VALUE"""),"Grande emergência - MÉDIA COMPLEXIDADE
")</f>
        <v>Grande emergência - MÉDIA COMPLEXIDADE
</v>
      </c>
      <c r="I156" s="170" t="str">
        <f>IFERROR(__xludf.DUMMYFUNCTION("""COMPUTED_VALUE"""),"Público")</f>
        <v>Público</v>
      </c>
      <c r="J156" s="170" t="str">
        <f>IFERROR(__xludf.DUMMYFUNCTION("""COMPUTED_VALUE"""),"")</f>
        <v/>
      </c>
      <c r="K156" s="170" t="str">
        <f>IFERROR(__xludf.DUMMYFUNCTION("""COMPUTED_VALUE"""),"")</f>
        <v/>
      </c>
      <c r="L156" s="170" t="str">
        <f>IFERROR(__xludf.DUMMYFUNCTION("""COMPUTED_VALUE"""),"")</f>
        <v/>
      </c>
      <c r="M156" s="170" t="str">
        <f>IFERROR(__xludf.DUMMYFUNCTION("""COMPUTED_VALUE"""),"")</f>
        <v/>
      </c>
      <c r="N156" s="170">
        <f>IFERROR(__xludf.DUMMYFUNCTION("""COMPUTED_VALUE"""),0.0)</f>
        <v>0</v>
      </c>
      <c r="O156" s="170">
        <f>IFERROR(__xludf.DUMMYFUNCTION("""COMPUTED_VALUE"""),0.0)</f>
        <v>0</v>
      </c>
      <c r="P156" s="170">
        <f>IFERROR(__xludf.DUMMYFUNCTION("""COMPUTED_VALUE"""),0.0)</f>
        <v>0</v>
      </c>
      <c r="Q156" s="170">
        <f>IFERROR(__xludf.DUMMYFUNCTION("""COMPUTED_VALUE"""),0.0)</f>
        <v>0</v>
      </c>
      <c r="R156" s="170">
        <f>IFERROR(__xludf.DUMMYFUNCTION("""COMPUTED_VALUE"""),0.0)</f>
        <v>0</v>
      </c>
      <c r="S156" s="170">
        <f>IFERROR(__xludf.DUMMYFUNCTION("""COMPUTED_VALUE"""),0.0)</f>
        <v>0</v>
      </c>
      <c r="T156" s="170">
        <f>IFERROR(__xludf.DUMMYFUNCTION("""COMPUTED_VALUE"""),50.0)</f>
        <v>50</v>
      </c>
      <c r="U156" s="170">
        <f>IFERROR(__xludf.DUMMYFUNCTION("""COMPUTED_VALUE"""),0.0)</f>
        <v>0</v>
      </c>
      <c r="V156" s="170">
        <f>IFERROR(__xludf.DUMMYFUNCTION("""COMPUTED_VALUE"""),0.0)</f>
        <v>0</v>
      </c>
      <c r="W156" s="170">
        <f>IFERROR(__xludf.DUMMYFUNCTION("""COMPUTED_VALUE"""),0.0)</f>
        <v>0</v>
      </c>
      <c r="X156" s="170">
        <f>IFERROR(__xludf.DUMMYFUNCTION("""COMPUTED_VALUE"""),0.0)</f>
        <v>0</v>
      </c>
      <c r="Y156" s="170">
        <f>IFERROR(__xludf.DUMMYFUNCTION("""COMPUTED_VALUE"""),0.0)</f>
        <v>0</v>
      </c>
      <c r="Z156" s="170">
        <f>IFERROR(__xludf.DUMMYFUNCTION("""COMPUTED_VALUE"""),-50.0)</f>
        <v>-50</v>
      </c>
      <c r="AA156" s="170">
        <f>IFERROR(__xludf.DUMMYFUNCTION("""COMPUTED_VALUE"""),0.0)</f>
        <v>0</v>
      </c>
      <c r="AB156" s="170">
        <f>IFERROR(__xludf.DUMMYFUNCTION("""COMPUTED_VALUE"""),0.0)</f>
        <v>0</v>
      </c>
      <c r="AC156" s="170">
        <f>IFERROR(__xludf.DUMMYFUNCTION("""COMPUTED_VALUE"""),0.0)</f>
        <v>0</v>
      </c>
      <c r="AD156" s="170">
        <f>IFERROR(__xludf.DUMMYFUNCTION("""COMPUTED_VALUE"""),0.0)</f>
        <v>0</v>
      </c>
      <c r="AE156" s="170">
        <f>IFERROR(__xludf.DUMMYFUNCTION("""COMPUTED_VALUE"""),0.0)</f>
        <v>0</v>
      </c>
      <c r="AF156" s="170" t="str">
        <f>IFERROR(__xludf.DUMMYFUNCTION("""COMPUTED_VALUE"""),"")</f>
        <v/>
      </c>
      <c r="AG156" s="170">
        <f>IFERROR(__xludf.DUMMYFUNCTION("""COMPUTED_VALUE"""),0.0)</f>
        <v>0</v>
      </c>
      <c r="AH156" s="170">
        <f>IFERROR(__xludf.DUMMYFUNCTION("""COMPUTED_VALUE"""),0.0)</f>
        <v>0</v>
      </c>
      <c r="AI156" s="170">
        <f>IFERROR(__xludf.DUMMYFUNCTION("""COMPUTED_VALUE"""),0.0)</f>
        <v>0</v>
      </c>
      <c r="AJ156" s="170"/>
    </row>
    <row r="157" ht="22.5" customHeight="1">
      <c r="A157" s="268" t="str">
        <f>IFERROR(__xludf.DUMMYFUNCTION("""COMPUTED_VALUE"""),"")</f>
        <v/>
      </c>
      <c r="B157" s="268" t="str">
        <f>IFERROR(__xludf.DUMMYFUNCTION("""COMPUTED_VALUE"""),"")</f>
        <v/>
      </c>
      <c r="C157" s="268">
        <f>IFERROR(__xludf.DUMMYFUNCTION("""COMPUTED_VALUE"""),314.0)</f>
        <v>314</v>
      </c>
      <c r="D157" s="268" t="str">
        <f>IFERROR(__xludf.DUMMYFUNCTION("""COMPUTED_VALUE"""),"OAF - FUNERÁRIA")</f>
        <v>OAF - FUNERÁRIA</v>
      </c>
      <c r="E157" s="272" t="str">
        <f>IFERROR(__xludf.DUMMYFUNCTION("""COMPUTED_VALUE"""),"CENTRO")</f>
        <v>CENTRO</v>
      </c>
      <c r="F157" s="268" t="str">
        <f>IFERROR(__xludf.DUMMYFUNCTION("""COMPUTED_VALUE"""),"Rio de Janeiro")</f>
        <v>Rio de Janeiro</v>
      </c>
      <c r="G157" s="268" t="str">
        <f>IFERROR(__xludf.DUMMYFUNCTION("""COMPUTED_VALUE"""),"")</f>
        <v/>
      </c>
      <c r="H157" s="268" t="str">
        <f>IFERROR(__xludf.DUMMYFUNCTION("""COMPUTED_VALUE"""),"Outra Instituição")</f>
        <v>Outra Instituição</v>
      </c>
      <c r="I157" s="268" t="str">
        <f>IFERROR(__xludf.DUMMYFUNCTION("""COMPUTED_VALUE"""),"Público")</f>
        <v>Público</v>
      </c>
      <c r="J157" s="268" t="str">
        <f>IFERROR(__xludf.DUMMYFUNCTION("""COMPUTED_VALUE"""),"")</f>
        <v/>
      </c>
      <c r="K157" s="268" t="str">
        <f>IFERROR(__xludf.DUMMYFUNCTION("""COMPUTED_VALUE"""),"")</f>
        <v/>
      </c>
      <c r="L157" s="268" t="str">
        <f>IFERROR(__xludf.DUMMYFUNCTION("""COMPUTED_VALUE"""),"")</f>
        <v/>
      </c>
      <c r="M157" s="268" t="str">
        <f>IFERROR(__xludf.DUMMYFUNCTION("""COMPUTED_VALUE"""),"")</f>
        <v/>
      </c>
      <c r="N157" s="268">
        <f>IFERROR(__xludf.DUMMYFUNCTION("""COMPUTED_VALUE"""),0.0)</f>
        <v>0</v>
      </c>
      <c r="O157" s="268">
        <f>IFERROR(__xludf.DUMMYFUNCTION("""COMPUTED_VALUE"""),0.0)</f>
        <v>0</v>
      </c>
      <c r="P157" s="268">
        <f>IFERROR(__xludf.DUMMYFUNCTION("""COMPUTED_VALUE"""),0.0)</f>
        <v>0</v>
      </c>
      <c r="Q157" s="268">
        <f>IFERROR(__xludf.DUMMYFUNCTION("""COMPUTED_VALUE"""),0.0)</f>
        <v>0</v>
      </c>
      <c r="R157" s="268">
        <f>IFERROR(__xludf.DUMMYFUNCTION("""COMPUTED_VALUE"""),0.0)</f>
        <v>0</v>
      </c>
      <c r="S157" s="268">
        <f>IFERROR(__xludf.DUMMYFUNCTION("""COMPUTED_VALUE"""),0.0)</f>
        <v>0</v>
      </c>
      <c r="T157" s="268">
        <f>IFERROR(__xludf.DUMMYFUNCTION("""COMPUTED_VALUE"""),10.0)</f>
        <v>10</v>
      </c>
      <c r="U157" s="268">
        <f>IFERROR(__xludf.DUMMYFUNCTION("""COMPUTED_VALUE"""),0.0)</f>
        <v>0</v>
      </c>
      <c r="V157" s="268">
        <f>IFERROR(__xludf.DUMMYFUNCTION("""COMPUTED_VALUE"""),0.0)</f>
        <v>0</v>
      </c>
      <c r="W157" s="268">
        <f>IFERROR(__xludf.DUMMYFUNCTION("""COMPUTED_VALUE"""),0.0)</f>
        <v>0</v>
      </c>
      <c r="X157" s="268">
        <f>IFERROR(__xludf.DUMMYFUNCTION("""COMPUTED_VALUE"""),0.0)</f>
        <v>0</v>
      </c>
      <c r="Y157" s="268">
        <f>IFERROR(__xludf.DUMMYFUNCTION("""COMPUTED_VALUE"""),0.0)</f>
        <v>0</v>
      </c>
      <c r="Z157" s="268">
        <f>IFERROR(__xludf.DUMMYFUNCTION("""COMPUTED_VALUE"""),-10.0)</f>
        <v>-10</v>
      </c>
      <c r="AA157" s="268">
        <f>IFERROR(__xludf.DUMMYFUNCTION("""COMPUTED_VALUE"""),0.0)</f>
        <v>0</v>
      </c>
      <c r="AB157" s="268">
        <f>IFERROR(__xludf.DUMMYFUNCTION("""COMPUTED_VALUE"""),0.0)</f>
        <v>0</v>
      </c>
      <c r="AC157" s="268">
        <f>IFERROR(__xludf.DUMMYFUNCTION("""COMPUTED_VALUE"""),0.0)</f>
        <v>0</v>
      </c>
      <c r="AD157" s="268">
        <f>IFERROR(__xludf.DUMMYFUNCTION("""COMPUTED_VALUE"""),0.0)</f>
        <v>0</v>
      </c>
      <c r="AE157" s="268">
        <f>IFERROR(__xludf.DUMMYFUNCTION("""COMPUTED_VALUE"""),0.0)</f>
        <v>0</v>
      </c>
      <c r="AF157" s="268" t="str">
        <f>IFERROR(__xludf.DUMMYFUNCTION("""COMPUTED_VALUE"""),"")</f>
        <v/>
      </c>
      <c r="AG157" s="268">
        <f>IFERROR(__xludf.DUMMYFUNCTION("""COMPUTED_VALUE"""),0.0)</f>
        <v>0</v>
      </c>
      <c r="AH157" s="268">
        <f>IFERROR(__xludf.DUMMYFUNCTION("""COMPUTED_VALUE"""),0.0)</f>
        <v>0</v>
      </c>
      <c r="AI157" s="268">
        <f>IFERROR(__xludf.DUMMYFUNCTION("""COMPUTED_VALUE"""),0.0)</f>
        <v>0</v>
      </c>
      <c r="AJ157" s="268"/>
    </row>
    <row r="158" ht="22.5" customHeight="1">
      <c r="A158" s="170" t="str">
        <f>IFERROR(__xludf.DUMMYFUNCTION("""COMPUTED_VALUE"""),"")</f>
        <v/>
      </c>
      <c r="B158" s="170" t="str">
        <f>IFERROR(__xludf.DUMMYFUNCTION("""COMPUTED_VALUE"""),"")</f>
        <v/>
      </c>
      <c r="C158" s="170">
        <f>IFERROR(__xludf.DUMMYFUNCTION("""COMPUTED_VALUE"""),315.0)</f>
        <v>315</v>
      </c>
      <c r="D158" s="170" t="str">
        <f>IFERROR(__xludf.DUMMYFUNCTION("""COMPUTED_VALUE"""),"Projeto Primeira Chance")</f>
        <v>Projeto Primeira Chance</v>
      </c>
      <c r="E158" s="270" t="str">
        <f>IFERROR(__xludf.DUMMYFUNCTION("""COMPUTED_VALUE"""),"REGIAO METROPOLITANA")</f>
        <v>REGIAO METROPOLITANA</v>
      </c>
      <c r="F158" s="170" t="str">
        <f>IFERROR(__xludf.DUMMYFUNCTION("""COMPUTED_VALUE"""),"Niterói")</f>
        <v>Niterói</v>
      </c>
      <c r="G158" s="170" t="str">
        <f>IFERROR(__xludf.DUMMYFUNCTION("""COMPUTED_VALUE"""),"Pita")</f>
        <v>Pita</v>
      </c>
      <c r="H158" s="170" t="str">
        <f>IFERROR(__xludf.DUMMYFUNCTION("""COMPUTED_VALUE"""),"Outra Instituição")</f>
        <v>Outra Instituição</v>
      </c>
      <c r="I158" s="170" t="str">
        <f>IFERROR(__xludf.DUMMYFUNCTION("""COMPUTED_VALUE"""),"Público")</f>
        <v>Público</v>
      </c>
      <c r="J158" s="170" t="str">
        <f>IFERROR(__xludf.DUMMYFUNCTION("""COMPUTED_VALUE"""),"")</f>
        <v/>
      </c>
      <c r="K158" s="170" t="str">
        <f>IFERROR(__xludf.DUMMYFUNCTION("""COMPUTED_VALUE"""),"")</f>
        <v/>
      </c>
      <c r="L158" s="170" t="str">
        <f>IFERROR(__xludf.DUMMYFUNCTION("""COMPUTED_VALUE"""),"")</f>
        <v/>
      </c>
      <c r="M158" s="170" t="str">
        <f>IFERROR(__xludf.DUMMYFUNCTION("""COMPUTED_VALUE"""),"")</f>
        <v/>
      </c>
      <c r="N158" s="170">
        <f>IFERROR(__xludf.DUMMYFUNCTION("""COMPUTED_VALUE"""),0.0)</f>
        <v>0</v>
      </c>
      <c r="O158" s="170">
        <f>IFERROR(__xludf.DUMMYFUNCTION("""COMPUTED_VALUE"""),0.0)</f>
        <v>0</v>
      </c>
      <c r="P158" s="170">
        <f>IFERROR(__xludf.DUMMYFUNCTION("""COMPUTED_VALUE"""),0.0)</f>
        <v>0</v>
      </c>
      <c r="Q158" s="170">
        <f>IFERROR(__xludf.DUMMYFUNCTION("""COMPUTED_VALUE"""),0.0)</f>
        <v>0</v>
      </c>
      <c r="R158" s="170">
        <f>IFERROR(__xludf.DUMMYFUNCTION("""COMPUTED_VALUE"""),0.0)</f>
        <v>0</v>
      </c>
      <c r="S158" s="170">
        <f>IFERROR(__xludf.DUMMYFUNCTION("""COMPUTED_VALUE"""),0.0)</f>
        <v>0</v>
      </c>
      <c r="T158" s="170">
        <f>IFERROR(__xludf.DUMMYFUNCTION("""COMPUTED_VALUE"""),15.0)</f>
        <v>15</v>
      </c>
      <c r="U158" s="170">
        <f>IFERROR(__xludf.DUMMYFUNCTION("""COMPUTED_VALUE"""),0.0)</f>
        <v>0</v>
      </c>
      <c r="V158" s="170">
        <f>IFERROR(__xludf.DUMMYFUNCTION("""COMPUTED_VALUE"""),0.0)</f>
        <v>0</v>
      </c>
      <c r="W158" s="170">
        <f>IFERROR(__xludf.DUMMYFUNCTION("""COMPUTED_VALUE"""),0.0)</f>
        <v>0</v>
      </c>
      <c r="X158" s="170">
        <f>IFERROR(__xludf.DUMMYFUNCTION("""COMPUTED_VALUE"""),0.0)</f>
        <v>0</v>
      </c>
      <c r="Y158" s="170">
        <f>IFERROR(__xludf.DUMMYFUNCTION("""COMPUTED_VALUE"""),0.0)</f>
        <v>0</v>
      </c>
      <c r="Z158" s="170">
        <f>IFERROR(__xludf.DUMMYFUNCTION("""COMPUTED_VALUE"""),-15.0)</f>
        <v>-15</v>
      </c>
      <c r="AA158" s="170">
        <f>IFERROR(__xludf.DUMMYFUNCTION("""COMPUTED_VALUE"""),0.0)</f>
        <v>0</v>
      </c>
      <c r="AB158" s="170">
        <f>IFERROR(__xludf.DUMMYFUNCTION("""COMPUTED_VALUE"""),0.0)</f>
        <v>0</v>
      </c>
      <c r="AC158" s="170">
        <f>IFERROR(__xludf.DUMMYFUNCTION("""COMPUTED_VALUE"""),0.0)</f>
        <v>0</v>
      </c>
      <c r="AD158" s="170">
        <f>IFERROR(__xludf.DUMMYFUNCTION("""COMPUTED_VALUE"""),0.0)</f>
        <v>0</v>
      </c>
      <c r="AE158" s="170">
        <f>IFERROR(__xludf.DUMMYFUNCTION("""COMPUTED_VALUE"""),0.0)</f>
        <v>0</v>
      </c>
      <c r="AF158" s="170" t="str">
        <f>IFERROR(__xludf.DUMMYFUNCTION("""COMPUTED_VALUE"""),"")</f>
        <v/>
      </c>
      <c r="AG158" s="170">
        <f>IFERROR(__xludf.DUMMYFUNCTION("""COMPUTED_VALUE"""),0.0)</f>
        <v>0</v>
      </c>
      <c r="AH158" s="170">
        <f>IFERROR(__xludf.DUMMYFUNCTION("""COMPUTED_VALUE"""),0.0)</f>
        <v>0</v>
      </c>
      <c r="AI158" s="170">
        <f>IFERROR(__xludf.DUMMYFUNCTION("""COMPUTED_VALUE"""),0.0)</f>
        <v>0</v>
      </c>
      <c r="AJ158" s="170"/>
    </row>
    <row r="159" ht="22.5" customHeight="1">
      <c r="A159" s="268" t="str">
        <f>IFERROR(__xludf.DUMMYFUNCTION("""COMPUTED_VALUE"""),"")</f>
        <v/>
      </c>
      <c r="B159" s="268" t="str">
        <f>IFERROR(__xludf.DUMMYFUNCTION("""COMPUTED_VALUE"""),"")</f>
        <v/>
      </c>
      <c r="C159" s="268">
        <f>IFERROR(__xludf.DUMMYFUNCTION("""COMPUTED_VALUE"""),317.0)</f>
        <v>317</v>
      </c>
      <c r="D159" s="268" t="str">
        <f>IFERROR(__xludf.DUMMYFUNCTION("""COMPUTED_VALUE"""),"UPA Bangu 24H")</f>
        <v>UPA Bangu 24H</v>
      </c>
      <c r="E159" s="272" t="str">
        <f>IFERROR(__xludf.DUMMYFUNCTION("""COMPUTED_VALUE"""),"ZONA OESTE")</f>
        <v>ZONA OESTE</v>
      </c>
      <c r="F159" s="268" t="str">
        <f>IFERROR(__xludf.DUMMYFUNCTION("""COMPUTED_VALUE"""),"Rio de Janeiro")</f>
        <v>Rio de Janeiro</v>
      </c>
      <c r="G159" s="268" t="str">
        <f>IFERROR(__xludf.DUMMYFUNCTION("""COMPUTED_VALUE"""),"Bangu")</f>
        <v>Bangu</v>
      </c>
      <c r="H159" s="268" t="str">
        <f>IFERROR(__xludf.DUMMYFUNCTION("""COMPUTED_VALUE"""),"Grande emergência - MÉDIA COMPLEXIDADE
")</f>
        <v>Grande emergência - MÉDIA COMPLEXIDADE
</v>
      </c>
      <c r="I159" s="268" t="str">
        <f>IFERROR(__xludf.DUMMYFUNCTION("""COMPUTED_VALUE"""),"Público")</f>
        <v>Público</v>
      </c>
      <c r="J159" s="268" t="str">
        <f>IFERROR(__xludf.DUMMYFUNCTION("""COMPUTED_VALUE"""),"")</f>
        <v/>
      </c>
      <c r="K159" s="268" t="str">
        <f>IFERROR(__xludf.DUMMYFUNCTION("""COMPUTED_VALUE"""),"")</f>
        <v/>
      </c>
      <c r="L159" s="268" t="str">
        <f>IFERROR(__xludf.DUMMYFUNCTION("""COMPUTED_VALUE"""),"")</f>
        <v/>
      </c>
      <c r="M159" s="268" t="str">
        <f>IFERROR(__xludf.DUMMYFUNCTION("""COMPUTED_VALUE"""),"")</f>
        <v/>
      </c>
      <c r="N159" s="268">
        <f>IFERROR(__xludf.DUMMYFUNCTION("""COMPUTED_VALUE"""),0.0)</f>
        <v>0</v>
      </c>
      <c r="O159" s="268">
        <f>IFERROR(__xludf.DUMMYFUNCTION("""COMPUTED_VALUE"""),0.0)</f>
        <v>0</v>
      </c>
      <c r="P159" s="268">
        <f>IFERROR(__xludf.DUMMYFUNCTION("""COMPUTED_VALUE"""),0.0)</f>
        <v>0</v>
      </c>
      <c r="Q159" s="268">
        <f>IFERROR(__xludf.DUMMYFUNCTION("""COMPUTED_VALUE"""),0.0)</f>
        <v>0</v>
      </c>
      <c r="R159" s="268">
        <f>IFERROR(__xludf.DUMMYFUNCTION("""COMPUTED_VALUE"""),0.0)</f>
        <v>0</v>
      </c>
      <c r="S159" s="268">
        <f>IFERROR(__xludf.DUMMYFUNCTION("""COMPUTED_VALUE"""),0.0)</f>
        <v>0</v>
      </c>
      <c r="T159" s="268">
        <f>IFERROR(__xludf.DUMMYFUNCTION("""COMPUTED_VALUE"""),50.0)</f>
        <v>50</v>
      </c>
      <c r="U159" s="268">
        <f>IFERROR(__xludf.DUMMYFUNCTION("""COMPUTED_VALUE"""),0.0)</f>
        <v>0</v>
      </c>
      <c r="V159" s="268">
        <f>IFERROR(__xludf.DUMMYFUNCTION("""COMPUTED_VALUE"""),0.0)</f>
        <v>0</v>
      </c>
      <c r="W159" s="268">
        <f>IFERROR(__xludf.DUMMYFUNCTION("""COMPUTED_VALUE"""),0.0)</f>
        <v>0</v>
      </c>
      <c r="X159" s="268">
        <f>IFERROR(__xludf.DUMMYFUNCTION("""COMPUTED_VALUE"""),50.0)</f>
        <v>50</v>
      </c>
      <c r="Y159" s="268">
        <f>IFERROR(__xludf.DUMMYFUNCTION("""COMPUTED_VALUE"""),0.0)</f>
        <v>0</v>
      </c>
      <c r="Z159" s="268">
        <f>IFERROR(__xludf.DUMMYFUNCTION("""COMPUTED_VALUE"""),-50.0)</f>
        <v>-50</v>
      </c>
      <c r="AA159" s="268">
        <f>IFERROR(__xludf.DUMMYFUNCTION("""COMPUTED_VALUE"""),0.0)</f>
        <v>0</v>
      </c>
      <c r="AB159" s="268">
        <f>IFERROR(__xludf.DUMMYFUNCTION("""COMPUTED_VALUE"""),0.0)</f>
        <v>0</v>
      </c>
      <c r="AC159" s="268">
        <f>IFERROR(__xludf.DUMMYFUNCTION("""COMPUTED_VALUE"""),0.0)</f>
        <v>0</v>
      </c>
      <c r="AD159" s="268">
        <f>IFERROR(__xludf.DUMMYFUNCTION("""COMPUTED_VALUE"""),0.0)</f>
        <v>0</v>
      </c>
      <c r="AE159" s="268">
        <f>IFERROR(__xludf.DUMMYFUNCTION("""COMPUTED_VALUE"""),-50.0)</f>
        <v>-50</v>
      </c>
      <c r="AF159" s="268" t="str">
        <f>IFERROR(__xludf.DUMMYFUNCTION("""COMPUTED_VALUE"""),"")</f>
        <v/>
      </c>
      <c r="AG159" s="268">
        <f>IFERROR(__xludf.DUMMYFUNCTION("""COMPUTED_VALUE"""),0.0)</f>
        <v>0</v>
      </c>
      <c r="AH159" s="268">
        <f>IFERROR(__xludf.DUMMYFUNCTION("""COMPUTED_VALUE"""),0.0)</f>
        <v>0</v>
      </c>
      <c r="AI159" s="268">
        <f>IFERROR(__xludf.DUMMYFUNCTION("""COMPUTED_VALUE"""),0.0)</f>
        <v>0</v>
      </c>
      <c r="AJ159" s="268"/>
    </row>
    <row r="160" ht="22.5" customHeight="1">
      <c r="A160" s="170" t="str">
        <f>IFERROR(__xludf.DUMMYFUNCTION("""COMPUTED_VALUE"""),"")</f>
        <v/>
      </c>
      <c r="B160" s="170" t="str">
        <f>IFERROR(__xludf.DUMMYFUNCTION("""COMPUTED_VALUE"""),"")</f>
        <v/>
      </c>
      <c r="C160" s="170">
        <f>IFERROR(__xludf.DUMMYFUNCTION("""COMPUTED_VALUE"""),318.0)</f>
        <v>318</v>
      </c>
      <c r="D160" s="170" t="str">
        <f>IFERROR(__xludf.DUMMYFUNCTION("""COMPUTED_VALUE"""),"UPA Complexo do Alemão")</f>
        <v>UPA Complexo do Alemão</v>
      </c>
      <c r="E160" s="270" t="str">
        <f>IFERROR(__xludf.DUMMYFUNCTION("""COMPUTED_VALUE"""),"ZONA NORTE")</f>
        <v>ZONA NORTE</v>
      </c>
      <c r="F160" s="170" t="str">
        <f>IFERROR(__xludf.DUMMYFUNCTION("""COMPUTED_VALUE"""),"Rio de Janeiro")</f>
        <v>Rio de Janeiro</v>
      </c>
      <c r="G160" s="170" t="str">
        <f>IFERROR(__xludf.DUMMYFUNCTION("""COMPUTED_VALUE"""),"Complexo do Alemao")</f>
        <v>Complexo do Alemao</v>
      </c>
      <c r="H160" s="170" t="str">
        <f>IFERROR(__xludf.DUMMYFUNCTION("""COMPUTED_VALUE"""),"Grande emergência - MÉDIA COMPLEXIDADE
")</f>
        <v>Grande emergência - MÉDIA COMPLEXIDADE
</v>
      </c>
      <c r="I160" s="170" t="str">
        <f>IFERROR(__xludf.DUMMYFUNCTION("""COMPUTED_VALUE"""),"Público")</f>
        <v>Público</v>
      </c>
      <c r="J160" s="170" t="str">
        <f>IFERROR(__xludf.DUMMYFUNCTION("""COMPUTED_VALUE"""),"")</f>
        <v/>
      </c>
      <c r="K160" s="170" t="str">
        <f>IFERROR(__xludf.DUMMYFUNCTION("""COMPUTED_VALUE"""),"")</f>
        <v/>
      </c>
      <c r="L160" s="170" t="str">
        <f>IFERROR(__xludf.DUMMYFUNCTION("""COMPUTED_VALUE"""),"")</f>
        <v/>
      </c>
      <c r="M160" s="170" t="str">
        <f>IFERROR(__xludf.DUMMYFUNCTION("""COMPUTED_VALUE"""),"")</f>
        <v/>
      </c>
      <c r="N160" s="170">
        <f>IFERROR(__xludf.DUMMYFUNCTION("""COMPUTED_VALUE"""),0.0)</f>
        <v>0</v>
      </c>
      <c r="O160" s="170">
        <f>IFERROR(__xludf.DUMMYFUNCTION("""COMPUTED_VALUE"""),0.0)</f>
        <v>0</v>
      </c>
      <c r="P160" s="170">
        <f>IFERROR(__xludf.DUMMYFUNCTION("""COMPUTED_VALUE"""),0.0)</f>
        <v>0</v>
      </c>
      <c r="Q160" s="170">
        <f>IFERROR(__xludf.DUMMYFUNCTION("""COMPUTED_VALUE"""),0.0)</f>
        <v>0</v>
      </c>
      <c r="R160" s="170">
        <f>IFERROR(__xludf.DUMMYFUNCTION("""COMPUTED_VALUE"""),0.0)</f>
        <v>0</v>
      </c>
      <c r="S160" s="170">
        <f>IFERROR(__xludf.DUMMYFUNCTION("""COMPUTED_VALUE"""),0.0)</f>
        <v>0</v>
      </c>
      <c r="T160" s="170">
        <f>IFERROR(__xludf.DUMMYFUNCTION("""COMPUTED_VALUE"""),130.0)</f>
        <v>130</v>
      </c>
      <c r="U160" s="170">
        <f>IFERROR(__xludf.DUMMYFUNCTION("""COMPUTED_VALUE"""),0.0)</f>
        <v>0</v>
      </c>
      <c r="V160" s="170">
        <f>IFERROR(__xludf.DUMMYFUNCTION("""COMPUTED_VALUE"""),0.0)</f>
        <v>0</v>
      </c>
      <c r="W160" s="170">
        <f>IFERROR(__xludf.DUMMYFUNCTION("""COMPUTED_VALUE"""),0.0)</f>
        <v>0</v>
      </c>
      <c r="X160" s="170">
        <f>IFERROR(__xludf.DUMMYFUNCTION("""COMPUTED_VALUE"""),10.0)</f>
        <v>10</v>
      </c>
      <c r="Y160" s="170">
        <f>IFERROR(__xludf.DUMMYFUNCTION("""COMPUTED_VALUE"""),0.0)</f>
        <v>0</v>
      </c>
      <c r="Z160" s="170">
        <f>IFERROR(__xludf.DUMMYFUNCTION("""COMPUTED_VALUE"""),-130.0)</f>
        <v>-130</v>
      </c>
      <c r="AA160" s="170">
        <f>IFERROR(__xludf.DUMMYFUNCTION("""COMPUTED_VALUE"""),0.0)</f>
        <v>0</v>
      </c>
      <c r="AB160" s="170">
        <f>IFERROR(__xludf.DUMMYFUNCTION("""COMPUTED_VALUE"""),0.0)</f>
        <v>0</v>
      </c>
      <c r="AC160" s="170">
        <f>IFERROR(__xludf.DUMMYFUNCTION("""COMPUTED_VALUE"""),0.0)</f>
        <v>0</v>
      </c>
      <c r="AD160" s="170">
        <f>IFERROR(__xludf.DUMMYFUNCTION("""COMPUTED_VALUE"""),0.0)</f>
        <v>0</v>
      </c>
      <c r="AE160" s="170">
        <f>IFERROR(__xludf.DUMMYFUNCTION("""COMPUTED_VALUE"""),-10.0)</f>
        <v>-10</v>
      </c>
      <c r="AF160" s="170" t="str">
        <f>IFERROR(__xludf.DUMMYFUNCTION("""COMPUTED_VALUE"""),"")</f>
        <v/>
      </c>
      <c r="AG160" s="170">
        <f>IFERROR(__xludf.DUMMYFUNCTION("""COMPUTED_VALUE"""),0.0)</f>
        <v>0</v>
      </c>
      <c r="AH160" s="170">
        <f>IFERROR(__xludf.DUMMYFUNCTION("""COMPUTED_VALUE"""),0.0)</f>
        <v>0</v>
      </c>
      <c r="AI160" s="170">
        <f>IFERROR(__xludf.DUMMYFUNCTION("""COMPUTED_VALUE"""),0.0)</f>
        <v>0</v>
      </c>
      <c r="AJ160" s="170"/>
    </row>
    <row r="161" ht="22.5" customHeight="1">
      <c r="A161" s="268" t="str">
        <f>IFERROR(__xludf.DUMMYFUNCTION("""COMPUTED_VALUE"""),"")</f>
        <v/>
      </c>
      <c r="B161" s="268" t="str">
        <f>IFERROR(__xludf.DUMMYFUNCTION("""COMPUTED_VALUE"""),"")</f>
        <v/>
      </c>
      <c r="C161" s="268">
        <f>IFERROR(__xludf.DUMMYFUNCTION("""COMPUTED_VALUE"""),319.0)</f>
        <v>319</v>
      </c>
      <c r="D161" s="268" t="str">
        <f>IFERROR(__xludf.DUMMYFUNCTION("""COMPUTED_VALUE"""),"UPA Complexo do Alemão")</f>
        <v>UPA Complexo do Alemão</v>
      </c>
      <c r="E161" s="272" t="str">
        <f>IFERROR(__xludf.DUMMYFUNCTION("""COMPUTED_VALUE"""),"ZONA NORTE")</f>
        <v>ZONA NORTE</v>
      </c>
      <c r="F161" s="268" t="str">
        <f>IFERROR(__xludf.DUMMYFUNCTION("""COMPUTED_VALUE"""),"Rio de Janeiro")</f>
        <v>Rio de Janeiro</v>
      </c>
      <c r="G161" s="268" t="str">
        <f>IFERROR(__xludf.DUMMYFUNCTION("""COMPUTED_VALUE"""),"Complexo do Alemao")</f>
        <v>Complexo do Alemao</v>
      </c>
      <c r="H161" s="268" t="str">
        <f>IFERROR(__xludf.DUMMYFUNCTION("""COMPUTED_VALUE"""),"Grande emergência - MÉDIA COMPLEXIDADE
")</f>
        <v>Grande emergência - MÉDIA COMPLEXIDADE
</v>
      </c>
      <c r="I161" s="268" t="str">
        <f>IFERROR(__xludf.DUMMYFUNCTION("""COMPUTED_VALUE"""),"Público")</f>
        <v>Público</v>
      </c>
      <c r="J161" s="268" t="str">
        <f>IFERROR(__xludf.DUMMYFUNCTION("""COMPUTED_VALUE"""),"")</f>
        <v/>
      </c>
      <c r="K161" s="268" t="str">
        <f>IFERROR(__xludf.DUMMYFUNCTION("""COMPUTED_VALUE"""),"")</f>
        <v/>
      </c>
      <c r="L161" s="268" t="str">
        <f>IFERROR(__xludf.DUMMYFUNCTION("""COMPUTED_VALUE"""),"")</f>
        <v/>
      </c>
      <c r="M161" s="268" t="str">
        <f>IFERROR(__xludf.DUMMYFUNCTION("""COMPUTED_VALUE"""),"")</f>
        <v/>
      </c>
      <c r="N161" s="268">
        <f>IFERROR(__xludf.DUMMYFUNCTION("""COMPUTED_VALUE"""),0.0)</f>
        <v>0</v>
      </c>
      <c r="O161" s="268">
        <f>IFERROR(__xludf.DUMMYFUNCTION("""COMPUTED_VALUE"""),0.0)</f>
        <v>0</v>
      </c>
      <c r="P161" s="268">
        <f>IFERROR(__xludf.DUMMYFUNCTION("""COMPUTED_VALUE"""),0.0)</f>
        <v>0</v>
      </c>
      <c r="Q161" s="268">
        <f>IFERROR(__xludf.DUMMYFUNCTION("""COMPUTED_VALUE"""),0.0)</f>
        <v>0</v>
      </c>
      <c r="R161" s="268">
        <f>IFERROR(__xludf.DUMMYFUNCTION("""COMPUTED_VALUE"""),0.0)</f>
        <v>0</v>
      </c>
      <c r="S161" s="268">
        <f>IFERROR(__xludf.DUMMYFUNCTION("""COMPUTED_VALUE"""),0.0)</f>
        <v>0</v>
      </c>
      <c r="T161" s="268">
        <f>IFERROR(__xludf.DUMMYFUNCTION("""COMPUTED_VALUE"""),130.0)</f>
        <v>130</v>
      </c>
      <c r="U161" s="268">
        <f>IFERROR(__xludf.DUMMYFUNCTION("""COMPUTED_VALUE"""),0.0)</f>
        <v>0</v>
      </c>
      <c r="V161" s="268">
        <f>IFERROR(__xludf.DUMMYFUNCTION("""COMPUTED_VALUE"""),0.0)</f>
        <v>0</v>
      </c>
      <c r="W161" s="268">
        <f>IFERROR(__xludf.DUMMYFUNCTION("""COMPUTED_VALUE"""),0.0)</f>
        <v>0</v>
      </c>
      <c r="X161" s="268">
        <f>IFERROR(__xludf.DUMMYFUNCTION("""COMPUTED_VALUE"""),10.0)</f>
        <v>10</v>
      </c>
      <c r="Y161" s="268">
        <f>IFERROR(__xludf.DUMMYFUNCTION("""COMPUTED_VALUE"""),0.0)</f>
        <v>0</v>
      </c>
      <c r="Z161" s="268">
        <f>IFERROR(__xludf.DUMMYFUNCTION("""COMPUTED_VALUE"""),-130.0)</f>
        <v>-130</v>
      </c>
      <c r="AA161" s="268">
        <f>IFERROR(__xludf.DUMMYFUNCTION("""COMPUTED_VALUE"""),0.0)</f>
        <v>0</v>
      </c>
      <c r="AB161" s="268">
        <f>IFERROR(__xludf.DUMMYFUNCTION("""COMPUTED_VALUE"""),0.0)</f>
        <v>0</v>
      </c>
      <c r="AC161" s="268">
        <f>IFERROR(__xludf.DUMMYFUNCTION("""COMPUTED_VALUE"""),0.0)</f>
        <v>0</v>
      </c>
      <c r="AD161" s="268">
        <f>IFERROR(__xludf.DUMMYFUNCTION("""COMPUTED_VALUE"""),0.0)</f>
        <v>0</v>
      </c>
      <c r="AE161" s="268">
        <f>IFERROR(__xludf.DUMMYFUNCTION("""COMPUTED_VALUE"""),-10.0)</f>
        <v>-10</v>
      </c>
      <c r="AF161" s="268" t="str">
        <f>IFERROR(__xludf.DUMMYFUNCTION("""COMPUTED_VALUE"""),"")</f>
        <v/>
      </c>
      <c r="AG161" s="268">
        <f>IFERROR(__xludf.DUMMYFUNCTION("""COMPUTED_VALUE"""),0.0)</f>
        <v>0</v>
      </c>
      <c r="AH161" s="268">
        <f>IFERROR(__xludf.DUMMYFUNCTION("""COMPUTED_VALUE"""),0.0)</f>
        <v>0</v>
      </c>
      <c r="AI161" s="268">
        <f>IFERROR(__xludf.DUMMYFUNCTION("""COMPUTED_VALUE"""),0.0)</f>
        <v>0</v>
      </c>
      <c r="AJ161" s="268"/>
    </row>
    <row r="162" ht="22.5" customHeight="1">
      <c r="A162" s="170" t="str">
        <f>IFERROR(__xludf.DUMMYFUNCTION("""COMPUTED_VALUE"""),"")</f>
        <v/>
      </c>
      <c r="B162" s="170" t="str">
        <f>IFERROR(__xludf.DUMMYFUNCTION("""COMPUTED_VALUE"""),"")</f>
        <v/>
      </c>
      <c r="C162" s="170">
        <f>IFERROR(__xludf.DUMMYFUNCTION("""COMPUTED_VALUE"""),320.0)</f>
        <v>320</v>
      </c>
      <c r="D162" s="170" t="str">
        <f>IFERROR(__xludf.DUMMYFUNCTION("""COMPUTED_VALUE"""),"UPA Rocinha")</f>
        <v>UPA Rocinha</v>
      </c>
      <c r="E162" s="270" t="str">
        <f>IFERROR(__xludf.DUMMYFUNCTION("""COMPUTED_VALUE"""),"ZONA SUL")</f>
        <v>ZONA SUL</v>
      </c>
      <c r="F162" s="170" t="str">
        <f>IFERROR(__xludf.DUMMYFUNCTION("""COMPUTED_VALUE"""),"Rio de Janeiro")</f>
        <v>Rio de Janeiro</v>
      </c>
      <c r="G162" s="170" t="str">
        <f>IFERROR(__xludf.DUMMYFUNCTION("""COMPUTED_VALUE"""),"Rocinha")</f>
        <v>Rocinha</v>
      </c>
      <c r="H162" s="170" t="str">
        <f>IFERROR(__xludf.DUMMYFUNCTION("""COMPUTED_VALUE"""),"Grande emergência - MÉDIA COMPLEXIDADE
")</f>
        <v>Grande emergência - MÉDIA COMPLEXIDADE
</v>
      </c>
      <c r="I162" s="170" t="str">
        <f>IFERROR(__xludf.DUMMYFUNCTION("""COMPUTED_VALUE"""),"Público")</f>
        <v>Público</v>
      </c>
      <c r="J162" s="170" t="str">
        <f>IFERROR(__xludf.DUMMYFUNCTION("""COMPUTED_VALUE"""),"")</f>
        <v/>
      </c>
      <c r="K162" s="170" t="str">
        <f>IFERROR(__xludf.DUMMYFUNCTION("""COMPUTED_VALUE"""),"")</f>
        <v/>
      </c>
      <c r="L162" s="170" t="str">
        <f>IFERROR(__xludf.DUMMYFUNCTION("""COMPUTED_VALUE"""),"")</f>
        <v/>
      </c>
      <c r="M162" s="170" t="str">
        <f>IFERROR(__xludf.DUMMYFUNCTION("""COMPUTED_VALUE"""),"")</f>
        <v/>
      </c>
      <c r="N162" s="170">
        <f>IFERROR(__xludf.DUMMYFUNCTION("""COMPUTED_VALUE"""),0.0)</f>
        <v>0</v>
      </c>
      <c r="O162" s="170">
        <f>IFERROR(__xludf.DUMMYFUNCTION("""COMPUTED_VALUE"""),0.0)</f>
        <v>0</v>
      </c>
      <c r="P162" s="170">
        <f>IFERROR(__xludf.DUMMYFUNCTION("""COMPUTED_VALUE"""),0.0)</f>
        <v>0</v>
      </c>
      <c r="Q162" s="170">
        <f>IFERROR(__xludf.DUMMYFUNCTION("""COMPUTED_VALUE"""),0.0)</f>
        <v>0</v>
      </c>
      <c r="R162" s="170">
        <f>IFERROR(__xludf.DUMMYFUNCTION("""COMPUTED_VALUE"""),0.0)</f>
        <v>0</v>
      </c>
      <c r="S162" s="170">
        <f>IFERROR(__xludf.DUMMYFUNCTION("""COMPUTED_VALUE"""),0.0)</f>
        <v>0</v>
      </c>
      <c r="T162" s="170">
        <f>IFERROR(__xludf.DUMMYFUNCTION("""COMPUTED_VALUE"""),50.0)</f>
        <v>50</v>
      </c>
      <c r="U162" s="170">
        <f>IFERROR(__xludf.DUMMYFUNCTION("""COMPUTED_VALUE"""),0.0)</f>
        <v>0</v>
      </c>
      <c r="V162" s="170">
        <f>IFERROR(__xludf.DUMMYFUNCTION("""COMPUTED_VALUE"""),0.0)</f>
        <v>0</v>
      </c>
      <c r="W162" s="170">
        <f>IFERROR(__xludf.DUMMYFUNCTION("""COMPUTED_VALUE"""),0.0)</f>
        <v>0</v>
      </c>
      <c r="X162" s="170">
        <f>IFERROR(__xludf.DUMMYFUNCTION("""COMPUTED_VALUE"""),0.0)</f>
        <v>0</v>
      </c>
      <c r="Y162" s="170">
        <f>IFERROR(__xludf.DUMMYFUNCTION("""COMPUTED_VALUE"""),6.0)</f>
        <v>6</v>
      </c>
      <c r="Z162" s="170">
        <f>IFERROR(__xludf.DUMMYFUNCTION("""COMPUTED_VALUE"""),-50.0)</f>
        <v>-50</v>
      </c>
      <c r="AA162" s="170">
        <f>IFERROR(__xludf.DUMMYFUNCTION("""COMPUTED_VALUE"""),0.0)</f>
        <v>0</v>
      </c>
      <c r="AB162" s="170">
        <f>IFERROR(__xludf.DUMMYFUNCTION("""COMPUTED_VALUE"""),0.0)</f>
        <v>0</v>
      </c>
      <c r="AC162" s="170">
        <f>IFERROR(__xludf.DUMMYFUNCTION("""COMPUTED_VALUE"""),0.0)</f>
        <v>0</v>
      </c>
      <c r="AD162" s="170">
        <f>IFERROR(__xludf.DUMMYFUNCTION("""COMPUTED_VALUE"""),-6.0)</f>
        <v>-6</v>
      </c>
      <c r="AE162" s="170">
        <f>IFERROR(__xludf.DUMMYFUNCTION("""COMPUTED_VALUE"""),0.0)</f>
        <v>0</v>
      </c>
      <c r="AF162" s="170" t="str">
        <f>IFERROR(__xludf.DUMMYFUNCTION("""COMPUTED_VALUE"""),"")</f>
        <v/>
      </c>
      <c r="AG162" s="170">
        <f>IFERROR(__xludf.DUMMYFUNCTION("""COMPUTED_VALUE"""),0.0)</f>
        <v>0</v>
      </c>
      <c r="AH162" s="170">
        <f>IFERROR(__xludf.DUMMYFUNCTION("""COMPUTED_VALUE"""),0.0)</f>
        <v>0</v>
      </c>
      <c r="AI162" s="170">
        <f>IFERROR(__xludf.DUMMYFUNCTION("""COMPUTED_VALUE"""),0.0)</f>
        <v>0</v>
      </c>
      <c r="AJ162" s="170"/>
    </row>
    <row r="163" ht="22.5" customHeight="1">
      <c r="A163" s="268" t="str">
        <f>IFERROR(__xludf.DUMMYFUNCTION("""COMPUTED_VALUE"""),"")</f>
        <v/>
      </c>
      <c r="B163" s="268" t="str">
        <f>IFERROR(__xludf.DUMMYFUNCTION("""COMPUTED_VALUE"""),"")</f>
        <v/>
      </c>
      <c r="C163" s="268">
        <f>IFERROR(__xludf.DUMMYFUNCTION("""COMPUTED_VALUE"""),321.0)</f>
        <v>321</v>
      </c>
      <c r="D163" s="268" t="str">
        <f>IFERROR(__xludf.DUMMYFUNCTION("""COMPUTED_VALUE"""),"EDUCAP - Complexo do Alemão")</f>
        <v>EDUCAP - Complexo do Alemão</v>
      </c>
      <c r="E163" s="272" t="str">
        <f>IFERROR(__xludf.DUMMYFUNCTION("""COMPUTED_VALUE"""),"ZONA NORTE")</f>
        <v>ZONA NORTE</v>
      </c>
      <c r="F163" s="268" t="str">
        <f>IFERROR(__xludf.DUMMYFUNCTION("""COMPUTED_VALUE"""),"Rio de Janeiro")</f>
        <v>Rio de Janeiro</v>
      </c>
      <c r="G163" s="268" t="str">
        <f>IFERROR(__xludf.DUMMYFUNCTION("""COMPUTED_VALUE"""),"Complexo do Alemao")</f>
        <v>Complexo do Alemao</v>
      </c>
      <c r="H163" s="268" t="str">
        <f>IFERROR(__xludf.DUMMYFUNCTION("""COMPUTED_VALUE"""),"Outra Instituição")</f>
        <v>Outra Instituição</v>
      </c>
      <c r="I163" s="268" t="str">
        <f>IFERROR(__xludf.DUMMYFUNCTION("""COMPUTED_VALUE"""),"Público")</f>
        <v>Público</v>
      </c>
      <c r="J163" s="268" t="str">
        <f>IFERROR(__xludf.DUMMYFUNCTION("""COMPUTED_VALUE"""),"")</f>
        <v/>
      </c>
      <c r="K163" s="268" t="str">
        <f>IFERROR(__xludf.DUMMYFUNCTION("""COMPUTED_VALUE"""),"")</f>
        <v/>
      </c>
      <c r="L163" s="268" t="str">
        <f>IFERROR(__xludf.DUMMYFUNCTION("""COMPUTED_VALUE"""),"")</f>
        <v/>
      </c>
      <c r="M163" s="268" t="str">
        <f>IFERROR(__xludf.DUMMYFUNCTION("""COMPUTED_VALUE"""),"")</f>
        <v/>
      </c>
      <c r="N163" s="268">
        <f>IFERROR(__xludf.DUMMYFUNCTION("""COMPUTED_VALUE"""),0.0)</f>
        <v>0</v>
      </c>
      <c r="O163" s="268">
        <f>IFERROR(__xludf.DUMMYFUNCTION("""COMPUTED_VALUE"""),0.0)</f>
        <v>0</v>
      </c>
      <c r="P163" s="268">
        <f>IFERROR(__xludf.DUMMYFUNCTION("""COMPUTED_VALUE"""),0.0)</f>
        <v>0</v>
      </c>
      <c r="Q163" s="268">
        <f>IFERROR(__xludf.DUMMYFUNCTION("""COMPUTED_VALUE"""),0.0)</f>
        <v>0</v>
      </c>
      <c r="R163" s="268">
        <f>IFERROR(__xludf.DUMMYFUNCTION("""COMPUTED_VALUE"""),0.0)</f>
        <v>0</v>
      </c>
      <c r="S163" s="268">
        <f>IFERROR(__xludf.DUMMYFUNCTION("""COMPUTED_VALUE"""),0.0)</f>
        <v>0</v>
      </c>
      <c r="T163" s="268">
        <f>IFERROR(__xludf.DUMMYFUNCTION("""COMPUTED_VALUE"""),12.0)</f>
        <v>12</v>
      </c>
      <c r="U163" s="268">
        <f>IFERROR(__xludf.DUMMYFUNCTION("""COMPUTED_VALUE"""),0.0)</f>
        <v>0</v>
      </c>
      <c r="V163" s="268">
        <f>IFERROR(__xludf.DUMMYFUNCTION("""COMPUTED_VALUE"""),0.0)</f>
        <v>0</v>
      </c>
      <c r="W163" s="268">
        <f>IFERROR(__xludf.DUMMYFUNCTION("""COMPUTED_VALUE"""),0.0)</f>
        <v>0</v>
      </c>
      <c r="X163" s="268">
        <f>IFERROR(__xludf.DUMMYFUNCTION("""COMPUTED_VALUE"""),0.0)</f>
        <v>0</v>
      </c>
      <c r="Y163" s="268">
        <f>IFERROR(__xludf.DUMMYFUNCTION("""COMPUTED_VALUE"""),0.0)</f>
        <v>0</v>
      </c>
      <c r="Z163" s="268">
        <f>IFERROR(__xludf.DUMMYFUNCTION("""COMPUTED_VALUE"""),-12.0)</f>
        <v>-12</v>
      </c>
      <c r="AA163" s="268">
        <f>IFERROR(__xludf.DUMMYFUNCTION("""COMPUTED_VALUE"""),0.0)</f>
        <v>0</v>
      </c>
      <c r="AB163" s="268">
        <f>IFERROR(__xludf.DUMMYFUNCTION("""COMPUTED_VALUE"""),0.0)</f>
        <v>0</v>
      </c>
      <c r="AC163" s="268">
        <f>IFERROR(__xludf.DUMMYFUNCTION("""COMPUTED_VALUE"""),0.0)</f>
        <v>0</v>
      </c>
      <c r="AD163" s="268">
        <f>IFERROR(__xludf.DUMMYFUNCTION("""COMPUTED_VALUE"""),0.0)</f>
        <v>0</v>
      </c>
      <c r="AE163" s="268">
        <f>IFERROR(__xludf.DUMMYFUNCTION("""COMPUTED_VALUE"""),0.0)</f>
        <v>0</v>
      </c>
      <c r="AF163" s="268" t="str">
        <f>IFERROR(__xludf.DUMMYFUNCTION("""COMPUTED_VALUE"""),"")</f>
        <v/>
      </c>
      <c r="AG163" s="268">
        <f>IFERROR(__xludf.DUMMYFUNCTION("""COMPUTED_VALUE"""),0.0)</f>
        <v>0</v>
      </c>
      <c r="AH163" s="268">
        <f>IFERROR(__xludf.DUMMYFUNCTION("""COMPUTED_VALUE"""),0.0)</f>
        <v>0</v>
      </c>
      <c r="AI163" s="268">
        <f>IFERROR(__xludf.DUMMYFUNCTION("""COMPUTED_VALUE"""),0.0)</f>
        <v>0</v>
      </c>
      <c r="AJ163" s="268"/>
    </row>
    <row r="164" ht="22.5" customHeight="1">
      <c r="A164" s="170" t="str">
        <f>IFERROR(__xludf.DUMMYFUNCTION("""COMPUTED_VALUE"""),"")</f>
        <v/>
      </c>
      <c r="B164" s="170" t="str">
        <f>IFERROR(__xludf.DUMMYFUNCTION("""COMPUTED_VALUE"""),"")</f>
        <v/>
      </c>
      <c r="C164" s="170">
        <f>IFERROR(__xludf.DUMMYFUNCTION("""COMPUTED_VALUE"""),322.0)</f>
        <v>322</v>
      </c>
      <c r="D164" s="170" t="str">
        <f>IFERROR(__xludf.DUMMYFUNCTION("""COMPUTED_VALUE"""),"CMS Família do Jacarezinho")</f>
        <v>CMS Família do Jacarezinho</v>
      </c>
      <c r="E164" s="270" t="str">
        <f>IFERROR(__xludf.DUMMYFUNCTION("""COMPUTED_VALUE"""),"ZONA NORTE")</f>
        <v>ZONA NORTE</v>
      </c>
      <c r="F164" s="170" t="str">
        <f>IFERROR(__xludf.DUMMYFUNCTION("""COMPUTED_VALUE"""),"Rio de Janeiro")</f>
        <v>Rio de Janeiro</v>
      </c>
      <c r="G164" s="170" t="str">
        <f>IFERROR(__xludf.DUMMYFUNCTION("""COMPUTED_VALUE"""),"Jacarezinho")</f>
        <v>Jacarezinho</v>
      </c>
      <c r="H164" s="170" t="str">
        <f>IFERROR(__xludf.DUMMYFUNCTION("""COMPUTED_VALUE"""),"Unidade básica de saúde - BAIXA COMPLEXIDADE
")</f>
        <v>Unidade básica de saúde - BAIXA COMPLEXIDADE
</v>
      </c>
      <c r="I164" s="170" t="str">
        <f>IFERROR(__xludf.DUMMYFUNCTION("""COMPUTED_VALUE"""),"Público")</f>
        <v>Público</v>
      </c>
      <c r="J164" s="170" t="str">
        <f>IFERROR(__xludf.DUMMYFUNCTION("""COMPUTED_VALUE"""),"")</f>
        <v/>
      </c>
      <c r="K164" s="170" t="str">
        <f>IFERROR(__xludf.DUMMYFUNCTION("""COMPUTED_VALUE"""),"")</f>
        <v/>
      </c>
      <c r="L164" s="170" t="str">
        <f>IFERROR(__xludf.DUMMYFUNCTION("""COMPUTED_VALUE"""),"")</f>
        <v/>
      </c>
      <c r="M164" s="170" t="str">
        <f>IFERROR(__xludf.DUMMYFUNCTION("""COMPUTED_VALUE"""),"")</f>
        <v/>
      </c>
      <c r="N164" s="170">
        <f>IFERROR(__xludf.DUMMYFUNCTION("""COMPUTED_VALUE"""),0.0)</f>
        <v>0</v>
      </c>
      <c r="O164" s="170">
        <f>IFERROR(__xludf.DUMMYFUNCTION("""COMPUTED_VALUE"""),0.0)</f>
        <v>0</v>
      </c>
      <c r="P164" s="170">
        <f>IFERROR(__xludf.DUMMYFUNCTION("""COMPUTED_VALUE"""),0.0)</f>
        <v>0</v>
      </c>
      <c r="Q164" s="170">
        <f>IFERROR(__xludf.DUMMYFUNCTION("""COMPUTED_VALUE"""),0.0)</f>
        <v>0</v>
      </c>
      <c r="R164" s="170">
        <f>IFERROR(__xludf.DUMMYFUNCTION("""COMPUTED_VALUE"""),0.0)</f>
        <v>0</v>
      </c>
      <c r="S164" s="170">
        <f>IFERROR(__xludf.DUMMYFUNCTION("""COMPUTED_VALUE"""),0.0)</f>
        <v>0</v>
      </c>
      <c r="T164" s="170">
        <f>IFERROR(__xludf.DUMMYFUNCTION("""COMPUTED_VALUE"""),10.0)</f>
        <v>10</v>
      </c>
      <c r="U164" s="170">
        <f>IFERROR(__xludf.DUMMYFUNCTION("""COMPUTED_VALUE"""),0.0)</f>
        <v>0</v>
      </c>
      <c r="V164" s="170">
        <f>IFERROR(__xludf.DUMMYFUNCTION("""COMPUTED_VALUE"""),0.0)</f>
        <v>0</v>
      </c>
      <c r="W164" s="170">
        <f>IFERROR(__xludf.DUMMYFUNCTION("""COMPUTED_VALUE"""),0.0)</f>
        <v>0</v>
      </c>
      <c r="X164" s="170">
        <f>IFERROR(__xludf.DUMMYFUNCTION("""COMPUTED_VALUE"""),0.0)</f>
        <v>0</v>
      </c>
      <c r="Y164" s="170">
        <f>IFERROR(__xludf.DUMMYFUNCTION("""COMPUTED_VALUE"""),0.0)</f>
        <v>0</v>
      </c>
      <c r="Z164" s="170">
        <f>IFERROR(__xludf.DUMMYFUNCTION("""COMPUTED_VALUE"""),-10.0)</f>
        <v>-10</v>
      </c>
      <c r="AA164" s="170">
        <f>IFERROR(__xludf.DUMMYFUNCTION("""COMPUTED_VALUE"""),0.0)</f>
        <v>0</v>
      </c>
      <c r="AB164" s="170">
        <f>IFERROR(__xludf.DUMMYFUNCTION("""COMPUTED_VALUE"""),0.0)</f>
        <v>0</v>
      </c>
      <c r="AC164" s="170">
        <f>IFERROR(__xludf.DUMMYFUNCTION("""COMPUTED_VALUE"""),0.0)</f>
        <v>0</v>
      </c>
      <c r="AD164" s="170">
        <f>IFERROR(__xludf.DUMMYFUNCTION("""COMPUTED_VALUE"""),0.0)</f>
        <v>0</v>
      </c>
      <c r="AE164" s="170">
        <f>IFERROR(__xludf.DUMMYFUNCTION("""COMPUTED_VALUE"""),0.0)</f>
        <v>0</v>
      </c>
      <c r="AF164" s="170" t="str">
        <f>IFERROR(__xludf.DUMMYFUNCTION("""COMPUTED_VALUE"""),"")</f>
        <v/>
      </c>
      <c r="AG164" s="170">
        <f>IFERROR(__xludf.DUMMYFUNCTION("""COMPUTED_VALUE"""),0.0)</f>
        <v>0</v>
      </c>
      <c r="AH164" s="170">
        <f>IFERROR(__xludf.DUMMYFUNCTION("""COMPUTED_VALUE"""),0.0)</f>
        <v>0</v>
      </c>
      <c r="AI164" s="170">
        <f>IFERROR(__xludf.DUMMYFUNCTION("""COMPUTED_VALUE"""),0.0)</f>
        <v>0</v>
      </c>
      <c r="AJ164" s="170"/>
    </row>
    <row r="165" ht="22.5" customHeight="1">
      <c r="A165" s="268" t="str">
        <f>IFERROR(__xludf.DUMMYFUNCTION("""COMPUTED_VALUE"""),"")</f>
        <v/>
      </c>
      <c r="B165" s="268" t="str">
        <f>IFERROR(__xludf.DUMMYFUNCTION("""COMPUTED_VALUE"""),"")</f>
        <v/>
      </c>
      <c r="C165" s="268">
        <f>IFERROR(__xludf.DUMMYFUNCTION("""COMPUTED_VALUE"""),323.0)</f>
        <v>323</v>
      </c>
      <c r="D165" s="268" t="str">
        <f>IFERROR(__xludf.DUMMYFUNCTION("""COMPUTED_VALUE"""),"Dra. Renata (Minas Gerais)")</f>
        <v>Dra. Renata (Minas Gerais)</v>
      </c>
      <c r="E165" s="272" t="str">
        <f>IFERROR(__xludf.DUMMYFUNCTION("""COMPUTED_VALUE"""),"OUTROS ESTADOS")</f>
        <v>OUTROS ESTADOS</v>
      </c>
      <c r="F165" s="268" t="str">
        <f>IFERROR(__xludf.DUMMYFUNCTION("""COMPUTED_VALUE"""),"Minas Gerais")</f>
        <v>Minas Gerais</v>
      </c>
      <c r="G165" s="268" t="str">
        <f>IFERROR(__xludf.DUMMYFUNCTION("""COMPUTED_VALUE"""),"")</f>
        <v/>
      </c>
      <c r="H165" s="268" t="str">
        <f>IFERROR(__xludf.DUMMYFUNCTION("""COMPUTED_VALUE"""),"Outra Instituição")</f>
        <v>Outra Instituição</v>
      </c>
      <c r="I165" s="268" t="str">
        <f>IFERROR(__xludf.DUMMYFUNCTION("""COMPUTED_VALUE"""),"Público")</f>
        <v>Público</v>
      </c>
      <c r="J165" s="268" t="str">
        <f>IFERROR(__xludf.DUMMYFUNCTION("""COMPUTED_VALUE"""),"")</f>
        <v/>
      </c>
      <c r="K165" s="268" t="str">
        <f>IFERROR(__xludf.DUMMYFUNCTION("""COMPUTED_VALUE"""),"")</f>
        <v/>
      </c>
      <c r="L165" s="268" t="str">
        <f>IFERROR(__xludf.DUMMYFUNCTION("""COMPUTED_VALUE"""),"")</f>
        <v/>
      </c>
      <c r="M165" s="268" t="str">
        <f>IFERROR(__xludf.DUMMYFUNCTION("""COMPUTED_VALUE"""),"")</f>
        <v/>
      </c>
      <c r="N165" s="268">
        <f>IFERROR(__xludf.DUMMYFUNCTION("""COMPUTED_VALUE"""),0.0)</f>
        <v>0</v>
      </c>
      <c r="O165" s="268">
        <f>IFERROR(__xludf.DUMMYFUNCTION("""COMPUTED_VALUE"""),0.0)</f>
        <v>0</v>
      </c>
      <c r="P165" s="268">
        <f>IFERROR(__xludf.DUMMYFUNCTION("""COMPUTED_VALUE"""),0.0)</f>
        <v>0</v>
      </c>
      <c r="Q165" s="268">
        <f>IFERROR(__xludf.DUMMYFUNCTION("""COMPUTED_VALUE"""),0.0)</f>
        <v>0</v>
      </c>
      <c r="R165" s="268">
        <f>IFERROR(__xludf.DUMMYFUNCTION("""COMPUTED_VALUE"""),0.0)</f>
        <v>0</v>
      </c>
      <c r="S165" s="268">
        <f>IFERROR(__xludf.DUMMYFUNCTION("""COMPUTED_VALUE"""),0.0)</f>
        <v>0</v>
      </c>
      <c r="T165" s="268">
        <f>IFERROR(__xludf.DUMMYFUNCTION("""COMPUTED_VALUE"""),5.0)</f>
        <v>5</v>
      </c>
      <c r="U165" s="268">
        <f>IFERROR(__xludf.DUMMYFUNCTION("""COMPUTED_VALUE"""),0.0)</f>
        <v>0</v>
      </c>
      <c r="V165" s="268">
        <f>IFERROR(__xludf.DUMMYFUNCTION("""COMPUTED_VALUE"""),0.0)</f>
        <v>0</v>
      </c>
      <c r="W165" s="268">
        <f>IFERROR(__xludf.DUMMYFUNCTION("""COMPUTED_VALUE"""),0.0)</f>
        <v>0</v>
      </c>
      <c r="X165" s="268">
        <f>IFERROR(__xludf.DUMMYFUNCTION("""COMPUTED_VALUE"""),0.0)</f>
        <v>0</v>
      </c>
      <c r="Y165" s="268">
        <f>IFERROR(__xludf.DUMMYFUNCTION("""COMPUTED_VALUE"""),0.0)</f>
        <v>0</v>
      </c>
      <c r="Z165" s="268">
        <f>IFERROR(__xludf.DUMMYFUNCTION("""COMPUTED_VALUE"""),-5.0)</f>
        <v>-5</v>
      </c>
      <c r="AA165" s="268">
        <f>IFERROR(__xludf.DUMMYFUNCTION("""COMPUTED_VALUE"""),0.0)</f>
        <v>0</v>
      </c>
      <c r="AB165" s="268">
        <f>IFERROR(__xludf.DUMMYFUNCTION("""COMPUTED_VALUE"""),0.0)</f>
        <v>0</v>
      </c>
      <c r="AC165" s="268">
        <f>IFERROR(__xludf.DUMMYFUNCTION("""COMPUTED_VALUE"""),0.0)</f>
        <v>0</v>
      </c>
      <c r="AD165" s="268">
        <f>IFERROR(__xludf.DUMMYFUNCTION("""COMPUTED_VALUE"""),0.0)</f>
        <v>0</v>
      </c>
      <c r="AE165" s="268">
        <f>IFERROR(__xludf.DUMMYFUNCTION("""COMPUTED_VALUE"""),0.0)</f>
        <v>0</v>
      </c>
      <c r="AF165" s="268" t="str">
        <f>IFERROR(__xludf.DUMMYFUNCTION("""COMPUTED_VALUE"""),"")</f>
        <v/>
      </c>
      <c r="AG165" s="268">
        <f>IFERROR(__xludf.DUMMYFUNCTION("""COMPUTED_VALUE"""),0.0)</f>
        <v>0</v>
      </c>
      <c r="AH165" s="268">
        <f>IFERROR(__xludf.DUMMYFUNCTION("""COMPUTED_VALUE"""),0.0)</f>
        <v>0</v>
      </c>
      <c r="AI165" s="268">
        <f>IFERROR(__xludf.DUMMYFUNCTION("""COMPUTED_VALUE"""),0.0)</f>
        <v>0</v>
      </c>
      <c r="AJ165" s="268"/>
    </row>
    <row r="166" ht="22.5" customHeight="1">
      <c r="A166" s="170" t="str">
        <f>IFERROR(__xludf.DUMMYFUNCTION("""COMPUTED_VALUE"""),"")</f>
        <v/>
      </c>
      <c r="B166" s="170" t="str">
        <f>IFERROR(__xludf.DUMMYFUNCTION("""COMPUTED_VALUE"""),"")</f>
        <v/>
      </c>
      <c r="C166" s="170">
        <f>IFERROR(__xludf.DUMMYFUNCTION("""COMPUTED_VALUE"""),324.0)</f>
        <v>324</v>
      </c>
      <c r="D166" s="170" t="str">
        <f>IFERROR(__xludf.DUMMYFUNCTION("""COMPUTED_VALUE"""),"Hospital Central da PMERJ")</f>
        <v>Hospital Central da PMERJ</v>
      </c>
      <c r="E166" s="270" t="str">
        <f>IFERROR(__xludf.DUMMYFUNCTION("""COMPUTED_VALUE"""),"CENTRO")</f>
        <v>CENTRO</v>
      </c>
      <c r="F166" s="170" t="str">
        <f>IFERROR(__xludf.DUMMYFUNCTION("""COMPUTED_VALUE"""),"Rio de Janeiro")</f>
        <v>Rio de Janeiro</v>
      </c>
      <c r="G166" s="170" t="str">
        <f>IFERROR(__xludf.DUMMYFUNCTION("""COMPUTED_VALUE"""),"Estacio")</f>
        <v>Estacio</v>
      </c>
      <c r="H166" s="170" t="str">
        <f>IFERROR(__xludf.DUMMYFUNCTION("""COMPUTED_VALUE"""),"Referência - ALTA COMPLEXIDADE")</f>
        <v>Referência - ALTA COMPLEXIDADE</v>
      </c>
      <c r="I166" s="170" t="str">
        <f>IFERROR(__xludf.DUMMYFUNCTION("""COMPUTED_VALUE"""),"Público")</f>
        <v>Público</v>
      </c>
      <c r="J166" s="170" t="str">
        <f>IFERROR(__xludf.DUMMYFUNCTION("""COMPUTED_VALUE"""),"")</f>
        <v/>
      </c>
      <c r="K166" s="170" t="str">
        <f>IFERROR(__xludf.DUMMYFUNCTION("""COMPUTED_VALUE"""),"")</f>
        <v/>
      </c>
      <c r="L166" s="170" t="str">
        <f>IFERROR(__xludf.DUMMYFUNCTION("""COMPUTED_VALUE"""),"")</f>
        <v/>
      </c>
      <c r="M166" s="170" t="str">
        <f>IFERROR(__xludf.DUMMYFUNCTION("""COMPUTED_VALUE"""),"")</f>
        <v/>
      </c>
      <c r="N166" s="170">
        <f>IFERROR(__xludf.DUMMYFUNCTION("""COMPUTED_VALUE"""),0.0)</f>
        <v>0</v>
      </c>
      <c r="O166" s="170">
        <f>IFERROR(__xludf.DUMMYFUNCTION("""COMPUTED_VALUE"""),0.0)</f>
        <v>0</v>
      </c>
      <c r="P166" s="170">
        <f>IFERROR(__xludf.DUMMYFUNCTION("""COMPUTED_VALUE"""),0.0)</f>
        <v>0</v>
      </c>
      <c r="Q166" s="170">
        <f>IFERROR(__xludf.DUMMYFUNCTION("""COMPUTED_VALUE"""),0.0)</f>
        <v>0</v>
      </c>
      <c r="R166" s="170">
        <f>IFERROR(__xludf.DUMMYFUNCTION("""COMPUTED_VALUE"""),0.0)</f>
        <v>0</v>
      </c>
      <c r="S166" s="170">
        <f>IFERROR(__xludf.DUMMYFUNCTION("""COMPUTED_VALUE"""),0.0)</f>
        <v>0</v>
      </c>
      <c r="T166" s="170">
        <f>IFERROR(__xludf.DUMMYFUNCTION("""COMPUTED_VALUE"""),100.0)</f>
        <v>100</v>
      </c>
      <c r="U166" s="170">
        <f>IFERROR(__xludf.DUMMYFUNCTION("""COMPUTED_VALUE"""),0.0)</f>
        <v>0</v>
      </c>
      <c r="V166" s="170">
        <f>IFERROR(__xludf.DUMMYFUNCTION("""COMPUTED_VALUE"""),0.0)</f>
        <v>0</v>
      </c>
      <c r="W166" s="170">
        <f>IFERROR(__xludf.DUMMYFUNCTION("""COMPUTED_VALUE"""),0.0)</f>
        <v>0</v>
      </c>
      <c r="X166" s="170">
        <f>IFERROR(__xludf.DUMMYFUNCTION("""COMPUTED_VALUE"""),0.0)</f>
        <v>0</v>
      </c>
      <c r="Y166" s="170">
        <f>IFERROR(__xludf.DUMMYFUNCTION("""COMPUTED_VALUE"""),0.0)</f>
        <v>0</v>
      </c>
      <c r="Z166" s="170">
        <f>IFERROR(__xludf.DUMMYFUNCTION("""COMPUTED_VALUE"""),-100.0)</f>
        <v>-100</v>
      </c>
      <c r="AA166" s="170">
        <f>IFERROR(__xludf.DUMMYFUNCTION("""COMPUTED_VALUE"""),0.0)</f>
        <v>0</v>
      </c>
      <c r="AB166" s="170">
        <f>IFERROR(__xludf.DUMMYFUNCTION("""COMPUTED_VALUE"""),0.0)</f>
        <v>0</v>
      </c>
      <c r="AC166" s="170">
        <f>IFERROR(__xludf.DUMMYFUNCTION("""COMPUTED_VALUE"""),0.0)</f>
        <v>0</v>
      </c>
      <c r="AD166" s="170">
        <f>IFERROR(__xludf.DUMMYFUNCTION("""COMPUTED_VALUE"""),0.0)</f>
        <v>0</v>
      </c>
      <c r="AE166" s="170">
        <f>IFERROR(__xludf.DUMMYFUNCTION("""COMPUTED_VALUE"""),0.0)</f>
        <v>0</v>
      </c>
      <c r="AF166" s="170" t="str">
        <f>IFERROR(__xludf.DUMMYFUNCTION("""COMPUTED_VALUE"""),"")</f>
        <v/>
      </c>
      <c r="AG166" s="170">
        <f>IFERROR(__xludf.DUMMYFUNCTION("""COMPUTED_VALUE"""),0.0)</f>
        <v>0</v>
      </c>
      <c r="AH166" s="170">
        <f>IFERROR(__xludf.DUMMYFUNCTION("""COMPUTED_VALUE"""),0.0)</f>
        <v>0</v>
      </c>
      <c r="AI166" s="170">
        <f>IFERROR(__xludf.DUMMYFUNCTION("""COMPUTED_VALUE"""),0.0)</f>
        <v>0</v>
      </c>
      <c r="AJ166" s="170"/>
    </row>
    <row r="167" ht="22.5" customHeight="1">
      <c r="A167" s="268" t="str">
        <f>IFERROR(__xludf.DUMMYFUNCTION("""COMPUTED_VALUE"""),"")</f>
        <v/>
      </c>
      <c r="B167" s="268" t="str">
        <f>IFERROR(__xludf.DUMMYFUNCTION("""COMPUTED_VALUE"""),"")</f>
        <v/>
      </c>
      <c r="C167" s="268">
        <f>IFERROR(__xludf.DUMMYFUNCTION("""COMPUTED_VALUE"""),325.0)</f>
        <v>325</v>
      </c>
      <c r="D167" s="268" t="str">
        <f>IFERROR(__xludf.DUMMYFUNCTION("""COMPUTED_VALUE"""),"Divisão de Engenharia - HUCCF")</f>
        <v>Divisão de Engenharia - HUCCF</v>
      </c>
      <c r="E167" s="272" t="str">
        <f>IFERROR(__xludf.DUMMYFUNCTION("""COMPUTED_VALUE"""),"ZONA NORTE")</f>
        <v>ZONA NORTE</v>
      </c>
      <c r="F167" s="268" t="str">
        <f>IFERROR(__xludf.DUMMYFUNCTION("""COMPUTED_VALUE"""),"Rio de Janeiro")</f>
        <v>Rio de Janeiro</v>
      </c>
      <c r="G167" s="268" t="str">
        <f>IFERROR(__xludf.DUMMYFUNCTION("""COMPUTED_VALUE"""),"Cidade Universitaria")</f>
        <v>Cidade Universitaria</v>
      </c>
      <c r="H167" s="268" t="str">
        <f>IFERROR(__xludf.DUMMYFUNCTION("""COMPUTED_VALUE"""),"Unidade básica de saúde - BAIXA COMPLEXIDADE
")</f>
        <v>Unidade básica de saúde - BAIXA COMPLEXIDADE
</v>
      </c>
      <c r="I167" s="268" t="str">
        <f>IFERROR(__xludf.DUMMYFUNCTION("""COMPUTED_VALUE"""),"Público")</f>
        <v>Público</v>
      </c>
      <c r="J167" s="268" t="str">
        <f>IFERROR(__xludf.DUMMYFUNCTION("""COMPUTED_VALUE"""),"")</f>
        <v/>
      </c>
      <c r="K167" s="268" t="str">
        <f>IFERROR(__xludf.DUMMYFUNCTION("""COMPUTED_VALUE"""),"")</f>
        <v/>
      </c>
      <c r="L167" s="268" t="str">
        <f>IFERROR(__xludf.DUMMYFUNCTION("""COMPUTED_VALUE"""),"")</f>
        <v/>
      </c>
      <c r="M167" s="268" t="str">
        <f>IFERROR(__xludf.DUMMYFUNCTION("""COMPUTED_VALUE"""),"")</f>
        <v/>
      </c>
      <c r="N167" s="268">
        <f>IFERROR(__xludf.DUMMYFUNCTION("""COMPUTED_VALUE"""),0.0)</f>
        <v>0</v>
      </c>
      <c r="O167" s="268">
        <f>IFERROR(__xludf.DUMMYFUNCTION("""COMPUTED_VALUE"""),0.0)</f>
        <v>0</v>
      </c>
      <c r="P167" s="268">
        <f>IFERROR(__xludf.DUMMYFUNCTION("""COMPUTED_VALUE"""),0.0)</f>
        <v>0</v>
      </c>
      <c r="Q167" s="268">
        <f>IFERROR(__xludf.DUMMYFUNCTION("""COMPUTED_VALUE"""),0.0)</f>
        <v>0</v>
      </c>
      <c r="R167" s="268">
        <f>IFERROR(__xludf.DUMMYFUNCTION("""COMPUTED_VALUE"""),0.0)</f>
        <v>0</v>
      </c>
      <c r="S167" s="268">
        <f>IFERROR(__xludf.DUMMYFUNCTION("""COMPUTED_VALUE"""),0.0)</f>
        <v>0</v>
      </c>
      <c r="T167" s="268">
        <f>IFERROR(__xludf.DUMMYFUNCTION("""COMPUTED_VALUE"""),0.0)</f>
        <v>0</v>
      </c>
      <c r="U167" s="268">
        <f>IFERROR(__xludf.DUMMYFUNCTION("""COMPUTED_VALUE"""),0.0)</f>
        <v>0</v>
      </c>
      <c r="V167" s="268">
        <f>IFERROR(__xludf.DUMMYFUNCTION("""COMPUTED_VALUE"""),0.0)</f>
        <v>0</v>
      </c>
      <c r="W167" s="268">
        <f>IFERROR(__xludf.DUMMYFUNCTION("""COMPUTED_VALUE"""),25.0)</f>
        <v>25</v>
      </c>
      <c r="X167" s="268">
        <f>IFERROR(__xludf.DUMMYFUNCTION("""COMPUTED_VALUE"""),0.0)</f>
        <v>0</v>
      </c>
      <c r="Y167" s="268">
        <f>IFERROR(__xludf.DUMMYFUNCTION("""COMPUTED_VALUE"""),0.0)</f>
        <v>0</v>
      </c>
      <c r="Z167" s="268">
        <f>IFERROR(__xludf.DUMMYFUNCTION("""COMPUTED_VALUE"""),0.0)</f>
        <v>0</v>
      </c>
      <c r="AA167" s="268">
        <f>IFERROR(__xludf.DUMMYFUNCTION("""COMPUTED_VALUE"""),0.0)</f>
        <v>0</v>
      </c>
      <c r="AB167" s="268">
        <f>IFERROR(__xludf.DUMMYFUNCTION("""COMPUTED_VALUE"""),0.0)</f>
        <v>0</v>
      </c>
      <c r="AC167" s="268">
        <f>IFERROR(__xludf.DUMMYFUNCTION("""COMPUTED_VALUE"""),-25.0)</f>
        <v>-25</v>
      </c>
      <c r="AD167" s="268">
        <f>IFERROR(__xludf.DUMMYFUNCTION("""COMPUTED_VALUE"""),0.0)</f>
        <v>0</v>
      </c>
      <c r="AE167" s="268">
        <f>IFERROR(__xludf.DUMMYFUNCTION("""COMPUTED_VALUE"""),0.0)</f>
        <v>0</v>
      </c>
      <c r="AF167" s="268" t="str">
        <f>IFERROR(__xludf.DUMMYFUNCTION("""COMPUTED_VALUE"""),"")</f>
        <v/>
      </c>
      <c r="AG167" s="268">
        <f>IFERROR(__xludf.DUMMYFUNCTION("""COMPUTED_VALUE"""),0.0)</f>
        <v>0</v>
      </c>
      <c r="AH167" s="268">
        <f>IFERROR(__xludf.DUMMYFUNCTION("""COMPUTED_VALUE"""),0.0)</f>
        <v>0</v>
      </c>
      <c r="AI167" s="268">
        <f>IFERROR(__xludf.DUMMYFUNCTION("""COMPUTED_VALUE"""),0.0)</f>
        <v>0</v>
      </c>
      <c r="AJ167" s="268"/>
    </row>
    <row r="168" ht="22.5" customHeight="1">
      <c r="A168" s="170" t="str">
        <f>IFERROR(__xludf.DUMMYFUNCTION("""COMPUTED_VALUE"""),"")</f>
        <v/>
      </c>
      <c r="B168" s="170" t="str">
        <f>IFERROR(__xludf.DUMMYFUNCTION("""COMPUTED_VALUE"""),"")</f>
        <v/>
      </c>
      <c r="C168" s="170">
        <f>IFERROR(__xludf.DUMMYFUNCTION("""COMPUTED_VALUE"""),327.0)</f>
        <v>327</v>
      </c>
      <c r="D168" s="170" t="str">
        <f>IFERROR(__xludf.DUMMYFUNCTION("""COMPUTED_VALUE"""),"Clinica da Familia Victor Valla")</f>
        <v>Clinica da Familia Victor Valla</v>
      </c>
      <c r="E168" s="270" t="str">
        <f>IFERROR(__xludf.DUMMYFUNCTION("""COMPUTED_VALUE"""),"ZONA NORTE")</f>
        <v>ZONA NORTE</v>
      </c>
      <c r="F168" s="170" t="str">
        <f>IFERROR(__xludf.DUMMYFUNCTION("""COMPUTED_VALUE"""),"Rio de Janeiro")</f>
        <v>Rio de Janeiro</v>
      </c>
      <c r="G168" s="170" t="str">
        <f>IFERROR(__xludf.DUMMYFUNCTION("""COMPUTED_VALUE"""),"Manguinhos")</f>
        <v>Manguinhos</v>
      </c>
      <c r="H168" s="170" t="str">
        <f>IFERROR(__xludf.DUMMYFUNCTION("""COMPUTED_VALUE"""),"Unidade básica de saúde - BAIXA COMPLEXIDADE
")</f>
        <v>Unidade básica de saúde - BAIXA COMPLEXIDADE
</v>
      </c>
      <c r="I168" s="170" t="str">
        <f>IFERROR(__xludf.DUMMYFUNCTION("""COMPUTED_VALUE"""),"Público")</f>
        <v>Público</v>
      </c>
      <c r="J168" s="170" t="str">
        <f>IFERROR(__xludf.DUMMYFUNCTION("""COMPUTED_VALUE"""),"")</f>
        <v/>
      </c>
      <c r="K168" s="170" t="str">
        <f>IFERROR(__xludf.DUMMYFUNCTION("""COMPUTED_VALUE"""),"")</f>
        <v/>
      </c>
      <c r="L168" s="170" t="str">
        <f>IFERROR(__xludf.DUMMYFUNCTION("""COMPUTED_VALUE"""),"")</f>
        <v/>
      </c>
      <c r="M168" s="170" t="str">
        <f>IFERROR(__xludf.DUMMYFUNCTION("""COMPUTED_VALUE"""),"")</f>
        <v/>
      </c>
      <c r="N168" s="170">
        <f>IFERROR(__xludf.DUMMYFUNCTION("""COMPUTED_VALUE"""),0.0)</f>
        <v>0</v>
      </c>
      <c r="O168" s="170">
        <f>IFERROR(__xludf.DUMMYFUNCTION("""COMPUTED_VALUE"""),0.0)</f>
        <v>0</v>
      </c>
      <c r="P168" s="170">
        <f>IFERROR(__xludf.DUMMYFUNCTION("""COMPUTED_VALUE"""),0.0)</f>
        <v>0</v>
      </c>
      <c r="Q168" s="170">
        <f>IFERROR(__xludf.DUMMYFUNCTION("""COMPUTED_VALUE"""),0.0)</f>
        <v>0</v>
      </c>
      <c r="R168" s="170">
        <f>IFERROR(__xludf.DUMMYFUNCTION("""COMPUTED_VALUE"""),0.0)</f>
        <v>0</v>
      </c>
      <c r="S168" s="170">
        <f>IFERROR(__xludf.DUMMYFUNCTION("""COMPUTED_VALUE"""),0.0)</f>
        <v>0</v>
      </c>
      <c r="T168" s="170">
        <f>IFERROR(__xludf.DUMMYFUNCTION("""COMPUTED_VALUE"""),25.0)</f>
        <v>25</v>
      </c>
      <c r="U168" s="170">
        <f>IFERROR(__xludf.DUMMYFUNCTION("""COMPUTED_VALUE"""),0.0)</f>
        <v>0</v>
      </c>
      <c r="V168" s="170">
        <f>IFERROR(__xludf.DUMMYFUNCTION("""COMPUTED_VALUE"""),0.0)</f>
        <v>0</v>
      </c>
      <c r="W168" s="170">
        <f>IFERROR(__xludf.DUMMYFUNCTION("""COMPUTED_VALUE"""),25.0)</f>
        <v>25</v>
      </c>
      <c r="X168" s="170">
        <f>IFERROR(__xludf.DUMMYFUNCTION("""COMPUTED_VALUE"""),50.0)</f>
        <v>50</v>
      </c>
      <c r="Y168" s="170">
        <f>IFERROR(__xludf.DUMMYFUNCTION("""COMPUTED_VALUE"""),0.0)</f>
        <v>0</v>
      </c>
      <c r="Z168" s="170">
        <f>IFERROR(__xludf.DUMMYFUNCTION("""COMPUTED_VALUE"""),-25.0)</f>
        <v>-25</v>
      </c>
      <c r="AA168" s="170">
        <f>IFERROR(__xludf.DUMMYFUNCTION("""COMPUTED_VALUE"""),0.0)</f>
        <v>0</v>
      </c>
      <c r="AB168" s="170">
        <f>IFERROR(__xludf.DUMMYFUNCTION("""COMPUTED_VALUE"""),0.0)</f>
        <v>0</v>
      </c>
      <c r="AC168" s="170">
        <f>IFERROR(__xludf.DUMMYFUNCTION("""COMPUTED_VALUE"""),-25.0)</f>
        <v>-25</v>
      </c>
      <c r="AD168" s="170">
        <f>IFERROR(__xludf.DUMMYFUNCTION("""COMPUTED_VALUE"""),0.0)</f>
        <v>0</v>
      </c>
      <c r="AE168" s="170">
        <f>IFERROR(__xludf.DUMMYFUNCTION("""COMPUTED_VALUE"""),-50.0)</f>
        <v>-50</v>
      </c>
      <c r="AF168" s="170" t="str">
        <f>IFERROR(__xludf.DUMMYFUNCTION("""COMPUTED_VALUE"""),"")</f>
        <v/>
      </c>
      <c r="AG168" s="170">
        <f>IFERROR(__xludf.DUMMYFUNCTION("""COMPUTED_VALUE"""),0.0)</f>
        <v>0</v>
      </c>
      <c r="AH168" s="170">
        <f>IFERROR(__xludf.DUMMYFUNCTION("""COMPUTED_VALUE"""),0.0)</f>
        <v>0</v>
      </c>
      <c r="AI168" s="170">
        <f>IFERROR(__xludf.DUMMYFUNCTION("""COMPUTED_VALUE"""),0.0)</f>
        <v>0</v>
      </c>
      <c r="AJ168" s="170"/>
    </row>
    <row r="169" ht="22.5" customHeight="1">
      <c r="A169" s="268" t="str">
        <f>IFERROR(__xludf.DUMMYFUNCTION("""COMPUTED_VALUE"""),"")</f>
        <v/>
      </c>
      <c r="B169" s="268" t="str">
        <f>IFERROR(__xludf.DUMMYFUNCTION("""COMPUTED_VALUE"""),"")</f>
        <v/>
      </c>
      <c r="C169" s="268">
        <f>IFERROR(__xludf.DUMMYFUNCTION("""COMPUTED_VALUE"""),328.0)</f>
        <v>328</v>
      </c>
      <c r="D169" s="268" t="str">
        <f>IFERROR(__xludf.DUMMYFUNCTION("""COMPUTED_VALUE"""),"Maternidade Municipal Drº Mario Niajar (Alcântara)")</f>
        <v>Maternidade Municipal Drº Mario Niajar (Alcântara)</v>
      </c>
      <c r="E169" s="272" t="str">
        <f>IFERROR(__xludf.DUMMYFUNCTION("""COMPUTED_VALUE"""),"REGIAO METROPOLITANA")</f>
        <v>REGIAO METROPOLITANA</v>
      </c>
      <c r="F169" s="268" t="str">
        <f>IFERROR(__xludf.DUMMYFUNCTION("""COMPUTED_VALUE"""),"Sao Gonçalo")</f>
        <v>Sao Gonçalo</v>
      </c>
      <c r="G169" s="268" t="str">
        <f>IFERROR(__xludf.DUMMYFUNCTION("""COMPUTED_VALUE"""),"Alcantara")</f>
        <v>Alcantara</v>
      </c>
      <c r="H169" s="268" t="str">
        <f>IFERROR(__xludf.DUMMYFUNCTION("""COMPUTED_VALUE"""),"Referência - ALTA COMPLEXIDADE")</f>
        <v>Referência - ALTA COMPLEXIDADE</v>
      </c>
      <c r="I169" s="268" t="str">
        <f>IFERROR(__xludf.DUMMYFUNCTION("""COMPUTED_VALUE"""),"Público")</f>
        <v>Público</v>
      </c>
      <c r="J169" s="268" t="str">
        <f>IFERROR(__xludf.DUMMYFUNCTION("""COMPUTED_VALUE"""),"")</f>
        <v/>
      </c>
      <c r="K169" s="268" t="str">
        <f>IFERROR(__xludf.DUMMYFUNCTION("""COMPUTED_VALUE"""),"")</f>
        <v/>
      </c>
      <c r="L169" s="268" t="str">
        <f>IFERROR(__xludf.DUMMYFUNCTION("""COMPUTED_VALUE"""),"")</f>
        <v/>
      </c>
      <c r="M169" s="268" t="str">
        <f>IFERROR(__xludf.DUMMYFUNCTION("""COMPUTED_VALUE"""),"")</f>
        <v/>
      </c>
      <c r="N169" s="268">
        <f>IFERROR(__xludf.DUMMYFUNCTION("""COMPUTED_VALUE"""),0.0)</f>
        <v>0</v>
      </c>
      <c r="O169" s="268">
        <f>IFERROR(__xludf.DUMMYFUNCTION("""COMPUTED_VALUE"""),0.0)</f>
        <v>0</v>
      </c>
      <c r="P169" s="268">
        <f>IFERROR(__xludf.DUMMYFUNCTION("""COMPUTED_VALUE"""),0.0)</f>
        <v>0</v>
      </c>
      <c r="Q169" s="268">
        <f>IFERROR(__xludf.DUMMYFUNCTION("""COMPUTED_VALUE"""),0.0)</f>
        <v>0</v>
      </c>
      <c r="R169" s="268">
        <f>IFERROR(__xludf.DUMMYFUNCTION("""COMPUTED_VALUE"""),0.0)</f>
        <v>0</v>
      </c>
      <c r="S169" s="268">
        <f>IFERROR(__xludf.DUMMYFUNCTION("""COMPUTED_VALUE"""),0.0)</f>
        <v>0</v>
      </c>
      <c r="T169" s="268">
        <f>IFERROR(__xludf.DUMMYFUNCTION("""COMPUTED_VALUE"""),100.0)</f>
        <v>100</v>
      </c>
      <c r="U169" s="268">
        <f>IFERROR(__xludf.DUMMYFUNCTION("""COMPUTED_VALUE"""),0.0)</f>
        <v>0</v>
      </c>
      <c r="V169" s="268">
        <f>IFERROR(__xludf.DUMMYFUNCTION("""COMPUTED_VALUE"""),0.0)</f>
        <v>0</v>
      </c>
      <c r="W169" s="268">
        <f>IFERROR(__xludf.DUMMYFUNCTION("""COMPUTED_VALUE"""),50.0)</f>
        <v>50</v>
      </c>
      <c r="X169" s="268">
        <f>IFERROR(__xludf.DUMMYFUNCTION("""COMPUTED_VALUE"""),0.0)</f>
        <v>0</v>
      </c>
      <c r="Y169" s="268">
        <f>IFERROR(__xludf.DUMMYFUNCTION("""COMPUTED_VALUE"""),0.0)</f>
        <v>0</v>
      </c>
      <c r="Z169" s="268">
        <f>IFERROR(__xludf.DUMMYFUNCTION("""COMPUTED_VALUE"""),-100.0)</f>
        <v>-100</v>
      </c>
      <c r="AA169" s="268">
        <f>IFERROR(__xludf.DUMMYFUNCTION("""COMPUTED_VALUE"""),0.0)</f>
        <v>0</v>
      </c>
      <c r="AB169" s="268">
        <f>IFERROR(__xludf.DUMMYFUNCTION("""COMPUTED_VALUE"""),0.0)</f>
        <v>0</v>
      </c>
      <c r="AC169" s="268">
        <f>IFERROR(__xludf.DUMMYFUNCTION("""COMPUTED_VALUE"""),-50.0)</f>
        <v>-50</v>
      </c>
      <c r="AD169" s="268">
        <f>IFERROR(__xludf.DUMMYFUNCTION("""COMPUTED_VALUE"""),0.0)</f>
        <v>0</v>
      </c>
      <c r="AE169" s="268">
        <f>IFERROR(__xludf.DUMMYFUNCTION("""COMPUTED_VALUE"""),0.0)</f>
        <v>0</v>
      </c>
      <c r="AF169" s="268" t="str">
        <f>IFERROR(__xludf.DUMMYFUNCTION("""COMPUTED_VALUE"""),"")</f>
        <v/>
      </c>
      <c r="AG169" s="268">
        <f>IFERROR(__xludf.DUMMYFUNCTION("""COMPUTED_VALUE"""),0.0)</f>
        <v>0</v>
      </c>
      <c r="AH169" s="268">
        <f>IFERROR(__xludf.DUMMYFUNCTION("""COMPUTED_VALUE"""),0.0)</f>
        <v>0</v>
      </c>
      <c r="AI169" s="268">
        <f>IFERROR(__xludf.DUMMYFUNCTION("""COMPUTED_VALUE"""),0.0)</f>
        <v>0</v>
      </c>
      <c r="AJ169" s="268"/>
    </row>
    <row r="170" ht="22.5" customHeight="1">
      <c r="A170" s="170" t="str">
        <f>IFERROR(__xludf.DUMMYFUNCTION("""COMPUTED_VALUE"""),"")</f>
        <v/>
      </c>
      <c r="B170" s="170" t="str">
        <f>IFERROR(__xludf.DUMMYFUNCTION("""COMPUTED_VALUE"""),"")</f>
        <v/>
      </c>
      <c r="C170" s="170">
        <f>IFERROR(__xludf.DUMMYFUNCTION("""COMPUTED_VALUE"""),332.0)</f>
        <v>332</v>
      </c>
      <c r="D170" s="170" t="str">
        <f>IFERROR(__xludf.DUMMYFUNCTION("""COMPUTED_VALUE"""),"Hospital Federal do Andaraí")</f>
        <v>Hospital Federal do Andaraí</v>
      </c>
      <c r="E170" s="270" t="str">
        <f>IFERROR(__xludf.DUMMYFUNCTION("""COMPUTED_VALUE"""),"ZONA NORTE")</f>
        <v>ZONA NORTE</v>
      </c>
      <c r="F170" s="170" t="str">
        <f>IFERROR(__xludf.DUMMYFUNCTION("""COMPUTED_VALUE"""),"Rio de Janeiro")</f>
        <v>Rio de Janeiro</v>
      </c>
      <c r="G170" s="170" t="str">
        <f>IFERROR(__xludf.DUMMYFUNCTION("""COMPUTED_VALUE"""),"Andaraí")</f>
        <v>Andaraí</v>
      </c>
      <c r="H170" s="170" t="str">
        <f>IFERROR(__xludf.DUMMYFUNCTION("""COMPUTED_VALUE"""),"Hospital de Referência - ALTA COMPLEXIDADE
")</f>
        <v>Hospital de Referência - ALTA COMPLEXIDADE
</v>
      </c>
      <c r="I170" s="170" t="str">
        <f>IFERROR(__xludf.DUMMYFUNCTION("""COMPUTED_VALUE"""),"Público")</f>
        <v>Público</v>
      </c>
      <c r="J170" s="170" t="str">
        <f>IFERROR(__xludf.DUMMYFUNCTION("""COMPUTED_VALUE"""),"")</f>
        <v/>
      </c>
      <c r="K170" s="170" t="str">
        <f>IFERROR(__xludf.DUMMYFUNCTION("""COMPUTED_VALUE"""),"")</f>
        <v/>
      </c>
      <c r="L170" s="170" t="str">
        <f>IFERROR(__xludf.DUMMYFUNCTION("""COMPUTED_VALUE"""),"")</f>
        <v/>
      </c>
      <c r="M170" s="170" t="str">
        <f>IFERROR(__xludf.DUMMYFUNCTION("""COMPUTED_VALUE"""),"")</f>
        <v/>
      </c>
      <c r="N170" s="170">
        <f>IFERROR(__xludf.DUMMYFUNCTION("""COMPUTED_VALUE"""),0.0)</f>
        <v>0</v>
      </c>
      <c r="O170" s="170">
        <f>IFERROR(__xludf.DUMMYFUNCTION("""COMPUTED_VALUE"""),0.0)</f>
        <v>0</v>
      </c>
      <c r="P170" s="170">
        <f>IFERROR(__xludf.DUMMYFUNCTION("""COMPUTED_VALUE"""),0.0)</f>
        <v>0</v>
      </c>
      <c r="Q170" s="170">
        <f>IFERROR(__xludf.DUMMYFUNCTION("""COMPUTED_VALUE"""),0.0)</f>
        <v>0</v>
      </c>
      <c r="R170" s="170">
        <f>IFERROR(__xludf.DUMMYFUNCTION("""COMPUTED_VALUE"""),0.0)</f>
        <v>0</v>
      </c>
      <c r="S170" s="170">
        <f>IFERROR(__xludf.DUMMYFUNCTION("""COMPUTED_VALUE"""),0.0)</f>
        <v>0</v>
      </c>
      <c r="T170" s="170">
        <f>IFERROR(__xludf.DUMMYFUNCTION("""COMPUTED_VALUE"""),298.0)</f>
        <v>298</v>
      </c>
      <c r="U170" s="170">
        <f>IFERROR(__xludf.DUMMYFUNCTION("""COMPUTED_VALUE"""),0.0)</f>
        <v>0</v>
      </c>
      <c r="V170" s="170">
        <f>IFERROR(__xludf.DUMMYFUNCTION("""COMPUTED_VALUE"""),0.0)</f>
        <v>0</v>
      </c>
      <c r="W170" s="170">
        <f>IFERROR(__xludf.DUMMYFUNCTION("""COMPUTED_VALUE"""),0.0)</f>
        <v>0</v>
      </c>
      <c r="X170" s="170">
        <f>IFERROR(__xludf.DUMMYFUNCTION("""COMPUTED_VALUE"""),0.0)</f>
        <v>0</v>
      </c>
      <c r="Y170" s="170">
        <f>IFERROR(__xludf.DUMMYFUNCTION("""COMPUTED_VALUE"""),0.0)</f>
        <v>0</v>
      </c>
      <c r="Z170" s="170">
        <f>IFERROR(__xludf.DUMMYFUNCTION("""COMPUTED_VALUE"""),-298.0)</f>
        <v>-298</v>
      </c>
      <c r="AA170" s="170">
        <f>IFERROR(__xludf.DUMMYFUNCTION("""COMPUTED_VALUE"""),0.0)</f>
        <v>0</v>
      </c>
      <c r="AB170" s="170">
        <f>IFERROR(__xludf.DUMMYFUNCTION("""COMPUTED_VALUE"""),0.0)</f>
        <v>0</v>
      </c>
      <c r="AC170" s="170">
        <f>IFERROR(__xludf.DUMMYFUNCTION("""COMPUTED_VALUE"""),0.0)</f>
        <v>0</v>
      </c>
      <c r="AD170" s="170">
        <f>IFERROR(__xludf.DUMMYFUNCTION("""COMPUTED_VALUE"""),0.0)</f>
        <v>0</v>
      </c>
      <c r="AE170" s="170">
        <f>IFERROR(__xludf.DUMMYFUNCTION("""COMPUTED_VALUE"""),0.0)</f>
        <v>0</v>
      </c>
      <c r="AF170" s="170" t="str">
        <f>IFERROR(__xludf.DUMMYFUNCTION("""COMPUTED_VALUE"""),"")</f>
        <v/>
      </c>
      <c r="AG170" s="170">
        <f>IFERROR(__xludf.DUMMYFUNCTION("""COMPUTED_VALUE"""),0.0)</f>
        <v>0</v>
      </c>
      <c r="AH170" s="170">
        <f>IFERROR(__xludf.DUMMYFUNCTION("""COMPUTED_VALUE"""),0.0)</f>
        <v>0</v>
      </c>
      <c r="AI170" s="170">
        <f>IFERROR(__xludf.DUMMYFUNCTION("""COMPUTED_VALUE"""),0.0)</f>
        <v>0</v>
      </c>
      <c r="AJ170" s="170"/>
    </row>
    <row r="171" ht="22.5" customHeight="1">
      <c r="A171" s="268" t="str">
        <f>IFERROR(__xludf.DUMMYFUNCTION("""COMPUTED_VALUE"""),"")</f>
        <v/>
      </c>
      <c r="B171" s="268" t="str">
        <f>IFERROR(__xludf.DUMMYFUNCTION("""COMPUTED_VALUE"""),"")</f>
        <v/>
      </c>
      <c r="C171" s="268">
        <f>IFERROR(__xludf.DUMMYFUNCTION("""COMPUTED_VALUE"""),344.0)</f>
        <v>344</v>
      </c>
      <c r="D171" s="268" t="str">
        <f>IFERROR(__xludf.DUMMYFUNCTION("""COMPUTED_VALUE"""),"Hospital Federal dos Servidores do Estado")</f>
        <v>Hospital Federal dos Servidores do Estado</v>
      </c>
      <c r="E171" s="272" t="str">
        <f>IFERROR(__xludf.DUMMYFUNCTION("""COMPUTED_VALUE"""),"CENTRO")</f>
        <v>CENTRO</v>
      </c>
      <c r="F171" s="268" t="str">
        <f>IFERROR(__xludf.DUMMYFUNCTION("""COMPUTED_VALUE"""),"Rio de Janeiro")</f>
        <v>Rio de Janeiro</v>
      </c>
      <c r="G171" s="268" t="str">
        <f>IFERROR(__xludf.DUMMYFUNCTION("""COMPUTED_VALUE"""),"Saude")</f>
        <v>Saude</v>
      </c>
      <c r="H171" s="268" t="str">
        <f>IFERROR(__xludf.DUMMYFUNCTION("""COMPUTED_VALUE"""),"Grande emergência - MÉDIA COMPLEXIDADE
")</f>
        <v>Grande emergência - MÉDIA COMPLEXIDADE
</v>
      </c>
      <c r="I171" s="268" t="str">
        <f>IFERROR(__xludf.DUMMYFUNCTION("""COMPUTED_VALUE"""),"Público")</f>
        <v>Público</v>
      </c>
      <c r="J171" s="268" t="str">
        <f>IFERROR(__xludf.DUMMYFUNCTION("""COMPUTED_VALUE"""),"")</f>
        <v/>
      </c>
      <c r="K171" s="268" t="str">
        <f>IFERROR(__xludf.DUMMYFUNCTION("""COMPUTED_VALUE"""),"")</f>
        <v/>
      </c>
      <c r="L171" s="268" t="str">
        <f>IFERROR(__xludf.DUMMYFUNCTION("""COMPUTED_VALUE"""),"")</f>
        <v/>
      </c>
      <c r="M171" s="268" t="str">
        <f>IFERROR(__xludf.DUMMYFUNCTION("""COMPUTED_VALUE"""),"")</f>
        <v/>
      </c>
      <c r="N171" s="268">
        <f>IFERROR(__xludf.DUMMYFUNCTION("""COMPUTED_VALUE"""),0.0)</f>
        <v>0</v>
      </c>
      <c r="O171" s="268">
        <f>IFERROR(__xludf.DUMMYFUNCTION("""COMPUTED_VALUE"""),0.0)</f>
        <v>0</v>
      </c>
      <c r="P171" s="268">
        <f>IFERROR(__xludf.DUMMYFUNCTION("""COMPUTED_VALUE"""),0.0)</f>
        <v>0</v>
      </c>
      <c r="Q171" s="268">
        <f>IFERROR(__xludf.DUMMYFUNCTION("""COMPUTED_VALUE"""),0.0)</f>
        <v>0</v>
      </c>
      <c r="R171" s="268">
        <f>IFERROR(__xludf.DUMMYFUNCTION("""COMPUTED_VALUE"""),0.0)</f>
        <v>0</v>
      </c>
      <c r="S171" s="268">
        <f>IFERROR(__xludf.DUMMYFUNCTION("""COMPUTED_VALUE"""),0.0)</f>
        <v>0</v>
      </c>
      <c r="T171" s="268">
        <f>IFERROR(__xludf.DUMMYFUNCTION("""COMPUTED_VALUE"""),200.0)</f>
        <v>200</v>
      </c>
      <c r="U171" s="268">
        <f>IFERROR(__xludf.DUMMYFUNCTION("""COMPUTED_VALUE"""),0.0)</f>
        <v>0</v>
      </c>
      <c r="V171" s="268">
        <f>IFERROR(__xludf.DUMMYFUNCTION("""COMPUTED_VALUE"""),0.0)</f>
        <v>0</v>
      </c>
      <c r="W171" s="268">
        <f>IFERROR(__xludf.DUMMYFUNCTION("""COMPUTED_VALUE"""),0.0)</f>
        <v>0</v>
      </c>
      <c r="X171" s="268">
        <f>IFERROR(__xludf.DUMMYFUNCTION("""COMPUTED_VALUE"""),0.0)</f>
        <v>0</v>
      </c>
      <c r="Y171" s="268">
        <f>IFERROR(__xludf.DUMMYFUNCTION("""COMPUTED_VALUE"""),0.0)</f>
        <v>0</v>
      </c>
      <c r="Z171" s="268">
        <f>IFERROR(__xludf.DUMMYFUNCTION("""COMPUTED_VALUE"""),-200.0)</f>
        <v>-200</v>
      </c>
      <c r="AA171" s="268">
        <f>IFERROR(__xludf.DUMMYFUNCTION("""COMPUTED_VALUE"""),0.0)</f>
        <v>0</v>
      </c>
      <c r="AB171" s="268">
        <f>IFERROR(__xludf.DUMMYFUNCTION("""COMPUTED_VALUE"""),0.0)</f>
        <v>0</v>
      </c>
      <c r="AC171" s="268">
        <f>IFERROR(__xludf.DUMMYFUNCTION("""COMPUTED_VALUE"""),0.0)</f>
        <v>0</v>
      </c>
      <c r="AD171" s="268">
        <f>IFERROR(__xludf.DUMMYFUNCTION("""COMPUTED_VALUE"""),0.0)</f>
        <v>0</v>
      </c>
      <c r="AE171" s="268">
        <f>IFERROR(__xludf.DUMMYFUNCTION("""COMPUTED_VALUE"""),0.0)</f>
        <v>0</v>
      </c>
      <c r="AF171" s="268" t="str">
        <f>IFERROR(__xludf.DUMMYFUNCTION("""COMPUTED_VALUE"""),"")</f>
        <v/>
      </c>
      <c r="AG171" s="268">
        <f>IFERROR(__xludf.DUMMYFUNCTION("""COMPUTED_VALUE"""),0.0)</f>
        <v>0</v>
      </c>
      <c r="AH171" s="268">
        <f>IFERROR(__xludf.DUMMYFUNCTION("""COMPUTED_VALUE"""),0.0)</f>
        <v>0</v>
      </c>
      <c r="AI171" s="268">
        <f>IFERROR(__xludf.DUMMYFUNCTION("""COMPUTED_VALUE"""),0.0)</f>
        <v>0</v>
      </c>
      <c r="AJ171" s="268"/>
    </row>
    <row r="172" ht="22.5" customHeight="1">
      <c r="A172" s="170" t="str">
        <f>IFERROR(__xludf.DUMMYFUNCTION("""COMPUTED_VALUE"""),"")</f>
        <v/>
      </c>
      <c r="B172" s="170" t="str">
        <f>IFERROR(__xludf.DUMMYFUNCTION("""COMPUTED_VALUE"""),"")</f>
        <v/>
      </c>
      <c r="C172" s="170">
        <f>IFERROR(__xludf.DUMMYFUNCTION("""COMPUTED_VALUE"""),345.0)</f>
        <v>345</v>
      </c>
      <c r="D172" s="170" t="str">
        <f>IFERROR(__xludf.DUMMYFUNCTION("""COMPUTED_VALUE"""),"Fundação Oswaldo Cruz")</f>
        <v>Fundação Oswaldo Cruz</v>
      </c>
      <c r="E172" s="270" t="str">
        <f>IFERROR(__xludf.DUMMYFUNCTION("""COMPUTED_VALUE"""),"REGIAO METROPOLITANA")</f>
        <v>REGIAO METROPOLITANA</v>
      </c>
      <c r="F172" s="170" t="str">
        <f>IFERROR(__xludf.DUMMYFUNCTION("""COMPUTED_VALUE"""),"Rio de Janeiro")</f>
        <v>Rio de Janeiro</v>
      </c>
      <c r="G172" s="170" t="str">
        <f>IFERROR(__xludf.DUMMYFUNCTION("""COMPUTED_VALUE"""),"Manguinhos")</f>
        <v>Manguinhos</v>
      </c>
      <c r="H172" s="170" t="str">
        <f>IFERROR(__xludf.DUMMYFUNCTION("""COMPUTED_VALUE"""),"Hospital de Referência - ALTA COMPLEXIDADE
")</f>
        <v>Hospital de Referência - ALTA COMPLEXIDADE
</v>
      </c>
      <c r="I172" s="170" t="str">
        <f>IFERROR(__xludf.DUMMYFUNCTION("""COMPUTED_VALUE"""),"Público")</f>
        <v>Público</v>
      </c>
      <c r="J172" s="170" t="str">
        <f>IFERROR(__xludf.DUMMYFUNCTION("""COMPUTED_VALUE"""),"")</f>
        <v/>
      </c>
      <c r="K172" s="170" t="str">
        <f>IFERROR(__xludf.DUMMYFUNCTION("""COMPUTED_VALUE"""),"")</f>
        <v/>
      </c>
      <c r="L172" s="170" t="str">
        <f>IFERROR(__xludf.DUMMYFUNCTION("""COMPUTED_VALUE"""),"")</f>
        <v/>
      </c>
      <c r="M172" s="170" t="str">
        <f>IFERROR(__xludf.DUMMYFUNCTION("""COMPUTED_VALUE"""),"")</f>
        <v/>
      </c>
      <c r="N172" s="170">
        <f>IFERROR(__xludf.DUMMYFUNCTION("""COMPUTED_VALUE"""),0.0)</f>
        <v>0</v>
      </c>
      <c r="O172" s="170">
        <f>IFERROR(__xludf.DUMMYFUNCTION("""COMPUTED_VALUE"""),0.0)</f>
        <v>0</v>
      </c>
      <c r="P172" s="170">
        <f>IFERROR(__xludf.DUMMYFUNCTION("""COMPUTED_VALUE"""),0.0)</f>
        <v>0</v>
      </c>
      <c r="Q172" s="170">
        <f>IFERROR(__xludf.DUMMYFUNCTION("""COMPUTED_VALUE"""),0.0)</f>
        <v>0</v>
      </c>
      <c r="R172" s="170">
        <f>IFERROR(__xludf.DUMMYFUNCTION("""COMPUTED_VALUE"""),0.0)</f>
        <v>0</v>
      </c>
      <c r="S172" s="170">
        <f>IFERROR(__xludf.DUMMYFUNCTION("""COMPUTED_VALUE"""),0.0)</f>
        <v>0</v>
      </c>
      <c r="T172" s="170">
        <f>IFERROR(__xludf.DUMMYFUNCTION("""COMPUTED_VALUE"""),1000.0)</f>
        <v>1000</v>
      </c>
      <c r="U172" s="170">
        <f>IFERROR(__xludf.DUMMYFUNCTION("""COMPUTED_VALUE"""),0.0)</f>
        <v>0</v>
      </c>
      <c r="V172" s="170">
        <f>IFERROR(__xludf.DUMMYFUNCTION("""COMPUTED_VALUE"""),0.0)</f>
        <v>0</v>
      </c>
      <c r="W172" s="170">
        <f>IFERROR(__xludf.DUMMYFUNCTION("""COMPUTED_VALUE"""),0.0)</f>
        <v>0</v>
      </c>
      <c r="X172" s="170">
        <f>IFERROR(__xludf.DUMMYFUNCTION("""COMPUTED_VALUE"""),0.0)</f>
        <v>0</v>
      </c>
      <c r="Y172" s="170">
        <f>IFERROR(__xludf.DUMMYFUNCTION("""COMPUTED_VALUE"""),0.0)</f>
        <v>0</v>
      </c>
      <c r="Z172" s="170">
        <f>IFERROR(__xludf.DUMMYFUNCTION("""COMPUTED_VALUE"""),-1000.0)</f>
        <v>-1000</v>
      </c>
      <c r="AA172" s="170">
        <f>IFERROR(__xludf.DUMMYFUNCTION("""COMPUTED_VALUE"""),0.0)</f>
        <v>0</v>
      </c>
      <c r="AB172" s="170">
        <f>IFERROR(__xludf.DUMMYFUNCTION("""COMPUTED_VALUE"""),0.0)</f>
        <v>0</v>
      </c>
      <c r="AC172" s="170">
        <f>IFERROR(__xludf.DUMMYFUNCTION("""COMPUTED_VALUE"""),0.0)</f>
        <v>0</v>
      </c>
      <c r="AD172" s="170">
        <f>IFERROR(__xludf.DUMMYFUNCTION("""COMPUTED_VALUE"""),0.0)</f>
        <v>0</v>
      </c>
      <c r="AE172" s="170">
        <f>IFERROR(__xludf.DUMMYFUNCTION("""COMPUTED_VALUE"""),0.0)</f>
        <v>0</v>
      </c>
      <c r="AF172" s="170" t="str">
        <f>IFERROR(__xludf.DUMMYFUNCTION("""COMPUTED_VALUE"""),"")</f>
        <v/>
      </c>
      <c r="AG172" s="170">
        <f>IFERROR(__xludf.DUMMYFUNCTION("""COMPUTED_VALUE"""),0.0)</f>
        <v>0</v>
      </c>
      <c r="AH172" s="170">
        <f>IFERROR(__xludf.DUMMYFUNCTION("""COMPUTED_VALUE"""),0.0)</f>
        <v>0</v>
      </c>
      <c r="AI172" s="170">
        <f>IFERROR(__xludf.DUMMYFUNCTION("""COMPUTED_VALUE"""),0.0)</f>
        <v>0</v>
      </c>
      <c r="AJ172" s="170"/>
    </row>
    <row r="173" ht="22.5" customHeight="1">
      <c r="A173" s="268" t="str">
        <f>IFERROR(__xludf.DUMMYFUNCTION("""COMPUTED_VALUE"""),"")</f>
        <v/>
      </c>
      <c r="B173" s="268" t="str">
        <f>IFERROR(__xludf.DUMMYFUNCTION("""COMPUTED_VALUE"""),"")</f>
        <v/>
      </c>
      <c r="C173" s="268">
        <f>IFERROR(__xludf.DUMMYFUNCTION("""COMPUTED_VALUE"""),346.0)</f>
        <v>346</v>
      </c>
      <c r="D173" s="268" t="str">
        <f>IFERROR(__xludf.DUMMYFUNCTION("""COMPUTED_VALUE"""),"Hospital Geral de Nova Iguaçu")</f>
        <v>Hospital Geral de Nova Iguaçu</v>
      </c>
      <c r="E173" s="272" t="str">
        <f>IFERROR(__xludf.DUMMYFUNCTION("""COMPUTED_VALUE"""),"BAIXADA FLUMINENSE")</f>
        <v>BAIXADA FLUMINENSE</v>
      </c>
      <c r="F173" s="268" t="str">
        <f>IFERROR(__xludf.DUMMYFUNCTION("""COMPUTED_VALUE"""),"Nova Iguaçu")</f>
        <v>Nova Iguaçu</v>
      </c>
      <c r="G173" s="268" t="str">
        <f>IFERROR(__xludf.DUMMYFUNCTION("""COMPUTED_VALUE"""),"Posse")</f>
        <v>Posse</v>
      </c>
      <c r="H173" s="268" t="str">
        <f>IFERROR(__xludf.DUMMYFUNCTION("""COMPUTED_VALUE"""),"Hospital de Referência - ALTA COMPLEXIDADE
")</f>
        <v>Hospital de Referência - ALTA COMPLEXIDADE
</v>
      </c>
      <c r="I173" s="268" t="str">
        <f>IFERROR(__xludf.DUMMYFUNCTION("""COMPUTED_VALUE"""),"Público")</f>
        <v>Público</v>
      </c>
      <c r="J173" s="268" t="str">
        <f>IFERROR(__xludf.DUMMYFUNCTION("""COMPUTED_VALUE"""),"")</f>
        <v/>
      </c>
      <c r="K173" s="268" t="str">
        <f>IFERROR(__xludf.DUMMYFUNCTION("""COMPUTED_VALUE"""),"")</f>
        <v/>
      </c>
      <c r="L173" s="268" t="str">
        <f>IFERROR(__xludf.DUMMYFUNCTION("""COMPUTED_VALUE"""),"")</f>
        <v/>
      </c>
      <c r="M173" s="268" t="str">
        <f>IFERROR(__xludf.DUMMYFUNCTION("""COMPUTED_VALUE"""),"")</f>
        <v/>
      </c>
      <c r="N173" s="268">
        <f>IFERROR(__xludf.DUMMYFUNCTION("""COMPUTED_VALUE"""),0.0)</f>
        <v>0</v>
      </c>
      <c r="O173" s="268">
        <f>IFERROR(__xludf.DUMMYFUNCTION("""COMPUTED_VALUE"""),0.0)</f>
        <v>0</v>
      </c>
      <c r="P173" s="268">
        <f>IFERROR(__xludf.DUMMYFUNCTION("""COMPUTED_VALUE"""),0.0)</f>
        <v>0</v>
      </c>
      <c r="Q173" s="268">
        <f>IFERROR(__xludf.DUMMYFUNCTION("""COMPUTED_VALUE"""),0.0)</f>
        <v>0</v>
      </c>
      <c r="R173" s="268">
        <f>IFERROR(__xludf.DUMMYFUNCTION("""COMPUTED_VALUE"""),0.0)</f>
        <v>0</v>
      </c>
      <c r="S173" s="268">
        <f>IFERROR(__xludf.DUMMYFUNCTION("""COMPUTED_VALUE"""),0.0)</f>
        <v>0</v>
      </c>
      <c r="T173" s="268">
        <f>IFERROR(__xludf.DUMMYFUNCTION("""COMPUTED_VALUE"""),400.0)</f>
        <v>400</v>
      </c>
      <c r="U173" s="268">
        <f>IFERROR(__xludf.DUMMYFUNCTION("""COMPUTED_VALUE"""),0.0)</f>
        <v>0</v>
      </c>
      <c r="V173" s="268">
        <f>IFERROR(__xludf.DUMMYFUNCTION("""COMPUTED_VALUE"""),0.0)</f>
        <v>0</v>
      </c>
      <c r="W173" s="268">
        <f>IFERROR(__xludf.DUMMYFUNCTION("""COMPUTED_VALUE"""),100.0)</f>
        <v>100</v>
      </c>
      <c r="X173" s="268">
        <f>IFERROR(__xludf.DUMMYFUNCTION("""COMPUTED_VALUE"""),0.0)</f>
        <v>0</v>
      </c>
      <c r="Y173" s="268">
        <f>IFERROR(__xludf.DUMMYFUNCTION("""COMPUTED_VALUE"""),0.0)</f>
        <v>0</v>
      </c>
      <c r="Z173" s="268">
        <f>IFERROR(__xludf.DUMMYFUNCTION("""COMPUTED_VALUE"""),-400.0)</f>
        <v>-400</v>
      </c>
      <c r="AA173" s="268">
        <f>IFERROR(__xludf.DUMMYFUNCTION("""COMPUTED_VALUE"""),0.0)</f>
        <v>0</v>
      </c>
      <c r="AB173" s="268">
        <f>IFERROR(__xludf.DUMMYFUNCTION("""COMPUTED_VALUE"""),0.0)</f>
        <v>0</v>
      </c>
      <c r="AC173" s="268">
        <f>IFERROR(__xludf.DUMMYFUNCTION("""COMPUTED_VALUE"""),-100.0)</f>
        <v>-100</v>
      </c>
      <c r="AD173" s="268">
        <f>IFERROR(__xludf.DUMMYFUNCTION("""COMPUTED_VALUE"""),0.0)</f>
        <v>0</v>
      </c>
      <c r="AE173" s="268">
        <f>IFERROR(__xludf.DUMMYFUNCTION("""COMPUTED_VALUE"""),0.0)</f>
        <v>0</v>
      </c>
      <c r="AF173" s="268" t="str">
        <f>IFERROR(__xludf.DUMMYFUNCTION("""COMPUTED_VALUE"""),"")</f>
        <v/>
      </c>
      <c r="AG173" s="268">
        <f>IFERROR(__xludf.DUMMYFUNCTION("""COMPUTED_VALUE"""),0.0)</f>
        <v>0</v>
      </c>
      <c r="AH173" s="268">
        <f>IFERROR(__xludf.DUMMYFUNCTION("""COMPUTED_VALUE"""),0.0)</f>
        <v>0</v>
      </c>
      <c r="AI173" s="268">
        <f>IFERROR(__xludf.DUMMYFUNCTION("""COMPUTED_VALUE"""),0.0)</f>
        <v>0</v>
      </c>
      <c r="AJ173" s="268"/>
    </row>
    <row r="174" ht="22.5" customHeight="1">
      <c r="A174" s="170" t="str">
        <f>IFERROR(__xludf.DUMMYFUNCTION("""COMPUTED_VALUE"""),"")</f>
        <v/>
      </c>
      <c r="B174" s="170" t="str">
        <f>IFERROR(__xludf.DUMMYFUNCTION("""COMPUTED_VALUE"""),"")</f>
        <v/>
      </c>
      <c r="C174" s="170">
        <f>IFERROR(__xludf.DUMMYFUNCTION("""COMPUTED_VALUE"""),348.0)</f>
        <v>348</v>
      </c>
      <c r="D174" s="170" t="str">
        <f>IFERROR(__xludf.DUMMYFUNCTION("""COMPUTED_VALUE"""),"CMS OSWALDO CRUZ")</f>
        <v>CMS OSWALDO CRUZ</v>
      </c>
      <c r="E174" s="270" t="str">
        <f>IFERROR(__xludf.DUMMYFUNCTION("""COMPUTED_VALUE"""),"CENTRO")</f>
        <v>CENTRO</v>
      </c>
      <c r="F174" s="170" t="str">
        <f>IFERROR(__xludf.DUMMYFUNCTION("""COMPUTED_VALUE"""),"Rio de Janeiro")</f>
        <v>Rio de Janeiro</v>
      </c>
      <c r="G174" s="170" t="str">
        <f>IFERROR(__xludf.DUMMYFUNCTION("""COMPUTED_VALUE"""),"Centro")</f>
        <v>Centro</v>
      </c>
      <c r="H174" s="170" t="str">
        <f>IFERROR(__xludf.DUMMYFUNCTION("""COMPUTED_VALUE"""),"Unidade básica de saúde - BAIXA COMPLEXIDADE
")</f>
        <v>Unidade básica de saúde - BAIXA COMPLEXIDADE
</v>
      </c>
      <c r="I174" s="170" t="str">
        <f>IFERROR(__xludf.DUMMYFUNCTION("""COMPUTED_VALUE"""),"Público")</f>
        <v>Público</v>
      </c>
      <c r="J174" s="170" t="str">
        <f>IFERROR(__xludf.DUMMYFUNCTION("""COMPUTED_VALUE"""),"")</f>
        <v/>
      </c>
      <c r="K174" s="170" t="str">
        <f>IFERROR(__xludf.DUMMYFUNCTION("""COMPUTED_VALUE"""),"")</f>
        <v/>
      </c>
      <c r="L174" s="170" t="str">
        <f>IFERROR(__xludf.DUMMYFUNCTION("""COMPUTED_VALUE"""),"")</f>
        <v/>
      </c>
      <c r="M174" s="170" t="str">
        <f>IFERROR(__xludf.DUMMYFUNCTION("""COMPUTED_VALUE"""),"")</f>
        <v/>
      </c>
      <c r="N174" s="170">
        <f>IFERROR(__xludf.DUMMYFUNCTION("""COMPUTED_VALUE"""),0.0)</f>
        <v>0</v>
      </c>
      <c r="O174" s="170">
        <f>IFERROR(__xludf.DUMMYFUNCTION("""COMPUTED_VALUE"""),0.0)</f>
        <v>0</v>
      </c>
      <c r="P174" s="170">
        <f>IFERROR(__xludf.DUMMYFUNCTION("""COMPUTED_VALUE"""),0.0)</f>
        <v>0</v>
      </c>
      <c r="Q174" s="170">
        <f>IFERROR(__xludf.DUMMYFUNCTION("""COMPUTED_VALUE"""),0.0)</f>
        <v>0</v>
      </c>
      <c r="R174" s="170">
        <f>IFERROR(__xludf.DUMMYFUNCTION("""COMPUTED_VALUE"""),0.0)</f>
        <v>0</v>
      </c>
      <c r="S174" s="170">
        <f>IFERROR(__xludf.DUMMYFUNCTION("""COMPUTED_VALUE"""),0.0)</f>
        <v>0</v>
      </c>
      <c r="T174" s="170">
        <f>IFERROR(__xludf.DUMMYFUNCTION("""COMPUTED_VALUE"""),50.0)</f>
        <v>50</v>
      </c>
      <c r="U174" s="170">
        <f>IFERROR(__xludf.DUMMYFUNCTION("""COMPUTED_VALUE"""),0.0)</f>
        <v>0</v>
      </c>
      <c r="V174" s="170">
        <f>IFERROR(__xludf.DUMMYFUNCTION("""COMPUTED_VALUE"""),0.0)</f>
        <v>0</v>
      </c>
      <c r="W174" s="170">
        <f>IFERROR(__xludf.DUMMYFUNCTION("""COMPUTED_VALUE"""),0.0)</f>
        <v>0</v>
      </c>
      <c r="X174" s="170">
        <f>IFERROR(__xludf.DUMMYFUNCTION("""COMPUTED_VALUE"""),0.0)</f>
        <v>0</v>
      </c>
      <c r="Y174" s="170">
        <f>IFERROR(__xludf.DUMMYFUNCTION("""COMPUTED_VALUE"""),0.0)</f>
        <v>0</v>
      </c>
      <c r="Z174" s="170">
        <f>IFERROR(__xludf.DUMMYFUNCTION("""COMPUTED_VALUE"""),-50.0)</f>
        <v>-50</v>
      </c>
      <c r="AA174" s="170">
        <f>IFERROR(__xludf.DUMMYFUNCTION("""COMPUTED_VALUE"""),0.0)</f>
        <v>0</v>
      </c>
      <c r="AB174" s="170">
        <f>IFERROR(__xludf.DUMMYFUNCTION("""COMPUTED_VALUE"""),0.0)</f>
        <v>0</v>
      </c>
      <c r="AC174" s="170">
        <f>IFERROR(__xludf.DUMMYFUNCTION("""COMPUTED_VALUE"""),0.0)</f>
        <v>0</v>
      </c>
      <c r="AD174" s="170">
        <f>IFERROR(__xludf.DUMMYFUNCTION("""COMPUTED_VALUE"""),0.0)</f>
        <v>0</v>
      </c>
      <c r="AE174" s="170">
        <f>IFERROR(__xludf.DUMMYFUNCTION("""COMPUTED_VALUE"""),0.0)</f>
        <v>0</v>
      </c>
      <c r="AF174" s="170" t="str">
        <f>IFERROR(__xludf.DUMMYFUNCTION("""COMPUTED_VALUE"""),"")</f>
        <v/>
      </c>
      <c r="AG174" s="170">
        <f>IFERROR(__xludf.DUMMYFUNCTION("""COMPUTED_VALUE"""),0.0)</f>
        <v>0</v>
      </c>
      <c r="AH174" s="170">
        <f>IFERROR(__xludf.DUMMYFUNCTION("""COMPUTED_VALUE"""),0.0)</f>
        <v>0</v>
      </c>
      <c r="AI174" s="170">
        <f>IFERROR(__xludf.DUMMYFUNCTION("""COMPUTED_VALUE"""),0.0)</f>
        <v>0</v>
      </c>
      <c r="AJ174" s="170"/>
    </row>
    <row r="175" ht="22.5" customHeight="1">
      <c r="A175" s="268" t="str">
        <f>IFERROR(__xludf.DUMMYFUNCTION("""COMPUTED_VALUE"""),"")</f>
        <v/>
      </c>
      <c r="B175" s="268" t="str">
        <f>IFERROR(__xludf.DUMMYFUNCTION("""COMPUTED_VALUE"""),"")</f>
        <v/>
      </c>
      <c r="C175" s="268">
        <f>IFERROR(__xludf.DUMMYFUNCTION("""COMPUTED_VALUE"""),352.0)</f>
        <v>352</v>
      </c>
      <c r="D175" s="268" t="str">
        <f>IFERROR(__xludf.DUMMYFUNCTION("""COMPUTED_VALUE"""),"Upa Austin")</f>
        <v>Upa Austin</v>
      </c>
      <c r="E175" s="272" t="str">
        <f>IFERROR(__xludf.DUMMYFUNCTION("""COMPUTED_VALUE"""),"BAIXADA FLUMINENSE")</f>
        <v>BAIXADA FLUMINENSE</v>
      </c>
      <c r="F175" s="268" t="str">
        <f>IFERROR(__xludf.DUMMYFUNCTION("""COMPUTED_VALUE"""),"Nova Iguaçu")</f>
        <v>Nova Iguaçu</v>
      </c>
      <c r="G175" s="268" t="str">
        <f>IFERROR(__xludf.DUMMYFUNCTION("""COMPUTED_VALUE"""),"Austin")</f>
        <v>Austin</v>
      </c>
      <c r="H175" s="268" t="str">
        <f>IFERROR(__xludf.DUMMYFUNCTION("""COMPUTED_VALUE"""),"Grande emergência - MÉDIA COMPLEXIDADE
")</f>
        <v>Grande emergência - MÉDIA COMPLEXIDADE
</v>
      </c>
      <c r="I175" s="268" t="str">
        <f>IFERROR(__xludf.DUMMYFUNCTION("""COMPUTED_VALUE"""),"Público")</f>
        <v>Público</v>
      </c>
      <c r="J175" s="268" t="str">
        <f>IFERROR(__xludf.DUMMYFUNCTION("""COMPUTED_VALUE"""),"")</f>
        <v/>
      </c>
      <c r="K175" s="268" t="str">
        <f>IFERROR(__xludf.DUMMYFUNCTION("""COMPUTED_VALUE"""),"")</f>
        <v/>
      </c>
      <c r="L175" s="268" t="str">
        <f>IFERROR(__xludf.DUMMYFUNCTION("""COMPUTED_VALUE"""),"")</f>
        <v/>
      </c>
      <c r="M175" s="268" t="str">
        <f>IFERROR(__xludf.DUMMYFUNCTION("""COMPUTED_VALUE"""),"")</f>
        <v/>
      </c>
      <c r="N175" s="268">
        <f>IFERROR(__xludf.DUMMYFUNCTION("""COMPUTED_VALUE"""),0.0)</f>
        <v>0</v>
      </c>
      <c r="O175" s="268">
        <f>IFERROR(__xludf.DUMMYFUNCTION("""COMPUTED_VALUE"""),0.0)</f>
        <v>0</v>
      </c>
      <c r="P175" s="268">
        <f>IFERROR(__xludf.DUMMYFUNCTION("""COMPUTED_VALUE"""),0.0)</f>
        <v>0</v>
      </c>
      <c r="Q175" s="268">
        <f>IFERROR(__xludf.DUMMYFUNCTION("""COMPUTED_VALUE"""),0.0)</f>
        <v>0</v>
      </c>
      <c r="R175" s="268">
        <f>IFERROR(__xludf.DUMMYFUNCTION("""COMPUTED_VALUE"""),0.0)</f>
        <v>0</v>
      </c>
      <c r="S175" s="268">
        <f>IFERROR(__xludf.DUMMYFUNCTION("""COMPUTED_VALUE"""),0.0)</f>
        <v>0</v>
      </c>
      <c r="T175" s="268">
        <f>IFERROR(__xludf.DUMMYFUNCTION("""COMPUTED_VALUE"""),50.0)</f>
        <v>50</v>
      </c>
      <c r="U175" s="268">
        <f>IFERROR(__xludf.DUMMYFUNCTION("""COMPUTED_VALUE"""),0.0)</f>
        <v>0</v>
      </c>
      <c r="V175" s="268">
        <f>IFERROR(__xludf.DUMMYFUNCTION("""COMPUTED_VALUE"""),0.0)</f>
        <v>0</v>
      </c>
      <c r="W175" s="268">
        <f>IFERROR(__xludf.DUMMYFUNCTION("""COMPUTED_VALUE"""),0.0)</f>
        <v>0</v>
      </c>
      <c r="X175" s="268">
        <f>IFERROR(__xludf.DUMMYFUNCTION("""COMPUTED_VALUE"""),0.0)</f>
        <v>0</v>
      </c>
      <c r="Y175" s="268">
        <f>IFERROR(__xludf.DUMMYFUNCTION("""COMPUTED_VALUE"""),0.0)</f>
        <v>0</v>
      </c>
      <c r="Z175" s="268">
        <f>IFERROR(__xludf.DUMMYFUNCTION("""COMPUTED_VALUE"""),-50.0)</f>
        <v>-50</v>
      </c>
      <c r="AA175" s="268">
        <f>IFERROR(__xludf.DUMMYFUNCTION("""COMPUTED_VALUE"""),0.0)</f>
        <v>0</v>
      </c>
      <c r="AB175" s="268">
        <f>IFERROR(__xludf.DUMMYFUNCTION("""COMPUTED_VALUE"""),0.0)</f>
        <v>0</v>
      </c>
      <c r="AC175" s="268">
        <f>IFERROR(__xludf.DUMMYFUNCTION("""COMPUTED_VALUE"""),0.0)</f>
        <v>0</v>
      </c>
      <c r="AD175" s="268">
        <f>IFERROR(__xludf.DUMMYFUNCTION("""COMPUTED_VALUE"""),0.0)</f>
        <v>0</v>
      </c>
      <c r="AE175" s="268">
        <f>IFERROR(__xludf.DUMMYFUNCTION("""COMPUTED_VALUE"""),0.0)</f>
        <v>0</v>
      </c>
      <c r="AF175" s="268" t="str">
        <f>IFERROR(__xludf.DUMMYFUNCTION("""COMPUTED_VALUE"""),"")</f>
        <v/>
      </c>
      <c r="AG175" s="268">
        <f>IFERROR(__xludf.DUMMYFUNCTION("""COMPUTED_VALUE"""),0.0)</f>
        <v>0</v>
      </c>
      <c r="AH175" s="268">
        <f>IFERROR(__xludf.DUMMYFUNCTION("""COMPUTED_VALUE"""),0.0)</f>
        <v>0</v>
      </c>
      <c r="AI175" s="268">
        <f>IFERROR(__xludf.DUMMYFUNCTION("""COMPUTED_VALUE"""),0.0)</f>
        <v>0</v>
      </c>
      <c r="AJ175" s="268"/>
    </row>
    <row r="176" ht="22.5" customHeight="1">
      <c r="A176" s="170" t="str">
        <f>IFERROR(__xludf.DUMMYFUNCTION("""COMPUTED_VALUE"""),"")</f>
        <v/>
      </c>
      <c r="B176" s="170" t="str">
        <f>IFERROR(__xludf.DUMMYFUNCTION("""COMPUTED_VALUE"""),"")</f>
        <v/>
      </c>
      <c r="C176" s="170">
        <f>IFERROR(__xludf.DUMMYFUNCTION("""COMPUTED_VALUE"""),354.0)</f>
        <v>354</v>
      </c>
      <c r="D176" s="170" t="str">
        <f>IFERROR(__xludf.DUMMYFUNCTION("""COMPUTED_VALUE"""),"Hospital Municipal Evandro Freire")</f>
        <v>Hospital Municipal Evandro Freire</v>
      </c>
      <c r="E176" s="270" t="str">
        <f>IFERROR(__xludf.DUMMYFUNCTION("""COMPUTED_VALUE"""),"ZONA NORTE")</f>
        <v>ZONA NORTE</v>
      </c>
      <c r="F176" s="170" t="str">
        <f>IFERROR(__xludf.DUMMYFUNCTION("""COMPUTED_VALUE"""),"Rio de Janeiro")</f>
        <v>Rio de Janeiro</v>
      </c>
      <c r="G176" s="170" t="str">
        <f>IFERROR(__xludf.DUMMYFUNCTION("""COMPUTED_VALUE"""),"Portuguesa")</f>
        <v>Portuguesa</v>
      </c>
      <c r="H176" s="170" t="str">
        <f>IFERROR(__xludf.DUMMYFUNCTION("""COMPUTED_VALUE"""),"Hospital de Referência - ALTA COMPLEXIDADE
")</f>
        <v>Hospital de Referência - ALTA COMPLEXIDADE
</v>
      </c>
      <c r="I176" s="170" t="str">
        <f>IFERROR(__xludf.DUMMYFUNCTION("""COMPUTED_VALUE"""),"Público")</f>
        <v>Público</v>
      </c>
      <c r="J176" s="170" t="str">
        <f>IFERROR(__xludf.DUMMYFUNCTION("""COMPUTED_VALUE"""),"")</f>
        <v/>
      </c>
      <c r="K176" s="170" t="str">
        <f>IFERROR(__xludf.DUMMYFUNCTION("""COMPUTED_VALUE"""),"")</f>
        <v/>
      </c>
      <c r="L176" s="170" t="str">
        <f>IFERROR(__xludf.DUMMYFUNCTION("""COMPUTED_VALUE"""),"")</f>
        <v/>
      </c>
      <c r="M176" s="170" t="str">
        <f>IFERROR(__xludf.DUMMYFUNCTION("""COMPUTED_VALUE"""),"")</f>
        <v/>
      </c>
      <c r="N176" s="170">
        <f>IFERROR(__xludf.DUMMYFUNCTION("""COMPUTED_VALUE"""),0.0)</f>
        <v>0</v>
      </c>
      <c r="O176" s="170">
        <f>IFERROR(__xludf.DUMMYFUNCTION("""COMPUTED_VALUE"""),0.0)</f>
        <v>0</v>
      </c>
      <c r="P176" s="170">
        <f>IFERROR(__xludf.DUMMYFUNCTION("""COMPUTED_VALUE"""),0.0)</f>
        <v>0</v>
      </c>
      <c r="Q176" s="170">
        <f>IFERROR(__xludf.DUMMYFUNCTION("""COMPUTED_VALUE"""),0.0)</f>
        <v>0</v>
      </c>
      <c r="R176" s="170">
        <f>IFERROR(__xludf.DUMMYFUNCTION("""COMPUTED_VALUE"""),0.0)</f>
        <v>0</v>
      </c>
      <c r="S176" s="170">
        <f>IFERROR(__xludf.DUMMYFUNCTION("""COMPUTED_VALUE"""),0.0)</f>
        <v>0</v>
      </c>
      <c r="T176" s="170">
        <f>IFERROR(__xludf.DUMMYFUNCTION("""COMPUTED_VALUE"""),305.0)</f>
        <v>305</v>
      </c>
      <c r="U176" s="170">
        <f>IFERROR(__xludf.DUMMYFUNCTION("""COMPUTED_VALUE"""),0.0)</f>
        <v>0</v>
      </c>
      <c r="V176" s="170">
        <f>IFERROR(__xludf.DUMMYFUNCTION("""COMPUTED_VALUE"""),0.0)</f>
        <v>0</v>
      </c>
      <c r="W176" s="170">
        <f>IFERROR(__xludf.DUMMYFUNCTION("""COMPUTED_VALUE"""),0.0)</f>
        <v>0</v>
      </c>
      <c r="X176" s="170">
        <f>IFERROR(__xludf.DUMMYFUNCTION("""COMPUTED_VALUE"""),0.0)</f>
        <v>0</v>
      </c>
      <c r="Y176" s="170">
        <f>IFERROR(__xludf.DUMMYFUNCTION("""COMPUTED_VALUE"""),0.0)</f>
        <v>0</v>
      </c>
      <c r="Z176" s="170">
        <f>IFERROR(__xludf.DUMMYFUNCTION("""COMPUTED_VALUE"""),-305.0)</f>
        <v>-305</v>
      </c>
      <c r="AA176" s="170">
        <f>IFERROR(__xludf.DUMMYFUNCTION("""COMPUTED_VALUE"""),0.0)</f>
        <v>0</v>
      </c>
      <c r="AB176" s="170">
        <f>IFERROR(__xludf.DUMMYFUNCTION("""COMPUTED_VALUE"""),0.0)</f>
        <v>0</v>
      </c>
      <c r="AC176" s="170">
        <f>IFERROR(__xludf.DUMMYFUNCTION("""COMPUTED_VALUE"""),0.0)</f>
        <v>0</v>
      </c>
      <c r="AD176" s="170">
        <f>IFERROR(__xludf.DUMMYFUNCTION("""COMPUTED_VALUE"""),0.0)</f>
        <v>0</v>
      </c>
      <c r="AE176" s="170">
        <f>IFERROR(__xludf.DUMMYFUNCTION("""COMPUTED_VALUE"""),0.0)</f>
        <v>0</v>
      </c>
      <c r="AF176" s="170" t="str">
        <f>IFERROR(__xludf.DUMMYFUNCTION("""COMPUTED_VALUE"""),"")</f>
        <v/>
      </c>
      <c r="AG176" s="170">
        <f>IFERROR(__xludf.DUMMYFUNCTION("""COMPUTED_VALUE"""),0.0)</f>
        <v>0</v>
      </c>
      <c r="AH176" s="170">
        <f>IFERROR(__xludf.DUMMYFUNCTION("""COMPUTED_VALUE"""),0.0)</f>
        <v>0</v>
      </c>
      <c r="AI176" s="170">
        <f>IFERROR(__xludf.DUMMYFUNCTION("""COMPUTED_VALUE"""),0.0)</f>
        <v>0</v>
      </c>
      <c r="AJ176" s="170"/>
    </row>
    <row r="177" ht="22.5" customHeight="1">
      <c r="A177" s="268" t="str">
        <f>IFERROR(__xludf.DUMMYFUNCTION("""COMPUTED_VALUE"""),"")</f>
        <v/>
      </c>
      <c r="B177" s="268" t="str">
        <f>IFERROR(__xludf.DUMMYFUNCTION("""COMPUTED_VALUE"""),"")</f>
        <v/>
      </c>
      <c r="C177" s="268">
        <f>IFERROR(__xludf.DUMMYFUNCTION("""COMPUTED_VALUE"""),355.0)</f>
        <v>355</v>
      </c>
      <c r="D177" s="268" t="str">
        <f>IFERROR(__xludf.DUMMYFUNCTION("""COMPUTED_VALUE"""),"UPA 24h Botafogo")</f>
        <v>UPA 24h Botafogo</v>
      </c>
      <c r="E177" s="272" t="str">
        <f>IFERROR(__xludf.DUMMYFUNCTION("""COMPUTED_VALUE"""),"ZONA SUL")</f>
        <v>ZONA SUL</v>
      </c>
      <c r="F177" s="268" t="str">
        <f>IFERROR(__xludf.DUMMYFUNCTION("""COMPUTED_VALUE"""),"Rio de Janeiro")</f>
        <v>Rio de Janeiro</v>
      </c>
      <c r="G177" s="268" t="str">
        <f>IFERROR(__xludf.DUMMYFUNCTION("""COMPUTED_VALUE"""),"Botafogo")</f>
        <v>Botafogo</v>
      </c>
      <c r="H177" s="268" t="str">
        <f>IFERROR(__xludf.DUMMYFUNCTION("""COMPUTED_VALUE"""),"Grande emergência - MÉDIA COMPLEXIDADE")</f>
        <v>Grande emergência - MÉDIA COMPLEXIDADE</v>
      </c>
      <c r="I177" s="268" t="str">
        <f>IFERROR(__xludf.DUMMYFUNCTION("""COMPUTED_VALUE"""),"Público")</f>
        <v>Público</v>
      </c>
      <c r="J177" s="268" t="str">
        <f>IFERROR(__xludf.DUMMYFUNCTION("""COMPUTED_VALUE"""),"")</f>
        <v/>
      </c>
      <c r="K177" s="268" t="str">
        <f>IFERROR(__xludf.DUMMYFUNCTION("""COMPUTED_VALUE"""),"")</f>
        <v/>
      </c>
      <c r="L177" s="268" t="str">
        <f>IFERROR(__xludf.DUMMYFUNCTION("""COMPUTED_VALUE"""),"")</f>
        <v/>
      </c>
      <c r="M177" s="268" t="str">
        <f>IFERROR(__xludf.DUMMYFUNCTION("""COMPUTED_VALUE"""),"")</f>
        <v/>
      </c>
      <c r="N177" s="268">
        <f>IFERROR(__xludf.DUMMYFUNCTION("""COMPUTED_VALUE"""),0.0)</f>
        <v>0</v>
      </c>
      <c r="O177" s="268">
        <f>IFERROR(__xludf.DUMMYFUNCTION("""COMPUTED_VALUE"""),0.0)</f>
        <v>0</v>
      </c>
      <c r="P177" s="268">
        <f>IFERROR(__xludf.DUMMYFUNCTION("""COMPUTED_VALUE"""),0.0)</f>
        <v>0</v>
      </c>
      <c r="Q177" s="268">
        <f>IFERROR(__xludf.DUMMYFUNCTION("""COMPUTED_VALUE"""),0.0)</f>
        <v>0</v>
      </c>
      <c r="R177" s="268">
        <f>IFERROR(__xludf.DUMMYFUNCTION("""COMPUTED_VALUE"""),0.0)</f>
        <v>0</v>
      </c>
      <c r="S177" s="268">
        <f>IFERROR(__xludf.DUMMYFUNCTION("""COMPUTED_VALUE"""),0.0)</f>
        <v>0</v>
      </c>
      <c r="T177" s="268">
        <f>IFERROR(__xludf.DUMMYFUNCTION("""COMPUTED_VALUE"""),50.0)</f>
        <v>50</v>
      </c>
      <c r="U177" s="268">
        <f>IFERROR(__xludf.DUMMYFUNCTION("""COMPUTED_VALUE"""),0.0)</f>
        <v>0</v>
      </c>
      <c r="V177" s="268">
        <f>IFERROR(__xludf.DUMMYFUNCTION("""COMPUTED_VALUE"""),0.0)</f>
        <v>0</v>
      </c>
      <c r="W177" s="268">
        <f>IFERROR(__xludf.DUMMYFUNCTION("""COMPUTED_VALUE"""),0.0)</f>
        <v>0</v>
      </c>
      <c r="X177" s="268">
        <f>IFERROR(__xludf.DUMMYFUNCTION("""COMPUTED_VALUE"""),0.0)</f>
        <v>0</v>
      </c>
      <c r="Y177" s="268">
        <f>IFERROR(__xludf.DUMMYFUNCTION("""COMPUTED_VALUE"""),0.0)</f>
        <v>0</v>
      </c>
      <c r="Z177" s="268">
        <f>IFERROR(__xludf.DUMMYFUNCTION("""COMPUTED_VALUE"""),-50.0)</f>
        <v>-50</v>
      </c>
      <c r="AA177" s="268">
        <f>IFERROR(__xludf.DUMMYFUNCTION("""COMPUTED_VALUE"""),0.0)</f>
        <v>0</v>
      </c>
      <c r="AB177" s="268">
        <f>IFERROR(__xludf.DUMMYFUNCTION("""COMPUTED_VALUE"""),0.0)</f>
        <v>0</v>
      </c>
      <c r="AC177" s="268">
        <f>IFERROR(__xludf.DUMMYFUNCTION("""COMPUTED_VALUE"""),0.0)</f>
        <v>0</v>
      </c>
      <c r="AD177" s="268">
        <f>IFERROR(__xludf.DUMMYFUNCTION("""COMPUTED_VALUE"""),0.0)</f>
        <v>0</v>
      </c>
      <c r="AE177" s="268">
        <f>IFERROR(__xludf.DUMMYFUNCTION("""COMPUTED_VALUE"""),0.0)</f>
        <v>0</v>
      </c>
      <c r="AF177" s="268" t="str">
        <f>IFERROR(__xludf.DUMMYFUNCTION("""COMPUTED_VALUE"""),"")</f>
        <v/>
      </c>
      <c r="AG177" s="268">
        <f>IFERROR(__xludf.DUMMYFUNCTION("""COMPUTED_VALUE"""),0.0)</f>
        <v>0</v>
      </c>
      <c r="AH177" s="268">
        <f>IFERROR(__xludf.DUMMYFUNCTION("""COMPUTED_VALUE"""),0.0)</f>
        <v>0</v>
      </c>
      <c r="AI177" s="268">
        <f>IFERROR(__xludf.DUMMYFUNCTION("""COMPUTED_VALUE"""),0.0)</f>
        <v>0</v>
      </c>
      <c r="AJ177" s="268"/>
    </row>
    <row r="178" ht="22.5" customHeight="1">
      <c r="A178" s="170" t="str">
        <f>IFERROR(__xludf.DUMMYFUNCTION("""COMPUTED_VALUE"""),"")</f>
        <v/>
      </c>
      <c r="B178" s="170" t="str">
        <f>IFERROR(__xludf.DUMMYFUNCTION("""COMPUTED_VALUE"""),"")</f>
        <v/>
      </c>
      <c r="C178" s="170">
        <f>IFERROR(__xludf.DUMMYFUNCTION("""COMPUTED_VALUE"""),356.0)</f>
        <v>356</v>
      </c>
      <c r="D178" s="170" t="str">
        <f>IFERROR(__xludf.DUMMYFUNCTION("""COMPUTED_VALUE"""),"Hemonucleo Costa Verde")</f>
        <v>Hemonucleo Costa Verde</v>
      </c>
      <c r="E178" s="270" t="str">
        <f>IFERROR(__xludf.DUMMYFUNCTION("""COMPUTED_VALUE"""),"REGIAO CENTRO SUL")</f>
        <v>REGIAO CENTRO SUL</v>
      </c>
      <c r="F178" s="170" t="str">
        <f>IFERROR(__xludf.DUMMYFUNCTION("""COMPUTED_VALUE"""),"Angra Dos Reis")</f>
        <v>Angra Dos Reis</v>
      </c>
      <c r="G178" s="170" t="str">
        <f>IFERROR(__xludf.DUMMYFUNCTION("""COMPUTED_VALUE"""),"Japuiba")</f>
        <v>Japuiba</v>
      </c>
      <c r="H178" s="170" t="str">
        <f>IFERROR(__xludf.DUMMYFUNCTION("""COMPUTED_VALUE"""),"Serviço de hemoterapia")</f>
        <v>Serviço de hemoterapia</v>
      </c>
      <c r="I178" s="170" t="str">
        <f>IFERROR(__xludf.DUMMYFUNCTION("""COMPUTED_VALUE"""),"Público")</f>
        <v>Público</v>
      </c>
      <c r="J178" s="170" t="str">
        <f>IFERROR(__xludf.DUMMYFUNCTION("""COMPUTED_VALUE"""),"")</f>
        <v/>
      </c>
      <c r="K178" s="170" t="str">
        <f>IFERROR(__xludf.DUMMYFUNCTION("""COMPUTED_VALUE"""),"")</f>
        <v/>
      </c>
      <c r="L178" s="170" t="str">
        <f>IFERROR(__xludf.DUMMYFUNCTION("""COMPUTED_VALUE"""),"")</f>
        <v/>
      </c>
      <c r="M178" s="170" t="str">
        <f>IFERROR(__xludf.DUMMYFUNCTION("""COMPUTED_VALUE"""),"")</f>
        <v/>
      </c>
      <c r="N178" s="170">
        <f>IFERROR(__xludf.DUMMYFUNCTION("""COMPUTED_VALUE"""),0.0)</f>
        <v>0</v>
      </c>
      <c r="O178" s="170">
        <f>IFERROR(__xludf.DUMMYFUNCTION("""COMPUTED_VALUE"""),0.0)</f>
        <v>0</v>
      </c>
      <c r="P178" s="170">
        <f>IFERROR(__xludf.DUMMYFUNCTION("""COMPUTED_VALUE"""),0.0)</f>
        <v>0</v>
      </c>
      <c r="Q178" s="170">
        <f>IFERROR(__xludf.DUMMYFUNCTION("""COMPUTED_VALUE"""),0.0)</f>
        <v>0</v>
      </c>
      <c r="R178" s="170">
        <f>IFERROR(__xludf.DUMMYFUNCTION("""COMPUTED_VALUE"""),0.0)</f>
        <v>0</v>
      </c>
      <c r="S178" s="170">
        <f>IFERROR(__xludf.DUMMYFUNCTION("""COMPUTED_VALUE"""),0.0)</f>
        <v>0</v>
      </c>
      <c r="T178" s="170">
        <f>IFERROR(__xludf.DUMMYFUNCTION("""COMPUTED_VALUE"""),50.0)</f>
        <v>50</v>
      </c>
      <c r="U178" s="170">
        <f>IFERROR(__xludf.DUMMYFUNCTION("""COMPUTED_VALUE"""),0.0)</f>
        <v>0</v>
      </c>
      <c r="V178" s="170">
        <f>IFERROR(__xludf.DUMMYFUNCTION("""COMPUTED_VALUE"""),0.0)</f>
        <v>0</v>
      </c>
      <c r="W178" s="170">
        <f>IFERROR(__xludf.DUMMYFUNCTION("""COMPUTED_VALUE"""),0.0)</f>
        <v>0</v>
      </c>
      <c r="X178" s="170">
        <f>IFERROR(__xludf.DUMMYFUNCTION("""COMPUTED_VALUE"""),0.0)</f>
        <v>0</v>
      </c>
      <c r="Y178" s="170">
        <f>IFERROR(__xludf.DUMMYFUNCTION("""COMPUTED_VALUE"""),0.0)</f>
        <v>0</v>
      </c>
      <c r="Z178" s="170">
        <f>IFERROR(__xludf.DUMMYFUNCTION("""COMPUTED_VALUE"""),-50.0)</f>
        <v>-50</v>
      </c>
      <c r="AA178" s="170">
        <f>IFERROR(__xludf.DUMMYFUNCTION("""COMPUTED_VALUE"""),0.0)</f>
        <v>0</v>
      </c>
      <c r="AB178" s="170">
        <f>IFERROR(__xludf.DUMMYFUNCTION("""COMPUTED_VALUE"""),0.0)</f>
        <v>0</v>
      </c>
      <c r="AC178" s="170">
        <f>IFERROR(__xludf.DUMMYFUNCTION("""COMPUTED_VALUE"""),0.0)</f>
        <v>0</v>
      </c>
      <c r="AD178" s="170">
        <f>IFERROR(__xludf.DUMMYFUNCTION("""COMPUTED_VALUE"""),0.0)</f>
        <v>0</v>
      </c>
      <c r="AE178" s="170">
        <f>IFERROR(__xludf.DUMMYFUNCTION("""COMPUTED_VALUE"""),0.0)</f>
        <v>0</v>
      </c>
      <c r="AF178" s="170" t="str">
        <f>IFERROR(__xludf.DUMMYFUNCTION("""COMPUTED_VALUE"""),"")</f>
        <v/>
      </c>
      <c r="AG178" s="170">
        <f>IFERROR(__xludf.DUMMYFUNCTION("""COMPUTED_VALUE"""),0.0)</f>
        <v>0</v>
      </c>
      <c r="AH178" s="170">
        <f>IFERROR(__xludf.DUMMYFUNCTION("""COMPUTED_VALUE"""),0.0)</f>
        <v>0</v>
      </c>
      <c r="AI178" s="170">
        <f>IFERROR(__xludf.DUMMYFUNCTION("""COMPUTED_VALUE"""),0.0)</f>
        <v>0</v>
      </c>
      <c r="AJ178" s="170"/>
    </row>
    <row r="179" ht="22.5" customHeight="1">
      <c r="A179" s="268" t="str">
        <f>IFERROR(__xludf.DUMMYFUNCTION("""COMPUTED_VALUE"""),"")</f>
        <v/>
      </c>
      <c r="B179" s="268" t="str">
        <f>IFERROR(__xludf.DUMMYFUNCTION("""COMPUTED_VALUE"""),"")</f>
        <v/>
      </c>
      <c r="C179" s="268">
        <f>IFERROR(__xludf.DUMMYFUNCTION("""COMPUTED_VALUE"""),357.0)</f>
        <v>357</v>
      </c>
      <c r="D179" s="268" t="str">
        <f>IFERROR(__xludf.DUMMYFUNCTION("""COMPUTED_VALUE"""),"Upa Mesquita")</f>
        <v>Upa Mesquita</v>
      </c>
      <c r="E179" s="272" t="str">
        <f>IFERROR(__xludf.DUMMYFUNCTION("""COMPUTED_VALUE"""),"ZONA NORTE")</f>
        <v>ZONA NORTE</v>
      </c>
      <c r="F179" s="268" t="str">
        <f>IFERROR(__xludf.DUMMYFUNCTION("""COMPUTED_VALUE"""),"Mesquita")</f>
        <v>Mesquita</v>
      </c>
      <c r="G179" s="268" t="str">
        <f>IFERROR(__xludf.DUMMYFUNCTION("""COMPUTED_VALUE"""),"Edson Passos")</f>
        <v>Edson Passos</v>
      </c>
      <c r="H179" s="268" t="str">
        <f>IFERROR(__xludf.DUMMYFUNCTION("""COMPUTED_VALUE"""),"Grande emergência - MÉDIA COMPLEXIDADE
")</f>
        <v>Grande emergência - MÉDIA COMPLEXIDADE
</v>
      </c>
      <c r="I179" s="268" t="str">
        <f>IFERROR(__xludf.DUMMYFUNCTION("""COMPUTED_VALUE"""),"Público")</f>
        <v>Público</v>
      </c>
      <c r="J179" s="268" t="str">
        <f>IFERROR(__xludf.DUMMYFUNCTION("""COMPUTED_VALUE"""),"")</f>
        <v/>
      </c>
      <c r="K179" s="268" t="str">
        <f>IFERROR(__xludf.DUMMYFUNCTION("""COMPUTED_VALUE"""),"")</f>
        <v/>
      </c>
      <c r="L179" s="268" t="str">
        <f>IFERROR(__xludf.DUMMYFUNCTION("""COMPUTED_VALUE"""),"")</f>
        <v/>
      </c>
      <c r="M179" s="268" t="str">
        <f>IFERROR(__xludf.DUMMYFUNCTION("""COMPUTED_VALUE"""),"")</f>
        <v/>
      </c>
      <c r="N179" s="268">
        <f>IFERROR(__xludf.DUMMYFUNCTION("""COMPUTED_VALUE"""),0.0)</f>
        <v>0</v>
      </c>
      <c r="O179" s="268">
        <f>IFERROR(__xludf.DUMMYFUNCTION("""COMPUTED_VALUE"""),0.0)</f>
        <v>0</v>
      </c>
      <c r="P179" s="268">
        <f>IFERROR(__xludf.DUMMYFUNCTION("""COMPUTED_VALUE"""),0.0)</f>
        <v>0</v>
      </c>
      <c r="Q179" s="268">
        <f>IFERROR(__xludf.DUMMYFUNCTION("""COMPUTED_VALUE"""),0.0)</f>
        <v>0</v>
      </c>
      <c r="R179" s="268">
        <f>IFERROR(__xludf.DUMMYFUNCTION("""COMPUTED_VALUE"""),0.0)</f>
        <v>0</v>
      </c>
      <c r="S179" s="268">
        <f>IFERROR(__xludf.DUMMYFUNCTION("""COMPUTED_VALUE"""),0.0)</f>
        <v>0</v>
      </c>
      <c r="T179" s="268">
        <f>IFERROR(__xludf.DUMMYFUNCTION("""COMPUTED_VALUE"""),50.0)</f>
        <v>50</v>
      </c>
      <c r="U179" s="268">
        <f>IFERROR(__xludf.DUMMYFUNCTION("""COMPUTED_VALUE"""),0.0)</f>
        <v>0</v>
      </c>
      <c r="V179" s="268">
        <f>IFERROR(__xludf.DUMMYFUNCTION("""COMPUTED_VALUE"""),0.0)</f>
        <v>0</v>
      </c>
      <c r="W179" s="268">
        <f>IFERROR(__xludf.DUMMYFUNCTION("""COMPUTED_VALUE"""),0.0)</f>
        <v>0</v>
      </c>
      <c r="X179" s="268">
        <f>IFERROR(__xludf.DUMMYFUNCTION("""COMPUTED_VALUE"""),0.0)</f>
        <v>0</v>
      </c>
      <c r="Y179" s="268">
        <f>IFERROR(__xludf.DUMMYFUNCTION("""COMPUTED_VALUE"""),0.0)</f>
        <v>0</v>
      </c>
      <c r="Z179" s="268">
        <f>IFERROR(__xludf.DUMMYFUNCTION("""COMPUTED_VALUE"""),-50.0)</f>
        <v>-50</v>
      </c>
      <c r="AA179" s="268">
        <f>IFERROR(__xludf.DUMMYFUNCTION("""COMPUTED_VALUE"""),0.0)</f>
        <v>0</v>
      </c>
      <c r="AB179" s="268">
        <f>IFERROR(__xludf.DUMMYFUNCTION("""COMPUTED_VALUE"""),0.0)</f>
        <v>0</v>
      </c>
      <c r="AC179" s="268">
        <f>IFERROR(__xludf.DUMMYFUNCTION("""COMPUTED_VALUE"""),0.0)</f>
        <v>0</v>
      </c>
      <c r="AD179" s="268">
        <f>IFERROR(__xludf.DUMMYFUNCTION("""COMPUTED_VALUE"""),0.0)</f>
        <v>0</v>
      </c>
      <c r="AE179" s="268">
        <f>IFERROR(__xludf.DUMMYFUNCTION("""COMPUTED_VALUE"""),0.0)</f>
        <v>0</v>
      </c>
      <c r="AF179" s="268" t="str">
        <f>IFERROR(__xludf.DUMMYFUNCTION("""COMPUTED_VALUE"""),"")</f>
        <v/>
      </c>
      <c r="AG179" s="268">
        <f>IFERROR(__xludf.DUMMYFUNCTION("""COMPUTED_VALUE"""),0.0)</f>
        <v>0</v>
      </c>
      <c r="AH179" s="268">
        <f>IFERROR(__xludf.DUMMYFUNCTION("""COMPUTED_VALUE"""),0.0)</f>
        <v>0</v>
      </c>
      <c r="AI179" s="268">
        <f>IFERROR(__xludf.DUMMYFUNCTION("""COMPUTED_VALUE"""),0.0)</f>
        <v>0</v>
      </c>
      <c r="AJ179" s="268"/>
    </row>
    <row r="180" ht="22.5" customHeight="1">
      <c r="A180" s="170" t="str">
        <f>IFERROR(__xludf.DUMMYFUNCTION("""COMPUTED_VALUE"""),"")</f>
        <v/>
      </c>
      <c r="B180" s="170" t="str">
        <f>IFERROR(__xludf.DUMMYFUNCTION("""COMPUTED_VALUE"""),"")</f>
        <v/>
      </c>
      <c r="C180" s="170">
        <f>IFERROR(__xludf.DUMMYFUNCTION("""COMPUTED_VALUE"""),360.0)</f>
        <v>360</v>
      </c>
      <c r="D180" s="170" t="str">
        <f>IFERROR(__xludf.DUMMYFUNCTION("""COMPUTED_VALUE"""),"Hospital Municipal Francisco da Silva Telles")</f>
        <v>Hospital Municipal Francisco da Silva Telles</v>
      </c>
      <c r="E180" s="270" t="str">
        <f>IFERROR(__xludf.DUMMYFUNCTION("""COMPUTED_VALUE"""),"ZONA NORTE")</f>
        <v>ZONA NORTE</v>
      </c>
      <c r="F180" s="170" t="str">
        <f>IFERROR(__xludf.DUMMYFUNCTION("""COMPUTED_VALUE"""),"Rio de janeiro")</f>
        <v>Rio de janeiro</v>
      </c>
      <c r="G180" s="170" t="str">
        <f>IFERROR(__xludf.DUMMYFUNCTION("""COMPUTED_VALUE"""),"Iraja")</f>
        <v>Iraja</v>
      </c>
      <c r="H180" s="170" t="str">
        <f>IFERROR(__xludf.DUMMYFUNCTION("""COMPUTED_VALUE"""),"Hospital de Referência - ALTA COMPLEXIDADE")</f>
        <v>Hospital de Referência - ALTA COMPLEXIDADE</v>
      </c>
      <c r="I180" s="170" t="str">
        <f>IFERROR(__xludf.DUMMYFUNCTION("""COMPUTED_VALUE"""),"Público")</f>
        <v>Público</v>
      </c>
      <c r="J180" s="170" t="str">
        <f>IFERROR(__xludf.DUMMYFUNCTION("""COMPUTED_VALUE"""),"")</f>
        <v/>
      </c>
      <c r="K180" s="170" t="str">
        <f>IFERROR(__xludf.DUMMYFUNCTION("""COMPUTED_VALUE"""),"")</f>
        <v/>
      </c>
      <c r="L180" s="170" t="str">
        <f>IFERROR(__xludf.DUMMYFUNCTION("""COMPUTED_VALUE"""),"")</f>
        <v/>
      </c>
      <c r="M180" s="170" t="str">
        <f>IFERROR(__xludf.DUMMYFUNCTION("""COMPUTED_VALUE"""),"")</f>
        <v/>
      </c>
      <c r="N180" s="170">
        <f>IFERROR(__xludf.DUMMYFUNCTION("""COMPUTED_VALUE"""),0.0)</f>
        <v>0</v>
      </c>
      <c r="O180" s="170">
        <f>IFERROR(__xludf.DUMMYFUNCTION("""COMPUTED_VALUE"""),0.0)</f>
        <v>0</v>
      </c>
      <c r="P180" s="170">
        <f>IFERROR(__xludf.DUMMYFUNCTION("""COMPUTED_VALUE"""),0.0)</f>
        <v>0</v>
      </c>
      <c r="Q180" s="170">
        <f>IFERROR(__xludf.DUMMYFUNCTION("""COMPUTED_VALUE"""),0.0)</f>
        <v>0</v>
      </c>
      <c r="R180" s="170">
        <f>IFERROR(__xludf.DUMMYFUNCTION("""COMPUTED_VALUE"""),0.0)</f>
        <v>0</v>
      </c>
      <c r="S180" s="170">
        <f>IFERROR(__xludf.DUMMYFUNCTION("""COMPUTED_VALUE"""),0.0)</f>
        <v>0</v>
      </c>
      <c r="T180" s="170">
        <f>IFERROR(__xludf.DUMMYFUNCTION("""COMPUTED_VALUE"""),50.0)</f>
        <v>50</v>
      </c>
      <c r="U180" s="170">
        <f>IFERROR(__xludf.DUMMYFUNCTION("""COMPUTED_VALUE"""),0.0)</f>
        <v>0</v>
      </c>
      <c r="V180" s="170">
        <f>IFERROR(__xludf.DUMMYFUNCTION("""COMPUTED_VALUE"""),0.0)</f>
        <v>0</v>
      </c>
      <c r="W180" s="170">
        <f>IFERROR(__xludf.DUMMYFUNCTION("""COMPUTED_VALUE"""),0.0)</f>
        <v>0</v>
      </c>
      <c r="X180" s="170">
        <f>IFERROR(__xludf.DUMMYFUNCTION("""COMPUTED_VALUE"""),0.0)</f>
        <v>0</v>
      </c>
      <c r="Y180" s="170">
        <f>IFERROR(__xludf.DUMMYFUNCTION("""COMPUTED_VALUE"""),0.0)</f>
        <v>0</v>
      </c>
      <c r="Z180" s="170">
        <f>IFERROR(__xludf.DUMMYFUNCTION("""COMPUTED_VALUE"""),-50.0)</f>
        <v>-50</v>
      </c>
      <c r="AA180" s="170">
        <f>IFERROR(__xludf.DUMMYFUNCTION("""COMPUTED_VALUE"""),0.0)</f>
        <v>0</v>
      </c>
      <c r="AB180" s="170">
        <f>IFERROR(__xludf.DUMMYFUNCTION("""COMPUTED_VALUE"""),0.0)</f>
        <v>0</v>
      </c>
      <c r="AC180" s="170">
        <f>IFERROR(__xludf.DUMMYFUNCTION("""COMPUTED_VALUE"""),0.0)</f>
        <v>0</v>
      </c>
      <c r="AD180" s="170">
        <f>IFERROR(__xludf.DUMMYFUNCTION("""COMPUTED_VALUE"""),0.0)</f>
        <v>0</v>
      </c>
      <c r="AE180" s="170">
        <f>IFERROR(__xludf.DUMMYFUNCTION("""COMPUTED_VALUE"""),0.0)</f>
        <v>0</v>
      </c>
      <c r="AF180" s="170" t="str">
        <f>IFERROR(__xludf.DUMMYFUNCTION("""COMPUTED_VALUE"""),"")</f>
        <v/>
      </c>
      <c r="AG180" s="170">
        <f>IFERROR(__xludf.DUMMYFUNCTION("""COMPUTED_VALUE"""),0.0)</f>
        <v>0</v>
      </c>
      <c r="AH180" s="170">
        <f>IFERROR(__xludf.DUMMYFUNCTION("""COMPUTED_VALUE"""),0.0)</f>
        <v>0</v>
      </c>
      <c r="AI180" s="170">
        <f>IFERROR(__xludf.DUMMYFUNCTION("""COMPUTED_VALUE"""),0.0)</f>
        <v>0</v>
      </c>
      <c r="AJ180" s="170"/>
    </row>
    <row r="181" ht="22.5" customHeight="1">
      <c r="A181" s="268" t="str">
        <f>IFERROR(__xludf.DUMMYFUNCTION("""COMPUTED_VALUE"""),"")</f>
        <v/>
      </c>
      <c r="B181" s="268" t="str">
        <f>IFERROR(__xludf.DUMMYFUNCTION("""COMPUTED_VALUE"""),"")</f>
        <v/>
      </c>
      <c r="C181" s="268">
        <f>IFERROR(__xludf.DUMMYFUNCTION("""COMPUTED_VALUE"""),361.0)</f>
        <v>361</v>
      </c>
      <c r="D181" s="268" t="str">
        <f>IFERROR(__xludf.DUMMYFUNCTION("""COMPUTED_VALUE"""),"Hospital Federal dos Servidores do Estado")</f>
        <v>Hospital Federal dos Servidores do Estado</v>
      </c>
      <c r="E181" s="272" t="str">
        <f>IFERROR(__xludf.DUMMYFUNCTION("""COMPUTED_VALUE"""),"CENTRO")</f>
        <v>CENTRO</v>
      </c>
      <c r="F181" s="268" t="str">
        <f>IFERROR(__xludf.DUMMYFUNCTION("""COMPUTED_VALUE"""),"Rio de Janeiro")</f>
        <v>Rio de Janeiro</v>
      </c>
      <c r="G181" s="268" t="str">
        <f>IFERROR(__xludf.DUMMYFUNCTION("""COMPUTED_VALUE"""),"Saude")</f>
        <v>Saude</v>
      </c>
      <c r="H181" s="268" t="str">
        <f>IFERROR(__xludf.DUMMYFUNCTION("""COMPUTED_VALUE"""),"Grande emergência - MÉDIA COMPLEXIDADE
")</f>
        <v>Grande emergência - MÉDIA COMPLEXIDADE
</v>
      </c>
      <c r="I181" s="268" t="str">
        <f>IFERROR(__xludf.DUMMYFUNCTION("""COMPUTED_VALUE"""),"Público")</f>
        <v>Público</v>
      </c>
      <c r="J181" s="268" t="str">
        <f>IFERROR(__xludf.DUMMYFUNCTION("""COMPUTED_VALUE"""),"")</f>
        <v/>
      </c>
      <c r="K181" s="268" t="str">
        <f>IFERROR(__xludf.DUMMYFUNCTION("""COMPUTED_VALUE"""),"")</f>
        <v/>
      </c>
      <c r="L181" s="268" t="str">
        <f>IFERROR(__xludf.DUMMYFUNCTION("""COMPUTED_VALUE"""),"")</f>
        <v/>
      </c>
      <c r="M181" s="268" t="str">
        <f>IFERROR(__xludf.DUMMYFUNCTION("""COMPUTED_VALUE"""),"")</f>
        <v/>
      </c>
      <c r="N181" s="268">
        <f>IFERROR(__xludf.DUMMYFUNCTION("""COMPUTED_VALUE"""),0.0)</f>
        <v>0</v>
      </c>
      <c r="O181" s="268">
        <f>IFERROR(__xludf.DUMMYFUNCTION("""COMPUTED_VALUE"""),0.0)</f>
        <v>0</v>
      </c>
      <c r="P181" s="268">
        <f>IFERROR(__xludf.DUMMYFUNCTION("""COMPUTED_VALUE"""),0.0)</f>
        <v>0</v>
      </c>
      <c r="Q181" s="268">
        <f>IFERROR(__xludf.DUMMYFUNCTION("""COMPUTED_VALUE"""),0.0)</f>
        <v>0</v>
      </c>
      <c r="R181" s="268">
        <f>IFERROR(__xludf.DUMMYFUNCTION("""COMPUTED_VALUE"""),0.0)</f>
        <v>0</v>
      </c>
      <c r="S181" s="268">
        <f>IFERROR(__xludf.DUMMYFUNCTION("""COMPUTED_VALUE"""),0.0)</f>
        <v>0</v>
      </c>
      <c r="T181" s="268">
        <f>IFERROR(__xludf.DUMMYFUNCTION("""COMPUTED_VALUE"""),200.0)</f>
        <v>200</v>
      </c>
      <c r="U181" s="268">
        <f>IFERROR(__xludf.DUMMYFUNCTION("""COMPUTED_VALUE"""),0.0)</f>
        <v>0</v>
      </c>
      <c r="V181" s="268">
        <f>IFERROR(__xludf.DUMMYFUNCTION("""COMPUTED_VALUE"""),0.0)</f>
        <v>0</v>
      </c>
      <c r="W181" s="268">
        <f>IFERROR(__xludf.DUMMYFUNCTION("""COMPUTED_VALUE"""),0.0)</f>
        <v>0</v>
      </c>
      <c r="X181" s="268">
        <f>IFERROR(__xludf.DUMMYFUNCTION("""COMPUTED_VALUE"""),0.0)</f>
        <v>0</v>
      </c>
      <c r="Y181" s="268">
        <f>IFERROR(__xludf.DUMMYFUNCTION("""COMPUTED_VALUE"""),0.0)</f>
        <v>0</v>
      </c>
      <c r="Z181" s="268">
        <f>IFERROR(__xludf.DUMMYFUNCTION("""COMPUTED_VALUE"""),-200.0)</f>
        <v>-200</v>
      </c>
      <c r="AA181" s="268">
        <f>IFERROR(__xludf.DUMMYFUNCTION("""COMPUTED_VALUE"""),0.0)</f>
        <v>0</v>
      </c>
      <c r="AB181" s="268">
        <f>IFERROR(__xludf.DUMMYFUNCTION("""COMPUTED_VALUE"""),0.0)</f>
        <v>0</v>
      </c>
      <c r="AC181" s="268">
        <f>IFERROR(__xludf.DUMMYFUNCTION("""COMPUTED_VALUE"""),0.0)</f>
        <v>0</v>
      </c>
      <c r="AD181" s="268">
        <f>IFERROR(__xludf.DUMMYFUNCTION("""COMPUTED_VALUE"""),0.0)</f>
        <v>0</v>
      </c>
      <c r="AE181" s="268">
        <f>IFERROR(__xludf.DUMMYFUNCTION("""COMPUTED_VALUE"""),0.0)</f>
        <v>0</v>
      </c>
      <c r="AF181" s="268" t="str">
        <f>IFERROR(__xludf.DUMMYFUNCTION("""COMPUTED_VALUE"""),"")</f>
        <v/>
      </c>
      <c r="AG181" s="268">
        <f>IFERROR(__xludf.DUMMYFUNCTION("""COMPUTED_VALUE"""),0.0)</f>
        <v>0</v>
      </c>
      <c r="AH181" s="268">
        <f>IFERROR(__xludf.DUMMYFUNCTION("""COMPUTED_VALUE"""),0.0)</f>
        <v>0</v>
      </c>
      <c r="AI181" s="268">
        <f>IFERROR(__xludf.DUMMYFUNCTION("""COMPUTED_VALUE"""),0.0)</f>
        <v>0</v>
      </c>
      <c r="AJ181" s="268"/>
    </row>
    <row r="182" ht="22.5" customHeight="1">
      <c r="A182" s="170" t="str">
        <f>IFERROR(__xludf.DUMMYFUNCTION("""COMPUTED_VALUE"""),"")</f>
        <v/>
      </c>
      <c r="B182" s="170" t="str">
        <f>IFERROR(__xludf.DUMMYFUNCTION("""COMPUTED_VALUE"""),"")</f>
        <v/>
      </c>
      <c r="C182" s="170">
        <f>IFERROR(__xludf.DUMMYFUNCTION("""COMPUTED_VALUE"""),365.0)</f>
        <v>365</v>
      </c>
      <c r="D182" s="170" t="str">
        <f>IFERROR(__xludf.DUMMYFUNCTION("""COMPUTED_VALUE"""),"UBS Meudom")</f>
        <v>UBS Meudom</v>
      </c>
      <c r="E182" s="270" t="str">
        <f>IFERROR(__xludf.DUMMYFUNCTION("""COMPUTED_VALUE"""),"REGIAO SERRANA")</f>
        <v>REGIAO SERRANA</v>
      </c>
      <c r="F182" s="170" t="str">
        <f>IFERROR(__xludf.DUMMYFUNCTION("""COMPUTED_VALUE"""),"Teresopolis")</f>
        <v>Teresopolis</v>
      </c>
      <c r="G182" s="170" t="str">
        <f>IFERROR(__xludf.DUMMYFUNCTION("""COMPUTED_VALUE"""),"Meudom")</f>
        <v>Meudom</v>
      </c>
      <c r="H182" s="170" t="str">
        <f>IFERROR(__xludf.DUMMYFUNCTION("""COMPUTED_VALUE"""),"Unidade básica de saúde - BAIXA COMPLEXIDADE")</f>
        <v>Unidade básica de saúde - BAIXA COMPLEXIDADE</v>
      </c>
      <c r="I182" s="170" t="str">
        <f>IFERROR(__xludf.DUMMYFUNCTION("""COMPUTED_VALUE"""),"Público")</f>
        <v>Público</v>
      </c>
      <c r="J182" s="170" t="str">
        <f>IFERROR(__xludf.DUMMYFUNCTION("""COMPUTED_VALUE"""),"")</f>
        <v/>
      </c>
      <c r="K182" s="170" t="str">
        <f>IFERROR(__xludf.DUMMYFUNCTION("""COMPUTED_VALUE"""),"")</f>
        <v/>
      </c>
      <c r="L182" s="170" t="str">
        <f>IFERROR(__xludf.DUMMYFUNCTION("""COMPUTED_VALUE"""),"")</f>
        <v/>
      </c>
      <c r="M182" s="170" t="str">
        <f>IFERROR(__xludf.DUMMYFUNCTION("""COMPUTED_VALUE"""),"")</f>
        <v/>
      </c>
      <c r="N182" s="170">
        <f>IFERROR(__xludf.DUMMYFUNCTION("""COMPUTED_VALUE"""),0.0)</f>
        <v>0</v>
      </c>
      <c r="O182" s="170">
        <f>IFERROR(__xludf.DUMMYFUNCTION("""COMPUTED_VALUE"""),0.0)</f>
        <v>0</v>
      </c>
      <c r="P182" s="170">
        <f>IFERROR(__xludf.DUMMYFUNCTION("""COMPUTED_VALUE"""),0.0)</f>
        <v>0</v>
      </c>
      <c r="Q182" s="170">
        <f>IFERROR(__xludf.DUMMYFUNCTION("""COMPUTED_VALUE"""),0.0)</f>
        <v>0</v>
      </c>
      <c r="R182" s="170">
        <f>IFERROR(__xludf.DUMMYFUNCTION("""COMPUTED_VALUE"""),2400.0)</f>
        <v>2400</v>
      </c>
      <c r="S182" s="170">
        <f>IFERROR(__xludf.DUMMYFUNCTION("""COMPUTED_VALUE"""),2400.0)</f>
        <v>2400</v>
      </c>
      <c r="T182" s="170">
        <f>IFERROR(__xludf.DUMMYFUNCTION("""COMPUTED_VALUE"""),20.0)</f>
        <v>20</v>
      </c>
      <c r="U182" s="170">
        <f>IFERROR(__xludf.DUMMYFUNCTION("""COMPUTED_VALUE"""),0.0)</f>
        <v>0</v>
      </c>
      <c r="V182" s="170">
        <f>IFERROR(__xludf.DUMMYFUNCTION("""COMPUTED_VALUE"""),0.0)</f>
        <v>0</v>
      </c>
      <c r="W182" s="170">
        <f>IFERROR(__xludf.DUMMYFUNCTION("""COMPUTED_VALUE"""),0.0)</f>
        <v>0</v>
      </c>
      <c r="X182" s="170">
        <f>IFERROR(__xludf.DUMMYFUNCTION("""COMPUTED_VALUE"""),0.0)</f>
        <v>0</v>
      </c>
      <c r="Y182" s="170">
        <f>IFERROR(__xludf.DUMMYFUNCTION("""COMPUTED_VALUE"""),0.0)</f>
        <v>0</v>
      </c>
      <c r="Z182" s="170">
        <f>IFERROR(__xludf.DUMMYFUNCTION("""COMPUTED_VALUE"""),-20.0)</f>
        <v>-20</v>
      </c>
      <c r="AA182" s="170">
        <f>IFERROR(__xludf.DUMMYFUNCTION("""COMPUTED_VALUE"""),0.0)</f>
        <v>0</v>
      </c>
      <c r="AB182" s="170">
        <f>IFERROR(__xludf.DUMMYFUNCTION("""COMPUTED_VALUE"""),0.0)</f>
        <v>0</v>
      </c>
      <c r="AC182" s="170">
        <f>IFERROR(__xludf.DUMMYFUNCTION("""COMPUTED_VALUE"""),0.0)</f>
        <v>0</v>
      </c>
      <c r="AD182" s="170">
        <f>IFERROR(__xludf.DUMMYFUNCTION("""COMPUTED_VALUE"""),2400.0)</f>
        <v>2400</v>
      </c>
      <c r="AE182" s="170">
        <f>IFERROR(__xludf.DUMMYFUNCTION("""COMPUTED_VALUE"""),2400.0)</f>
        <v>2400</v>
      </c>
      <c r="AF182" s="170" t="str">
        <f>IFERROR(__xludf.DUMMYFUNCTION("""COMPUTED_VALUE"""),"")</f>
        <v/>
      </c>
      <c r="AG182" s="170">
        <f>IFERROR(__xludf.DUMMYFUNCTION("""COMPUTED_VALUE"""),0.0)</f>
        <v>0</v>
      </c>
      <c r="AH182" s="170">
        <f>IFERROR(__xludf.DUMMYFUNCTION("""COMPUTED_VALUE"""),0.0)</f>
        <v>0</v>
      </c>
      <c r="AI182" s="170">
        <f>IFERROR(__xludf.DUMMYFUNCTION("""COMPUTED_VALUE"""),0.0)</f>
        <v>0</v>
      </c>
      <c r="AJ182" s="170"/>
    </row>
    <row r="183" ht="22.5" customHeight="1">
      <c r="A183" s="268" t="str">
        <f>IFERROR(__xludf.DUMMYFUNCTION("""COMPUTED_VALUE"""),"")</f>
        <v/>
      </c>
      <c r="B183" s="268" t="str">
        <f>IFERROR(__xludf.DUMMYFUNCTION("""COMPUTED_VALUE"""),"")</f>
        <v/>
      </c>
      <c r="C183" s="268">
        <f>IFERROR(__xludf.DUMMYFUNCTION("""COMPUTED_VALUE"""),374.0)</f>
        <v>374</v>
      </c>
      <c r="D183" s="268" t="str">
        <f>IFERROR(__xludf.DUMMYFUNCTION("""COMPUTED_VALUE"""),"Coletivo Nós")</f>
        <v>Coletivo Nós</v>
      </c>
      <c r="E183" s="272" t="str">
        <f>IFERROR(__xludf.DUMMYFUNCTION("""COMPUTED_VALUE"""),"ZONA OESTE")</f>
        <v>ZONA OESTE</v>
      </c>
      <c r="F183" s="268" t="str">
        <f>IFERROR(__xludf.DUMMYFUNCTION("""COMPUTED_VALUE"""),"Rio de Janeiro")</f>
        <v>Rio de Janeiro</v>
      </c>
      <c r="G183" s="268" t="str">
        <f>IFERROR(__xludf.DUMMYFUNCTION("""COMPUTED_VALUE"""),"Santa Cruz")</f>
        <v>Santa Cruz</v>
      </c>
      <c r="H183" s="268" t="str">
        <f>IFERROR(__xludf.DUMMYFUNCTION("""COMPUTED_VALUE"""),"Outra Instituição")</f>
        <v>Outra Instituição</v>
      </c>
      <c r="I183" s="268" t="str">
        <f>IFERROR(__xludf.DUMMYFUNCTION("""COMPUTED_VALUE"""),"Público")</f>
        <v>Público</v>
      </c>
      <c r="J183" s="268" t="str">
        <f>IFERROR(__xludf.DUMMYFUNCTION("""COMPUTED_VALUE"""),"")</f>
        <v/>
      </c>
      <c r="K183" s="268" t="str">
        <f>IFERROR(__xludf.DUMMYFUNCTION("""COMPUTED_VALUE"""),"")</f>
        <v/>
      </c>
      <c r="L183" s="268" t="str">
        <f>IFERROR(__xludf.DUMMYFUNCTION("""COMPUTED_VALUE"""),"")</f>
        <v/>
      </c>
      <c r="M183" s="268" t="str">
        <f>IFERROR(__xludf.DUMMYFUNCTION("""COMPUTED_VALUE"""),"")</f>
        <v/>
      </c>
      <c r="N183" s="268">
        <f>IFERROR(__xludf.DUMMYFUNCTION("""COMPUTED_VALUE"""),0.0)</f>
        <v>0</v>
      </c>
      <c r="O183" s="268">
        <f>IFERROR(__xludf.DUMMYFUNCTION("""COMPUTED_VALUE"""),0.0)</f>
        <v>0</v>
      </c>
      <c r="P183" s="268">
        <f>IFERROR(__xludf.DUMMYFUNCTION("""COMPUTED_VALUE"""),0.0)</f>
        <v>0</v>
      </c>
      <c r="Q183" s="268">
        <f>IFERROR(__xludf.DUMMYFUNCTION("""COMPUTED_VALUE"""),0.0)</f>
        <v>0</v>
      </c>
      <c r="R183" s="268">
        <f>IFERROR(__xludf.DUMMYFUNCTION("""COMPUTED_VALUE"""),0.0)</f>
        <v>0</v>
      </c>
      <c r="S183" s="268">
        <f>IFERROR(__xludf.DUMMYFUNCTION("""COMPUTED_VALUE"""),0.0)</f>
        <v>0</v>
      </c>
      <c r="T183" s="268">
        <f>IFERROR(__xludf.DUMMYFUNCTION("""COMPUTED_VALUE"""),15.0)</f>
        <v>15</v>
      </c>
      <c r="U183" s="268">
        <f>IFERROR(__xludf.DUMMYFUNCTION("""COMPUTED_VALUE"""),0.0)</f>
        <v>0</v>
      </c>
      <c r="V183" s="268">
        <f>IFERROR(__xludf.DUMMYFUNCTION("""COMPUTED_VALUE"""),0.0)</f>
        <v>0</v>
      </c>
      <c r="W183" s="268">
        <f>IFERROR(__xludf.DUMMYFUNCTION("""COMPUTED_VALUE"""),0.0)</f>
        <v>0</v>
      </c>
      <c r="X183" s="268">
        <f>IFERROR(__xludf.DUMMYFUNCTION("""COMPUTED_VALUE"""),0.0)</f>
        <v>0</v>
      </c>
      <c r="Y183" s="268">
        <f>IFERROR(__xludf.DUMMYFUNCTION("""COMPUTED_VALUE"""),0.0)</f>
        <v>0</v>
      </c>
      <c r="Z183" s="268">
        <f>IFERROR(__xludf.DUMMYFUNCTION("""COMPUTED_VALUE"""),-15.0)</f>
        <v>-15</v>
      </c>
      <c r="AA183" s="268">
        <f>IFERROR(__xludf.DUMMYFUNCTION("""COMPUTED_VALUE"""),0.0)</f>
        <v>0</v>
      </c>
      <c r="AB183" s="268">
        <f>IFERROR(__xludf.DUMMYFUNCTION("""COMPUTED_VALUE"""),0.0)</f>
        <v>0</v>
      </c>
      <c r="AC183" s="268">
        <f>IFERROR(__xludf.DUMMYFUNCTION("""COMPUTED_VALUE"""),0.0)</f>
        <v>0</v>
      </c>
      <c r="AD183" s="268">
        <f>IFERROR(__xludf.DUMMYFUNCTION("""COMPUTED_VALUE"""),0.0)</f>
        <v>0</v>
      </c>
      <c r="AE183" s="268">
        <f>IFERROR(__xludf.DUMMYFUNCTION("""COMPUTED_VALUE"""),0.0)</f>
        <v>0</v>
      </c>
      <c r="AF183" s="268" t="str">
        <f>IFERROR(__xludf.DUMMYFUNCTION("""COMPUTED_VALUE"""),"")</f>
        <v/>
      </c>
      <c r="AG183" s="268">
        <f>IFERROR(__xludf.DUMMYFUNCTION("""COMPUTED_VALUE"""),0.0)</f>
        <v>0</v>
      </c>
      <c r="AH183" s="268">
        <f>IFERROR(__xludf.DUMMYFUNCTION("""COMPUTED_VALUE"""),0.0)</f>
        <v>0</v>
      </c>
      <c r="AI183" s="268">
        <f>IFERROR(__xludf.DUMMYFUNCTION("""COMPUTED_VALUE"""),0.0)</f>
        <v>0</v>
      </c>
      <c r="AJ183" s="268"/>
    </row>
    <row r="184" ht="22.5" customHeight="1">
      <c r="A184" s="170" t="str">
        <f>IFERROR(__xludf.DUMMYFUNCTION("""COMPUTED_VALUE"""),"")</f>
        <v/>
      </c>
      <c r="B184" s="170" t="str">
        <f>IFERROR(__xludf.DUMMYFUNCTION("""COMPUTED_VALUE"""),"")</f>
        <v/>
      </c>
      <c r="C184" s="170">
        <f>IFERROR(__xludf.DUMMYFUNCTION("""COMPUTED_VALUE"""),377.0)</f>
        <v>377</v>
      </c>
      <c r="D184" s="170" t="str">
        <f>IFERROR(__xludf.DUMMYFUNCTION("""COMPUTED_VALUE"""),"Clínicas da Família - Superintendência")</f>
        <v>Clínicas da Família - Superintendência</v>
      </c>
      <c r="E184" s="270" t="str">
        <f>IFERROR(__xludf.DUMMYFUNCTION("""COMPUTED_VALUE"""),"CENTRO")</f>
        <v>CENTRO</v>
      </c>
      <c r="F184" s="170" t="str">
        <f>IFERROR(__xludf.DUMMYFUNCTION("""COMPUTED_VALUE"""),"Rio de Janeiro")</f>
        <v>Rio de Janeiro</v>
      </c>
      <c r="G184" s="170" t="str">
        <f>IFERROR(__xludf.DUMMYFUNCTION("""COMPUTED_VALUE"""),"Centro")</f>
        <v>Centro</v>
      </c>
      <c r="H184" s="170" t="str">
        <f>IFERROR(__xludf.DUMMYFUNCTION("""COMPUTED_VALUE"""),"Unidade básica de saúde - BAIXA COMPLEXIDADE")</f>
        <v>Unidade básica de saúde - BAIXA COMPLEXIDADE</v>
      </c>
      <c r="I184" s="170" t="str">
        <f>IFERROR(__xludf.DUMMYFUNCTION("""COMPUTED_VALUE"""),"Público")</f>
        <v>Público</v>
      </c>
      <c r="J184" s="170" t="str">
        <f>IFERROR(__xludf.DUMMYFUNCTION("""COMPUTED_VALUE"""),"")</f>
        <v/>
      </c>
      <c r="K184" s="170" t="str">
        <f>IFERROR(__xludf.DUMMYFUNCTION("""COMPUTED_VALUE"""),"")</f>
        <v/>
      </c>
      <c r="L184" s="170" t="str">
        <f>IFERROR(__xludf.DUMMYFUNCTION("""COMPUTED_VALUE"""),"")</f>
        <v/>
      </c>
      <c r="M184" s="170" t="str">
        <f>IFERROR(__xludf.DUMMYFUNCTION("""COMPUTED_VALUE"""),"")</f>
        <v/>
      </c>
      <c r="N184" s="170">
        <f>IFERROR(__xludf.DUMMYFUNCTION("""COMPUTED_VALUE"""),0.0)</f>
        <v>0</v>
      </c>
      <c r="O184" s="170">
        <f>IFERROR(__xludf.DUMMYFUNCTION("""COMPUTED_VALUE"""),0.0)</f>
        <v>0</v>
      </c>
      <c r="P184" s="170">
        <f>IFERROR(__xludf.DUMMYFUNCTION("""COMPUTED_VALUE"""),0.0)</f>
        <v>0</v>
      </c>
      <c r="Q184" s="170">
        <f>IFERROR(__xludf.DUMMYFUNCTION("""COMPUTED_VALUE"""),0.0)</f>
        <v>0</v>
      </c>
      <c r="R184" s="170">
        <f>IFERROR(__xludf.DUMMYFUNCTION("""COMPUTED_VALUE"""),0.0)</f>
        <v>0</v>
      </c>
      <c r="S184" s="170">
        <f>IFERROR(__xludf.DUMMYFUNCTION("""COMPUTED_VALUE"""),0.0)</f>
        <v>0</v>
      </c>
      <c r="T184" s="170">
        <f>IFERROR(__xludf.DUMMYFUNCTION("""COMPUTED_VALUE"""),100.0)</f>
        <v>100</v>
      </c>
      <c r="U184" s="170">
        <f>IFERROR(__xludf.DUMMYFUNCTION("""COMPUTED_VALUE"""),0.0)</f>
        <v>0</v>
      </c>
      <c r="V184" s="170">
        <f>IFERROR(__xludf.DUMMYFUNCTION("""COMPUTED_VALUE"""),0.0)</f>
        <v>0</v>
      </c>
      <c r="W184" s="170">
        <f>IFERROR(__xludf.DUMMYFUNCTION("""COMPUTED_VALUE"""),0.0)</f>
        <v>0</v>
      </c>
      <c r="X184" s="170">
        <f>IFERROR(__xludf.DUMMYFUNCTION("""COMPUTED_VALUE"""),0.0)</f>
        <v>0</v>
      </c>
      <c r="Y184" s="170">
        <f>IFERROR(__xludf.DUMMYFUNCTION("""COMPUTED_VALUE"""),0.0)</f>
        <v>0</v>
      </c>
      <c r="Z184" s="170">
        <f>IFERROR(__xludf.DUMMYFUNCTION("""COMPUTED_VALUE"""),-100.0)</f>
        <v>-100</v>
      </c>
      <c r="AA184" s="170">
        <f>IFERROR(__xludf.DUMMYFUNCTION("""COMPUTED_VALUE"""),0.0)</f>
        <v>0</v>
      </c>
      <c r="AB184" s="170">
        <f>IFERROR(__xludf.DUMMYFUNCTION("""COMPUTED_VALUE"""),0.0)</f>
        <v>0</v>
      </c>
      <c r="AC184" s="170">
        <f>IFERROR(__xludf.DUMMYFUNCTION("""COMPUTED_VALUE"""),0.0)</f>
        <v>0</v>
      </c>
      <c r="AD184" s="170">
        <f>IFERROR(__xludf.DUMMYFUNCTION("""COMPUTED_VALUE"""),0.0)</f>
        <v>0</v>
      </c>
      <c r="AE184" s="170">
        <f>IFERROR(__xludf.DUMMYFUNCTION("""COMPUTED_VALUE"""),0.0)</f>
        <v>0</v>
      </c>
      <c r="AF184" s="170" t="str">
        <f>IFERROR(__xludf.DUMMYFUNCTION("""COMPUTED_VALUE"""),"")</f>
        <v/>
      </c>
      <c r="AG184" s="170">
        <f>IFERROR(__xludf.DUMMYFUNCTION("""COMPUTED_VALUE"""),0.0)</f>
        <v>0</v>
      </c>
      <c r="AH184" s="170">
        <f>IFERROR(__xludf.DUMMYFUNCTION("""COMPUTED_VALUE"""),0.0)</f>
        <v>0</v>
      </c>
      <c r="AI184" s="170">
        <f>IFERROR(__xludf.DUMMYFUNCTION("""COMPUTED_VALUE"""),0.0)</f>
        <v>0</v>
      </c>
      <c r="AJ184" s="170"/>
    </row>
    <row r="185" ht="22.5" customHeight="1">
      <c r="A185" s="268" t="str">
        <f>IFERROR(__xludf.DUMMYFUNCTION("""COMPUTED_VALUE"""),"")</f>
        <v/>
      </c>
      <c r="B185" s="268" t="str">
        <f>IFERROR(__xludf.DUMMYFUNCTION("""COMPUTED_VALUE"""),"")</f>
        <v/>
      </c>
      <c r="C185" s="268">
        <f>IFERROR(__xludf.DUMMYFUNCTION("""COMPUTED_VALUE"""),378.0)</f>
        <v>378</v>
      </c>
      <c r="D185" s="268" t="str">
        <f>IFERROR(__xludf.DUMMYFUNCTION("""COMPUTED_VALUE"""),"Fiocruz - Laboratório")</f>
        <v>Fiocruz - Laboratório</v>
      </c>
      <c r="E185" s="272" t="str">
        <f>IFERROR(__xludf.DUMMYFUNCTION("""COMPUTED_VALUE"""),"ZONA NORTE")</f>
        <v>ZONA NORTE</v>
      </c>
      <c r="F185" s="268" t="str">
        <f>IFERROR(__xludf.DUMMYFUNCTION("""COMPUTED_VALUE"""),"Rio de Janeiro")</f>
        <v>Rio de Janeiro</v>
      </c>
      <c r="G185" s="268" t="str">
        <f>IFERROR(__xludf.DUMMYFUNCTION("""COMPUTED_VALUE"""),"Manguinhos")</f>
        <v>Manguinhos</v>
      </c>
      <c r="H185" s="268" t="str">
        <f>IFERROR(__xludf.DUMMYFUNCTION("""COMPUTED_VALUE"""),"Unidade de Pesquisa")</f>
        <v>Unidade de Pesquisa</v>
      </c>
      <c r="I185" s="268" t="str">
        <f>IFERROR(__xludf.DUMMYFUNCTION("""COMPUTED_VALUE"""),"Público")</f>
        <v>Público</v>
      </c>
      <c r="J185" s="268" t="str">
        <f>IFERROR(__xludf.DUMMYFUNCTION("""COMPUTED_VALUE"""),"")</f>
        <v/>
      </c>
      <c r="K185" s="268" t="str">
        <f>IFERROR(__xludf.DUMMYFUNCTION("""COMPUTED_VALUE"""),"")</f>
        <v/>
      </c>
      <c r="L185" s="268" t="str">
        <f>IFERROR(__xludf.DUMMYFUNCTION("""COMPUTED_VALUE"""),"")</f>
        <v/>
      </c>
      <c r="M185" s="268" t="str">
        <f>IFERROR(__xludf.DUMMYFUNCTION("""COMPUTED_VALUE"""),"")</f>
        <v/>
      </c>
      <c r="N185" s="268">
        <f>IFERROR(__xludf.DUMMYFUNCTION("""COMPUTED_VALUE"""),0.0)</f>
        <v>0</v>
      </c>
      <c r="O185" s="268">
        <f>IFERROR(__xludf.DUMMYFUNCTION("""COMPUTED_VALUE"""),0.0)</f>
        <v>0</v>
      </c>
      <c r="P185" s="268">
        <f>IFERROR(__xludf.DUMMYFUNCTION("""COMPUTED_VALUE"""),0.0)</f>
        <v>0</v>
      </c>
      <c r="Q185" s="268">
        <f>IFERROR(__xludf.DUMMYFUNCTION("""COMPUTED_VALUE"""),0.0)</f>
        <v>0</v>
      </c>
      <c r="R185" s="268">
        <f>IFERROR(__xludf.DUMMYFUNCTION("""COMPUTED_VALUE"""),0.0)</f>
        <v>0</v>
      </c>
      <c r="S185" s="268">
        <f>IFERROR(__xludf.DUMMYFUNCTION("""COMPUTED_VALUE"""),0.0)</f>
        <v>0</v>
      </c>
      <c r="T185" s="268">
        <f>IFERROR(__xludf.DUMMYFUNCTION("""COMPUTED_VALUE"""),40.0)</f>
        <v>40</v>
      </c>
      <c r="U185" s="268">
        <f>IFERROR(__xludf.DUMMYFUNCTION("""COMPUTED_VALUE"""),0.0)</f>
        <v>0</v>
      </c>
      <c r="V185" s="268">
        <f>IFERROR(__xludf.DUMMYFUNCTION("""COMPUTED_VALUE"""),0.0)</f>
        <v>0</v>
      </c>
      <c r="W185" s="268">
        <f>IFERROR(__xludf.DUMMYFUNCTION("""COMPUTED_VALUE"""),0.0)</f>
        <v>0</v>
      </c>
      <c r="X185" s="268">
        <f>IFERROR(__xludf.DUMMYFUNCTION("""COMPUTED_VALUE"""),0.0)</f>
        <v>0</v>
      </c>
      <c r="Y185" s="268">
        <f>IFERROR(__xludf.DUMMYFUNCTION("""COMPUTED_VALUE"""),0.0)</f>
        <v>0</v>
      </c>
      <c r="Z185" s="268">
        <f>IFERROR(__xludf.DUMMYFUNCTION("""COMPUTED_VALUE"""),-40.0)</f>
        <v>-40</v>
      </c>
      <c r="AA185" s="268">
        <f>IFERROR(__xludf.DUMMYFUNCTION("""COMPUTED_VALUE"""),0.0)</f>
        <v>0</v>
      </c>
      <c r="AB185" s="268">
        <f>IFERROR(__xludf.DUMMYFUNCTION("""COMPUTED_VALUE"""),0.0)</f>
        <v>0</v>
      </c>
      <c r="AC185" s="268">
        <f>IFERROR(__xludf.DUMMYFUNCTION("""COMPUTED_VALUE"""),0.0)</f>
        <v>0</v>
      </c>
      <c r="AD185" s="268">
        <f>IFERROR(__xludf.DUMMYFUNCTION("""COMPUTED_VALUE"""),0.0)</f>
        <v>0</v>
      </c>
      <c r="AE185" s="268">
        <f>IFERROR(__xludf.DUMMYFUNCTION("""COMPUTED_VALUE"""),0.0)</f>
        <v>0</v>
      </c>
      <c r="AF185" s="268" t="str">
        <f>IFERROR(__xludf.DUMMYFUNCTION("""COMPUTED_VALUE"""),"")</f>
        <v/>
      </c>
      <c r="AG185" s="268">
        <f>IFERROR(__xludf.DUMMYFUNCTION("""COMPUTED_VALUE"""),0.0)</f>
        <v>0</v>
      </c>
      <c r="AH185" s="268">
        <f>IFERROR(__xludf.DUMMYFUNCTION("""COMPUTED_VALUE"""),0.0)</f>
        <v>0</v>
      </c>
      <c r="AI185" s="268">
        <f>IFERROR(__xludf.DUMMYFUNCTION("""COMPUTED_VALUE"""),0.0)</f>
        <v>0</v>
      </c>
      <c r="AJ185" s="268"/>
    </row>
    <row r="186" ht="22.5" customHeight="1">
      <c r="A186" s="170" t="str">
        <f>IFERROR(__xludf.DUMMYFUNCTION("""COMPUTED_VALUE"""),"")</f>
        <v/>
      </c>
      <c r="B186" s="170" t="str">
        <f>IFERROR(__xludf.DUMMYFUNCTION("""COMPUTED_VALUE"""),"")</f>
        <v/>
      </c>
      <c r="C186" s="170">
        <f>IFERROR(__xludf.DUMMYFUNCTION("""COMPUTED_VALUE"""),379.0)</f>
        <v>379</v>
      </c>
      <c r="D186" s="170" t="str">
        <f>IFERROR(__xludf.DUMMYFUNCTION("""COMPUTED_VALUE"""),"Hospital Estadual Prefeito Jõao Batista Caffaro")</f>
        <v>Hospital Estadual Prefeito Jõao Batista Caffaro</v>
      </c>
      <c r="E186" s="270" t="str">
        <f>IFERROR(__xludf.DUMMYFUNCTION("""COMPUTED_VALUE"""),"REGIAO METROPOLITANA")</f>
        <v>REGIAO METROPOLITANA</v>
      </c>
      <c r="F186" s="170" t="str">
        <f>IFERROR(__xludf.DUMMYFUNCTION("""COMPUTED_VALUE"""),"Itaboraí")</f>
        <v>Itaboraí</v>
      </c>
      <c r="G186" s="170" t="str">
        <f>IFERROR(__xludf.DUMMYFUNCTION("""COMPUTED_VALUE"""),"Manilha")</f>
        <v>Manilha</v>
      </c>
      <c r="H186" s="170" t="str">
        <f>IFERROR(__xludf.DUMMYFUNCTION("""COMPUTED_VALUE"""),"Hospital de Referência - ALTA COMPLEXIDADE")</f>
        <v>Hospital de Referência - ALTA COMPLEXIDADE</v>
      </c>
      <c r="I186" s="170" t="str">
        <f>IFERROR(__xludf.DUMMYFUNCTION("""COMPUTED_VALUE"""),"Público")</f>
        <v>Público</v>
      </c>
      <c r="J186" s="170" t="str">
        <f>IFERROR(__xludf.DUMMYFUNCTION("""COMPUTED_VALUE"""),"")</f>
        <v/>
      </c>
      <c r="K186" s="170" t="str">
        <f>IFERROR(__xludf.DUMMYFUNCTION("""COMPUTED_VALUE"""),"")</f>
        <v/>
      </c>
      <c r="L186" s="170" t="str">
        <f>IFERROR(__xludf.DUMMYFUNCTION("""COMPUTED_VALUE"""),"")</f>
        <v/>
      </c>
      <c r="M186" s="170" t="str">
        <f>IFERROR(__xludf.DUMMYFUNCTION("""COMPUTED_VALUE"""),"")</f>
        <v/>
      </c>
      <c r="N186" s="170">
        <f>IFERROR(__xludf.DUMMYFUNCTION("""COMPUTED_VALUE"""),0.0)</f>
        <v>0</v>
      </c>
      <c r="O186" s="170">
        <f>IFERROR(__xludf.DUMMYFUNCTION("""COMPUTED_VALUE"""),0.0)</f>
        <v>0</v>
      </c>
      <c r="P186" s="170">
        <f>IFERROR(__xludf.DUMMYFUNCTION("""COMPUTED_VALUE"""),0.0)</f>
        <v>0</v>
      </c>
      <c r="Q186" s="170">
        <f>IFERROR(__xludf.DUMMYFUNCTION("""COMPUTED_VALUE"""),0.0)</f>
        <v>0</v>
      </c>
      <c r="R186" s="170">
        <f>IFERROR(__xludf.DUMMYFUNCTION("""COMPUTED_VALUE"""),0.0)</f>
        <v>0</v>
      </c>
      <c r="S186" s="170">
        <f>IFERROR(__xludf.DUMMYFUNCTION("""COMPUTED_VALUE"""),0.0)</f>
        <v>0</v>
      </c>
      <c r="T186" s="170">
        <f>IFERROR(__xludf.DUMMYFUNCTION("""COMPUTED_VALUE"""),100.0)</f>
        <v>100</v>
      </c>
      <c r="U186" s="170">
        <f>IFERROR(__xludf.DUMMYFUNCTION("""COMPUTED_VALUE"""),0.0)</f>
        <v>0</v>
      </c>
      <c r="V186" s="170">
        <f>IFERROR(__xludf.DUMMYFUNCTION("""COMPUTED_VALUE"""),0.0)</f>
        <v>0</v>
      </c>
      <c r="W186" s="170">
        <f>IFERROR(__xludf.DUMMYFUNCTION("""COMPUTED_VALUE"""),0.0)</f>
        <v>0</v>
      </c>
      <c r="X186" s="170">
        <f>IFERROR(__xludf.DUMMYFUNCTION("""COMPUTED_VALUE"""),0.0)</f>
        <v>0</v>
      </c>
      <c r="Y186" s="170">
        <f>IFERROR(__xludf.DUMMYFUNCTION("""COMPUTED_VALUE"""),0.0)</f>
        <v>0</v>
      </c>
      <c r="Z186" s="170">
        <f>IFERROR(__xludf.DUMMYFUNCTION("""COMPUTED_VALUE"""),-100.0)</f>
        <v>-100</v>
      </c>
      <c r="AA186" s="170">
        <f>IFERROR(__xludf.DUMMYFUNCTION("""COMPUTED_VALUE"""),0.0)</f>
        <v>0</v>
      </c>
      <c r="AB186" s="170">
        <f>IFERROR(__xludf.DUMMYFUNCTION("""COMPUTED_VALUE"""),0.0)</f>
        <v>0</v>
      </c>
      <c r="AC186" s="170">
        <f>IFERROR(__xludf.DUMMYFUNCTION("""COMPUTED_VALUE"""),0.0)</f>
        <v>0</v>
      </c>
      <c r="AD186" s="170">
        <f>IFERROR(__xludf.DUMMYFUNCTION("""COMPUTED_VALUE"""),0.0)</f>
        <v>0</v>
      </c>
      <c r="AE186" s="170">
        <f>IFERROR(__xludf.DUMMYFUNCTION("""COMPUTED_VALUE"""),0.0)</f>
        <v>0</v>
      </c>
      <c r="AF186" s="170" t="str">
        <f>IFERROR(__xludf.DUMMYFUNCTION("""COMPUTED_VALUE"""),"")</f>
        <v/>
      </c>
      <c r="AG186" s="170">
        <f>IFERROR(__xludf.DUMMYFUNCTION("""COMPUTED_VALUE"""),0.0)</f>
        <v>0</v>
      </c>
      <c r="AH186" s="170">
        <f>IFERROR(__xludf.DUMMYFUNCTION("""COMPUTED_VALUE"""),0.0)</f>
        <v>0</v>
      </c>
      <c r="AI186" s="170">
        <f>IFERROR(__xludf.DUMMYFUNCTION("""COMPUTED_VALUE"""),0.0)</f>
        <v>0</v>
      </c>
      <c r="AJ186" s="170"/>
    </row>
    <row r="187" ht="22.5" customHeight="1">
      <c r="A187" s="268" t="str">
        <f>IFERROR(__xludf.DUMMYFUNCTION("""COMPUTED_VALUE"""),"")</f>
        <v/>
      </c>
      <c r="B187" s="268" t="str">
        <f>IFERROR(__xludf.DUMMYFUNCTION("""COMPUTED_VALUE"""),"")</f>
        <v/>
      </c>
      <c r="C187" s="268">
        <f>IFERROR(__xludf.DUMMYFUNCTION("""COMPUTED_VALUE"""),380.0)</f>
        <v>380</v>
      </c>
      <c r="D187" s="268" t="str">
        <f>IFERROR(__xludf.DUMMYFUNCTION("""COMPUTED_VALUE"""),"Hospital Municipal Álvaro Ramos ")</f>
        <v>Hospital Municipal Álvaro Ramos </v>
      </c>
      <c r="E187" s="272" t="str">
        <f>IFERROR(__xludf.DUMMYFUNCTION("""COMPUTED_VALUE"""),"ZONA OESTE")</f>
        <v>ZONA OESTE</v>
      </c>
      <c r="F187" s="268" t="str">
        <f>IFERROR(__xludf.DUMMYFUNCTION("""COMPUTED_VALUE"""),"Rio de Janeiro")</f>
        <v>Rio de Janeiro</v>
      </c>
      <c r="G187" s="268" t="str">
        <f>IFERROR(__xludf.DUMMYFUNCTION("""COMPUTED_VALUE"""),"Taquara")</f>
        <v>Taquara</v>
      </c>
      <c r="H187" s="268" t="str">
        <f>IFERROR(__xludf.DUMMYFUNCTION("""COMPUTED_VALUE"""),"Grande emergência - MÉDIA COMPLEXIDADE
")</f>
        <v>Grande emergência - MÉDIA COMPLEXIDADE
</v>
      </c>
      <c r="I187" s="268" t="str">
        <f>IFERROR(__xludf.DUMMYFUNCTION("""COMPUTED_VALUE"""),"Público")</f>
        <v>Público</v>
      </c>
      <c r="J187" s="268" t="str">
        <f>IFERROR(__xludf.DUMMYFUNCTION("""COMPUTED_VALUE"""),"")</f>
        <v/>
      </c>
      <c r="K187" s="268" t="str">
        <f>IFERROR(__xludf.DUMMYFUNCTION("""COMPUTED_VALUE"""),"")</f>
        <v/>
      </c>
      <c r="L187" s="268" t="str">
        <f>IFERROR(__xludf.DUMMYFUNCTION("""COMPUTED_VALUE"""),"")</f>
        <v/>
      </c>
      <c r="M187" s="268" t="str">
        <f>IFERROR(__xludf.DUMMYFUNCTION("""COMPUTED_VALUE"""),"")</f>
        <v/>
      </c>
      <c r="N187" s="268">
        <f>IFERROR(__xludf.DUMMYFUNCTION("""COMPUTED_VALUE"""),0.0)</f>
        <v>0</v>
      </c>
      <c r="O187" s="268">
        <f>IFERROR(__xludf.DUMMYFUNCTION("""COMPUTED_VALUE"""),0.0)</f>
        <v>0</v>
      </c>
      <c r="P187" s="268">
        <f>IFERROR(__xludf.DUMMYFUNCTION("""COMPUTED_VALUE"""),0.0)</f>
        <v>0</v>
      </c>
      <c r="Q187" s="268">
        <f>IFERROR(__xludf.DUMMYFUNCTION("""COMPUTED_VALUE"""),0.0)</f>
        <v>0</v>
      </c>
      <c r="R187" s="268">
        <f>IFERROR(__xludf.DUMMYFUNCTION("""COMPUTED_VALUE"""),0.0)</f>
        <v>0</v>
      </c>
      <c r="S187" s="268">
        <f>IFERROR(__xludf.DUMMYFUNCTION("""COMPUTED_VALUE"""),0.0)</f>
        <v>0</v>
      </c>
      <c r="T187" s="268">
        <f>IFERROR(__xludf.DUMMYFUNCTION("""COMPUTED_VALUE"""),90.0)</f>
        <v>90</v>
      </c>
      <c r="U187" s="268">
        <f>IFERROR(__xludf.DUMMYFUNCTION("""COMPUTED_VALUE"""),0.0)</f>
        <v>0</v>
      </c>
      <c r="V187" s="268">
        <f>IFERROR(__xludf.DUMMYFUNCTION("""COMPUTED_VALUE"""),0.0)</f>
        <v>0</v>
      </c>
      <c r="W187" s="268">
        <f>IFERROR(__xludf.DUMMYFUNCTION("""COMPUTED_VALUE"""),0.0)</f>
        <v>0</v>
      </c>
      <c r="X187" s="268">
        <f>IFERROR(__xludf.DUMMYFUNCTION("""COMPUTED_VALUE"""),0.0)</f>
        <v>0</v>
      </c>
      <c r="Y187" s="268">
        <f>IFERROR(__xludf.DUMMYFUNCTION("""COMPUTED_VALUE"""),0.0)</f>
        <v>0</v>
      </c>
      <c r="Z187" s="268">
        <f>IFERROR(__xludf.DUMMYFUNCTION("""COMPUTED_VALUE"""),-90.0)</f>
        <v>-90</v>
      </c>
      <c r="AA187" s="268">
        <f>IFERROR(__xludf.DUMMYFUNCTION("""COMPUTED_VALUE"""),0.0)</f>
        <v>0</v>
      </c>
      <c r="AB187" s="268">
        <f>IFERROR(__xludf.DUMMYFUNCTION("""COMPUTED_VALUE"""),0.0)</f>
        <v>0</v>
      </c>
      <c r="AC187" s="268">
        <f>IFERROR(__xludf.DUMMYFUNCTION("""COMPUTED_VALUE"""),0.0)</f>
        <v>0</v>
      </c>
      <c r="AD187" s="268">
        <f>IFERROR(__xludf.DUMMYFUNCTION("""COMPUTED_VALUE"""),0.0)</f>
        <v>0</v>
      </c>
      <c r="AE187" s="268">
        <f>IFERROR(__xludf.DUMMYFUNCTION("""COMPUTED_VALUE"""),0.0)</f>
        <v>0</v>
      </c>
      <c r="AF187" s="268" t="str">
        <f>IFERROR(__xludf.DUMMYFUNCTION("""COMPUTED_VALUE"""),"")</f>
        <v/>
      </c>
      <c r="AG187" s="268">
        <f>IFERROR(__xludf.DUMMYFUNCTION("""COMPUTED_VALUE"""),0.0)</f>
        <v>0</v>
      </c>
      <c r="AH187" s="268">
        <f>IFERROR(__xludf.DUMMYFUNCTION("""COMPUTED_VALUE"""),0.0)</f>
        <v>0</v>
      </c>
      <c r="AI187" s="268">
        <f>IFERROR(__xludf.DUMMYFUNCTION("""COMPUTED_VALUE"""),0.0)</f>
        <v>0</v>
      </c>
      <c r="AJ187" s="268"/>
    </row>
    <row r="188" ht="22.5" customHeight="1">
      <c r="A188" s="170" t="str">
        <f>IFERROR(__xludf.DUMMYFUNCTION("""COMPUTED_VALUE"""),"")</f>
        <v/>
      </c>
      <c r="B188" s="170" t="str">
        <f>IFERROR(__xludf.DUMMYFUNCTION("""COMPUTED_VALUE"""),"")</f>
        <v/>
      </c>
      <c r="C188" s="170">
        <f>IFERROR(__xludf.DUMMYFUNCTION("""COMPUTED_VALUE"""),381.0)</f>
        <v>381</v>
      </c>
      <c r="D188" s="170" t="str">
        <f>IFERROR(__xludf.DUMMYFUNCTION("""COMPUTED_VALUE"""),"Hospital Municipal Barata Ribeiro ")</f>
        <v>Hospital Municipal Barata Ribeiro </v>
      </c>
      <c r="E188" s="270" t="str">
        <f>IFERROR(__xludf.DUMMYFUNCTION("""COMPUTED_VALUE"""),"CENTRO")</f>
        <v>CENTRO</v>
      </c>
      <c r="F188" s="170" t="str">
        <f>IFERROR(__xludf.DUMMYFUNCTION("""COMPUTED_VALUE"""),"Rio de Janeiro")</f>
        <v>Rio de Janeiro</v>
      </c>
      <c r="G188" s="170" t="str">
        <f>IFERROR(__xludf.DUMMYFUNCTION("""COMPUTED_VALUE"""),"Mangueira")</f>
        <v>Mangueira</v>
      </c>
      <c r="H188" s="170" t="str">
        <f>IFERROR(__xludf.DUMMYFUNCTION("""COMPUTED_VALUE"""),"Grande emergência - MÉDIA COMPLEXIDADE
")</f>
        <v>Grande emergência - MÉDIA COMPLEXIDADE
</v>
      </c>
      <c r="I188" s="170" t="str">
        <f>IFERROR(__xludf.DUMMYFUNCTION("""COMPUTED_VALUE"""),"Público")</f>
        <v>Público</v>
      </c>
      <c r="J188" s="170" t="str">
        <f>IFERROR(__xludf.DUMMYFUNCTION("""COMPUTED_VALUE"""),"")</f>
        <v/>
      </c>
      <c r="K188" s="170" t="str">
        <f>IFERROR(__xludf.DUMMYFUNCTION("""COMPUTED_VALUE"""),"")</f>
        <v/>
      </c>
      <c r="L188" s="170" t="str">
        <f>IFERROR(__xludf.DUMMYFUNCTION("""COMPUTED_VALUE"""),"")</f>
        <v/>
      </c>
      <c r="M188" s="170" t="str">
        <f>IFERROR(__xludf.DUMMYFUNCTION("""COMPUTED_VALUE"""),"")</f>
        <v/>
      </c>
      <c r="N188" s="170">
        <f>IFERROR(__xludf.DUMMYFUNCTION("""COMPUTED_VALUE"""),0.0)</f>
        <v>0</v>
      </c>
      <c r="O188" s="170">
        <f>IFERROR(__xludf.DUMMYFUNCTION("""COMPUTED_VALUE"""),0.0)</f>
        <v>0</v>
      </c>
      <c r="P188" s="170">
        <f>IFERROR(__xludf.DUMMYFUNCTION("""COMPUTED_VALUE"""),0.0)</f>
        <v>0</v>
      </c>
      <c r="Q188" s="170">
        <f>IFERROR(__xludf.DUMMYFUNCTION("""COMPUTED_VALUE"""),0.0)</f>
        <v>0</v>
      </c>
      <c r="R188" s="170">
        <f>IFERROR(__xludf.DUMMYFUNCTION("""COMPUTED_VALUE"""),0.0)</f>
        <v>0</v>
      </c>
      <c r="S188" s="170">
        <f>IFERROR(__xludf.DUMMYFUNCTION("""COMPUTED_VALUE"""),0.0)</f>
        <v>0</v>
      </c>
      <c r="T188" s="170">
        <f>IFERROR(__xludf.DUMMYFUNCTION("""COMPUTED_VALUE"""),100.0)</f>
        <v>100</v>
      </c>
      <c r="U188" s="170">
        <f>IFERROR(__xludf.DUMMYFUNCTION("""COMPUTED_VALUE"""),0.0)</f>
        <v>0</v>
      </c>
      <c r="V188" s="170">
        <f>IFERROR(__xludf.DUMMYFUNCTION("""COMPUTED_VALUE"""),0.0)</f>
        <v>0</v>
      </c>
      <c r="W188" s="170">
        <f>IFERROR(__xludf.DUMMYFUNCTION("""COMPUTED_VALUE"""),0.0)</f>
        <v>0</v>
      </c>
      <c r="X188" s="170">
        <f>IFERROR(__xludf.DUMMYFUNCTION("""COMPUTED_VALUE"""),0.0)</f>
        <v>0</v>
      </c>
      <c r="Y188" s="170">
        <f>IFERROR(__xludf.DUMMYFUNCTION("""COMPUTED_VALUE"""),0.0)</f>
        <v>0</v>
      </c>
      <c r="Z188" s="170">
        <f>IFERROR(__xludf.DUMMYFUNCTION("""COMPUTED_VALUE"""),-100.0)</f>
        <v>-100</v>
      </c>
      <c r="AA188" s="170">
        <f>IFERROR(__xludf.DUMMYFUNCTION("""COMPUTED_VALUE"""),0.0)</f>
        <v>0</v>
      </c>
      <c r="AB188" s="170">
        <f>IFERROR(__xludf.DUMMYFUNCTION("""COMPUTED_VALUE"""),0.0)</f>
        <v>0</v>
      </c>
      <c r="AC188" s="170">
        <f>IFERROR(__xludf.DUMMYFUNCTION("""COMPUTED_VALUE"""),0.0)</f>
        <v>0</v>
      </c>
      <c r="AD188" s="170">
        <f>IFERROR(__xludf.DUMMYFUNCTION("""COMPUTED_VALUE"""),0.0)</f>
        <v>0</v>
      </c>
      <c r="AE188" s="170">
        <f>IFERROR(__xludf.DUMMYFUNCTION("""COMPUTED_VALUE"""),0.0)</f>
        <v>0</v>
      </c>
      <c r="AF188" s="170" t="str">
        <f>IFERROR(__xludf.DUMMYFUNCTION("""COMPUTED_VALUE"""),"")</f>
        <v/>
      </c>
      <c r="AG188" s="170">
        <f>IFERROR(__xludf.DUMMYFUNCTION("""COMPUTED_VALUE"""),0.0)</f>
        <v>0</v>
      </c>
      <c r="AH188" s="170">
        <f>IFERROR(__xludf.DUMMYFUNCTION("""COMPUTED_VALUE"""),0.0)</f>
        <v>0</v>
      </c>
      <c r="AI188" s="170">
        <f>IFERROR(__xludf.DUMMYFUNCTION("""COMPUTED_VALUE"""),0.0)</f>
        <v>0</v>
      </c>
      <c r="AJ188" s="170"/>
    </row>
    <row r="189" ht="22.5" customHeight="1">
      <c r="A189" s="268" t="str">
        <f>IFERROR(__xludf.DUMMYFUNCTION("""COMPUTED_VALUE"""),"")</f>
        <v/>
      </c>
      <c r="B189" s="268" t="str">
        <f>IFERROR(__xludf.DUMMYFUNCTION("""COMPUTED_VALUE"""),"")</f>
        <v/>
      </c>
      <c r="C189" s="268">
        <f>IFERROR(__xludf.DUMMYFUNCTION("""COMPUTED_VALUE"""),382.0)</f>
        <v>382</v>
      </c>
      <c r="D189" s="268" t="str">
        <f>IFERROR(__xludf.DUMMYFUNCTION("""COMPUTED_VALUE"""),"Hospital Municipal Desembargador Leal Jr. ")</f>
        <v>Hospital Municipal Desembargador Leal Jr. </v>
      </c>
      <c r="E189" s="272" t="str">
        <f>IFERROR(__xludf.DUMMYFUNCTION("""COMPUTED_VALUE"""),"REGIAO METROPOLITANA")</f>
        <v>REGIAO METROPOLITANA</v>
      </c>
      <c r="F189" s="268" t="str">
        <f>IFERROR(__xludf.DUMMYFUNCTION("""COMPUTED_VALUE"""),"Itaboraí")</f>
        <v>Itaboraí</v>
      </c>
      <c r="G189" s="268" t="str">
        <f>IFERROR(__xludf.DUMMYFUNCTION("""COMPUTED_VALUE"""),"Nancilândia")</f>
        <v>Nancilândia</v>
      </c>
      <c r="H189" s="268" t="str">
        <f>IFERROR(__xludf.DUMMYFUNCTION("""COMPUTED_VALUE"""),"Grande emergência - MÉDIA COMPLEXIDADE
")</f>
        <v>Grande emergência - MÉDIA COMPLEXIDADE
</v>
      </c>
      <c r="I189" s="268" t="str">
        <f>IFERROR(__xludf.DUMMYFUNCTION("""COMPUTED_VALUE"""),"Público")</f>
        <v>Público</v>
      </c>
      <c r="J189" s="268" t="str">
        <f>IFERROR(__xludf.DUMMYFUNCTION("""COMPUTED_VALUE"""),"")</f>
        <v/>
      </c>
      <c r="K189" s="268" t="str">
        <f>IFERROR(__xludf.DUMMYFUNCTION("""COMPUTED_VALUE"""),"")</f>
        <v/>
      </c>
      <c r="L189" s="268" t="str">
        <f>IFERROR(__xludf.DUMMYFUNCTION("""COMPUTED_VALUE"""),"")</f>
        <v/>
      </c>
      <c r="M189" s="268" t="str">
        <f>IFERROR(__xludf.DUMMYFUNCTION("""COMPUTED_VALUE"""),"")</f>
        <v/>
      </c>
      <c r="N189" s="268">
        <f>IFERROR(__xludf.DUMMYFUNCTION("""COMPUTED_VALUE"""),0.0)</f>
        <v>0</v>
      </c>
      <c r="O189" s="268">
        <f>IFERROR(__xludf.DUMMYFUNCTION("""COMPUTED_VALUE"""),0.0)</f>
        <v>0</v>
      </c>
      <c r="P189" s="268">
        <f>IFERROR(__xludf.DUMMYFUNCTION("""COMPUTED_VALUE"""),0.0)</f>
        <v>0</v>
      </c>
      <c r="Q189" s="268">
        <f>IFERROR(__xludf.DUMMYFUNCTION("""COMPUTED_VALUE"""),0.0)</f>
        <v>0</v>
      </c>
      <c r="R189" s="268">
        <f>IFERROR(__xludf.DUMMYFUNCTION("""COMPUTED_VALUE"""),0.0)</f>
        <v>0</v>
      </c>
      <c r="S189" s="268">
        <f>IFERROR(__xludf.DUMMYFUNCTION("""COMPUTED_VALUE"""),0.0)</f>
        <v>0</v>
      </c>
      <c r="T189" s="268">
        <f>IFERROR(__xludf.DUMMYFUNCTION("""COMPUTED_VALUE"""),100.0)</f>
        <v>100</v>
      </c>
      <c r="U189" s="268">
        <f>IFERROR(__xludf.DUMMYFUNCTION("""COMPUTED_VALUE"""),0.0)</f>
        <v>0</v>
      </c>
      <c r="V189" s="268">
        <f>IFERROR(__xludf.DUMMYFUNCTION("""COMPUTED_VALUE"""),0.0)</f>
        <v>0</v>
      </c>
      <c r="W189" s="268">
        <f>IFERROR(__xludf.DUMMYFUNCTION("""COMPUTED_VALUE"""),0.0)</f>
        <v>0</v>
      </c>
      <c r="X189" s="268">
        <f>IFERROR(__xludf.DUMMYFUNCTION("""COMPUTED_VALUE"""),0.0)</f>
        <v>0</v>
      </c>
      <c r="Y189" s="268">
        <f>IFERROR(__xludf.DUMMYFUNCTION("""COMPUTED_VALUE"""),0.0)</f>
        <v>0</v>
      </c>
      <c r="Z189" s="268">
        <f>IFERROR(__xludf.DUMMYFUNCTION("""COMPUTED_VALUE"""),-100.0)</f>
        <v>-100</v>
      </c>
      <c r="AA189" s="268">
        <f>IFERROR(__xludf.DUMMYFUNCTION("""COMPUTED_VALUE"""),0.0)</f>
        <v>0</v>
      </c>
      <c r="AB189" s="268">
        <f>IFERROR(__xludf.DUMMYFUNCTION("""COMPUTED_VALUE"""),0.0)</f>
        <v>0</v>
      </c>
      <c r="AC189" s="268">
        <f>IFERROR(__xludf.DUMMYFUNCTION("""COMPUTED_VALUE"""),0.0)</f>
        <v>0</v>
      </c>
      <c r="AD189" s="268">
        <f>IFERROR(__xludf.DUMMYFUNCTION("""COMPUTED_VALUE"""),0.0)</f>
        <v>0</v>
      </c>
      <c r="AE189" s="268">
        <f>IFERROR(__xludf.DUMMYFUNCTION("""COMPUTED_VALUE"""),0.0)</f>
        <v>0</v>
      </c>
      <c r="AF189" s="268" t="str">
        <f>IFERROR(__xludf.DUMMYFUNCTION("""COMPUTED_VALUE"""),"")</f>
        <v/>
      </c>
      <c r="AG189" s="268">
        <f>IFERROR(__xludf.DUMMYFUNCTION("""COMPUTED_VALUE"""),0.0)</f>
        <v>0</v>
      </c>
      <c r="AH189" s="268">
        <f>IFERROR(__xludf.DUMMYFUNCTION("""COMPUTED_VALUE"""),0.0)</f>
        <v>0</v>
      </c>
      <c r="AI189" s="268">
        <f>IFERROR(__xludf.DUMMYFUNCTION("""COMPUTED_VALUE"""),0.0)</f>
        <v>0</v>
      </c>
      <c r="AJ189" s="268"/>
    </row>
    <row r="190" ht="22.5" customHeight="1">
      <c r="A190" s="170" t="str">
        <f>IFERROR(__xludf.DUMMYFUNCTION("""COMPUTED_VALUE"""),"")</f>
        <v/>
      </c>
      <c r="B190" s="170" t="str">
        <f>IFERROR(__xludf.DUMMYFUNCTION("""COMPUTED_VALUE"""),"")</f>
        <v/>
      </c>
      <c r="C190" s="170">
        <f>IFERROR(__xludf.DUMMYFUNCTION("""COMPUTED_VALUE"""),383.0)</f>
        <v>383</v>
      </c>
      <c r="D190" s="170" t="str">
        <f>IFERROR(__xludf.DUMMYFUNCTION("""COMPUTED_VALUE"""),"INCA/CPQ")</f>
        <v>INCA/CPQ</v>
      </c>
      <c r="E190" s="270" t="str">
        <f>IFERROR(__xludf.DUMMYFUNCTION("""COMPUTED_VALUE"""),"CENTRO")</f>
        <v>CENTRO</v>
      </c>
      <c r="F190" s="170" t="str">
        <f>IFERROR(__xludf.DUMMYFUNCTION("""COMPUTED_VALUE"""),"Rio de Janeiro")</f>
        <v>Rio de Janeiro</v>
      </c>
      <c r="G190" s="170" t="str">
        <f>IFERROR(__xludf.DUMMYFUNCTION("""COMPUTED_VALUE"""),"CENTRO")</f>
        <v>CENTRO</v>
      </c>
      <c r="H190" s="170" t="str">
        <f>IFERROR(__xludf.DUMMYFUNCTION("""COMPUTED_VALUE"""),"Unidade de Pesquisa")</f>
        <v>Unidade de Pesquisa</v>
      </c>
      <c r="I190" s="170" t="str">
        <f>IFERROR(__xludf.DUMMYFUNCTION("""COMPUTED_VALUE"""),"Público")</f>
        <v>Público</v>
      </c>
      <c r="J190" s="170" t="str">
        <f>IFERROR(__xludf.DUMMYFUNCTION("""COMPUTED_VALUE"""),"")</f>
        <v/>
      </c>
      <c r="K190" s="170" t="str">
        <f>IFERROR(__xludf.DUMMYFUNCTION("""COMPUTED_VALUE"""),"")</f>
        <v/>
      </c>
      <c r="L190" s="170" t="str">
        <f>IFERROR(__xludf.DUMMYFUNCTION("""COMPUTED_VALUE"""),"")</f>
        <v/>
      </c>
      <c r="M190" s="170" t="str">
        <f>IFERROR(__xludf.DUMMYFUNCTION("""COMPUTED_VALUE"""),"")</f>
        <v/>
      </c>
      <c r="N190" s="170">
        <f>IFERROR(__xludf.DUMMYFUNCTION("""COMPUTED_VALUE"""),0.0)</f>
        <v>0</v>
      </c>
      <c r="O190" s="170">
        <f>IFERROR(__xludf.DUMMYFUNCTION("""COMPUTED_VALUE"""),0.0)</f>
        <v>0</v>
      </c>
      <c r="P190" s="170">
        <f>IFERROR(__xludf.DUMMYFUNCTION("""COMPUTED_VALUE"""),0.0)</f>
        <v>0</v>
      </c>
      <c r="Q190" s="170">
        <f>IFERROR(__xludf.DUMMYFUNCTION("""COMPUTED_VALUE"""),0.0)</f>
        <v>0</v>
      </c>
      <c r="R190" s="170">
        <f>IFERROR(__xludf.DUMMYFUNCTION("""COMPUTED_VALUE"""),0.0)</f>
        <v>0</v>
      </c>
      <c r="S190" s="170">
        <f>IFERROR(__xludf.DUMMYFUNCTION("""COMPUTED_VALUE"""),0.0)</f>
        <v>0</v>
      </c>
      <c r="T190" s="170">
        <f>IFERROR(__xludf.DUMMYFUNCTION("""COMPUTED_VALUE"""),25.0)</f>
        <v>25</v>
      </c>
      <c r="U190" s="170">
        <f>IFERROR(__xludf.DUMMYFUNCTION("""COMPUTED_VALUE"""),0.0)</f>
        <v>0</v>
      </c>
      <c r="V190" s="170">
        <f>IFERROR(__xludf.DUMMYFUNCTION("""COMPUTED_VALUE"""),0.0)</f>
        <v>0</v>
      </c>
      <c r="W190" s="170">
        <f>IFERROR(__xludf.DUMMYFUNCTION("""COMPUTED_VALUE"""),0.0)</f>
        <v>0</v>
      </c>
      <c r="X190" s="170">
        <f>IFERROR(__xludf.DUMMYFUNCTION("""COMPUTED_VALUE"""),0.0)</f>
        <v>0</v>
      </c>
      <c r="Y190" s="170">
        <f>IFERROR(__xludf.DUMMYFUNCTION("""COMPUTED_VALUE"""),0.0)</f>
        <v>0</v>
      </c>
      <c r="Z190" s="170">
        <f>IFERROR(__xludf.DUMMYFUNCTION("""COMPUTED_VALUE"""),-25.0)</f>
        <v>-25</v>
      </c>
      <c r="AA190" s="170">
        <f>IFERROR(__xludf.DUMMYFUNCTION("""COMPUTED_VALUE"""),0.0)</f>
        <v>0</v>
      </c>
      <c r="AB190" s="170">
        <f>IFERROR(__xludf.DUMMYFUNCTION("""COMPUTED_VALUE"""),0.0)</f>
        <v>0</v>
      </c>
      <c r="AC190" s="170">
        <f>IFERROR(__xludf.DUMMYFUNCTION("""COMPUTED_VALUE"""),0.0)</f>
        <v>0</v>
      </c>
      <c r="AD190" s="170">
        <f>IFERROR(__xludf.DUMMYFUNCTION("""COMPUTED_VALUE"""),0.0)</f>
        <v>0</v>
      </c>
      <c r="AE190" s="170">
        <f>IFERROR(__xludf.DUMMYFUNCTION("""COMPUTED_VALUE"""),0.0)</f>
        <v>0</v>
      </c>
      <c r="AF190" s="170" t="str">
        <f>IFERROR(__xludf.DUMMYFUNCTION("""COMPUTED_VALUE"""),"")</f>
        <v/>
      </c>
      <c r="AG190" s="170">
        <f>IFERROR(__xludf.DUMMYFUNCTION("""COMPUTED_VALUE"""),0.0)</f>
        <v>0</v>
      </c>
      <c r="AH190" s="170">
        <f>IFERROR(__xludf.DUMMYFUNCTION("""COMPUTED_VALUE"""),0.0)</f>
        <v>0</v>
      </c>
      <c r="AI190" s="170">
        <f>IFERROR(__xludf.DUMMYFUNCTION("""COMPUTED_VALUE"""),0.0)</f>
        <v>0</v>
      </c>
      <c r="AJ190" s="170"/>
    </row>
    <row r="191" ht="22.5" customHeight="1">
      <c r="A191" s="268" t="str">
        <f>IFERROR(__xludf.DUMMYFUNCTION("""COMPUTED_VALUE"""),"")</f>
        <v/>
      </c>
      <c r="B191" s="268" t="str">
        <f>IFERROR(__xludf.DUMMYFUNCTION("""COMPUTED_VALUE"""),"")</f>
        <v/>
      </c>
      <c r="C191" s="268">
        <f>IFERROR(__xludf.DUMMYFUNCTION("""COMPUTED_VALUE"""),385.0)</f>
        <v>385</v>
      </c>
      <c r="D191" s="268" t="str">
        <f>IFERROR(__xludf.DUMMYFUNCTION("""COMPUTED_VALUE"""),"Clinica da Familia - Centro de Testagem COVID-19")</f>
        <v>Clinica da Familia - Centro de Testagem COVID-19</v>
      </c>
      <c r="E191" s="272" t="str">
        <f>IFERROR(__xludf.DUMMYFUNCTION("""COMPUTED_VALUE"""),"BAIXADA FLUMINENSE")</f>
        <v>BAIXADA FLUMINENSE</v>
      </c>
      <c r="F191" s="268" t="str">
        <f>IFERROR(__xludf.DUMMYFUNCTION("""COMPUTED_VALUE"""),"Mesquita")</f>
        <v>Mesquita</v>
      </c>
      <c r="G191" s="268" t="str">
        <f>IFERROR(__xludf.DUMMYFUNCTION("""COMPUTED_VALUE"""),"Santa Terezinha")</f>
        <v>Santa Terezinha</v>
      </c>
      <c r="H191" s="268" t="str">
        <f>IFERROR(__xludf.DUMMYFUNCTION("""COMPUTED_VALUE"""),"Unidade básica de saúde - BAIXA COMPLEXIDADE")</f>
        <v>Unidade básica de saúde - BAIXA COMPLEXIDADE</v>
      </c>
      <c r="I191" s="268" t="str">
        <f>IFERROR(__xludf.DUMMYFUNCTION("""COMPUTED_VALUE"""),"Público")</f>
        <v>Público</v>
      </c>
      <c r="J191" s="268" t="str">
        <f>IFERROR(__xludf.DUMMYFUNCTION("""COMPUTED_VALUE"""),"")</f>
        <v/>
      </c>
      <c r="K191" s="268" t="str">
        <f>IFERROR(__xludf.DUMMYFUNCTION("""COMPUTED_VALUE"""),"")</f>
        <v/>
      </c>
      <c r="L191" s="268" t="str">
        <f>IFERROR(__xludf.DUMMYFUNCTION("""COMPUTED_VALUE"""),"")</f>
        <v/>
      </c>
      <c r="M191" s="268" t="str">
        <f>IFERROR(__xludf.DUMMYFUNCTION("""COMPUTED_VALUE"""),"")</f>
        <v/>
      </c>
      <c r="N191" s="268">
        <f>IFERROR(__xludf.DUMMYFUNCTION("""COMPUTED_VALUE"""),0.0)</f>
        <v>0</v>
      </c>
      <c r="O191" s="268">
        <f>IFERROR(__xludf.DUMMYFUNCTION("""COMPUTED_VALUE"""),0.0)</f>
        <v>0</v>
      </c>
      <c r="P191" s="268">
        <f>IFERROR(__xludf.DUMMYFUNCTION("""COMPUTED_VALUE"""),0.0)</f>
        <v>0</v>
      </c>
      <c r="Q191" s="268">
        <f>IFERROR(__xludf.DUMMYFUNCTION("""COMPUTED_VALUE"""),0.0)</f>
        <v>0</v>
      </c>
      <c r="R191" s="268">
        <f>IFERROR(__xludf.DUMMYFUNCTION("""COMPUTED_VALUE"""),0.0)</f>
        <v>0</v>
      </c>
      <c r="S191" s="268">
        <f>IFERROR(__xludf.DUMMYFUNCTION("""COMPUTED_VALUE"""),0.0)</f>
        <v>0</v>
      </c>
      <c r="T191" s="268">
        <f>IFERROR(__xludf.DUMMYFUNCTION("""COMPUTED_VALUE"""),50.0)</f>
        <v>50</v>
      </c>
      <c r="U191" s="268">
        <f>IFERROR(__xludf.DUMMYFUNCTION("""COMPUTED_VALUE"""),0.0)</f>
        <v>0</v>
      </c>
      <c r="V191" s="268">
        <f>IFERROR(__xludf.DUMMYFUNCTION("""COMPUTED_VALUE"""),0.0)</f>
        <v>0</v>
      </c>
      <c r="W191" s="268">
        <f>IFERROR(__xludf.DUMMYFUNCTION("""COMPUTED_VALUE"""),0.0)</f>
        <v>0</v>
      </c>
      <c r="X191" s="268">
        <f>IFERROR(__xludf.DUMMYFUNCTION("""COMPUTED_VALUE"""),0.0)</f>
        <v>0</v>
      </c>
      <c r="Y191" s="268">
        <f>IFERROR(__xludf.DUMMYFUNCTION("""COMPUTED_VALUE"""),0.0)</f>
        <v>0</v>
      </c>
      <c r="Z191" s="268">
        <f>IFERROR(__xludf.DUMMYFUNCTION("""COMPUTED_VALUE"""),-50.0)</f>
        <v>-50</v>
      </c>
      <c r="AA191" s="268">
        <f>IFERROR(__xludf.DUMMYFUNCTION("""COMPUTED_VALUE"""),0.0)</f>
        <v>0</v>
      </c>
      <c r="AB191" s="268">
        <f>IFERROR(__xludf.DUMMYFUNCTION("""COMPUTED_VALUE"""),0.0)</f>
        <v>0</v>
      </c>
      <c r="AC191" s="268">
        <f>IFERROR(__xludf.DUMMYFUNCTION("""COMPUTED_VALUE"""),0.0)</f>
        <v>0</v>
      </c>
      <c r="AD191" s="268">
        <f>IFERROR(__xludf.DUMMYFUNCTION("""COMPUTED_VALUE"""),0.0)</f>
        <v>0</v>
      </c>
      <c r="AE191" s="268">
        <f>IFERROR(__xludf.DUMMYFUNCTION("""COMPUTED_VALUE"""),0.0)</f>
        <v>0</v>
      </c>
      <c r="AF191" s="268" t="str">
        <f>IFERROR(__xludf.DUMMYFUNCTION("""COMPUTED_VALUE"""),"")</f>
        <v/>
      </c>
      <c r="AG191" s="268">
        <f>IFERROR(__xludf.DUMMYFUNCTION("""COMPUTED_VALUE"""),0.0)</f>
        <v>0</v>
      </c>
      <c r="AH191" s="268">
        <f>IFERROR(__xludf.DUMMYFUNCTION("""COMPUTED_VALUE"""),0.0)</f>
        <v>0</v>
      </c>
      <c r="AI191" s="268">
        <f>IFERROR(__xludf.DUMMYFUNCTION("""COMPUTED_VALUE"""),0.0)</f>
        <v>0</v>
      </c>
      <c r="AJ191" s="268"/>
    </row>
    <row r="192" ht="22.5" customHeight="1">
      <c r="A192" s="170" t="str">
        <f>IFERROR(__xludf.DUMMYFUNCTION("""COMPUTED_VALUE"""),"")</f>
        <v/>
      </c>
      <c r="B192" s="170" t="str">
        <f>IFERROR(__xludf.DUMMYFUNCTION("""COMPUTED_VALUE"""),"")</f>
        <v/>
      </c>
      <c r="C192" s="170">
        <f>IFERROR(__xludf.DUMMYFUNCTION("""COMPUTED_VALUE"""),386.0)</f>
        <v>386</v>
      </c>
      <c r="D192" s="170" t="str">
        <f>IFERROR(__xludf.DUMMYFUNCTION("""COMPUTED_VALUE"""),"DASA - SÃO PAULO")</f>
        <v>DASA - SÃO PAULO</v>
      </c>
      <c r="E192" s="270" t="str">
        <f>IFERROR(__xludf.DUMMYFUNCTION("""COMPUTED_VALUE"""),"OUTROS ESTADOS")</f>
        <v>OUTROS ESTADOS</v>
      </c>
      <c r="F192" s="170" t="str">
        <f>IFERROR(__xludf.DUMMYFUNCTION("""COMPUTED_VALUE"""),"")</f>
        <v/>
      </c>
      <c r="G192" s="170" t="str">
        <f>IFERROR(__xludf.DUMMYFUNCTION("""COMPUTED_VALUE"""),"")</f>
        <v/>
      </c>
      <c r="H192" s="170" t="str">
        <f>IFERROR(__xludf.DUMMYFUNCTION("""COMPUTED_VALUE"""),"Outra Instituição")</f>
        <v>Outra Instituição</v>
      </c>
      <c r="I192" s="170" t="str">
        <f>IFERROR(__xludf.DUMMYFUNCTION("""COMPUTED_VALUE"""),"Público")</f>
        <v>Público</v>
      </c>
      <c r="J192" s="170" t="str">
        <f>IFERROR(__xludf.DUMMYFUNCTION("""COMPUTED_VALUE"""),"")</f>
        <v/>
      </c>
      <c r="K192" s="170" t="str">
        <f>IFERROR(__xludf.DUMMYFUNCTION("""COMPUTED_VALUE"""),"")</f>
        <v/>
      </c>
      <c r="L192" s="170" t="str">
        <f>IFERROR(__xludf.DUMMYFUNCTION("""COMPUTED_VALUE"""),"")</f>
        <v/>
      </c>
      <c r="M192" s="170" t="str">
        <f>IFERROR(__xludf.DUMMYFUNCTION("""COMPUTED_VALUE"""),"")</f>
        <v/>
      </c>
      <c r="N192" s="170">
        <f>IFERROR(__xludf.DUMMYFUNCTION("""COMPUTED_VALUE"""),0.0)</f>
        <v>0</v>
      </c>
      <c r="O192" s="170">
        <f>IFERROR(__xludf.DUMMYFUNCTION("""COMPUTED_VALUE"""),0.0)</f>
        <v>0</v>
      </c>
      <c r="P192" s="170">
        <f>IFERROR(__xludf.DUMMYFUNCTION("""COMPUTED_VALUE"""),0.0)</f>
        <v>0</v>
      </c>
      <c r="Q192" s="170">
        <f>IFERROR(__xludf.DUMMYFUNCTION("""COMPUTED_VALUE"""),0.0)</f>
        <v>0</v>
      </c>
      <c r="R192" s="170">
        <f>IFERROR(__xludf.DUMMYFUNCTION("""COMPUTED_VALUE"""),0.0)</f>
        <v>0</v>
      </c>
      <c r="S192" s="170">
        <f>IFERROR(__xludf.DUMMYFUNCTION("""COMPUTED_VALUE"""),0.0)</f>
        <v>0</v>
      </c>
      <c r="T192" s="170">
        <f>IFERROR(__xludf.DUMMYFUNCTION("""COMPUTED_VALUE"""),30.0)</f>
        <v>30</v>
      </c>
      <c r="U192" s="170">
        <f>IFERROR(__xludf.DUMMYFUNCTION("""COMPUTED_VALUE"""),0.0)</f>
        <v>0</v>
      </c>
      <c r="V192" s="170">
        <f>IFERROR(__xludf.DUMMYFUNCTION("""COMPUTED_VALUE"""),0.0)</f>
        <v>0</v>
      </c>
      <c r="W192" s="170">
        <f>IFERROR(__xludf.DUMMYFUNCTION("""COMPUTED_VALUE"""),0.0)</f>
        <v>0</v>
      </c>
      <c r="X192" s="170">
        <f>IFERROR(__xludf.DUMMYFUNCTION("""COMPUTED_VALUE"""),0.0)</f>
        <v>0</v>
      </c>
      <c r="Y192" s="170">
        <f>IFERROR(__xludf.DUMMYFUNCTION("""COMPUTED_VALUE"""),0.0)</f>
        <v>0</v>
      </c>
      <c r="Z192" s="170">
        <f>IFERROR(__xludf.DUMMYFUNCTION("""COMPUTED_VALUE"""),-30.0)</f>
        <v>-30</v>
      </c>
      <c r="AA192" s="170">
        <f>IFERROR(__xludf.DUMMYFUNCTION("""COMPUTED_VALUE"""),0.0)</f>
        <v>0</v>
      </c>
      <c r="AB192" s="170">
        <f>IFERROR(__xludf.DUMMYFUNCTION("""COMPUTED_VALUE"""),0.0)</f>
        <v>0</v>
      </c>
      <c r="AC192" s="170">
        <f>IFERROR(__xludf.DUMMYFUNCTION("""COMPUTED_VALUE"""),0.0)</f>
        <v>0</v>
      </c>
      <c r="AD192" s="170">
        <f>IFERROR(__xludf.DUMMYFUNCTION("""COMPUTED_VALUE"""),0.0)</f>
        <v>0</v>
      </c>
      <c r="AE192" s="170">
        <f>IFERROR(__xludf.DUMMYFUNCTION("""COMPUTED_VALUE"""),0.0)</f>
        <v>0</v>
      </c>
      <c r="AF192" s="170" t="str">
        <f>IFERROR(__xludf.DUMMYFUNCTION("""COMPUTED_VALUE"""),"")</f>
        <v/>
      </c>
      <c r="AG192" s="170">
        <f>IFERROR(__xludf.DUMMYFUNCTION("""COMPUTED_VALUE"""),0.0)</f>
        <v>0</v>
      </c>
      <c r="AH192" s="170">
        <f>IFERROR(__xludf.DUMMYFUNCTION("""COMPUTED_VALUE"""),0.0)</f>
        <v>0</v>
      </c>
      <c r="AI192" s="170">
        <f>IFERROR(__xludf.DUMMYFUNCTION("""COMPUTED_VALUE"""),0.0)</f>
        <v>0</v>
      </c>
      <c r="AJ192" s="170"/>
    </row>
    <row r="193" ht="22.5" customHeight="1">
      <c r="A193" s="268" t="str">
        <f>IFERROR(__xludf.DUMMYFUNCTION("""COMPUTED_VALUE"""),"")</f>
        <v/>
      </c>
      <c r="B193" s="268" t="str">
        <f>IFERROR(__xludf.DUMMYFUNCTION("""COMPUTED_VALUE"""),"")</f>
        <v/>
      </c>
      <c r="C193" s="268">
        <f>IFERROR(__xludf.DUMMYFUNCTION("""COMPUTED_VALUE"""),387.0)</f>
        <v>387</v>
      </c>
      <c r="D193" s="268" t="str">
        <f>IFERROR(__xludf.DUMMYFUNCTION("""COMPUTED_VALUE"""),"Central da Polícia Civil")</f>
        <v>Central da Polícia Civil</v>
      </c>
      <c r="E193" s="272" t="str">
        <f>IFERROR(__xludf.DUMMYFUNCTION("""COMPUTED_VALUE"""),"CENTRO")</f>
        <v>CENTRO</v>
      </c>
      <c r="F193" s="268" t="str">
        <f>IFERROR(__xludf.DUMMYFUNCTION("""COMPUTED_VALUE"""),"Rio de Janeiro")</f>
        <v>Rio de Janeiro</v>
      </c>
      <c r="G193" s="268" t="str">
        <f>IFERROR(__xludf.DUMMYFUNCTION("""COMPUTED_VALUE"""),"Cidade Nova")</f>
        <v>Cidade Nova</v>
      </c>
      <c r="H193" s="268" t="str">
        <f>IFERROR(__xludf.DUMMYFUNCTION("""COMPUTED_VALUE"""),"Outra Instituição")</f>
        <v>Outra Instituição</v>
      </c>
      <c r="I193" s="268" t="str">
        <f>IFERROR(__xludf.DUMMYFUNCTION("""COMPUTED_VALUE"""),"Público")</f>
        <v>Público</v>
      </c>
      <c r="J193" s="268" t="str">
        <f>IFERROR(__xludf.DUMMYFUNCTION("""COMPUTED_VALUE"""),"")</f>
        <v/>
      </c>
      <c r="K193" s="268" t="str">
        <f>IFERROR(__xludf.DUMMYFUNCTION("""COMPUTED_VALUE"""),"")</f>
        <v/>
      </c>
      <c r="L193" s="268" t="str">
        <f>IFERROR(__xludf.DUMMYFUNCTION("""COMPUTED_VALUE"""),"")</f>
        <v/>
      </c>
      <c r="M193" s="268" t="str">
        <f>IFERROR(__xludf.DUMMYFUNCTION("""COMPUTED_VALUE"""),"")</f>
        <v/>
      </c>
      <c r="N193" s="268">
        <f>IFERROR(__xludf.DUMMYFUNCTION("""COMPUTED_VALUE"""),0.0)</f>
        <v>0</v>
      </c>
      <c r="O193" s="268">
        <f>IFERROR(__xludf.DUMMYFUNCTION("""COMPUTED_VALUE"""),0.0)</f>
        <v>0</v>
      </c>
      <c r="P193" s="268">
        <f>IFERROR(__xludf.DUMMYFUNCTION("""COMPUTED_VALUE"""),0.0)</f>
        <v>0</v>
      </c>
      <c r="Q193" s="268">
        <f>IFERROR(__xludf.DUMMYFUNCTION("""COMPUTED_VALUE"""),0.0)</f>
        <v>0</v>
      </c>
      <c r="R193" s="268">
        <f>IFERROR(__xludf.DUMMYFUNCTION("""COMPUTED_VALUE"""),0.0)</f>
        <v>0</v>
      </c>
      <c r="S193" s="268">
        <f>IFERROR(__xludf.DUMMYFUNCTION("""COMPUTED_VALUE"""),0.0)</f>
        <v>0</v>
      </c>
      <c r="T193" s="268">
        <f>IFERROR(__xludf.DUMMYFUNCTION("""COMPUTED_VALUE"""),200.0)</f>
        <v>200</v>
      </c>
      <c r="U193" s="268">
        <f>IFERROR(__xludf.DUMMYFUNCTION("""COMPUTED_VALUE"""),0.0)</f>
        <v>0</v>
      </c>
      <c r="V193" s="268">
        <f>IFERROR(__xludf.DUMMYFUNCTION("""COMPUTED_VALUE"""),0.0)</f>
        <v>0</v>
      </c>
      <c r="W193" s="268">
        <f>IFERROR(__xludf.DUMMYFUNCTION("""COMPUTED_VALUE"""),0.0)</f>
        <v>0</v>
      </c>
      <c r="X193" s="268">
        <f>IFERROR(__xludf.DUMMYFUNCTION("""COMPUTED_VALUE"""),0.0)</f>
        <v>0</v>
      </c>
      <c r="Y193" s="268">
        <f>IFERROR(__xludf.DUMMYFUNCTION("""COMPUTED_VALUE"""),0.0)</f>
        <v>0</v>
      </c>
      <c r="Z193" s="268">
        <f>IFERROR(__xludf.DUMMYFUNCTION("""COMPUTED_VALUE"""),-200.0)</f>
        <v>-200</v>
      </c>
      <c r="AA193" s="268">
        <f>IFERROR(__xludf.DUMMYFUNCTION("""COMPUTED_VALUE"""),0.0)</f>
        <v>0</v>
      </c>
      <c r="AB193" s="268">
        <f>IFERROR(__xludf.DUMMYFUNCTION("""COMPUTED_VALUE"""),0.0)</f>
        <v>0</v>
      </c>
      <c r="AC193" s="268">
        <f>IFERROR(__xludf.DUMMYFUNCTION("""COMPUTED_VALUE"""),0.0)</f>
        <v>0</v>
      </c>
      <c r="AD193" s="268">
        <f>IFERROR(__xludf.DUMMYFUNCTION("""COMPUTED_VALUE"""),0.0)</f>
        <v>0</v>
      </c>
      <c r="AE193" s="268">
        <f>IFERROR(__xludf.DUMMYFUNCTION("""COMPUTED_VALUE"""),0.0)</f>
        <v>0</v>
      </c>
      <c r="AF193" s="268" t="str">
        <f>IFERROR(__xludf.DUMMYFUNCTION("""COMPUTED_VALUE"""),"")</f>
        <v/>
      </c>
      <c r="AG193" s="268">
        <f>IFERROR(__xludf.DUMMYFUNCTION("""COMPUTED_VALUE"""),0.0)</f>
        <v>0</v>
      </c>
      <c r="AH193" s="268">
        <f>IFERROR(__xludf.DUMMYFUNCTION("""COMPUTED_VALUE"""),0.0)</f>
        <v>0</v>
      </c>
      <c r="AI193" s="268">
        <f>IFERROR(__xludf.DUMMYFUNCTION("""COMPUTED_VALUE"""),0.0)</f>
        <v>0</v>
      </c>
      <c r="AJ193" s="268"/>
    </row>
    <row r="194" ht="22.5" customHeight="1">
      <c r="A194" s="170" t="str">
        <f>IFERROR(__xludf.DUMMYFUNCTION("""COMPUTED_VALUE"""),"")</f>
        <v/>
      </c>
      <c r="B194" s="170" t="str">
        <f>IFERROR(__xludf.DUMMYFUNCTION("""COMPUTED_VALUE"""),"")</f>
        <v/>
      </c>
      <c r="C194" s="170">
        <f>IFERROR(__xludf.DUMMYFUNCTION("""COMPUTED_VALUE"""),388.0)</f>
        <v>388</v>
      </c>
      <c r="D194" s="170" t="str">
        <f>IFERROR(__xludf.DUMMYFUNCTION("""COMPUTED_VALUE"""),"(DIRECIONAMENO DA PUC )")</f>
        <v>(DIRECIONAMENO DA PUC )</v>
      </c>
      <c r="E194" s="270" t="str">
        <f>IFERROR(__xludf.DUMMYFUNCTION("""COMPUTED_VALUE"""),"ZONA SUL")</f>
        <v>ZONA SUL</v>
      </c>
      <c r="F194" s="170" t="str">
        <f>IFERROR(__xludf.DUMMYFUNCTION("""COMPUTED_VALUE"""),"Rio de Janeiro")</f>
        <v>Rio de Janeiro</v>
      </c>
      <c r="G194" s="170" t="str">
        <f>IFERROR(__xludf.DUMMYFUNCTION("""COMPUTED_VALUE"""),"Gávea")</f>
        <v>Gávea</v>
      </c>
      <c r="H194" s="170" t="str">
        <f>IFERROR(__xludf.DUMMYFUNCTION("""COMPUTED_VALUE"""),"Outra Instituição")</f>
        <v>Outra Instituição</v>
      </c>
      <c r="I194" s="170" t="str">
        <f>IFERROR(__xludf.DUMMYFUNCTION("""COMPUTED_VALUE"""),"Privado")</f>
        <v>Privado</v>
      </c>
      <c r="J194" s="170" t="str">
        <f>IFERROR(__xludf.DUMMYFUNCTION("""COMPUTED_VALUE"""),"")</f>
        <v/>
      </c>
      <c r="K194" s="170" t="str">
        <f>IFERROR(__xludf.DUMMYFUNCTION("""COMPUTED_VALUE"""),"")</f>
        <v/>
      </c>
      <c r="L194" s="170" t="str">
        <f>IFERROR(__xludf.DUMMYFUNCTION("""COMPUTED_VALUE"""),"")</f>
        <v/>
      </c>
      <c r="M194" s="170" t="str">
        <f>IFERROR(__xludf.DUMMYFUNCTION("""COMPUTED_VALUE"""),"")</f>
        <v/>
      </c>
      <c r="N194" s="170">
        <f>IFERROR(__xludf.DUMMYFUNCTION("""COMPUTED_VALUE"""),0.0)</f>
        <v>0</v>
      </c>
      <c r="O194" s="170">
        <f>IFERROR(__xludf.DUMMYFUNCTION("""COMPUTED_VALUE"""),0.0)</f>
        <v>0</v>
      </c>
      <c r="P194" s="170">
        <f>IFERROR(__xludf.DUMMYFUNCTION("""COMPUTED_VALUE"""),0.0)</f>
        <v>0</v>
      </c>
      <c r="Q194" s="170">
        <f>IFERROR(__xludf.DUMMYFUNCTION("""COMPUTED_VALUE"""),0.0)</f>
        <v>0</v>
      </c>
      <c r="R194" s="170">
        <f>IFERROR(__xludf.DUMMYFUNCTION("""COMPUTED_VALUE"""),0.0)</f>
        <v>0</v>
      </c>
      <c r="S194" s="170">
        <f>IFERROR(__xludf.DUMMYFUNCTION("""COMPUTED_VALUE"""),0.0)</f>
        <v>0</v>
      </c>
      <c r="T194" s="170">
        <f>IFERROR(__xludf.DUMMYFUNCTION("""COMPUTED_VALUE"""),50.0)</f>
        <v>50</v>
      </c>
      <c r="U194" s="170">
        <f>IFERROR(__xludf.DUMMYFUNCTION("""COMPUTED_VALUE"""),0.0)</f>
        <v>0</v>
      </c>
      <c r="V194" s="170">
        <f>IFERROR(__xludf.DUMMYFUNCTION("""COMPUTED_VALUE"""),0.0)</f>
        <v>0</v>
      </c>
      <c r="W194" s="170">
        <f>IFERROR(__xludf.DUMMYFUNCTION("""COMPUTED_VALUE"""),0.0)</f>
        <v>0</v>
      </c>
      <c r="X194" s="170">
        <f>IFERROR(__xludf.DUMMYFUNCTION("""COMPUTED_VALUE"""),0.0)</f>
        <v>0</v>
      </c>
      <c r="Y194" s="170">
        <f>IFERROR(__xludf.DUMMYFUNCTION("""COMPUTED_VALUE"""),0.0)</f>
        <v>0</v>
      </c>
      <c r="Z194" s="170">
        <f>IFERROR(__xludf.DUMMYFUNCTION("""COMPUTED_VALUE"""),-50.0)</f>
        <v>-50</v>
      </c>
      <c r="AA194" s="170">
        <f>IFERROR(__xludf.DUMMYFUNCTION("""COMPUTED_VALUE"""),0.0)</f>
        <v>0</v>
      </c>
      <c r="AB194" s="170">
        <f>IFERROR(__xludf.DUMMYFUNCTION("""COMPUTED_VALUE"""),0.0)</f>
        <v>0</v>
      </c>
      <c r="AC194" s="170">
        <f>IFERROR(__xludf.DUMMYFUNCTION("""COMPUTED_VALUE"""),0.0)</f>
        <v>0</v>
      </c>
      <c r="AD194" s="170">
        <f>IFERROR(__xludf.DUMMYFUNCTION("""COMPUTED_VALUE"""),0.0)</f>
        <v>0</v>
      </c>
      <c r="AE194" s="170">
        <f>IFERROR(__xludf.DUMMYFUNCTION("""COMPUTED_VALUE"""),0.0)</f>
        <v>0</v>
      </c>
      <c r="AF194" s="170" t="str">
        <f>IFERROR(__xludf.DUMMYFUNCTION("""COMPUTED_VALUE"""),"")</f>
        <v/>
      </c>
      <c r="AG194" s="170">
        <f>IFERROR(__xludf.DUMMYFUNCTION("""COMPUTED_VALUE"""),0.0)</f>
        <v>0</v>
      </c>
      <c r="AH194" s="170">
        <f>IFERROR(__xludf.DUMMYFUNCTION("""COMPUTED_VALUE"""),0.0)</f>
        <v>0</v>
      </c>
      <c r="AI194" s="170">
        <f>IFERROR(__xludf.DUMMYFUNCTION("""COMPUTED_VALUE"""),0.0)</f>
        <v>0</v>
      </c>
      <c r="AJ194" s="170"/>
    </row>
    <row r="195" ht="22.5" customHeight="1">
      <c r="A195" s="268" t="str">
        <f>IFERROR(__xludf.DUMMYFUNCTION("""COMPUTED_VALUE"""),"")</f>
        <v/>
      </c>
      <c r="B195" s="268" t="str">
        <f>IFERROR(__xludf.DUMMYFUNCTION("""COMPUTED_VALUE"""),"")</f>
        <v/>
      </c>
      <c r="C195" s="268">
        <f>IFERROR(__xludf.DUMMYFUNCTION("""COMPUTED_VALUE"""),389.0)</f>
        <v>389</v>
      </c>
      <c r="D195" s="268" t="str">
        <f>IFERROR(__xludf.DUMMYFUNCTION("""COMPUTED_VALUE"""),"Frente CDD")</f>
        <v>Frente CDD</v>
      </c>
      <c r="E195" s="272" t="str">
        <f>IFERROR(__xludf.DUMMYFUNCTION("""COMPUTED_VALUE"""),"ZONA OESTE")</f>
        <v>ZONA OESTE</v>
      </c>
      <c r="F195" s="268" t="str">
        <f>IFERROR(__xludf.DUMMYFUNCTION("""COMPUTED_VALUE"""),"Rio de Janeiro")</f>
        <v>Rio de Janeiro</v>
      </c>
      <c r="G195" s="268" t="str">
        <f>IFERROR(__xludf.DUMMYFUNCTION("""COMPUTED_VALUE"""),"Cidade de Deus")</f>
        <v>Cidade de Deus</v>
      </c>
      <c r="H195" s="268" t="str">
        <f>IFERROR(__xludf.DUMMYFUNCTION("""COMPUTED_VALUE"""),"Outra Instituição")</f>
        <v>Outra Instituição</v>
      </c>
      <c r="I195" s="268" t="str">
        <f>IFERROR(__xludf.DUMMYFUNCTION("""COMPUTED_VALUE"""),"Público")</f>
        <v>Público</v>
      </c>
      <c r="J195" s="268" t="str">
        <f>IFERROR(__xludf.DUMMYFUNCTION("""COMPUTED_VALUE"""),"")</f>
        <v/>
      </c>
      <c r="K195" s="268" t="str">
        <f>IFERROR(__xludf.DUMMYFUNCTION("""COMPUTED_VALUE"""),"")</f>
        <v/>
      </c>
      <c r="L195" s="268" t="str">
        <f>IFERROR(__xludf.DUMMYFUNCTION("""COMPUTED_VALUE"""),"")</f>
        <v/>
      </c>
      <c r="M195" s="268" t="str">
        <f>IFERROR(__xludf.DUMMYFUNCTION("""COMPUTED_VALUE"""),"")</f>
        <v/>
      </c>
      <c r="N195" s="268">
        <f>IFERROR(__xludf.DUMMYFUNCTION("""COMPUTED_VALUE"""),0.0)</f>
        <v>0</v>
      </c>
      <c r="O195" s="268">
        <f>IFERROR(__xludf.DUMMYFUNCTION("""COMPUTED_VALUE"""),0.0)</f>
        <v>0</v>
      </c>
      <c r="P195" s="268">
        <f>IFERROR(__xludf.DUMMYFUNCTION("""COMPUTED_VALUE"""),0.0)</f>
        <v>0</v>
      </c>
      <c r="Q195" s="268">
        <f>IFERROR(__xludf.DUMMYFUNCTION("""COMPUTED_VALUE"""),0.0)</f>
        <v>0</v>
      </c>
      <c r="R195" s="268">
        <f>IFERROR(__xludf.DUMMYFUNCTION("""COMPUTED_VALUE"""),0.0)</f>
        <v>0</v>
      </c>
      <c r="S195" s="268">
        <f>IFERROR(__xludf.DUMMYFUNCTION("""COMPUTED_VALUE"""),0.0)</f>
        <v>0</v>
      </c>
      <c r="T195" s="268">
        <f>IFERROR(__xludf.DUMMYFUNCTION("""COMPUTED_VALUE"""),30.0)</f>
        <v>30</v>
      </c>
      <c r="U195" s="268">
        <f>IFERROR(__xludf.DUMMYFUNCTION("""COMPUTED_VALUE"""),0.0)</f>
        <v>0</v>
      </c>
      <c r="V195" s="268">
        <f>IFERROR(__xludf.DUMMYFUNCTION("""COMPUTED_VALUE"""),0.0)</f>
        <v>0</v>
      </c>
      <c r="W195" s="268">
        <f>IFERROR(__xludf.DUMMYFUNCTION("""COMPUTED_VALUE"""),0.0)</f>
        <v>0</v>
      </c>
      <c r="X195" s="268">
        <f>IFERROR(__xludf.DUMMYFUNCTION("""COMPUTED_VALUE"""),0.0)</f>
        <v>0</v>
      </c>
      <c r="Y195" s="268">
        <f>IFERROR(__xludf.DUMMYFUNCTION("""COMPUTED_VALUE"""),0.0)</f>
        <v>0</v>
      </c>
      <c r="Z195" s="268">
        <f>IFERROR(__xludf.DUMMYFUNCTION("""COMPUTED_VALUE"""),-30.0)</f>
        <v>-30</v>
      </c>
      <c r="AA195" s="268">
        <f>IFERROR(__xludf.DUMMYFUNCTION("""COMPUTED_VALUE"""),0.0)</f>
        <v>0</v>
      </c>
      <c r="AB195" s="268">
        <f>IFERROR(__xludf.DUMMYFUNCTION("""COMPUTED_VALUE"""),0.0)</f>
        <v>0</v>
      </c>
      <c r="AC195" s="268">
        <f>IFERROR(__xludf.DUMMYFUNCTION("""COMPUTED_VALUE"""),0.0)</f>
        <v>0</v>
      </c>
      <c r="AD195" s="268">
        <f>IFERROR(__xludf.DUMMYFUNCTION("""COMPUTED_VALUE"""),0.0)</f>
        <v>0</v>
      </c>
      <c r="AE195" s="268">
        <f>IFERROR(__xludf.DUMMYFUNCTION("""COMPUTED_VALUE"""),0.0)</f>
        <v>0</v>
      </c>
      <c r="AF195" s="268" t="str">
        <f>IFERROR(__xludf.DUMMYFUNCTION("""COMPUTED_VALUE"""),"")</f>
        <v/>
      </c>
      <c r="AG195" s="268">
        <f>IFERROR(__xludf.DUMMYFUNCTION("""COMPUTED_VALUE"""),0.0)</f>
        <v>0</v>
      </c>
      <c r="AH195" s="268">
        <f>IFERROR(__xludf.DUMMYFUNCTION("""COMPUTED_VALUE"""),0.0)</f>
        <v>0</v>
      </c>
      <c r="AI195" s="268">
        <f>IFERROR(__xludf.DUMMYFUNCTION("""COMPUTED_VALUE"""),0.0)</f>
        <v>0</v>
      </c>
      <c r="AJ195" s="268"/>
    </row>
    <row r="196" ht="22.5" customHeight="1">
      <c r="A196" s="170" t="str">
        <f>IFERROR(__xludf.DUMMYFUNCTION("""COMPUTED_VALUE"""),"")</f>
        <v/>
      </c>
      <c r="B196" s="170" t="str">
        <f>IFERROR(__xludf.DUMMYFUNCTION("""COMPUTED_VALUE"""),"")</f>
        <v/>
      </c>
      <c r="C196" s="170">
        <f>IFERROR(__xludf.DUMMYFUNCTION("""COMPUTED_VALUE"""),390.0)</f>
        <v>390</v>
      </c>
      <c r="D196" s="170" t="str">
        <f>IFERROR(__xludf.DUMMYFUNCTION("""COMPUTED_VALUE"""),"CMS Maria Cristina Roma")</f>
        <v>CMS Maria Cristina Roma</v>
      </c>
      <c r="E196" s="270" t="str">
        <f>IFERROR(__xludf.DUMMYFUNCTION("""COMPUTED_VALUE"""),"ZONA NORTE")</f>
        <v>ZONA NORTE</v>
      </c>
      <c r="F196" s="170" t="str">
        <f>IFERROR(__xludf.DUMMYFUNCTION("""COMPUTED_VALUE"""),"Rio de Janeiro")</f>
        <v>Rio de Janeiro</v>
      </c>
      <c r="G196" s="170" t="str">
        <f>IFERROR(__xludf.DUMMYFUNCTION("""COMPUTED_VALUE"""),"Ramos")</f>
        <v>Ramos</v>
      </c>
      <c r="H196" s="170" t="str">
        <f>IFERROR(__xludf.DUMMYFUNCTION("""COMPUTED_VALUE"""),"Unidade básica de saúde - BAIXA COMPLEXIDADE")</f>
        <v>Unidade básica de saúde - BAIXA COMPLEXIDADE</v>
      </c>
      <c r="I196" s="170" t="str">
        <f>IFERROR(__xludf.DUMMYFUNCTION("""COMPUTED_VALUE"""),"Público")</f>
        <v>Público</v>
      </c>
      <c r="J196" s="170" t="str">
        <f>IFERROR(__xludf.DUMMYFUNCTION("""COMPUTED_VALUE"""),"")</f>
        <v/>
      </c>
      <c r="K196" s="170" t="str">
        <f>IFERROR(__xludf.DUMMYFUNCTION("""COMPUTED_VALUE"""),"")</f>
        <v/>
      </c>
      <c r="L196" s="170" t="str">
        <f>IFERROR(__xludf.DUMMYFUNCTION("""COMPUTED_VALUE"""),"")</f>
        <v/>
      </c>
      <c r="M196" s="170" t="str">
        <f>IFERROR(__xludf.DUMMYFUNCTION("""COMPUTED_VALUE"""),"")</f>
        <v/>
      </c>
      <c r="N196" s="170">
        <f>IFERROR(__xludf.DUMMYFUNCTION("""COMPUTED_VALUE"""),0.0)</f>
        <v>0</v>
      </c>
      <c r="O196" s="170">
        <f>IFERROR(__xludf.DUMMYFUNCTION("""COMPUTED_VALUE"""),0.0)</f>
        <v>0</v>
      </c>
      <c r="P196" s="170">
        <f>IFERROR(__xludf.DUMMYFUNCTION("""COMPUTED_VALUE"""),0.0)</f>
        <v>0</v>
      </c>
      <c r="Q196" s="170">
        <f>IFERROR(__xludf.DUMMYFUNCTION("""COMPUTED_VALUE"""),0.0)</f>
        <v>0</v>
      </c>
      <c r="R196" s="170">
        <f>IFERROR(__xludf.DUMMYFUNCTION("""COMPUTED_VALUE"""),0.0)</f>
        <v>0</v>
      </c>
      <c r="S196" s="170">
        <f>IFERROR(__xludf.DUMMYFUNCTION("""COMPUTED_VALUE"""),0.0)</f>
        <v>0</v>
      </c>
      <c r="T196" s="170">
        <f>IFERROR(__xludf.DUMMYFUNCTION("""COMPUTED_VALUE"""),30.0)</f>
        <v>30</v>
      </c>
      <c r="U196" s="170">
        <f>IFERROR(__xludf.DUMMYFUNCTION("""COMPUTED_VALUE"""),0.0)</f>
        <v>0</v>
      </c>
      <c r="V196" s="170">
        <f>IFERROR(__xludf.DUMMYFUNCTION("""COMPUTED_VALUE"""),0.0)</f>
        <v>0</v>
      </c>
      <c r="W196" s="170">
        <f>IFERROR(__xludf.DUMMYFUNCTION("""COMPUTED_VALUE"""),0.0)</f>
        <v>0</v>
      </c>
      <c r="X196" s="170">
        <f>IFERROR(__xludf.DUMMYFUNCTION("""COMPUTED_VALUE"""),0.0)</f>
        <v>0</v>
      </c>
      <c r="Y196" s="170">
        <f>IFERROR(__xludf.DUMMYFUNCTION("""COMPUTED_VALUE"""),0.0)</f>
        <v>0</v>
      </c>
      <c r="Z196" s="170">
        <f>IFERROR(__xludf.DUMMYFUNCTION("""COMPUTED_VALUE"""),-30.0)</f>
        <v>-30</v>
      </c>
      <c r="AA196" s="170">
        <f>IFERROR(__xludf.DUMMYFUNCTION("""COMPUTED_VALUE"""),0.0)</f>
        <v>0</v>
      </c>
      <c r="AB196" s="170">
        <f>IFERROR(__xludf.DUMMYFUNCTION("""COMPUTED_VALUE"""),0.0)</f>
        <v>0</v>
      </c>
      <c r="AC196" s="170">
        <f>IFERROR(__xludf.DUMMYFUNCTION("""COMPUTED_VALUE"""),0.0)</f>
        <v>0</v>
      </c>
      <c r="AD196" s="170">
        <f>IFERROR(__xludf.DUMMYFUNCTION("""COMPUTED_VALUE"""),0.0)</f>
        <v>0</v>
      </c>
      <c r="AE196" s="170">
        <f>IFERROR(__xludf.DUMMYFUNCTION("""COMPUTED_VALUE"""),0.0)</f>
        <v>0</v>
      </c>
      <c r="AF196" s="170" t="str">
        <f>IFERROR(__xludf.DUMMYFUNCTION("""COMPUTED_VALUE"""),"")</f>
        <v/>
      </c>
      <c r="AG196" s="170">
        <f>IFERROR(__xludf.DUMMYFUNCTION("""COMPUTED_VALUE"""),0.0)</f>
        <v>0</v>
      </c>
      <c r="AH196" s="170">
        <f>IFERROR(__xludf.DUMMYFUNCTION("""COMPUTED_VALUE"""),0.0)</f>
        <v>0</v>
      </c>
      <c r="AI196" s="170">
        <f>IFERROR(__xludf.DUMMYFUNCTION("""COMPUTED_VALUE"""),0.0)</f>
        <v>0</v>
      </c>
      <c r="AJ196" s="170"/>
    </row>
    <row r="197" ht="22.5" customHeight="1">
      <c r="A197" s="268" t="str">
        <f>IFERROR(__xludf.DUMMYFUNCTION("""COMPUTED_VALUE"""),"")</f>
        <v/>
      </c>
      <c r="B197" s="268" t="str">
        <f>IFERROR(__xludf.DUMMYFUNCTION("""COMPUTED_VALUE"""),"")</f>
        <v/>
      </c>
      <c r="C197" s="268">
        <f>IFERROR(__xludf.DUMMYFUNCTION("""COMPUTED_VALUE"""),391.0)</f>
        <v>391</v>
      </c>
      <c r="D197" s="268" t="str">
        <f>IFERROR(__xludf.DUMMYFUNCTION("""COMPUTED_VALUE"""),"UPA da João XXII")</f>
        <v>UPA da João XXII</v>
      </c>
      <c r="E197" s="272" t="str">
        <f>IFERROR(__xludf.DUMMYFUNCTION("""COMPUTED_VALUE"""),"ZONA OESTE")</f>
        <v>ZONA OESTE</v>
      </c>
      <c r="F197" s="268" t="str">
        <f>IFERROR(__xludf.DUMMYFUNCTION("""COMPUTED_VALUE"""),"Rio de Janeiro")</f>
        <v>Rio de Janeiro</v>
      </c>
      <c r="G197" s="268" t="str">
        <f>IFERROR(__xludf.DUMMYFUNCTION("""COMPUTED_VALUE"""),"Santa Cruz")</f>
        <v>Santa Cruz</v>
      </c>
      <c r="H197" s="268" t="str">
        <f>IFERROR(__xludf.DUMMYFUNCTION("""COMPUTED_VALUE"""),"Grande emergência - MÉDIA COMPLEXIDADE
")</f>
        <v>Grande emergência - MÉDIA COMPLEXIDADE
</v>
      </c>
      <c r="I197" s="268" t="str">
        <f>IFERROR(__xludf.DUMMYFUNCTION("""COMPUTED_VALUE"""),"Público")</f>
        <v>Público</v>
      </c>
      <c r="J197" s="268" t="str">
        <f>IFERROR(__xludf.DUMMYFUNCTION("""COMPUTED_VALUE"""),"")</f>
        <v/>
      </c>
      <c r="K197" s="268" t="str">
        <f>IFERROR(__xludf.DUMMYFUNCTION("""COMPUTED_VALUE"""),"")</f>
        <v/>
      </c>
      <c r="L197" s="268" t="str">
        <f>IFERROR(__xludf.DUMMYFUNCTION("""COMPUTED_VALUE"""),"")</f>
        <v/>
      </c>
      <c r="M197" s="268" t="str">
        <f>IFERROR(__xludf.DUMMYFUNCTION("""COMPUTED_VALUE"""),"")</f>
        <v/>
      </c>
      <c r="N197" s="268">
        <f>IFERROR(__xludf.DUMMYFUNCTION("""COMPUTED_VALUE"""),0.0)</f>
        <v>0</v>
      </c>
      <c r="O197" s="268">
        <f>IFERROR(__xludf.DUMMYFUNCTION("""COMPUTED_VALUE"""),0.0)</f>
        <v>0</v>
      </c>
      <c r="P197" s="268">
        <f>IFERROR(__xludf.DUMMYFUNCTION("""COMPUTED_VALUE"""),0.0)</f>
        <v>0</v>
      </c>
      <c r="Q197" s="268">
        <f>IFERROR(__xludf.DUMMYFUNCTION("""COMPUTED_VALUE"""),0.0)</f>
        <v>0</v>
      </c>
      <c r="R197" s="268">
        <f>IFERROR(__xludf.DUMMYFUNCTION("""COMPUTED_VALUE"""),0.0)</f>
        <v>0</v>
      </c>
      <c r="S197" s="268">
        <f>IFERROR(__xludf.DUMMYFUNCTION("""COMPUTED_VALUE"""),0.0)</f>
        <v>0</v>
      </c>
      <c r="T197" s="268">
        <f>IFERROR(__xludf.DUMMYFUNCTION("""COMPUTED_VALUE"""),90.0)</f>
        <v>90</v>
      </c>
      <c r="U197" s="268">
        <f>IFERROR(__xludf.DUMMYFUNCTION("""COMPUTED_VALUE"""),0.0)</f>
        <v>0</v>
      </c>
      <c r="V197" s="268">
        <f>IFERROR(__xludf.DUMMYFUNCTION("""COMPUTED_VALUE"""),0.0)</f>
        <v>0</v>
      </c>
      <c r="W197" s="268">
        <f>IFERROR(__xludf.DUMMYFUNCTION("""COMPUTED_VALUE"""),0.0)</f>
        <v>0</v>
      </c>
      <c r="X197" s="268">
        <f>IFERROR(__xludf.DUMMYFUNCTION("""COMPUTED_VALUE"""),0.0)</f>
        <v>0</v>
      </c>
      <c r="Y197" s="268">
        <f>IFERROR(__xludf.DUMMYFUNCTION("""COMPUTED_VALUE"""),0.0)</f>
        <v>0</v>
      </c>
      <c r="Z197" s="268">
        <f>IFERROR(__xludf.DUMMYFUNCTION("""COMPUTED_VALUE"""),-90.0)</f>
        <v>-90</v>
      </c>
      <c r="AA197" s="268">
        <f>IFERROR(__xludf.DUMMYFUNCTION("""COMPUTED_VALUE"""),0.0)</f>
        <v>0</v>
      </c>
      <c r="AB197" s="268">
        <f>IFERROR(__xludf.DUMMYFUNCTION("""COMPUTED_VALUE"""),0.0)</f>
        <v>0</v>
      </c>
      <c r="AC197" s="268">
        <f>IFERROR(__xludf.DUMMYFUNCTION("""COMPUTED_VALUE"""),0.0)</f>
        <v>0</v>
      </c>
      <c r="AD197" s="268">
        <f>IFERROR(__xludf.DUMMYFUNCTION("""COMPUTED_VALUE"""),0.0)</f>
        <v>0</v>
      </c>
      <c r="AE197" s="268">
        <f>IFERROR(__xludf.DUMMYFUNCTION("""COMPUTED_VALUE"""),0.0)</f>
        <v>0</v>
      </c>
      <c r="AF197" s="268" t="str">
        <f>IFERROR(__xludf.DUMMYFUNCTION("""COMPUTED_VALUE"""),"")</f>
        <v/>
      </c>
      <c r="AG197" s="268">
        <f>IFERROR(__xludf.DUMMYFUNCTION("""COMPUTED_VALUE"""),0.0)</f>
        <v>0</v>
      </c>
      <c r="AH197" s="268">
        <f>IFERROR(__xludf.DUMMYFUNCTION("""COMPUTED_VALUE"""),0.0)</f>
        <v>0</v>
      </c>
      <c r="AI197" s="268">
        <f>IFERROR(__xludf.DUMMYFUNCTION("""COMPUTED_VALUE"""),0.0)</f>
        <v>0</v>
      </c>
      <c r="AJ197" s="268"/>
    </row>
    <row r="198" ht="22.5" customHeight="1">
      <c r="A198" s="170" t="str">
        <f>IFERROR(__xludf.DUMMYFUNCTION("""COMPUTED_VALUE"""),"")</f>
        <v/>
      </c>
      <c r="B198" s="170" t="str">
        <f>IFERROR(__xludf.DUMMYFUNCTION("""COMPUTED_VALUE"""),"")</f>
        <v/>
      </c>
      <c r="C198" s="170">
        <f>IFERROR(__xludf.DUMMYFUNCTION("""COMPUTED_VALUE"""),392.0)</f>
        <v>392</v>
      </c>
      <c r="D198" s="170" t="str">
        <f>IFERROR(__xludf.DUMMYFUNCTION("""COMPUTED_VALUE"""),"Hospital da Força Aérea do Galeão")</f>
        <v>Hospital da Força Aérea do Galeão</v>
      </c>
      <c r="E198" s="270" t="str">
        <f>IFERROR(__xludf.DUMMYFUNCTION("""COMPUTED_VALUE"""),"ZONA NORTE")</f>
        <v>ZONA NORTE</v>
      </c>
      <c r="F198" s="170" t="str">
        <f>IFERROR(__xludf.DUMMYFUNCTION("""COMPUTED_VALUE"""),"Rio de Janeiro")</f>
        <v>Rio de Janeiro</v>
      </c>
      <c r="G198" s="170" t="str">
        <f>IFERROR(__xludf.DUMMYFUNCTION("""COMPUTED_VALUE"""),"Ilha do Governador")</f>
        <v>Ilha do Governador</v>
      </c>
      <c r="H198" s="170" t="str">
        <f>IFERROR(__xludf.DUMMYFUNCTION("""COMPUTED_VALUE"""),"Hospital de Apoio - MÉDIA COMPLEXIDADE
")</f>
        <v>Hospital de Apoio - MÉDIA COMPLEXIDADE
</v>
      </c>
      <c r="I198" s="170" t="str">
        <f>IFERROR(__xludf.DUMMYFUNCTION("""COMPUTED_VALUE"""),"Público")</f>
        <v>Público</v>
      </c>
      <c r="J198" s="170" t="str">
        <f>IFERROR(__xludf.DUMMYFUNCTION("""COMPUTED_VALUE"""),"")</f>
        <v/>
      </c>
      <c r="K198" s="170" t="str">
        <f>IFERROR(__xludf.DUMMYFUNCTION("""COMPUTED_VALUE"""),"")</f>
        <v/>
      </c>
      <c r="L198" s="170" t="str">
        <f>IFERROR(__xludf.DUMMYFUNCTION("""COMPUTED_VALUE"""),"")</f>
        <v/>
      </c>
      <c r="M198" s="170" t="str">
        <f>IFERROR(__xludf.DUMMYFUNCTION("""COMPUTED_VALUE"""),"")</f>
        <v/>
      </c>
      <c r="N198" s="170">
        <f>IFERROR(__xludf.DUMMYFUNCTION("""COMPUTED_VALUE"""),0.0)</f>
        <v>0</v>
      </c>
      <c r="O198" s="170">
        <f>IFERROR(__xludf.DUMMYFUNCTION("""COMPUTED_VALUE"""),0.0)</f>
        <v>0</v>
      </c>
      <c r="P198" s="170">
        <f>IFERROR(__xludf.DUMMYFUNCTION("""COMPUTED_VALUE"""),0.0)</f>
        <v>0</v>
      </c>
      <c r="Q198" s="170">
        <f>IFERROR(__xludf.DUMMYFUNCTION("""COMPUTED_VALUE"""),0.0)</f>
        <v>0</v>
      </c>
      <c r="R198" s="170">
        <f>IFERROR(__xludf.DUMMYFUNCTION("""COMPUTED_VALUE"""),0.0)</f>
        <v>0</v>
      </c>
      <c r="S198" s="170">
        <f>IFERROR(__xludf.DUMMYFUNCTION("""COMPUTED_VALUE"""),0.0)</f>
        <v>0</v>
      </c>
      <c r="T198" s="170">
        <f>IFERROR(__xludf.DUMMYFUNCTION("""COMPUTED_VALUE"""),100.0)</f>
        <v>100</v>
      </c>
      <c r="U198" s="170">
        <f>IFERROR(__xludf.DUMMYFUNCTION("""COMPUTED_VALUE"""),0.0)</f>
        <v>0</v>
      </c>
      <c r="V198" s="170">
        <f>IFERROR(__xludf.DUMMYFUNCTION("""COMPUTED_VALUE"""),0.0)</f>
        <v>0</v>
      </c>
      <c r="W198" s="170">
        <f>IFERROR(__xludf.DUMMYFUNCTION("""COMPUTED_VALUE"""),0.0)</f>
        <v>0</v>
      </c>
      <c r="X198" s="170">
        <f>IFERROR(__xludf.DUMMYFUNCTION("""COMPUTED_VALUE"""),0.0)</f>
        <v>0</v>
      </c>
      <c r="Y198" s="170">
        <f>IFERROR(__xludf.DUMMYFUNCTION("""COMPUTED_VALUE"""),0.0)</f>
        <v>0</v>
      </c>
      <c r="Z198" s="170">
        <f>IFERROR(__xludf.DUMMYFUNCTION("""COMPUTED_VALUE"""),-100.0)</f>
        <v>-100</v>
      </c>
      <c r="AA198" s="170">
        <f>IFERROR(__xludf.DUMMYFUNCTION("""COMPUTED_VALUE"""),0.0)</f>
        <v>0</v>
      </c>
      <c r="AB198" s="170">
        <f>IFERROR(__xludf.DUMMYFUNCTION("""COMPUTED_VALUE"""),0.0)</f>
        <v>0</v>
      </c>
      <c r="AC198" s="170">
        <f>IFERROR(__xludf.DUMMYFUNCTION("""COMPUTED_VALUE"""),0.0)</f>
        <v>0</v>
      </c>
      <c r="AD198" s="170">
        <f>IFERROR(__xludf.DUMMYFUNCTION("""COMPUTED_VALUE"""),0.0)</f>
        <v>0</v>
      </c>
      <c r="AE198" s="170">
        <f>IFERROR(__xludf.DUMMYFUNCTION("""COMPUTED_VALUE"""),0.0)</f>
        <v>0</v>
      </c>
      <c r="AF198" s="170" t="str">
        <f>IFERROR(__xludf.DUMMYFUNCTION("""COMPUTED_VALUE"""),"")</f>
        <v/>
      </c>
      <c r="AG198" s="170">
        <f>IFERROR(__xludf.DUMMYFUNCTION("""COMPUTED_VALUE"""),0.0)</f>
        <v>0</v>
      </c>
      <c r="AH198" s="170">
        <f>IFERROR(__xludf.DUMMYFUNCTION("""COMPUTED_VALUE"""),0.0)</f>
        <v>0</v>
      </c>
      <c r="AI198" s="170">
        <f>IFERROR(__xludf.DUMMYFUNCTION("""COMPUTED_VALUE"""),0.0)</f>
        <v>0</v>
      </c>
      <c r="AJ198" s="170"/>
    </row>
    <row r="199" ht="22.5" customHeight="1">
      <c r="A199" s="268" t="str">
        <f>IFERROR(__xludf.DUMMYFUNCTION("""COMPUTED_VALUE"""),"")</f>
        <v/>
      </c>
      <c r="B199" s="268" t="str">
        <f>IFERROR(__xludf.DUMMYFUNCTION("""COMPUTED_VALUE"""),"")</f>
        <v/>
      </c>
      <c r="C199" s="268">
        <f>IFERROR(__xludf.DUMMYFUNCTION("""COMPUTED_VALUE"""),393.0)</f>
        <v>393</v>
      </c>
      <c r="D199" s="268" t="str">
        <f>IFERROR(__xludf.DUMMYFUNCTION("""COMPUTED_VALUE"""),"Médico Sem Fronteira - Rio de Janeiro")</f>
        <v>Médico Sem Fronteira - Rio de Janeiro</v>
      </c>
      <c r="E199" s="272" t="str">
        <f>IFERROR(__xludf.DUMMYFUNCTION("""COMPUTED_VALUE"""),"")</f>
        <v/>
      </c>
      <c r="F199" s="268" t="str">
        <f>IFERROR(__xludf.DUMMYFUNCTION("""COMPUTED_VALUE"""),"Rio de Janeiro")</f>
        <v>Rio de Janeiro</v>
      </c>
      <c r="G199" s="268" t="str">
        <f>IFERROR(__xludf.DUMMYFUNCTION("""COMPUTED_VALUE"""),"Rio de Janeiro")</f>
        <v>Rio de Janeiro</v>
      </c>
      <c r="H199" s="268" t="str">
        <f>IFERROR(__xludf.DUMMYFUNCTION("""COMPUTED_VALUE"""),"Outra Instituição")</f>
        <v>Outra Instituição</v>
      </c>
      <c r="I199" s="268" t="str">
        <f>IFERROR(__xludf.DUMMYFUNCTION("""COMPUTED_VALUE"""),"Público")</f>
        <v>Público</v>
      </c>
      <c r="J199" s="268" t="str">
        <f>IFERROR(__xludf.DUMMYFUNCTION("""COMPUTED_VALUE"""),"")</f>
        <v/>
      </c>
      <c r="K199" s="268" t="str">
        <f>IFERROR(__xludf.DUMMYFUNCTION("""COMPUTED_VALUE"""),"")</f>
        <v/>
      </c>
      <c r="L199" s="268" t="str">
        <f>IFERROR(__xludf.DUMMYFUNCTION("""COMPUTED_VALUE"""),"")</f>
        <v/>
      </c>
      <c r="M199" s="268" t="str">
        <f>IFERROR(__xludf.DUMMYFUNCTION("""COMPUTED_VALUE"""),"")</f>
        <v/>
      </c>
      <c r="N199" s="268">
        <f>IFERROR(__xludf.DUMMYFUNCTION("""COMPUTED_VALUE"""),0.0)</f>
        <v>0</v>
      </c>
      <c r="O199" s="268">
        <f>IFERROR(__xludf.DUMMYFUNCTION("""COMPUTED_VALUE"""),0.0)</f>
        <v>0</v>
      </c>
      <c r="P199" s="268">
        <f>IFERROR(__xludf.DUMMYFUNCTION("""COMPUTED_VALUE"""),0.0)</f>
        <v>0</v>
      </c>
      <c r="Q199" s="268">
        <f>IFERROR(__xludf.DUMMYFUNCTION("""COMPUTED_VALUE"""),0.0)</f>
        <v>0</v>
      </c>
      <c r="R199" s="268">
        <f>IFERROR(__xludf.DUMMYFUNCTION("""COMPUTED_VALUE"""),0.0)</f>
        <v>0</v>
      </c>
      <c r="S199" s="268">
        <f>IFERROR(__xludf.DUMMYFUNCTION("""COMPUTED_VALUE"""),0.0)</f>
        <v>0</v>
      </c>
      <c r="T199" s="268">
        <f>IFERROR(__xludf.DUMMYFUNCTION("""COMPUTED_VALUE"""),50.0)</f>
        <v>50</v>
      </c>
      <c r="U199" s="268">
        <f>IFERROR(__xludf.DUMMYFUNCTION("""COMPUTED_VALUE"""),0.0)</f>
        <v>0</v>
      </c>
      <c r="V199" s="268">
        <f>IFERROR(__xludf.DUMMYFUNCTION("""COMPUTED_VALUE"""),0.0)</f>
        <v>0</v>
      </c>
      <c r="W199" s="268">
        <f>IFERROR(__xludf.DUMMYFUNCTION("""COMPUTED_VALUE"""),0.0)</f>
        <v>0</v>
      </c>
      <c r="X199" s="268">
        <f>IFERROR(__xludf.DUMMYFUNCTION("""COMPUTED_VALUE"""),0.0)</f>
        <v>0</v>
      </c>
      <c r="Y199" s="268">
        <f>IFERROR(__xludf.DUMMYFUNCTION("""COMPUTED_VALUE"""),0.0)</f>
        <v>0</v>
      </c>
      <c r="Z199" s="268">
        <f>IFERROR(__xludf.DUMMYFUNCTION("""COMPUTED_VALUE"""),-50.0)</f>
        <v>-50</v>
      </c>
      <c r="AA199" s="268">
        <f>IFERROR(__xludf.DUMMYFUNCTION("""COMPUTED_VALUE"""),0.0)</f>
        <v>0</v>
      </c>
      <c r="AB199" s="268">
        <f>IFERROR(__xludf.DUMMYFUNCTION("""COMPUTED_VALUE"""),0.0)</f>
        <v>0</v>
      </c>
      <c r="AC199" s="268">
        <f>IFERROR(__xludf.DUMMYFUNCTION("""COMPUTED_VALUE"""),0.0)</f>
        <v>0</v>
      </c>
      <c r="AD199" s="268">
        <f>IFERROR(__xludf.DUMMYFUNCTION("""COMPUTED_VALUE"""),0.0)</f>
        <v>0</v>
      </c>
      <c r="AE199" s="268">
        <f>IFERROR(__xludf.DUMMYFUNCTION("""COMPUTED_VALUE"""),0.0)</f>
        <v>0</v>
      </c>
      <c r="AF199" s="268" t="str">
        <f>IFERROR(__xludf.DUMMYFUNCTION("""COMPUTED_VALUE"""),"")</f>
        <v/>
      </c>
      <c r="AG199" s="268">
        <f>IFERROR(__xludf.DUMMYFUNCTION("""COMPUTED_VALUE"""),0.0)</f>
        <v>0</v>
      </c>
      <c r="AH199" s="268">
        <f>IFERROR(__xludf.DUMMYFUNCTION("""COMPUTED_VALUE"""),0.0)</f>
        <v>0</v>
      </c>
      <c r="AI199" s="268">
        <f>IFERROR(__xludf.DUMMYFUNCTION("""COMPUTED_VALUE"""),0.0)</f>
        <v>0</v>
      </c>
      <c r="AJ199" s="268"/>
    </row>
    <row r="200" ht="22.5" customHeight="1">
      <c r="A200" s="170" t="str">
        <f>IFERROR(__xludf.DUMMYFUNCTION("""COMPUTED_VALUE"""),"")</f>
        <v/>
      </c>
      <c r="B200" s="170" t="str">
        <f>IFERROR(__xludf.DUMMYFUNCTION("""COMPUTED_VALUE"""),"")</f>
        <v/>
      </c>
      <c r="C200" s="170">
        <f>IFERROR(__xludf.DUMMYFUNCTION("""COMPUTED_VALUE"""),394.0)</f>
        <v>394</v>
      </c>
      <c r="D200" s="170" t="str">
        <f>IFERROR(__xludf.DUMMYFUNCTION("""COMPUTED_VALUE"""),"Redes Maré")</f>
        <v>Redes Maré</v>
      </c>
      <c r="E200" s="270" t="str">
        <f>IFERROR(__xludf.DUMMYFUNCTION("""COMPUTED_VALUE"""),"ZONA NORTE")</f>
        <v>ZONA NORTE</v>
      </c>
      <c r="F200" s="170" t="str">
        <f>IFERROR(__xludf.DUMMYFUNCTION("""COMPUTED_VALUE"""),"Rio de Janeiro")</f>
        <v>Rio de Janeiro</v>
      </c>
      <c r="G200" s="170" t="str">
        <f>IFERROR(__xludf.DUMMYFUNCTION("""COMPUTED_VALUE"""),"Maré")</f>
        <v>Maré</v>
      </c>
      <c r="H200" s="170" t="str">
        <f>IFERROR(__xludf.DUMMYFUNCTION("""COMPUTED_VALUE"""),"Outra Instituição")</f>
        <v>Outra Instituição</v>
      </c>
      <c r="I200" s="170" t="str">
        <f>IFERROR(__xludf.DUMMYFUNCTION("""COMPUTED_VALUE"""),"Público")</f>
        <v>Público</v>
      </c>
      <c r="J200" s="170" t="str">
        <f>IFERROR(__xludf.DUMMYFUNCTION("""COMPUTED_VALUE"""),"")</f>
        <v/>
      </c>
      <c r="K200" s="170" t="str">
        <f>IFERROR(__xludf.DUMMYFUNCTION("""COMPUTED_VALUE"""),"")</f>
        <v/>
      </c>
      <c r="L200" s="170" t="str">
        <f>IFERROR(__xludf.DUMMYFUNCTION("""COMPUTED_VALUE"""),"")</f>
        <v/>
      </c>
      <c r="M200" s="170" t="str">
        <f>IFERROR(__xludf.DUMMYFUNCTION("""COMPUTED_VALUE"""),"")</f>
        <v/>
      </c>
      <c r="N200" s="170">
        <f>IFERROR(__xludf.DUMMYFUNCTION("""COMPUTED_VALUE"""),0.0)</f>
        <v>0</v>
      </c>
      <c r="O200" s="170">
        <f>IFERROR(__xludf.DUMMYFUNCTION("""COMPUTED_VALUE"""),0.0)</f>
        <v>0</v>
      </c>
      <c r="P200" s="170">
        <f>IFERROR(__xludf.DUMMYFUNCTION("""COMPUTED_VALUE"""),0.0)</f>
        <v>0</v>
      </c>
      <c r="Q200" s="170">
        <f>IFERROR(__xludf.DUMMYFUNCTION("""COMPUTED_VALUE"""),0.0)</f>
        <v>0</v>
      </c>
      <c r="R200" s="170">
        <f>IFERROR(__xludf.DUMMYFUNCTION("""COMPUTED_VALUE"""),0.0)</f>
        <v>0</v>
      </c>
      <c r="S200" s="170">
        <f>IFERROR(__xludf.DUMMYFUNCTION("""COMPUTED_VALUE"""),0.0)</f>
        <v>0</v>
      </c>
      <c r="T200" s="170">
        <f>IFERROR(__xludf.DUMMYFUNCTION("""COMPUTED_VALUE"""),0.0)</f>
        <v>0</v>
      </c>
      <c r="U200" s="170">
        <f>IFERROR(__xludf.DUMMYFUNCTION("""COMPUTED_VALUE"""),0.0)</f>
        <v>0</v>
      </c>
      <c r="V200" s="170">
        <f>IFERROR(__xludf.DUMMYFUNCTION("""COMPUTED_VALUE"""),0.0)</f>
        <v>0</v>
      </c>
      <c r="W200" s="170">
        <f>IFERROR(__xludf.DUMMYFUNCTION("""COMPUTED_VALUE"""),400.0)</f>
        <v>400</v>
      </c>
      <c r="X200" s="170">
        <f>IFERROR(__xludf.DUMMYFUNCTION("""COMPUTED_VALUE"""),0.0)</f>
        <v>0</v>
      </c>
      <c r="Y200" s="170">
        <f>IFERROR(__xludf.DUMMYFUNCTION("""COMPUTED_VALUE"""),48.0)</f>
        <v>48</v>
      </c>
      <c r="Z200" s="170">
        <f>IFERROR(__xludf.DUMMYFUNCTION("""COMPUTED_VALUE"""),0.0)</f>
        <v>0</v>
      </c>
      <c r="AA200" s="170">
        <f>IFERROR(__xludf.DUMMYFUNCTION("""COMPUTED_VALUE"""),0.0)</f>
        <v>0</v>
      </c>
      <c r="AB200" s="170">
        <f>IFERROR(__xludf.DUMMYFUNCTION("""COMPUTED_VALUE"""),0.0)</f>
        <v>0</v>
      </c>
      <c r="AC200" s="170">
        <f>IFERROR(__xludf.DUMMYFUNCTION("""COMPUTED_VALUE"""),-400.0)</f>
        <v>-400</v>
      </c>
      <c r="AD200" s="170">
        <f>IFERROR(__xludf.DUMMYFUNCTION("""COMPUTED_VALUE"""),-48.0)</f>
        <v>-48</v>
      </c>
      <c r="AE200" s="170">
        <f>IFERROR(__xludf.DUMMYFUNCTION("""COMPUTED_VALUE"""),0.0)</f>
        <v>0</v>
      </c>
      <c r="AF200" s="170" t="str">
        <f>IFERROR(__xludf.DUMMYFUNCTION("""COMPUTED_VALUE"""),"")</f>
        <v/>
      </c>
      <c r="AG200" s="170">
        <f>IFERROR(__xludf.DUMMYFUNCTION("""COMPUTED_VALUE"""),0.0)</f>
        <v>0</v>
      </c>
      <c r="AH200" s="170">
        <f>IFERROR(__xludf.DUMMYFUNCTION("""COMPUTED_VALUE"""),0.0)</f>
        <v>0</v>
      </c>
      <c r="AI200" s="170">
        <f>IFERROR(__xludf.DUMMYFUNCTION("""COMPUTED_VALUE"""),0.0)</f>
        <v>0</v>
      </c>
      <c r="AJ200" s="170"/>
    </row>
    <row r="201" ht="22.5" customHeight="1">
      <c r="A201" s="268" t="str">
        <f>IFERROR(__xludf.DUMMYFUNCTION("""COMPUTED_VALUE"""),"")</f>
        <v/>
      </c>
      <c r="B201" s="268" t="str">
        <f>IFERROR(__xludf.DUMMYFUNCTION("""COMPUTED_VALUE"""),"")</f>
        <v/>
      </c>
      <c r="C201" s="268">
        <f>IFERROR(__xludf.DUMMYFUNCTION("""COMPUTED_VALUE"""),395.0)</f>
        <v>395</v>
      </c>
      <c r="D201" s="268" t="str">
        <f>IFERROR(__xludf.DUMMYFUNCTION("""COMPUTED_VALUE"""),"DCE UFRJ")</f>
        <v>DCE UFRJ</v>
      </c>
      <c r="E201" s="272" t="str">
        <f>IFERROR(__xludf.DUMMYFUNCTION("""COMPUTED_VALUE"""),"ZONA NORTE")</f>
        <v>ZONA NORTE</v>
      </c>
      <c r="F201" s="268" t="str">
        <f>IFERROR(__xludf.DUMMYFUNCTION("""COMPUTED_VALUE"""),"Rio de Janeiro")</f>
        <v>Rio de Janeiro</v>
      </c>
      <c r="G201" s="268" t="str">
        <f>IFERROR(__xludf.DUMMYFUNCTION("""COMPUTED_VALUE"""),"Ilha do Fundão")</f>
        <v>Ilha do Fundão</v>
      </c>
      <c r="H201" s="268" t="str">
        <f>IFERROR(__xludf.DUMMYFUNCTION("""COMPUTED_VALUE"""),"Outra Instituição")</f>
        <v>Outra Instituição</v>
      </c>
      <c r="I201" s="268" t="str">
        <f>IFERROR(__xludf.DUMMYFUNCTION("""COMPUTED_VALUE"""),"Público")</f>
        <v>Público</v>
      </c>
      <c r="J201" s="268" t="str">
        <f>IFERROR(__xludf.DUMMYFUNCTION("""COMPUTED_VALUE"""),"")</f>
        <v/>
      </c>
      <c r="K201" s="268" t="str">
        <f>IFERROR(__xludf.DUMMYFUNCTION("""COMPUTED_VALUE"""),"")</f>
        <v/>
      </c>
      <c r="L201" s="268" t="str">
        <f>IFERROR(__xludf.DUMMYFUNCTION("""COMPUTED_VALUE"""),"")</f>
        <v/>
      </c>
      <c r="M201" s="268" t="str">
        <f>IFERROR(__xludf.DUMMYFUNCTION("""COMPUTED_VALUE"""),"")</f>
        <v/>
      </c>
      <c r="N201" s="268">
        <f>IFERROR(__xludf.DUMMYFUNCTION("""COMPUTED_VALUE"""),0.0)</f>
        <v>0</v>
      </c>
      <c r="O201" s="268">
        <f>IFERROR(__xludf.DUMMYFUNCTION("""COMPUTED_VALUE"""),0.0)</f>
        <v>0</v>
      </c>
      <c r="P201" s="268">
        <f>IFERROR(__xludf.DUMMYFUNCTION("""COMPUTED_VALUE"""),0.0)</f>
        <v>0</v>
      </c>
      <c r="Q201" s="268">
        <f>IFERROR(__xludf.DUMMYFUNCTION("""COMPUTED_VALUE"""),0.0)</f>
        <v>0</v>
      </c>
      <c r="R201" s="268">
        <f>IFERROR(__xludf.DUMMYFUNCTION("""COMPUTED_VALUE"""),0.0)</f>
        <v>0</v>
      </c>
      <c r="S201" s="268">
        <f>IFERROR(__xludf.DUMMYFUNCTION("""COMPUTED_VALUE"""),0.0)</f>
        <v>0</v>
      </c>
      <c r="T201" s="268">
        <f>IFERROR(__xludf.DUMMYFUNCTION("""COMPUTED_VALUE"""),25.0)</f>
        <v>25</v>
      </c>
      <c r="U201" s="268">
        <f>IFERROR(__xludf.DUMMYFUNCTION("""COMPUTED_VALUE"""),0.0)</f>
        <v>0</v>
      </c>
      <c r="V201" s="268">
        <f>IFERROR(__xludf.DUMMYFUNCTION("""COMPUTED_VALUE"""),0.0)</f>
        <v>0</v>
      </c>
      <c r="W201" s="268">
        <f>IFERROR(__xludf.DUMMYFUNCTION("""COMPUTED_VALUE"""),0.0)</f>
        <v>0</v>
      </c>
      <c r="X201" s="268">
        <f>IFERROR(__xludf.DUMMYFUNCTION("""COMPUTED_VALUE"""),0.0)</f>
        <v>0</v>
      </c>
      <c r="Y201" s="268">
        <f>IFERROR(__xludf.DUMMYFUNCTION("""COMPUTED_VALUE"""),0.0)</f>
        <v>0</v>
      </c>
      <c r="Z201" s="268">
        <f>IFERROR(__xludf.DUMMYFUNCTION("""COMPUTED_VALUE"""),-25.0)</f>
        <v>-25</v>
      </c>
      <c r="AA201" s="268">
        <f>IFERROR(__xludf.DUMMYFUNCTION("""COMPUTED_VALUE"""),0.0)</f>
        <v>0</v>
      </c>
      <c r="AB201" s="268">
        <f>IFERROR(__xludf.DUMMYFUNCTION("""COMPUTED_VALUE"""),0.0)</f>
        <v>0</v>
      </c>
      <c r="AC201" s="268">
        <f>IFERROR(__xludf.DUMMYFUNCTION("""COMPUTED_VALUE"""),0.0)</f>
        <v>0</v>
      </c>
      <c r="AD201" s="268">
        <f>IFERROR(__xludf.DUMMYFUNCTION("""COMPUTED_VALUE"""),0.0)</f>
        <v>0</v>
      </c>
      <c r="AE201" s="268">
        <f>IFERROR(__xludf.DUMMYFUNCTION("""COMPUTED_VALUE"""),0.0)</f>
        <v>0</v>
      </c>
      <c r="AF201" s="268" t="str">
        <f>IFERROR(__xludf.DUMMYFUNCTION("""COMPUTED_VALUE"""),"")</f>
        <v/>
      </c>
      <c r="AG201" s="268">
        <f>IFERROR(__xludf.DUMMYFUNCTION("""COMPUTED_VALUE"""),0.0)</f>
        <v>0</v>
      </c>
      <c r="AH201" s="268">
        <f>IFERROR(__xludf.DUMMYFUNCTION("""COMPUTED_VALUE"""),0.0)</f>
        <v>0</v>
      </c>
      <c r="AI201" s="268">
        <f>IFERROR(__xludf.DUMMYFUNCTION("""COMPUTED_VALUE"""),0.0)</f>
        <v>0</v>
      </c>
      <c r="AJ201" s="268"/>
    </row>
    <row r="202" ht="22.5" customHeight="1">
      <c r="A202" s="170" t="str">
        <f>IFERROR(__xludf.DUMMYFUNCTION("""COMPUTED_VALUE"""),"")</f>
        <v/>
      </c>
      <c r="B202" s="170" t="str">
        <f>IFERROR(__xludf.DUMMYFUNCTION("""COMPUTED_VALUE"""),"")</f>
        <v/>
      </c>
      <c r="C202" s="170">
        <f>IFERROR(__xludf.DUMMYFUNCTION("""COMPUTED_VALUE"""),396.0)</f>
        <v>396</v>
      </c>
      <c r="D202" s="170" t="str">
        <f>IFERROR(__xludf.DUMMYFUNCTION("""COMPUTED_VALUE"""),"Hospital Municipal Alcides Carneiro")</f>
        <v>Hospital Municipal Alcides Carneiro</v>
      </c>
      <c r="E202" s="270" t="str">
        <f>IFERROR(__xludf.DUMMYFUNCTION("""COMPUTED_VALUE"""),"REGIAO SERRANA")</f>
        <v>REGIAO SERRANA</v>
      </c>
      <c r="F202" s="170" t="str">
        <f>IFERROR(__xludf.DUMMYFUNCTION("""COMPUTED_VALUE"""),"Petrópolis")</f>
        <v>Petrópolis</v>
      </c>
      <c r="G202" s="170" t="str">
        <f>IFERROR(__xludf.DUMMYFUNCTION("""COMPUTED_VALUE"""),"Côrreas")</f>
        <v>Côrreas</v>
      </c>
      <c r="H202" s="170" t="str">
        <f>IFERROR(__xludf.DUMMYFUNCTION("""COMPUTED_VALUE"""),"Grande emergência - MÉDIA COMPLEXIDADE
")</f>
        <v>Grande emergência - MÉDIA COMPLEXIDADE
</v>
      </c>
      <c r="I202" s="170" t="str">
        <f>IFERROR(__xludf.DUMMYFUNCTION("""COMPUTED_VALUE"""),"Público")</f>
        <v>Público</v>
      </c>
      <c r="J202" s="170" t="str">
        <f>IFERROR(__xludf.DUMMYFUNCTION("""COMPUTED_VALUE"""),"")</f>
        <v/>
      </c>
      <c r="K202" s="170" t="str">
        <f>IFERROR(__xludf.DUMMYFUNCTION("""COMPUTED_VALUE"""),"")</f>
        <v/>
      </c>
      <c r="L202" s="170" t="str">
        <f>IFERROR(__xludf.DUMMYFUNCTION("""COMPUTED_VALUE"""),"")</f>
        <v/>
      </c>
      <c r="M202" s="170" t="str">
        <f>IFERROR(__xludf.DUMMYFUNCTION("""COMPUTED_VALUE"""),"")</f>
        <v/>
      </c>
      <c r="N202" s="170">
        <f>IFERROR(__xludf.DUMMYFUNCTION("""COMPUTED_VALUE"""),0.0)</f>
        <v>0</v>
      </c>
      <c r="O202" s="170">
        <f>IFERROR(__xludf.DUMMYFUNCTION("""COMPUTED_VALUE"""),0.0)</f>
        <v>0</v>
      </c>
      <c r="P202" s="170">
        <f>IFERROR(__xludf.DUMMYFUNCTION("""COMPUTED_VALUE"""),0.0)</f>
        <v>0</v>
      </c>
      <c r="Q202" s="170">
        <f>IFERROR(__xludf.DUMMYFUNCTION("""COMPUTED_VALUE"""),0.0)</f>
        <v>0</v>
      </c>
      <c r="R202" s="170">
        <f>IFERROR(__xludf.DUMMYFUNCTION("""COMPUTED_VALUE"""),0.0)</f>
        <v>0</v>
      </c>
      <c r="S202" s="170">
        <f>IFERROR(__xludf.DUMMYFUNCTION("""COMPUTED_VALUE"""),0.0)</f>
        <v>0</v>
      </c>
      <c r="T202" s="170">
        <f>IFERROR(__xludf.DUMMYFUNCTION("""COMPUTED_VALUE"""),40.0)</f>
        <v>40</v>
      </c>
      <c r="U202" s="170">
        <f>IFERROR(__xludf.DUMMYFUNCTION("""COMPUTED_VALUE"""),0.0)</f>
        <v>0</v>
      </c>
      <c r="V202" s="170">
        <f>IFERROR(__xludf.DUMMYFUNCTION("""COMPUTED_VALUE"""),0.0)</f>
        <v>0</v>
      </c>
      <c r="W202" s="170">
        <f>IFERROR(__xludf.DUMMYFUNCTION("""COMPUTED_VALUE"""),0.0)</f>
        <v>0</v>
      </c>
      <c r="X202" s="170">
        <f>IFERROR(__xludf.DUMMYFUNCTION("""COMPUTED_VALUE"""),0.0)</f>
        <v>0</v>
      </c>
      <c r="Y202" s="170">
        <f>IFERROR(__xludf.DUMMYFUNCTION("""COMPUTED_VALUE"""),0.0)</f>
        <v>0</v>
      </c>
      <c r="Z202" s="170">
        <f>IFERROR(__xludf.DUMMYFUNCTION("""COMPUTED_VALUE"""),-40.0)</f>
        <v>-40</v>
      </c>
      <c r="AA202" s="170">
        <f>IFERROR(__xludf.DUMMYFUNCTION("""COMPUTED_VALUE"""),0.0)</f>
        <v>0</v>
      </c>
      <c r="AB202" s="170">
        <f>IFERROR(__xludf.DUMMYFUNCTION("""COMPUTED_VALUE"""),0.0)</f>
        <v>0</v>
      </c>
      <c r="AC202" s="170">
        <f>IFERROR(__xludf.DUMMYFUNCTION("""COMPUTED_VALUE"""),0.0)</f>
        <v>0</v>
      </c>
      <c r="AD202" s="170">
        <f>IFERROR(__xludf.DUMMYFUNCTION("""COMPUTED_VALUE"""),0.0)</f>
        <v>0</v>
      </c>
      <c r="AE202" s="170">
        <f>IFERROR(__xludf.DUMMYFUNCTION("""COMPUTED_VALUE"""),0.0)</f>
        <v>0</v>
      </c>
      <c r="AF202" s="170" t="str">
        <f>IFERROR(__xludf.DUMMYFUNCTION("""COMPUTED_VALUE"""),"")</f>
        <v/>
      </c>
      <c r="AG202" s="170">
        <f>IFERROR(__xludf.DUMMYFUNCTION("""COMPUTED_VALUE"""),0.0)</f>
        <v>0</v>
      </c>
      <c r="AH202" s="170">
        <f>IFERROR(__xludf.DUMMYFUNCTION("""COMPUTED_VALUE"""),0.0)</f>
        <v>0</v>
      </c>
      <c r="AI202" s="170">
        <f>IFERROR(__xludf.DUMMYFUNCTION("""COMPUTED_VALUE"""),0.0)</f>
        <v>0</v>
      </c>
      <c r="AJ202" s="170"/>
    </row>
    <row r="203" ht="22.5" customHeight="1">
      <c r="A203" s="268" t="str">
        <f>IFERROR(__xludf.DUMMYFUNCTION("""COMPUTED_VALUE"""),"")</f>
        <v/>
      </c>
      <c r="B203" s="268" t="str">
        <f>IFERROR(__xludf.DUMMYFUNCTION("""COMPUTED_VALUE"""),"")</f>
        <v/>
      </c>
      <c r="C203" s="268">
        <f>IFERROR(__xludf.DUMMYFUNCTION("""COMPUTED_VALUE"""),397.0)</f>
        <v>397</v>
      </c>
      <c r="D203" s="268" t="str">
        <f>IFERROR(__xludf.DUMMYFUNCTION("""COMPUTED_VALUE"""),"Dr. Alexandre")</f>
        <v>Dr. Alexandre</v>
      </c>
      <c r="E203" s="272" t="str">
        <f>IFERROR(__xludf.DUMMYFUNCTION("""COMPUTED_VALUE"""),"")</f>
        <v/>
      </c>
      <c r="F203" s="268" t="str">
        <f>IFERROR(__xludf.DUMMYFUNCTION("""COMPUTED_VALUE"""),"Rio de Janeiro")</f>
        <v>Rio de Janeiro</v>
      </c>
      <c r="G203" s="268" t="str">
        <f>IFERROR(__xludf.DUMMYFUNCTION("""COMPUTED_VALUE"""),"Rio de Janeiro")</f>
        <v>Rio de Janeiro</v>
      </c>
      <c r="H203" s="268" t="str">
        <f>IFERROR(__xludf.DUMMYFUNCTION("""COMPUTED_VALUE"""),"Outra Instituição")</f>
        <v>Outra Instituição</v>
      </c>
      <c r="I203" s="268" t="str">
        <f>IFERROR(__xludf.DUMMYFUNCTION("""COMPUTED_VALUE"""),"Privado")</f>
        <v>Privado</v>
      </c>
      <c r="J203" s="268" t="str">
        <f>IFERROR(__xludf.DUMMYFUNCTION("""COMPUTED_VALUE"""),"")</f>
        <v/>
      </c>
      <c r="K203" s="268" t="str">
        <f>IFERROR(__xludf.DUMMYFUNCTION("""COMPUTED_VALUE"""),"")</f>
        <v/>
      </c>
      <c r="L203" s="268" t="str">
        <f>IFERROR(__xludf.DUMMYFUNCTION("""COMPUTED_VALUE"""),"")</f>
        <v/>
      </c>
      <c r="M203" s="268" t="str">
        <f>IFERROR(__xludf.DUMMYFUNCTION("""COMPUTED_VALUE"""),"")</f>
        <v/>
      </c>
      <c r="N203" s="268">
        <f>IFERROR(__xludf.DUMMYFUNCTION("""COMPUTED_VALUE"""),0.0)</f>
        <v>0</v>
      </c>
      <c r="O203" s="268">
        <f>IFERROR(__xludf.DUMMYFUNCTION("""COMPUTED_VALUE"""),0.0)</f>
        <v>0</v>
      </c>
      <c r="P203" s="268">
        <f>IFERROR(__xludf.DUMMYFUNCTION("""COMPUTED_VALUE"""),0.0)</f>
        <v>0</v>
      </c>
      <c r="Q203" s="268">
        <f>IFERROR(__xludf.DUMMYFUNCTION("""COMPUTED_VALUE"""),0.0)</f>
        <v>0</v>
      </c>
      <c r="R203" s="268">
        <f>IFERROR(__xludf.DUMMYFUNCTION("""COMPUTED_VALUE"""),0.0)</f>
        <v>0</v>
      </c>
      <c r="S203" s="268">
        <f>IFERROR(__xludf.DUMMYFUNCTION("""COMPUTED_VALUE"""),0.0)</f>
        <v>0</v>
      </c>
      <c r="T203" s="268">
        <f>IFERROR(__xludf.DUMMYFUNCTION("""COMPUTED_VALUE"""),100.0)</f>
        <v>100</v>
      </c>
      <c r="U203" s="268">
        <f>IFERROR(__xludf.DUMMYFUNCTION("""COMPUTED_VALUE"""),0.0)</f>
        <v>0</v>
      </c>
      <c r="V203" s="268">
        <f>IFERROR(__xludf.DUMMYFUNCTION("""COMPUTED_VALUE"""),0.0)</f>
        <v>0</v>
      </c>
      <c r="W203" s="268">
        <f>IFERROR(__xludf.DUMMYFUNCTION("""COMPUTED_VALUE"""),0.0)</f>
        <v>0</v>
      </c>
      <c r="X203" s="268">
        <f>IFERROR(__xludf.DUMMYFUNCTION("""COMPUTED_VALUE"""),0.0)</f>
        <v>0</v>
      </c>
      <c r="Y203" s="268">
        <f>IFERROR(__xludf.DUMMYFUNCTION("""COMPUTED_VALUE"""),0.0)</f>
        <v>0</v>
      </c>
      <c r="Z203" s="268">
        <f>IFERROR(__xludf.DUMMYFUNCTION("""COMPUTED_VALUE"""),-100.0)</f>
        <v>-100</v>
      </c>
      <c r="AA203" s="268">
        <f>IFERROR(__xludf.DUMMYFUNCTION("""COMPUTED_VALUE"""),0.0)</f>
        <v>0</v>
      </c>
      <c r="AB203" s="268">
        <f>IFERROR(__xludf.DUMMYFUNCTION("""COMPUTED_VALUE"""),0.0)</f>
        <v>0</v>
      </c>
      <c r="AC203" s="268">
        <f>IFERROR(__xludf.DUMMYFUNCTION("""COMPUTED_VALUE"""),0.0)</f>
        <v>0</v>
      </c>
      <c r="AD203" s="268">
        <f>IFERROR(__xludf.DUMMYFUNCTION("""COMPUTED_VALUE"""),0.0)</f>
        <v>0</v>
      </c>
      <c r="AE203" s="268">
        <f>IFERROR(__xludf.DUMMYFUNCTION("""COMPUTED_VALUE"""),0.0)</f>
        <v>0</v>
      </c>
      <c r="AF203" s="268" t="str">
        <f>IFERROR(__xludf.DUMMYFUNCTION("""COMPUTED_VALUE"""),"")</f>
        <v/>
      </c>
      <c r="AG203" s="268">
        <f>IFERROR(__xludf.DUMMYFUNCTION("""COMPUTED_VALUE"""),0.0)</f>
        <v>0</v>
      </c>
      <c r="AH203" s="268">
        <f>IFERROR(__xludf.DUMMYFUNCTION("""COMPUTED_VALUE"""),0.0)</f>
        <v>0</v>
      </c>
      <c r="AI203" s="268">
        <f>IFERROR(__xludf.DUMMYFUNCTION("""COMPUTED_VALUE"""),0.0)</f>
        <v>0</v>
      </c>
      <c r="AJ203" s="268"/>
    </row>
    <row r="204" ht="22.5" customHeight="1">
      <c r="A204" s="170" t="str">
        <f>IFERROR(__xludf.DUMMYFUNCTION("""COMPUTED_VALUE"""),"")</f>
        <v/>
      </c>
      <c r="B204" s="170" t="str">
        <f>IFERROR(__xludf.DUMMYFUNCTION("""COMPUTED_VALUE"""),"")</f>
        <v/>
      </c>
      <c r="C204" s="170">
        <f>IFERROR(__xludf.DUMMYFUNCTION("""COMPUTED_VALUE"""),398.0)</f>
        <v>398</v>
      </c>
      <c r="D204" s="170" t="str">
        <f>IFERROR(__xludf.DUMMYFUNCTION("""COMPUTED_VALUE"""),"Movimento “Profissionais da Saúde eu me importo”")</f>
        <v>Movimento “Profissionais da Saúde eu me importo”</v>
      </c>
      <c r="E204" s="270" t="str">
        <f>IFERROR(__xludf.DUMMYFUNCTION("""COMPUTED_VALUE"""),"")</f>
        <v/>
      </c>
      <c r="F204" s="170" t="str">
        <f>IFERROR(__xludf.DUMMYFUNCTION("""COMPUTED_VALUE"""),"Rio de Janeiro")</f>
        <v>Rio de Janeiro</v>
      </c>
      <c r="G204" s="170" t="str">
        <f>IFERROR(__xludf.DUMMYFUNCTION("""COMPUTED_VALUE"""),"Rio de Janeiro")</f>
        <v>Rio de Janeiro</v>
      </c>
      <c r="H204" s="170" t="str">
        <f>IFERROR(__xludf.DUMMYFUNCTION("""COMPUTED_VALUE"""),"Outra Instituição")</f>
        <v>Outra Instituição</v>
      </c>
      <c r="I204" s="170" t="str">
        <f>IFERROR(__xludf.DUMMYFUNCTION("""COMPUTED_VALUE"""),"Público")</f>
        <v>Público</v>
      </c>
      <c r="J204" s="170" t="str">
        <f>IFERROR(__xludf.DUMMYFUNCTION("""COMPUTED_VALUE"""),"")</f>
        <v/>
      </c>
      <c r="K204" s="170" t="str">
        <f>IFERROR(__xludf.DUMMYFUNCTION("""COMPUTED_VALUE"""),"")</f>
        <v/>
      </c>
      <c r="L204" s="170" t="str">
        <f>IFERROR(__xludf.DUMMYFUNCTION("""COMPUTED_VALUE"""),"")</f>
        <v/>
      </c>
      <c r="M204" s="170" t="str">
        <f>IFERROR(__xludf.DUMMYFUNCTION("""COMPUTED_VALUE"""),"")</f>
        <v/>
      </c>
      <c r="N204" s="170">
        <f>IFERROR(__xludf.DUMMYFUNCTION("""COMPUTED_VALUE"""),0.0)</f>
        <v>0</v>
      </c>
      <c r="O204" s="170">
        <f>IFERROR(__xludf.DUMMYFUNCTION("""COMPUTED_VALUE"""),0.0)</f>
        <v>0</v>
      </c>
      <c r="P204" s="170">
        <f>IFERROR(__xludf.DUMMYFUNCTION("""COMPUTED_VALUE"""),0.0)</f>
        <v>0</v>
      </c>
      <c r="Q204" s="170">
        <f>IFERROR(__xludf.DUMMYFUNCTION("""COMPUTED_VALUE"""),0.0)</f>
        <v>0</v>
      </c>
      <c r="R204" s="170">
        <f>IFERROR(__xludf.DUMMYFUNCTION("""COMPUTED_VALUE"""),0.0)</f>
        <v>0</v>
      </c>
      <c r="S204" s="170">
        <f>IFERROR(__xludf.DUMMYFUNCTION("""COMPUTED_VALUE"""),0.0)</f>
        <v>0</v>
      </c>
      <c r="T204" s="170">
        <f>IFERROR(__xludf.DUMMYFUNCTION("""COMPUTED_VALUE"""),350.0)</f>
        <v>350</v>
      </c>
      <c r="U204" s="170">
        <f>IFERROR(__xludf.DUMMYFUNCTION("""COMPUTED_VALUE"""),0.0)</f>
        <v>0</v>
      </c>
      <c r="V204" s="170">
        <f>IFERROR(__xludf.DUMMYFUNCTION("""COMPUTED_VALUE"""),0.0)</f>
        <v>0</v>
      </c>
      <c r="W204" s="170">
        <f>IFERROR(__xludf.DUMMYFUNCTION("""COMPUTED_VALUE"""),0.0)</f>
        <v>0</v>
      </c>
      <c r="X204" s="170">
        <f>IFERROR(__xludf.DUMMYFUNCTION("""COMPUTED_VALUE"""),0.0)</f>
        <v>0</v>
      </c>
      <c r="Y204" s="170">
        <f>IFERROR(__xludf.DUMMYFUNCTION("""COMPUTED_VALUE"""),0.0)</f>
        <v>0</v>
      </c>
      <c r="Z204" s="170">
        <f>IFERROR(__xludf.DUMMYFUNCTION("""COMPUTED_VALUE"""),-350.0)</f>
        <v>-350</v>
      </c>
      <c r="AA204" s="170">
        <f>IFERROR(__xludf.DUMMYFUNCTION("""COMPUTED_VALUE"""),0.0)</f>
        <v>0</v>
      </c>
      <c r="AB204" s="170">
        <f>IFERROR(__xludf.DUMMYFUNCTION("""COMPUTED_VALUE"""),0.0)</f>
        <v>0</v>
      </c>
      <c r="AC204" s="170">
        <f>IFERROR(__xludf.DUMMYFUNCTION("""COMPUTED_VALUE"""),0.0)</f>
        <v>0</v>
      </c>
      <c r="AD204" s="170">
        <f>IFERROR(__xludf.DUMMYFUNCTION("""COMPUTED_VALUE"""),0.0)</f>
        <v>0</v>
      </c>
      <c r="AE204" s="170">
        <f>IFERROR(__xludf.DUMMYFUNCTION("""COMPUTED_VALUE"""),0.0)</f>
        <v>0</v>
      </c>
      <c r="AF204" s="170" t="str">
        <f>IFERROR(__xludf.DUMMYFUNCTION("""COMPUTED_VALUE"""),"")</f>
        <v/>
      </c>
      <c r="AG204" s="170">
        <f>IFERROR(__xludf.DUMMYFUNCTION("""COMPUTED_VALUE"""),0.0)</f>
        <v>0</v>
      </c>
      <c r="AH204" s="170">
        <f>IFERROR(__xludf.DUMMYFUNCTION("""COMPUTED_VALUE"""),0.0)</f>
        <v>0</v>
      </c>
      <c r="AI204" s="170">
        <f>IFERROR(__xludf.DUMMYFUNCTION("""COMPUTED_VALUE"""),0.0)</f>
        <v>0</v>
      </c>
      <c r="AJ204" s="170"/>
    </row>
    <row r="205" ht="22.5" customHeight="1">
      <c r="A205" s="268" t="str">
        <f>IFERROR(__xludf.DUMMYFUNCTION("""COMPUTED_VALUE"""),"")</f>
        <v/>
      </c>
      <c r="B205" s="268" t="str">
        <f>IFERROR(__xludf.DUMMYFUNCTION("""COMPUTED_VALUE"""),"")</f>
        <v/>
      </c>
      <c r="C205" s="268">
        <f>IFERROR(__xludf.DUMMYFUNCTION("""COMPUTED_VALUE"""),399.0)</f>
        <v>399</v>
      </c>
      <c r="D205" s="268" t="str">
        <f>IFERROR(__xludf.DUMMYFUNCTION("""COMPUTED_VALUE"""),"CONSELHO TUTELAR ")</f>
        <v>CONSELHO TUTELAR </v>
      </c>
      <c r="E205" s="272" t="str">
        <f>IFERROR(__xludf.DUMMYFUNCTION("""COMPUTED_VALUE"""),"ZONA OESTE")</f>
        <v>ZONA OESTE</v>
      </c>
      <c r="F205" s="268" t="str">
        <f>IFERROR(__xludf.DUMMYFUNCTION("""COMPUTED_VALUE"""),"Rio de Janeiro")</f>
        <v>Rio de Janeiro</v>
      </c>
      <c r="G205" s="268" t="str">
        <f>IFERROR(__xludf.DUMMYFUNCTION("""COMPUTED_VALUE"""),"Cidade de Deus")</f>
        <v>Cidade de Deus</v>
      </c>
      <c r="H205" s="268" t="str">
        <f>IFERROR(__xludf.DUMMYFUNCTION("""COMPUTED_VALUE"""),"Outra Instituição")</f>
        <v>Outra Instituição</v>
      </c>
      <c r="I205" s="268" t="str">
        <f>IFERROR(__xludf.DUMMYFUNCTION("""COMPUTED_VALUE"""),"Público")</f>
        <v>Público</v>
      </c>
      <c r="J205" s="268" t="str">
        <f>IFERROR(__xludf.DUMMYFUNCTION("""COMPUTED_VALUE"""),"")</f>
        <v/>
      </c>
      <c r="K205" s="268" t="str">
        <f>IFERROR(__xludf.DUMMYFUNCTION("""COMPUTED_VALUE"""),"")</f>
        <v/>
      </c>
      <c r="L205" s="268" t="str">
        <f>IFERROR(__xludf.DUMMYFUNCTION("""COMPUTED_VALUE"""),"")</f>
        <v/>
      </c>
      <c r="M205" s="268" t="str">
        <f>IFERROR(__xludf.DUMMYFUNCTION("""COMPUTED_VALUE"""),"")</f>
        <v/>
      </c>
      <c r="N205" s="268">
        <f>IFERROR(__xludf.DUMMYFUNCTION("""COMPUTED_VALUE"""),0.0)</f>
        <v>0</v>
      </c>
      <c r="O205" s="268">
        <f>IFERROR(__xludf.DUMMYFUNCTION("""COMPUTED_VALUE"""),0.0)</f>
        <v>0</v>
      </c>
      <c r="P205" s="268">
        <f>IFERROR(__xludf.DUMMYFUNCTION("""COMPUTED_VALUE"""),0.0)</f>
        <v>0</v>
      </c>
      <c r="Q205" s="268">
        <f>IFERROR(__xludf.DUMMYFUNCTION("""COMPUTED_VALUE"""),0.0)</f>
        <v>0</v>
      </c>
      <c r="R205" s="268">
        <f>IFERROR(__xludf.DUMMYFUNCTION("""COMPUTED_VALUE"""),0.0)</f>
        <v>0</v>
      </c>
      <c r="S205" s="268">
        <f>IFERROR(__xludf.DUMMYFUNCTION("""COMPUTED_VALUE"""),0.0)</f>
        <v>0</v>
      </c>
      <c r="T205" s="268">
        <f>IFERROR(__xludf.DUMMYFUNCTION("""COMPUTED_VALUE"""),100.0)</f>
        <v>100</v>
      </c>
      <c r="U205" s="268">
        <f>IFERROR(__xludf.DUMMYFUNCTION("""COMPUTED_VALUE"""),0.0)</f>
        <v>0</v>
      </c>
      <c r="V205" s="268">
        <f>IFERROR(__xludf.DUMMYFUNCTION("""COMPUTED_VALUE"""),0.0)</f>
        <v>0</v>
      </c>
      <c r="W205" s="268">
        <f>IFERROR(__xludf.DUMMYFUNCTION("""COMPUTED_VALUE"""),0.0)</f>
        <v>0</v>
      </c>
      <c r="X205" s="268">
        <f>IFERROR(__xludf.DUMMYFUNCTION("""COMPUTED_VALUE"""),0.0)</f>
        <v>0</v>
      </c>
      <c r="Y205" s="268">
        <f>IFERROR(__xludf.DUMMYFUNCTION("""COMPUTED_VALUE"""),49.0)</f>
        <v>49</v>
      </c>
      <c r="Z205" s="268">
        <f>IFERROR(__xludf.DUMMYFUNCTION("""COMPUTED_VALUE"""),-100.0)</f>
        <v>-100</v>
      </c>
      <c r="AA205" s="268">
        <f>IFERROR(__xludf.DUMMYFUNCTION("""COMPUTED_VALUE"""),0.0)</f>
        <v>0</v>
      </c>
      <c r="AB205" s="268">
        <f>IFERROR(__xludf.DUMMYFUNCTION("""COMPUTED_VALUE"""),0.0)</f>
        <v>0</v>
      </c>
      <c r="AC205" s="268">
        <f>IFERROR(__xludf.DUMMYFUNCTION("""COMPUTED_VALUE"""),0.0)</f>
        <v>0</v>
      </c>
      <c r="AD205" s="268">
        <f>IFERROR(__xludf.DUMMYFUNCTION("""COMPUTED_VALUE"""),-49.0)</f>
        <v>-49</v>
      </c>
      <c r="AE205" s="268">
        <f>IFERROR(__xludf.DUMMYFUNCTION("""COMPUTED_VALUE"""),0.0)</f>
        <v>0</v>
      </c>
      <c r="AF205" s="268" t="str">
        <f>IFERROR(__xludf.DUMMYFUNCTION("""COMPUTED_VALUE"""),"")</f>
        <v/>
      </c>
      <c r="AG205" s="268">
        <f>IFERROR(__xludf.DUMMYFUNCTION("""COMPUTED_VALUE"""),0.0)</f>
        <v>0</v>
      </c>
      <c r="AH205" s="268">
        <f>IFERROR(__xludf.DUMMYFUNCTION("""COMPUTED_VALUE"""),0.0)</f>
        <v>0</v>
      </c>
      <c r="AI205" s="268">
        <f>IFERROR(__xludf.DUMMYFUNCTION("""COMPUTED_VALUE"""),0.0)</f>
        <v>0</v>
      </c>
      <c r="AJ205" s="268"/>
    </row>
    <row r="206" ht="22.5" customHeight="1">
      <c r="A206" s="170" t="str">
        <f>IFERROR(__xludf.DUMMYFUNCTION("""COMPUTED_VALUE"""),"")</f>
        <v/>
      </c>
      <c r="B206" s="170" t="str">
        <f>IFERROR(__xludf.DUMMYFUNCTION("""COMPUTED_VALUE"""),"")</f>
        <v/>
      </c>
      <c r="C206" s="170">
        <f>IFERROR(__xludf.DUMMYFUNCTION("""COMPUTED_VALUE"""),400.0)</f>
        <v>400</v>
      </c>
      <c r="D206" s="170" t="str">
        <f>IFERROR(__xludf.DUMMYFUNCTION("""COMPUTED_VALUE"""),"Secretaria Municipal de Saúde de Teresópolis")</f>
        <v>Secretaria Municipal de Saúde de Teresópolis</v>
      </c>
      <c r="E206" s="270" t="str">
        <f>IFERROR(__xludf.DUMMYFUNCTION("""COMPUTED_VALUE"""),"REGIAO SERRANA")</f>
        <v>REGIAO SERRANA</v>
      </c>
      <c r="F206" s="170" t="str">
        <f>IFERROR(__xludf.DUMMYFUNCTION("""COMPUTED_VALUE"""),"Teresópolis")</f>
        <v>Teresópolis</v>
      </c>
      <c r="G206" s="170" t="str">
        <f>IFERROR(__xludf.DUMMYFUNCTION("""COMPUTED_VALUE"""),"Teresópolis")</f>
        <v>Teresópolis</v>
      </c>
      <c r="H206" s="170" t="str">
        <f>IFERROR(__xludf.DUMMYFUNCTION("""COMPUTED_VALUE"""),"Outra Instituição")</f>
        <v>Outra Instituição</v>
      </c>
      <c r="I206" s="170" t="str">
        <f>IFERROR(__xludf.DUMMYFUNCTION("""COMPUTED_VALUE"""),"Público")</f>
        <v>Público</v>
      </c>
      <c r="J206" s="170" t="str">
        <f>IFERROR(__xludf.DUMMYFUNCTION("""COMPUTED_VALUE"""),"")</f>
        <v/>
      </c>
      <c r="K206" s="170" t="str">
        <f>IFERROR(__xludf.DUMMYFUNCTION("""COMPUTED_VALUE"""),"")</f>
        <v/>
      </c>
      <c r="L206" s="170" t="str">
        <f>IFERROR(__xludf.DUMMYFUNCTION("""COMPUTED_VALUE"""),"")</f>
        <v/>
      </c>
      <c r="M206" s="170" t="str">
        <f>IFERROR(__xludf.DUMMYFUNCTION("""COMPUTED_VALUE"""),"")</f>
        <v/>
      </c>
      <c r="N206" s="170">
        <f>IFERROR(__xludf.DUMMYFUNCTION("""COMPUTED_VALUE"""),0.0)</f>
        <v>0</v>
      </c>
      <c r="O206" s="170">
        <f>IFERROR(__xludf.DUMMYFUNCTION("""COMPUTED_VALUE"""),0.0)</f>
        <v>0</v>
      </c>
      <c r="P206" s="170">
        <f>IFERROR(__xludf.DUMMYFUNCTION("""COMPUTED_VALUE"""),0.0)</f>
        <v>0</v>
      </c>
      <c r="Q206" s="170">
        <f>IFERROR(__xludf.DUMMYFUNCTION("""COMPUTED_VALUE"""),0.0)</f>
        <v>0</v>
      </c>
      <c r="R206" s="170">
        <f>IFERROR(__xludf.DUMMYFUNCTION("""COMPUTED_VALUE"""),0.0)</f>
        <v>0</v>
      </c>
      <c r="S206" s="170">
        <f>IFERROR(__xludf.DUMMYFUNCTION("""COMPUTED_VALUE"""),0.0)</f>
        <v>0</v>
      </c>
      <c r="T206" s="170">
        <f>IFERROR(__xludf.DUMMYFUNCTION("""COMPUTED_VALUE"""),130.0)</f>
        <v>130</v>
      </c>
      <c r="U206" s="170">
        <f>IFERROR(__xludf.DUMMYFUNCTION("""COMPUTED_VALUE"""),0.0)</f>
        <v>0</v>
      </c>
      <c r="V206" s="170">
        <f>IFERROR(__xludf.DUMMYFUNCTION("""COMPUTED_VALUE"""),0.0)</f>
        <v>0</v>
      </c>
      <c r="W206" s="170">
        <f>IFERROR(__xludf.DUMMYFUNCTION("""COMPUTED_VALUE"""),0.0)</f>
        <v>0</v>
      </c>
      <c r="X206" s="170">
        <f>IFERROR(__xludf.DUMMYFUNCTION("""COMPUTED_VALUE"""),0.0)</f>
        <v>0</v>
      </c>
      <c r="Y206" s="170">
        <f>IFERROR(__xludf.DUMMYFUNCTION("""COMPUTED_VALUE"""),50.0)</f>
        <v>50</v>
      </c>
      <c r="Z206" s="170">
        <f>IFERROR(__xludf.DUMMYFUNCTION("""COMPUTED_VALUE"""),-130.0)</f>
        <v>-130</v>
      </c>
      <c r="AA206" s="170">
        <f>IFERROR(__xludf.DUMMYFUNCTION("""COMPUTED_VALUE"""),0.0)</f>
        <v>0</v>
      </c>
      <c r="AB206" s="170">
        <f>IFERROR(__xludf.DUMMYFUNCTION("""COMPUTED_VALUE"""),0.0)</f>
        <v>0</v>
      </c>
      <c r="AC206" s="170">
        <f>IFERROR(__xludf.DUMMYFUNCTION("""COMPUTED_VALUE"""),0.0)</f>
        <v>0</v>
      </c>
      <c r="AD206" s="170">
        <f>IFERROR(__xludf.DUMMYFUNCTION("""COMPUTED_VALUE"""),-50.0)</f>
        <v>-50</v>
      </c>
      <c r="AE206" s="170">
        <f>IFERROR(__xludf.DUMMYFUNCTION("""COMPUTED_VALUE"""),0.0)</f>
        <v>0</v>
      </c>
      <c r="AF206" s="170" t="str">
        <f>IFERROR(__xludf.DUMMYFUNCTION("""COMPUTED_VALUE"""),"")</f>
        <v/>
      </c>
      <c r="AG206" s="170">
        <f>IFERROR(__xludf.DUMMYFUNCTION("""COMPUTED_VALUE"""),0.0)</f>
        <v>0</v>
      </c>
      <c r="AH206" s="170">
        <f>IFERROR(__xludf.DUMMYFUNCTION("""COMPUTED_VALUE"""),0.0)</f>
        <v>0</v>
      </c>
      <c r="AI206" s="170">
        <f>IFERROR(__xludf.DUMMYFUNCTION("""COMPUTED_VALUE"""),0.0)</f>
        <v>0</v>
      </c>
      <c r="AJ206" s="170"/>
    </row>
    <row r="207" ht="22.5" customHeight="1">
      <c r="A207" s="268" t="str">
        <f>IFERROR(__xludf.DUMMYFUNCTION("""COMPUTED_VALUE"""),"")</f>
        <v/>
      </c>
      <c r="B207" s="268" t="str">
        <f>IFERROR(__xludf.DUMMYFUNCTION("""COMPUTED_VALUE"""),"")</f>
        <v/>
      </c>
      <c r="C207" s="268">
        <f>IFERROR(__xludf.DUMMYFUNCTION("""COMPUTED_VALUE"""),401.0)</f>
        <v>401</v>
      </c>
      <c r="D207" s="268" t="str">
        <f>IFERROR(__xludf.DUMMYFUNCTION("""COMPUTED_VALUE"""),"UPA Parque Lafaiete")</f>
        <v>UPA Parque Lafaiete</v>
      </c>
      <c r="E207" s="272" t="str">
        <f>IFERROR(__xludf.DUMMYFUNCTION("""COMPUTED_VALUE"""),"BAIXADA FLUMINENSE")</f>
        <v>BAIXADA FLUMINENSE</v>
      </c>
      <c r="F207" s="268" t="str">
        <f>IFERROR(__xludf.DUMMYFUNCTION("""COMPUTED_VALUE"""),"Duque de Caxias")</f>
        <v>Duque de Caxias</v>
      </c>
      <c r="G207" s="268" t="str">
        <f>IFERROR(__xludf.DUMMYFUNCTION("""COMPUTED_VALUE"""),"Parque Lafaiete")</f>
        <v>Parque Lafaiete</v>
      </c>
      <c r="H207" s="268" t="str">
        <f>IFERROR(__xludf.DUMMYFUNCTION("""COMPUTED_VALUE"""),"Grande emergência - MÉDIA COMPLEXIDADE
")</f>
        <v>Grande emergência - MÉDIA COMPLEXIDADE
</v>
      </c>
      <c r="I207" s="268" t="str">
        <f>IFERROR(__xludf.DUMMYFUNCTION("""COMPUTED_VALUE"""),"Público")</f>
        <v>Público</v>
      </c>
      <c r="J207" s="268" t="str">
        <f>IFERROR(__xludf.DUMMYFUNCTION("""COMPUTED_VALUE"""),"")</f>
        <v/>
      </c>
      <c r="K207" s="268" t="str">
        <f>IFERROR(__xludf.DUMMYFUNCTION("""COMPUTED_VALUE"""),"")</f>
        <v/>
      </c>
      <c r="L207" s="268" t="str">
        <f>IFERROR(__xludf.DUMMYFUNCTION("""COMPUTED_VALUE"""),"")</f>
        <v/>
      </c>
      <c r="M207" s="268" t="str">
        <f>IFERROR(__xludf.DUMMYFUNCTION("""COMPUTED_VALUE"""),"")</f>
        <v/>
      </c>
      <c r="N207" s="268">
        <f>IFERROR(__xludf.DUMMYFUNCTION("""COMPUTED_VALUE"""),0.0)</f>
        <v>0</v>
      </c>
      <c r="O207" s="268">
        <f>IFERROR(__xludf.DUMMYFUNCTION("""COMPUTED_VALUE"""),0.0)</f>
        <v>0</v>
      </c>
      <c r="P207" s="268">
        <f>IFERROR(__xludf.DUMMYFUNCTION("""COMPUTED_VALUE"""),0.0)</f>
        <v>0</v>
      </c>
      <c r="Q207" s="268">
        <f>IFERROR(__xludf.DUMMYFUNCTION("""COMPUTED_VALUE"""),0.0)</f>
        <v>0</v>
      </c>
      <c r="R207" s="268">
        <f>IFERROR(__xludf.DUMMYFUNCTION("""COMPUTED_VALUE"""),0.0)</f>
        <v>0</v>
      </c>
      <c r="S207" s="268">
        <f>IFERROR(__xludf.DUMMYFUNCTION("""COMPUTED_VALUE"""),0.0)</f>
        <v>0</v>
      </c>
      <c r="T207" s="268">
        <f>IFERROR(__xludf.DUMMYFUNCTION("""COMPUTED_VALUE"""),50.0)</f>
        <v>50</v>
      </c>
      <c r="U207" s="268">
        <f>IFERROR(__xludf.DUMMYFUNCTION("""COMPUTED_VALUE"""),0.0)</f>
        <v>0</v>
      </c>
      <c r="V207" s="268">
        <f>IFERROR(__xludf.DUMMYFUNCTION("""COMPUTED_VALUE"""),0.0)</f>
        <v>0</v>
      </c>
      <c r="W207" s="268">
        <f>IFERROR(__xludf.DUMMYFUNCTION("""COMPUTED_VALUE"""),0.0)</f>
        <v>0</v>
      </c>
      <c r="X207" s="268">
        <f>IFERROR(__xludf.DUMMYFUNCTION("""COMPUTED_VALUE"""),0.0)</f>
        <v>0</v>
      </c>
      <c r="Y207" s="268">
        <f>IFERROR(__xludf.DUMMYFUNCTION("""COMPUTED_VALUE"""),0.0)</f>
        <v>0</v>
      </c>
      <c r="Z207" s="268">
        <f>IFERROR(__xludf.DUMMYFUNCTION("""COMPUTED_VALUE"""),-50.0)</f>
        <v>-50</v>
      </c>
      <c r="AA207" s="268">
        <f>IFERROR(__xludf.DUMMYFUNCTION("""COMPUTED_VALUE"""),0.0)</f>
        <v>0</v>
      </c>
      <c r="AB207" s="268">
        <f>IFERROR(__xludf.DUMMYFUNCTION("""COMPUTED_VALUE"""),0.0)</f>
        <v>0</v>
      </c>
      <c r="AC207" s="268">
        <f>IFERROR(__xludf.DUMMYFUNCTION("""COMPUTED_VALUE"""),0.0)</f>
        <v>0</v>
      </c>
      <c r="AD207" s="268">
        <f>IFERROR(__xludf.DUMMYFUNCTION("""COMPUTED_VALUE"""),0.0)</f>
        <v>0</v>
      </c>
      <c r="AE207" s="268">
        <f>IFERROR(__xludf.DUMMYFUNCTION("""COMPUTED_VALUE"""),0.0)</f>
        <v>0</v>
      </c>
      <c r="AF207" s="268" t="str">
        <f>IFERROR(__xludf.DUMMYFUNCTION("""COMPUTED_VALUE"""),"")</f>
        <v/>
      </c>
      <c r="AG207" s="268">
        <f>IFERROR(__xludf.DUMMYFUNCTION("""COMPUTED_VALUE"""),0.0)</f>
        <v>0</v>
      </c>
      <c r="AH207" s="268">
        <f>IFERROR(__xludf.DUMMYFUNCTION("""COMPUTED_VALUE"""),0.0)</f>
        <v>0</v>
      </c>
      <c r="AI207" s="268">
        <f>IFERROR(__xludf.DUMMYFUNCTION("""COMPUTED_VALUE"""),0.0)</f>
        <v>0</v>
      </c>
      <c r="AJ207" s="268"/>
    </row>
    <row r="208" ht="22.5" customHeight="1">
      <c r="A208" s="170" t="str">
        <f>IFERROR(__xludf.DUMMYFUNCTION("""COMPUTED_VALUE"""),"")</f>
        <v/>
      </c>
      <c r="B208" s="170" t="str">
        <f>IFERROR(__xludf.DUMMYFUNCTION("""COMPUTED_VALUE"""),"")</f>
        <v/>
      </c>
      <c r="C208" s="170">
        <f>IFERROR(__xludf.DUMMYFUNCTION("""COMPUTED_VALUE"""),402.0)</f>
        <v>402</v>
      </c>
      <c r="D208" s="170" t="str">
        <f>IFERROR(__xludf.DUMMYFUNCTION("""COMPUTED_VALUE"""),"Unidade de emergência de figueira")</f>
        <v>Unidade de emergência de figueira</v>
      </c>
      <c r="E208" s="270" t="str">
        <f>IFERROR(__xludf.DUMMYFUNCTION("""COMPUTED_VALUE"""),"REGIAO DOS LAGOS")</f>
        <v>REGIAO DOS LAGOS</v>
      </c>
      <c r="F208" s="170" t="str">
        <f>IFERROR(__xludf.DUMMYFUNCTION("""COMPUTED_VALUE"""),"Arraial do Cabo")</f>
        <v>Arraial do Cabo</v>
      </c>
      <c r="G208" s="170" t="str">
        <f>IFERROR(__xludf.DUMMYFUNCTION("""COMPUTED_VALUE"""),"Figueira")</f>
        <v>Figueira</v>
      </c>
      <c r="H208" s="170" t="str">
        <f>IFERROR(__xludf.DUMMYFUNCTION("""COMPUTED_VALUE"""),"Grande emergência - MÉDIA COMPLEXIDADE
")</f>
        <v>Grande emergência - MÉDIA COMPLEXIDADE
</v>
      </c>
      <c r="I208" s="170" t="str">
        <f>IFERROR(__xludf.DUMMYFUNCTION("""COMPUTED_VALUE"""),"Público")</f>
        <v>Público</v>
      </c>
      <c r="J208" s="170" t="str">
        <f>IFERROR(__xludf.DUMMYFUNCTION("""COMPUTED_VALUE"""),"")</f>
        <v/>
      </c>
      <c r="K208" s="170" t="str">
        <f>IFERROR(__xludf.DUMMYFUNCTION("""COMPUTED_VALUE"""),"")</f>
        <v/>
      </c>
      <c r="L208" s="170" t="str">
        <f>IFERROR(__xludf.DUMMYFUNCTION("""COMPUTED_VALUE"""),"")</f>
        <v/>
      </c>
      <c r="M208" s="170" t="str">
        <f>IFERROR(__xludf.DUMMYFUNCTION("""COMPUTED_VALUE"""),"")</f>
        <v/>
      </c>
      <c r="N208" s="170">
        <f>IFERROR(__xludf.DUMMYFUNCTION("""COMPUTED_VALUE"""),0.0)</f>
        <v>0</v>
      </c>
      <c r="O208" s="170">
        <f>IFERROR(__xludf.DUMMYFUNCTION("""COMPUTED_VALUE"""),0.0)</f>
        <v>0</v>
      </c>
      <c r="P208" s="170">
        <f>IFERROR(__xludf.DUMMYFUNCTION("""COMPUTED_VALUE"""),0.0)</f>
        <v>0</v>
      </c>
      <c r="Q208" s="170">
        <f>IFERROR(__xludf.DUMMYFUNCTION("""COMPUTED_VALUE"""),0.0)</f>
        <v>0</v>
      </c>
      <c r="R208" s="170">
        <f>IFERROR(__xludf.DUMMYFUNCTION("""COMPUTED_VALUE"""),0.0)</f>
        <v>0</v>
      </c>
      <c r="S208" s="170">
        <f>IFERROR(__xludf.DUMMYFUNCTION("""COMPUTED_VALUE"""),0.0)</f>
        <v>0</v>
      </c>
      <c r="T208" s="170">
        <f>IFERROR(__xludf.DUMMYFUNCTION("""COMPUTED_VALUE"""),100.0)</f>
        <v>100</v>
      </c>
      <c r="U208" s="170">
        <f>IFERROR(__xludf.DUMMYFUNCTION("""COMPUTED_VALUE"""),0.0)</f>
        <v>0</v>
      </c>
      <c r="V208" s="170">
        <f>IFERROR(__xludf.DUMMYFUNCTION("""COMPUTED_VALUE"""),0.0)</f>
        <v>0</v>
      </c>
      <c r="W208" s="170">
        <f>IFERROR(__xludf.DUMMYFUNCTION("""COMPUTED_VALUE"""),0.0)</f>
        <v>0</v>
      </c>
      <c r="X208" s="170">
        <f>IFERROR(__xludf.DUMMYFUNCTION("""COMPUTED_VALUE"""),0.0)</f>
        <v>0</v>
      </c>
      <c r="Y208" s="170">
        <f>IFERROR(__xludf.DUMMYFUNCTION("""COMPUTED_VALUE"""),0.0)</f>
        <v>0</v>
      </c>
      <c r="Z208" s="170">
        <f>IFERROR(__xludf.DUMMYFUNCTION("""COMPUTED_VALUE"""),-100.0)</f>
        <v>-100</v>
      </c>
      <c r="AA208" s="170">
        <f>IFERROR(__xludf.DUMMYFUNCTION("""COMPUTED_VALUE"""),0.0)</f>
        <v>0</v>
      </c>
      <c r="AB208" s="170">
        <f>IFERROR(__xludf.DUMMYFUNCTION("""COMPUTED_VALUE"""),0.0)</f>
        <v>0</v>
      </c>
      <c r="AC208" s="170">
        <f>IFERROR(__xludf.DUMMYFUNCTION("""COMPUTED_VALUE"""),0.0)</f>
        <v>0</v>
      </c>
      <c r="AD208" s="170">
        <f>IFERROR(__xludf.DUMMYFUNCTION("""COMPUTED_VALUE"""),0.0)</f>
        <v>0</v>
      </c>
      <c r="AE208" s="170">
        <f>IFERROR(__xludf.DUMMYFUNCTION("""COMPUTED_VALUE"""),0.0)</f>
        <v>0</v>
      </c>
      <c r="AF208" s="170" t="str">
        <f>IFERROR(__xludf.DUMMYFUNCTION("""COMPUTED_VALUE"""),"")</f>
        <v/>
      </c>
      <c r="AG208" s="170">
        <f>IFERROR(__xludf.DUMMYFUNCTION("""COMPUTED_VALUE"""),0.0)</f>
        <v>0</v>
      </c>
      <c r="AH208" s="170">
        <f>IFERROR(__xludf.DUMMYFUNCTION("""COMPUTED_VALUE"""),0.0)</f>
        <v>0</v>
      </c>
      <c r="AI208" s="170">
        <f>IFERROR(__xludf.DUMMYFUNCTION("""COMPUTED_VALUE"""),0.0)</f>
        <v>0</v>
      </c>
      <c r="AJ208" s="170"/>
    </row>
    <row r="209" ht="22.5" customHeight="1">
      <c r="A209" s="268" t="str">
        <f>IFERROR(__xludf.DUMMYFUNCTION("""COMPUTED_VALUE"""),"")</f>
        <v/>
      </c>
      <c r="B209" s="268" t="str">
        <f>IFERROR(__xludf.DUMMYFUNCTION("""COMPUTED_VALUE"""),"")</f>
        <v/>
      </c>
      <c r="C209" s="268">
        <f>IFERROR(__xludf.DUMMYFUNCTION("""COMPUTED_VALUE"""),403.0)</f>
        <v>403</v>
      </c>
      <c r="D209" s="268" t="str">
        <f>IFERROR(__xludf.DUMMYFUNCTION("""COMPUTED_VALUE"""),"CMS CATIRI")</f>
        <v>CMS CATIRI</v>
      </c>
      <c r="E209" s="272" t="str">
        <f>IFERROR(__xludf.DUMMYFUNCTION("""COMPUTED_VALUE"""),"ZONA OESTE")</f>
        <v>ZONA OESTE</v>
      </c>
      <c r="F209" s="268" t="str">
        <f>IFERROR(__xludf.DUMMYFUNCTION("""COMPUTED_VALUE"""),"Rio de Janeiro")</f>
        <v>Rio de Janeiro</v>
      </c>
      <c r="G209" s="268" t="str">
        <f>IFERROR(__xludf.DUMMYFUNCTION("""COMPUTED_VALUE"""),"Bangu")</f>
        <v>Bangu</v>
      </c>
      <c r="H209" s="268" t="str">
        <f>IFERROR(__xludf.DUMMYFUNCTION("""COMPUTED_VALUE"""),"Unidade básica de saúde - BAIXA COMPLEXIDADE")</f>
        <v>Unidade básica de saúde - BAIXA COMPLEXIDADE</v>
      </c>
      <c r="I209" s="268" t="str">
        <f>IFERROR(__xludf.DUMMYFUNCTION("""COMPUTED_VALUE"""),"Público")</f>
        <v>Público</v>
      </c>
      <c r="J209" s="268" t="str">
        <f>IFERROR(__xludf.DUMMYFUNCTION("""COMPUTED_VALUE"""),"")</f>
        <v/>
      </c>
      <c r="K209" s="268" t="str">
        <f>IFERROR(__xludf.DUMMYFUNCTION("""COMPUTED_VALUE"""),"")</f>
        <v/>
      </c>
      <c r="L209" s="268" t="str">
        <f>IFERROR(__xludf.DUMMYFUNCTION("""COMPUTED_VALUE"""),"")</f>
        <v/>
      </c>
      <c r="M209" s="268" t="str">
        <f>IFERROR(__xludf.DUMMYFUNCTION("""COMPUTED_VALUE"""),"")</f>
        <v/>
      </c>
      <c r="N209" s="268">
        <f>IFERROR(__xludf.DUMMYFUNCTION("""COMPUTED_VALUE"""),0.0)</f>
        <v>0</v>
      </c>
      <c r="O209" s="268">
        <f>IFERROR(__xludf.DUMMYFUNCTION("""COMPUTED_VALUE"""),0.0)</f>
        <v>0</v>
      </c>
      <c r="P209" s="268">
        <f>IFERROR(__xludf.DUMMYFUNCTION("""COMPUTED_VALUE"""),0.0)</f>
        <v>0</v>
      </c>
      <c r="Q209" s="268">
        <f>IFERROR(__xludf.DUMMYFUNCTION("""COMPUTED_VALUE"""),0.0)</f>
        <v>0</v>
      </c>
      <c r="R209" s="268">
        <f>IFERROR(__xludf.DUMMYFUNCTION("""COMPUTED_VALUE"""),0.0)</f>
        <v>0</v>
      </c>
      <c r="S209" s="268">
        <f>IFERROR(__xludf.DUMMYFUNCTION("""COMPUTED_VALUE"""),0.0)</f>
        <v>0</v>
      </c>
      <c r="T209" s="268">
        <f>IFERROR(__xludf.DUMMYFUNCTION("""COMPUTED_VALUE"""),50.0)</f>
        <v>50</v>
      </c>
      <c r="U209" s="268">
        <f>IFERROR(__xludf.DUMMYFUNCTION("""COMPUTED_VALUE"""),0.0)</f>
        <v>0</v>
      </c>
      <c r="V209" s="268">
        <f>IFERROR(__xludf.DUMMYFUNCTION("""COMPUTED_VALUE"""),0.0)</f>
        <v>0</v>
      </c>
      <c r="W209" s="268">
        <f>IFERROR(__xludf.DUMMYFUNCTION("""COMPUTED_VALUE"""),0.0)</f>
        <v>0</v>
      </c>
      <c r="X209" s="268">
        <f>IFERROR(__xludf.DUMMYFUNCTION("""COMPUTED_VALUE"""),0.0)</f>
        <v>0</v>
      </c>
      <c r="Y209" s="268">
        <f>IFERROR(__xludf.DUMMYFUNCTION("""COMPUTED_VALUE"""),0.0)</f>
        <v>0</v>
      </c>
      <c r="Z209" s="268">
        <f>IFERROR(__xludf.DUMMYFUNCTION("""COMPUTED_VALUE"""),-50.0)</f>
        <v>-50</v>
      </c>
      <c r="AA209" s="268">
        <f>IFERROR(__xludf.DUMMYFUNCTION("""COMPUTED_VALUE"""),0.0)</f>
        <v>0</v>
      </c>
      <c r="AB209" s="268">
        <f>IFERROR(__xludf.DUMMYFUNCTION("""COMPUTED_VALUE"""),0.0)</f>
        <v>0</v>
      </c>
      <c r="AC209" s="268">
        <f>IFERROR(__xludf.DUMMYFUNCTION("""COMPUTED_VALUE"""),0.0)</f>
        <v>0</v>
      </c>
      <c r="AD209" s="268">
        <f>IFERROR(__xludf.DUMMYFUNCTION("""COMPUTED_VALUE"""),0.0)</f>
        <v>0</v>
      </c>
      <c r="AE209" s="268">
        <f>IFERROR(__xludf.DUMMYFUNCTION("""COMPUTED_VALUE"""),0.0)</f>
        <v>0</v>
      </c>
      <c r="AF209" s="268" t="str">
        <f>IFERROR(__xludf.DUMMYFUNCTION("""COMPUTED_VALUE"""),"")</f>
        <v/>
      </c>
      <c r="AG209" s="268">
        <f>IFERROR(__xludf.DUMMYFUNCTION("""COMPUTED_VALUE"""),0.0)</f>
        <v>0</v>
      </c>
      <c r="AH209" s="268">
        <f>IFERROR(__xludf.DUMMYFUNCTION("""COMPUTED_VALUE"""),0.0)</f>
        <v>0</v>
      </c>
      <c r="AI209" s="268">
        <f>IFERROR(__xludf.DUMMYFUNCTION("""COMPUTED_VALUE"""),0.0)</f>
        <v>0</v>
      </c>
      <c r="AJ209" s="268"/>
    </row>
    <row r="210" ht="22.5" customHeight="1">
      <c r="A210" s="170" t="str">
        <f>IFERROR(__xludf.DUMMYFUNCTION("""COMPUTED_VALUE"""),"")</f>
        <v/>
      </c>
      <c r="B210" s="170" t="str">
        <f>IFERROR(__xludf.DUMMYFUNCTION("""COMPUTED_VALUE"""),"")</f>
        <v/>
      </c>
      <c r="C210" s="170">
        <f>IFERROR(__xludf.DUMMYFUNCTION("""COMPUTED_VALUE"""),404.0)</f>
        <v>404</v>
      </c>
      <c r="D210" s="170" t="str">
        <f>IFERROR(__xludf.DUMMYFUNCTION("""COMPUTED_VALUE"""),"CMS Waldir Franco")</f>
        <v>CMS Waldir Franco</v>
      </c>
      <c r="E210" s="270" t="str">
        <f>IFERROR(__xludf.DUMMYFUNCTION("""COMPUTED_VALUE"""),"ZONA OESTE")</f>
        <v>ZONA OESTE</v>
      </c>
      <c r="F210" s="170" t="str">
        <f>IFERROR(__xludf.DUMMYFUNCTION("""COMPUTED_VALUE"""),"Rio de Janeiro")</f>
        <v>Rio de Janeiro</v>
      </c>
      <c r="G210" s="170" t="str">
        <f>IFERROR(__xludf.DUMMYFUNCTION("""COMPUTED_VALUE"""),"Bangu")</f>
        <v>Bangu</v>
      </c>
      <c r="H210" s="170" t="str">
        <f>IFERROR(__xludf.DUMMYFUNCTION("""COMPUTED_VALUE"""),"Unidade básica de saúde - BAIXA COMPLEXIDADE")</f>
        <v>Unidade básica de saúde - BAIXA COMPLEXIDADE</v>
      </c>
      <c r="I210" s="170" t="str">
        <f>IFERROR(__xludf.DUMMYFUNCTION("""COMPUTED_VALUE"""),"Público")</f>
        <v>Público</v>
      </c>
      <c r="J210" s="170" t="str">
        <f>IFERROR(__xludf.DUMMYFUNCTION("""COMPUTED_VALUE"""),"")</f>
        <v/>
      </c>
      <c r="K210" s="170" t="str">
        <f>IFERROR(__xludf.DUMMYFUNCTION("""COMPUTED_VALUE"""),"")</f>
        <v/>
      </c>
      <c r="L210" s="170" t="str">
        <f>IFERROR(__xludf.DUMMYFUNCTION("""COMPUTED_VALUE"""),"")</f>
        <v/>
      </c>
      <c r="M210" s="170" t="str">
        <f>IFERROR(__xludf.DUMMYFUNCTION("""COMPUTED_VALUE"""),"")</f>
        <v/>
      </c>
      <c r="N210" s="170">
        <f>IFERROR(__xludf.DUMMYFUNCTION("""COMPUTED_VALUE"""),0.0)</f>
        <v>0</v>
      </c>
      <c r="O210" s="170">
        <f>IFERROR(__xludf.DUMMYFUNCTION("""COMPUTED_VALUE"""),0.0)</f>
        <v>0</v>
      </c>
      <c r="P210" s="170">
        <f>IFERROR(__xludf.DUMMYFUNCTION("""COMPUTED_VALUE"""),0.0)</f>
        <v>0</v>
      </c>
      <c r="Q210" s="170">
        <f>IFERROR(__xludf.DUMMYFUNCTION("""COMPUTED_VALUE"""),0.0)</f>
        <v>0</v>
      </c>
      <c r="R210" s="170">
        <f>IFERROR(__xludf.DUMMYFUNCTION("""COMPUTED_VALUE"""),0.0)</f>
        <v>0</v>
      </c>
      <c r="S210" s="170">
        <f>IFERROR(__xludf.DUMMYFUNCTION("""COMPUTED_VALUE"""),0.0)</f>
        <v>0</v>
      </c>
      <c r="T210" s="170">
        <f>IFERROR(__xludf.DUMMYFUNCTION("""COMPUTED_VALUE"""),50.0)</f>
        <v>50</v>
      </c>
      <c r="U210" s="170">
        <f>IFERROR(__xludf.DUMMYFUNCTION("""COMPUTED_VALUE"""),0.0)</f>
        <v>0</v>
      </c>
      <c r="V210" s="170">
        <f>IFERROR(__xludf.DUMMYFUNCTION("""COMPUTED_VALUE"""),0.0)</f>
        <v>0</v>
      </c>
      <c r="W210" s="170">
        <f>IFERROR(__xludf.DUMMYFUNCTION("""COMPUTED_VALUE"""),0.0)</f>
        <v>0</v>
      </c>
      <c r="X210" s="170">
        <f>IFERROR(__xludf.DUMMYFUNCTION("""COMPUTED_VALUE"""),0.0)</f>
        <v>0</v>
      </c>
      <c r="Y210" s="170">
        <f>IFERROR(__xludf.DUMMYFUNCTION("""COMPUTED_VALUE"""),0.0)</f>
        <v>0</v>
      </c>
      <c r="Z210" s="170">
        <f>IFERROR(__xludf.DUMMYFUNCTION("""COMPUTED_VALUE"""),-50.0)</f>
        <v>-50</v>
      </c>
      <c r="AA210" s="170">
        <f>IFERROR(__xludf.DUMMYFUNCTION("""COMPUTED_VALUE"""),0.0)</f>
        <v>0</v>
      </c>
      <c r="AB210" s="170">
        <f>IFERROR(__xludf.DUMMYFUNCTION("""COMPUTED_VALUE"""),0.0)</f>
        <v>0</v>
      </c>
      <c r="AC210" s="170">
        <f>IFERROR(__xludf.DUMMYFUNCTION("""COMPUTED_VALUE"""),0.0)</f>
        <v>0</v>
      </c>
      <c r="AD210" s="170">
        <f>IFERROR(__xludf.DUMMYFUNCTION("""COMPUTED_VALUE"""),0.0)</f>
        <v>0</v>
      </c>
      <c r="AE210" s="170">
        <f>IFERROR(__xludf.DUMMYFUNCTION("""COMPUTED_VALUE"""),0.0)</f>
        <v>0</v>
      </c>
      <c r="AF210" s="170" t="str">
        <f>IFERROR(__xludf.DUMMYFUNCTION("""COMPUTED_VALUE"""),"")</f>
        <v/>
      </c>
      <c r="AG210" s="170">
        <f>IFERROR(__xludf.DUMMYFUNCTION("""COMPUTED_VALUE"""),0.0)</f>
        <v>0</v>
      </c>
      <c r="AH210" s="170">
        <f>IFERROR(__xludf.DUMMYFUNCTION("""COMPUTED_VALUE"""),0.0)</f>
        <v>0</v>
      </c>
      <c r="AI210" s="170">
        <f>IFERROR(__xludf.DUMMYFUNCTION("""COMPUTED_VALUE"""),0.0)</f>
        <v>0</v>
      </c>
      <c r="AJ210" s="170"/>
    </row>
    <row r="211" ht="22.5" customHeight="1">
      <c r="A211" s="268" t="str">
        <f>IFERROR(__xludf.DUMMYFUNCTION("""COMPUTED_VALUE"""),"")</f>
        <v/>
      </c>
      <c r="B211" s="268" t="str">
        <f>IFERROR(__xludf.DUMMYFUNCTION("""COMPUTED_VALUE"""),"")</f>
        <v/>
      </c>
      <c r="C211" s="268">
        <f>IFERROR(__xludf.DUMMYFUNCTION("""COMPUTED_VALUE"""),405.0)</f>
        <v>405</v>
      </c>
      <c r="D211" s="268" t="str">
        <f>IFERROR(__xludf.DUMMYFUNCTION("""COMPUTED_VALUE"""),"CMS Dr Eithel Pinheiro de Oliveira Lima")</f>
        <v>CMS Dr Eithel Pinheiro de Oliveira Lima</v>
      </c>
      <c r="E211" s="272" t="str">
        <f>IFERROR(__xludf.DUMMYFUNCTION("""COMPUTED_VALUE"""),"ZONA OESTE")</f>
        <v>ZONA OESTE</v>
      </c>
      <c r="F211" s="268" t="str">
        <f>IFERROR(__xludf.DUMMYFUNCTION("""COMPUTED_VALUE"""),"Rio de Janeiro")</f>
        <v>Rio de Janeiro</v>
      </c>
      <c r="G211" s="268" t="str">
        <f>IFERROR(__xludf.DUMMYFUNCTION("""COMPUTED_VALUE"""),"Senador Camará")</f>
        <v>Senador Camará</v>
      </c>
      <c r="H211" s="268" t="str">
        <f>IFERROR(__xludf.DUMMYFUNCTION("""COMPUTED_VALUE"""),"Unidade básica de saúde - BAIXA COMPLEXIDADE")</f>
        <v>Unidade básica de saúde - BAIXA COMPLEXIDADE</v>
      </c>
      <c r="I211" s="268" t="str">
        <f>IFERROR(__xludf.DUMMYFUNCTION("""COMPUTED_VALUE"""),"Público")</f>
        <v>Público</v>
      </c>
      <c r="J211" s="268" t="str">
        <f>IFERROR(__xludf.DUMMYFUNCTION("""COMPUTED_VALUE"""),"")</f>
        <v/>
      </c>
      <c r="K211" s="268" t="str">
        <f>IFERROR(__xludf.DUMMYFUNCTION("""COMPUTED_VALUE"""),"")</f>
        <v/>
      </c>
      <c r="L211" s="268" t="str">
        <f>IFERROR(__xludf.DUMMYFUNCTION("""COMPUTED_VALUE"""),"")</f>
        <v/>
      </c>
      <c r="M211" s="268" t="str">
        <f>IFERROR(__xludf.DUMMYFUNCTION("""COMPUTED_VALUE"""),"")</f>
        <v/>
      </c>
      <c r="N211" s="268">
        <f>IFERROR(__xludf.DUMMYFUNCTION("""COMPUTED_VALUE"""),0.0)</f>
        <v>0</v>
      </c>
      <c r="O211" s="268">
        <f>IFERROR(__xludf.DUMMYFUNCTION("""COMPUTED_VALUE"""),0.0)</f>
        <v>0</v>
      </c>
      <c r="P211" s="268">
        <f>IFERROR(__xludf.DUMMYFUNCTION("""COMPUTED_VALUE"""),0.0)</f>
        <v>0</v>
      </c>
      <c r="Q211" s="268">
        <f>IFERROR(__xludf.DUMMYFUNCTION("""COMPUTED_VALUE"""),0.0)</f>
        <v>0</v>
      </c>
      <c r="R211" s="268">
        <f>IFERROR(__xludf.DUMMYFUNCTION("""COMPUTED_VALUE"""),0.0)</f>
        <v>0</v>
      </c>
      <c r="S211" s="268">
        <f>IFERROR(__xludf.DUMMYFUNCTION("""COMPUTED_VALUE"""),0.0)</f>
        <v>0</v>
      </c>
      <c r="T211" s="268">
        <f>IFERROR(__xludf.DUMMYFUNCTION("""COMPUTED_VALUE"""),50.0)</f>
        <v>50</v>
      </c>
      <c r="U211" s="268">
        <f>IFERROR(__xludf.DUMMYFUNCTION("""COMPUTED_VALUE"""),0.0)</f>
        <v>0</v>
      </c>
      <c r="V211" s="268">
        <f>IFERROR(__xludf.DUMMYFUNCTION("""COMPUTED_VALUE"""),0.0)</f>
        <v>0</v>
      </c>
      <c r="W211" s="268">
        <f>IFERROR(__xludf.DUMMYFUNCTION("""COMPUTED_VALUE"""),0.0)</f>
        <v>0</v>
      </c>
      <c r="X211" s="268">
        <f>IFERROR(__xludf.DUMMYFUNCTION("""COMPUTED_VALUE"""),0.0)</f>
        <v>0</v>
      </c>
      <c r="Y211" s="268">
        <f>IFERROR(__xludf.DUMMYFUNCTION("""COMPUTED_VALUE"""),0.0)</f>
        <v>0</v>
      </c>
      <c r="Z211" s="268">
        <f>IFERROR(__xludf.DUMMYFUNCTION("""COMPUTED_VALUE"""),-50.0)</f>
        <v>-50</v>
      </c>
      <c r="AA211" s="268">
        <f>IFERROR(__xludf.DUMMYFUNCTION("""COMPUTED_VALUE"""),0.0)</f>
        <v>0</v>
      </c>
      <c r="AB211" s="268">
        <f>IFERROR(__xludf.DUMMYFUNCTION("""COMPUTED_VALUE"""),0.0)</f>
        <v>0</v>
      </c>
      <c r="AC211" s="268">
        <f>IFERROR(__xludf.DUMMYFUNCTION("""COMPUTED_VALUE"""),0.0)</f>
        <v>0</v>
      </c>
      <c r="AD211" s="268">
        <f>IFERROR(__xludf.DUMMYFUNCTION("""COMPUTED_VALUE"""),0.0)</f>
        <v>0</v>
      </c>
      <c r="AE211" s="268">
        <f>IFERROR(__xludf.DUMMYFUNCTION("""COMPUTED_VALUE"""),0.0)</f>
        <v>0</v>
      </c>
      <c r="AF211" s="268" t="str">
        <f>IFERROR(__xludf.DUMMYFUNCTION("""COMPUTED_VALUE"""),"")</f>
        <v/>
      </c>
      <c r="AG211" s="268">
        <f>IFERROR(__xludf.DUMMYFUNCTION("""COMPUTED_VALUE"""),0.0)</f>
        <v>0</v>
      </c>
      <c r="AH211" s="268">
        <f>IFERROR(__xludf.DUMMYFUNCTION("""COMPUTED_VALUE"""),0.0)</f>
        <v>0</v>
      </c>
      <c r="AI211" s="268">
        <f>IFERROR(__xludf.DUMMYFUNCTION("""COMPUTED_VALUE"""),0.0)</f>
        <v>0</v>
      </c>
      <c r="AJ211" s="268"/>
    </row>
    <row r="212" ht="22.5" customHeight="1">
      <c r="A212" s="170" t="str">
        <f>IFERROR(__xludf.DUMMYFUNCTION("""COMPUTED_VALUE"""),"")</f>
        <v/>
      </c>
      <c r="B212" s="170" t="str">
        <f>IFERROR(__xludf.DUMMYFUNCTION("""COMPUTED_VALUE"""),"")</f>
        <v/>
      </c>
      <c r="C212" s="170">
        <f>IFERROR(__xludf.DUMMYFUNCTION("""COMPUTED_VALUE"""),406.0)</f>
        <v>406</v>
      </c>
      <c r="D212" s="170" t="str">
        <f>IFERROR(__xludf.DUMMYFUNCTION("""COMPUTED_VALUE"""),"Clinica Brasil sem Alergia ")</f>
        <v>Clinica Brasil sem Alergia </v>
      </c>
      <c r="E212" s="270" t="str">
        <f>IFERROR(__xludf.DUMMYFUNCTION("""COMPUTED_VALUE"""),"")</f>
        <v/>
      </c>
      <c r="F212" s="170" t="str">
        <f>IFERROR(__xludf.DUMMYFUNCTION("""COMPUTED_VALUE"""),"Rio de Janeiro")</f>
        <v>Rio de Janeiro</v>
      </c>
      <c r="G212" s="170" t="str">
        <f>IFERROR(__xludf.DUMMYFUNCTION("""COMPUTED_VALUE"""),"Rio de Janeiro")</f>
        <v>Rio de Janeiro</v>
      </c>
      <c r="H212" s="170" t="str">
        <f>IFERROR(__xludf.DUMMYFUNCTION("""COMPUTED_VALUE"""),"Outra Instituição")</f>
        <v>Outra Instituição</v>
      </c>
      <c r="I212" s="170" t="str">
        <f>IFERROR(__xludf.DUMMYFUNCTION("""COMPUTED_VALUE"""),"Público")</f>
        <v>Público</v>
      </c>
      <c r="J212" s="170" t="str">
        <f>IFERROR(__xludf.DUMMYFUNCTION("""COMPUTED_VALUE"""),"")</f>
        <v/>
      </c>
      <c r="K212" s="170" t="str">
        <f>IFERROR(__xludf.DUMMYFUNCTION("""COMPUTED_VALUE"""),"")</f>
        <v/>
      </c>
      <c r="L212" s="170" t="str">
        <f>IFERROR(__xludf.DUMMYFUNCTION("""COMPUTED_VALUE"""),"")</f>
        <v/>
      </c>
      <c r="M212" s="170" t="str">
        <f>IFERROR(__xludf.DUMMYFUNCTION("""COMPUTED_VALUE"""),"")</f>
        <v/>
      </c>
      <c r="N212" s="170">
        <f>IFERROR(__xludf.DUMMYFUNCTION("""COMPUTED_VALUE"""),0.0)</f>
        <v>0</v>
      </c>
      <c r="O212" s="170">
        <f>IFERROR(__xludf.DUMMYFUNCTION("""COMPUTED_VALUE"""),0.0)</f>
        <v>0</v>
      </c>
      <c r="P212" s="170">
        <f>IFERROR(__xludf.DUMMYFUNCTION("""COMPUTED_VALUE"""),0.0)</f>
        <v>0</v>
      </c>
      <c r="Q212" s="170">
        <f>IFERROR(__xludf.DUMMYFUNCTION("""COMPUTED_VALUE"""),0.0)</f>
        <v>0</v>
      </c>
      <c r="R212" s="170">
        <f>IFERROR(__xludf.DUMMYFUNCTION("""COMPUTED_VALUE"""),0.0)</f>
        <v>0</v>
      </c>
      <c r="S212" s="170">
        <f>IFERROR(__xludf.DUMMYFUNCTION("""COMPUTED_VALUE"""),0.0)</f>
        <v>0</v>
      </c>
      <c r="T212" s="170">
        <f>IFERROR(__xludf.DUMMYFUNCTION("""COMPUTED_VALUE"""),50.0)</f>
        <v>50</v>
      </c>
      <c r="U212" s="170">
        <f>IFERROR(__xludf.DUMMYFUNCTION("""COMPUTED_VALUE"""),0.0)</f>
        <v>0</v>
      </c>
      <c r="V212" s="170">
        <f>IFERROR(__xludf.DUMMYFUNCTION("""COMPUTED_VALUE"""),0.0)</f>
        <v>0</v>
      </c>
      <c r="W212" s="170">
        <f>IFERROR(__xludf.DUMMYFUNCTION("""COMPUTED_VALUE"""),0.0)</f>
        <v>0</v>
      </c>
      <c r="X212" s="170">
        <f>IFERROR(__xludf.DUMMYFUNCTION("""COMPUTED_VALUE"""),0.0)</f>
        <v>0</v>
      </c>
      <c r="Y212" s="170">
        <f>IFERROR(__xludf.DUMMYFUNCTION("""COMPUTED_VALUE"""),0.0)</f>
        <v>0</v>
      </c>
      <c r="Z212" s="170">
        <f>IFERROR(__xludf.DUMMYFUNCTION("""COMPUTED_VALUE"""),-50.0)</f>
        <v>-50</v>
      </c>
      <c r="AA212" s="170">
        <f>IFERROR(__xludf.DUMMYFUNCTION("""COMPUTED_VALUE"""),0.0)</f>
        <v>0</v>
      </c>
      <c r="AB212" s="170">
        <f>IFERROR(__xludf.DUMMYFUNCTION("""COMPUTED_VALUE"""),0.0)</f>
        <v>0</v>
      </c>
      <c r="AC212" s="170">
        <f>IFERROR(__xludf.DUMMYFUNCTION("""COMPUTED_VALUE"""),0.0)</f>
        <v>0</v>
      </c>
      <c r="AD212" s="170">
        <f>IFERROR(__xludf.DUMMYFUNCTION("""COMPUTED_VALUE"""),0.0)</f>
        <v>0</v>
      </c>
      <c r="AE212" s="170">
        <f>IFERROR(__xludf.DUMMYFUNCTION("""COMPUTED_VALUE"""),0.0)</f>
        <v>0</v>
      </c>
      <c r="AF212" s="170" t="str">
        <f>IFERROR(__xludf.DUMMYFUNCTION("""COMPUTED_VALUE"""),"")</f>
        <v/>
      </c>
      <c r="AG212" s="170">
        <f>IFERROR(__xludf.DUMMYFUNCTION("""COMPUTED_VALUE"""),0.0)</f>
        <v>0</v>
      </c>
      <c r="AH212" s="170">
        <f>IFERROR(__xludf.DUMMYFUNCTION("""COMPUTED_VALUE"""),0.0)</f>
        <v>0</v>
      </c>
      <c r="AI212" s="170">
        <f>IFERROR(__xludf.DUMMYFUNCTION("""COMPUTED_VALUE"""),0.0)</f>
        <v>0</v>
      </c>
      <c r="AJ212" s="170"/>
    </row>
    <row r="213" ht="22.5" customHeight="1">
      <c r="A213" s="268" t="str">
        <f>IFERROR(__xludf.DUMMYFUNCTION("""COMPUTED_VALUE"""),"")</f>
        <v/>
      </c>
      <c r="B213" s="268" t="str">
        <f>IFERROR(__xludf.DUMMYFUNCTION("""COMPUTED_VALUE"""),"")</f>
        <v/>
      </c>
      <c r="C213" s="268">
        <f>IFERROR(__xludf.DUMMYFUNCTION("""COMPUTED_VALUE"""),407.0)</f>
        <v>407</v>
      </c>
      <c r="D213" s="268" t="str">
        <f>IFERROR(__xludf.DUMMYFUNCTION("""COMPUTED_VALUE"""),"Clínica da Família Maestro Celestino")</f>
        <v>Clínica da Família Maestro Celestino</v>
      </c>
      <c r="E213" s="272" t="str">
        <f>IFERROR(__xludf.DUMMYFUNCTION("""COMPUTED_VALUE"""),"ZONA NORTE")</f>
        <v>ZONA NORTE</v>
      </c>
      <c r="F213" s="268" t="str">
        <f>IFERROR(__xludf.DUMMYFUNCTION("""COMPUTED_VALUE"""),"Rio de Janeiro")</f>
        <v>Rio de Janeiro</v>
      </c>
      <c r="G213" s="268" t="str">
        <f>IFERROR(__xludf.DUMMYFUNCTION("""COMPUTED_VALUE"""),"Marechal Hermes")</f>
        <v>Marechal Hermes</v>
      </c>
      <c r="H213" s="268" t="str">
        <f>IFERROR(__xludf.DUMMYFUNCTION("""COMPUTED_VALUE"""),"Unidade básica de saúde - BAIXA COMPLEXIDADE")</f>
        <v>Unidade básica de saúde - BAIXA COMPLEXIDADE</v>
      </c>
      <c r="I213" s="268" t="str">
        <f>IFERROR(__xludf.DUMMYFUNCTION("""COMPUTED_VALUE"""),"Público")</f>
        <v>Público</v>
      </c>
      <c r="J213" s="268" t="str">
        <f>IFERROR(__xludf.DUMMYFUNCTION("""COMPUTED_VALUE"""),"")</f>
        <v/>
      </c>
      <c r="K213" s="268" t="str">
        <f>IFERROR(__xludf.DUMMYFUNCTION("""COMPUTED_VALUE"""),"")</f>
        <v/>
      </c>
      <c r="L213" s="268" t="str">
        <f>IFERROR(__xludf.DUMMYFUNCTION("""COMPUTED_VALUE"""),"")</f>
        <v/>
      </c>
      <c r="M213" s="268" t="str">
        <f>IFERROR(__xludf.DUMMYFUNCTION("""COMPUTED_VALUE"""),"")</f>
        <v/>
      </c>
      <c r="N213" s="268">
        <f>IFERROR(__xludf.DUMMYFUNCTION("""COMPUTED_VALUE"""),0.0)</f>
        <v>0</v>
      </c>
      <c r="O213" s="268">
        <f>IFERROR(__xludf.DUMMYFUNCTION("""COMPUTED_VALUE"""),0.0)</f>
        <v>0</v>
      </c>
      <c r="P213" s="268">
        <f>IFERROR(__xludf.DUMMYFUNCTION("""COMPUTED_VALUE"""),0.0)</f>
        <v>0</v>
      </c>
      <c r="Q213" s="268">
        <f>IFERROR(__xludf.DUMMYFUNCTION("""COMPUTED_VALUE"""),0.0)</f>
        <v>0</v>
      </c>
      <c r="R213" s="268">
        <f>IFERROR(__xludf.DUMMYFUNCTION("""COMPUTED_VALUE"""),0.0)</f>
        <v>0</v>
      </c>
      <c r="S213" s="268">
        <f>IFERROR(__xludf.DUMMYFUNCTION("""COMPUTED_VALUE"""),0.0)</f>
        <v>0</v>
      </c>
      <c r="T213" s="268">
        <f>IFERROR(__xludf.DUMMYFUNCTION("""COMPUTED_VALUE"""),50.0)</f>
        <v>50</v>
      </c>
      <c r="U213" s="268">
        <f>IFERROR(__xludf.DUMMYFUNCTION("""COMPUTED_VALUE"""),0.0)</f>
        <v>0</v>
      </c>
      <c r="V213" s="268">
        <f>IFERROR(__xludf.DUMMYFUNCTION("""COMPUTED_VALUE"""),0.0)</f>
        <v>0</v>
      </c>
      <c r="W213" s="268">
        <f>IFERROR(__xludf.DUMMYFUNCTION("""COMPUTED_VALUE"""),0.0)</f>
        <v>0</v>
      </c>
      <c r="X213" s="268">
        <f>IFERROR(__xludf.DUMMYFUNCTION("""COMPUTED_VALUE"""),10.0)</f>
        <v>10</v>
      </c>
      <c r="Y213" s="268">
        <f>IFERROR(__xludf.DUMMYFUNCTION("""COMPUTED_VALUE"""),20.0)</f>
        <v>20</v>
      </c>
      <c r="Z213" s="268">
        <f>IFERROR(__xludf.DUMMYFUNCTION("""COMPUTED_VALUE"""),-50.0)</f>
        <v>-50</v>
      </c>
      <c r="AA213" s="268">
        <f>IFERROR(__xludf.DUMMYFUNCTION("""COMPUTED_VALUE"""),0.0)</f>
        <v>0</v>
      </c>
      <c r="AB213" s="268">
        <f>IFERROR(__xludf.DUMMYFUNCTION("""COMPUTED_VALUE"""),0.0)</f>
        <v>0</v>
      </c>
      <c r="AC213" s="268">
        <f>IFERROR(__xludf.DUMMYFUNCTION("""COMPUTED_VALUE"""),0.0)</f>
        <v>0</v>
      </c>
      <c r="AD213" s="268">
        <f>IFERROR(__xludf.DUMMYFUNCTION("""COMPUTED_VALUE"""),-20.0)</f>
        <v>-20</v>
      </c>
      <c r="AE213" s="268">
        <f>IFERROR(__xludf.DUMMYFUNCTION("""COMPUTED_VALUE"""),-10.0)</f>
        <v>-10</v>
      </c>
      <c r="AF213" s="268" t="str">
        <f>IFERROR(__xludf.DUMMYFUNCTION("""COMPUTED_VALUE"""),"")</f>
        <v/>
      </c>
      <c r="AG213" s="268">
        <f>IFERROR(__xludf.DUMMYFUNCTION("""COMPUTED_VALUE"""),0.0)</f>
        <v>0</v>
      </c>
      <c r="AH213" s="268">
        <f>IFERROR(__xludf.DUMMYFUNCTION("""COMPUTED_VALUE"""),0.0)</f>
        <v>0</v>
      </c>
      <c r="AI213" s="268">
        <f>IFERROR(__xludf.DUMMYFUNCTION("""COMPUTED_VALUE"""),0.0)</f>
        <v>0</v>
      </c>
      <c r="AJ213" s="268"/>
    </row>
    <row r="214" ht="22.5" customHeight="1">
      <c r="A214" s="170" t="str">
        <f>IFERROR(__xludf.DUMMYFUNCTION("""COMPUTED_VALUE"""),"")</f>
        <v/>
      </c>
      <c r="B214" s="170" t="str">
        <f>IFERROR(__xludf.DUMMYFUNCTION("""COMPUTED_VALUE"""),"")</f>
        <v/>
      </c>
      <c r="C214" s="170">
        <f>IFERROR(__xludf.DUMMYFUNCTION("""COMPUTED_VALUE"""),408.0)</f>
        <v>408</v>
      </c>
      <c r="D214" s="170" t="str">
        <f>IFERROR(__xludf.DUMMYFUNCTION("""COMPUTED_VALUE"""),"Clinica da Familia Rosino Baccarini")</f>
        <v>Clinica da Familia Rosino Baccarini</v>
      </c>
      <c r="E214" s="270" t="str">
        <f>IFERROR(__xludf.DUMMYFUNCTION("""COMPUTED_VALUE"""),"ZONA OESTE")</f>
        <v>ZONA OESTE</v>
      </c>
      <c r="F214" s="170" t="str">
        <f>IFERROR(__xludf.DUMMYFUNCTION("""COMPUTED_VALUE"""),"Rio de Janeiro")</f>
        <v>Rio de Janeiro</v>
      </c>
      <c r="G214" s="170" t="str">
        <f>IFERROR(__xludf.DUMMYFUNCTION("""COMPUTED_VALUE"""),"Bangu")</f>
        <v>Bangu</v>
      </c>
      <c r="H214" s="170" t="str">
        <f>IFERROR(__xludf.DUMMYFUNCTION("""COMPUTED_VALUE"""),"Unidade básica de saúde - BAIXA COMPLEXIDADE")</f>
        <v>Unidade básica de saúde - BAIXA COMPLEXIDADE</v>
      </c>
      <c r="I214" s="170" t="str">
        <f>IFERROR(__xludf.DUMMYFUNCTION("""COMPUTED_VALUE"""),"Público")</f>
        <v>Público</v>
      </c>
      <c r="J214" s="170" t="str">
        <f>IFERROR(__xludf.DUMMYFUNCTION("""COMPUTED_VALUE"""),"")</f>
        <v/>
      </c>
      <c r="K214" s="170" t="str">
        <f>IFERROR(__xludf.DUMMYFUNCTION("""COMPUTED_VALUE"""),"")</f>
        <v/>
      </c>
      <c r="L214" s="170" t="str">
        <f>IFERROR(__xludf.DUMMYFUNCTION("""COMPUTED_VALUE"""),"")</f>
        <v/>
      </c>
      <c r="M214" s="170" t="str">
        <f>IFERROR(__xludf.DUMMYFUNCTION("""COMPUTED_VALUE"""),"")</f>
        <v/>
      </c>
      <c r="N214" s="170">
        <f>IFERROR(__xludf.DUMMYFUNCTION("""COMPUTED_VALUE"""),0.0)</f>
        <v>0</v>
      </c>
      <c r="O214" s="170">
        <f>IFERROR(__xludf.DUMMYFUNCTION("""COMPUTED_VALUE"""),0.0)</f>
        <v>0</v>
      </c>
      <c r="P214" s="170">
        <f>IFERROR(__xludf.DUMMYFUNCTION("""COMPUTED_VALUE"""),0.0)</f>
        <v>0</v>
      </c>
      <c r="Q214" s="170">
        <f>IFERROR(__xludf.DUMMYFUNCTION("""COMPUTED_VALUE"""),0.0)</f>
        <v>0</v>
      </c>
      <c r="R214" s="170">
        <f>IFERROR(__xludf.DUMMYFUNCTION("""COMPUTED_VALUE"""),0.0)</f>
        <v>0</v>
      </c>
      <c r="S214" s="170">
        <f>IFERROR(__xludf.DUMMYFUNCTION("""COMPUTED_VALUE"""),0.0)</f>
        <v>0</v>
      </c>
      <c r="T214" s="170">
        <f>IFERROR(__xludf.DUMMYFUNCTION("""COMPUTED_VALUE"""),50.0)</f>
        <v>50</v>
      </c>
      <c r="U214" s="170">
        <f>IFERROR(__xludf.DUMMYFUNCTION("""COMPUTED_VALUE"""),0.0)</f>
        <v>0</v>
      </c>
      <c r="V214" s="170">
        <f>IFERROR(__xludf.DUMMYFUNCTION("""COMPUTED_VALUE"""),0.0)</f>
        <v>0</v>
      </c>
      <c r="W214" s="170">
        <f>IFERROR(__xludf.DUMMYFUNCTION("""COMPUTED_VALUE"""),0.0)</f>
        <v>0</v>
      </c>
      <c r="X214" s="170">
        <f>IFERROR(__xludf.DUMMYFUNCTION("""COMPUTED_VALUE"""),20.0)</f>
        <v>20</v>
      </c>
      <c r="Y214" s="170">
        <f>IFERROR(__xludf.DUMMYFUNCTION("""COMPUTED_VALUE"""),10.0)</f>
        <v>10</v>
      </c>
      <c r="Z214" s="170">
        <f>IFERROR(__xludf.DUMMYFUNCTION("""COMPUTED_VALUE"""),-50.0)</f>
        <v>-50</v>
      </c>
      <c r="AA214" s="170">
        <f>IFERROR(__xludf.DUMMYFUNCTION("""COMPUTED_VALUE"""),0.0)</f>
        <v>0</v>
      </c>
      <c r="AB214" s="170">
        <f>IFERROR(__xludf.DUMMYFUNCTION("""COMPUTED_VALUE"""),0.0)</f>
        <v>0</v>
      </c>
      <c r="AC214" s="170">
        <f>IFERROR(__xludf.DUMMYFUNCTION("""COMPUTED_VALUE"""),0.0)</f>
        <v>0</v>
      </c>
      <c r="AD214" s="170">
        <f>IFERROR(__xludf.DUMMYFUNCTION("""COMPUTED_VALUE"""),-10.0)</f>
        <v>-10</v>
      </c>
      <c r="AE214" s="170">
        <f>IFERROR(__xludf.DUMMYFUNCTION("""COMPUTED_VALUE"""),-20.0)</f>
        <v>-20</v>
      </c>
      <c r="AF214" s="170" t="str">
        <f>IFERROR(__xludf.DUMMYFUNCTION("""COMPUTED_VALUE"""),"")</f>
        <v/>
      </c>
      <c r="AG214" s="170">
        <f>IFERROR(__xludf.DUMMYFUNCTION("""COMPUTED_VALUE"""),0.0)</f>
        <v>0</v>
      </c>
      <c r="AH214" s="170">
        <f>IFERROR(__xludf.DUMMYFUNCTION("""COMPUTED_VALUE"""),0.0)</f>
        <v>0</v>
      </c>
      <c r="AI214" s="170">
        <f>IFERROR(__xludf.DUMMYFUNCTION("""COMPUTED_VALUE"""),0.0)</f>
        <v>0</v>
      </c>
      <c r="AJ214" s="170"/>
    </row>
    <row r="215" ht="22.5" customHeight="1">
      <c r="A215" s="268" t="str">
        <f>IFERROR(__xludf.DUMMYFUNCTION("""COMPUTED_VALUE"""),"")</f>
        <v/>
      </c>
      <c r="B215" s="268" t="str">
        <f>IFERROR(__xludf.DUMMYFUNCTION("""COMPUTED_VALUE"""),"")</f>
        <v/>
      </c>
      <c r="C215" s="268">
        <f>IFERROR(__xludf.DUMMYFUNCTION("""COMPUTED_VALUE"""),409.0)</f>
        <v>409</v>
      </c>
      <c r="D215" s="268" t="str">
        <f>IFERROR(__xludf.DUMMYFUNCTION("""COMPUTED_VALUE"""),"Clínica da Família Olimia Esteves")</f>
        <v>Clínica da Família Olimia Esteves</v>
      </c>
      <c r="E215" s="272" t="str">
        <f>IFERROR(__xludf.DUMMYFUNCTION("""COMPUTED_VALUE"""),"ZONA OESTE")</f>
        <v>ZONA OESTE</v>
      </c>
      <c r="F215" s="268" t="str">
        <f>IFERROR(__xludf.DUMMYFUNCTION("""COMPUTED_VALUE"""),"Rio de Janeiro")</f>
        <v>Rio de Janeiro</v>
      </c>
      <c r="G215" s="268" t="str">
        <f>IFERROR(__xludf.DUMMYFUNCTION("""COMPUTED_VALUE"""),"Padre Miguel")</f>
        <v>Padre Miguel</v>
      </c>
      <c r="H215" s="268" t="str">
        <f>IFERROR(__xludf.DUMMYFUNCTION("""COMPUTED_VALUE"""),"Unidade básica de saúde - BAIXA COMPLEXIDADE")</f>
        <v>Unidade básica de saúde - BAIXA COMPLEXIDADE</v>
      </c>
      <c r="I215" s="268" t="str">
        <f>IFERROR(__xludf.DUMMYFUNCTION("""COMPUTED_VALUE"""),"Público")</f>
        <v>Público</v>
      </c>
      <c r="J215" s="268" t="str">
        <f>IFERROR(__xludf.DUMMYFUNCTION("""COMPUTED_VALUE"""),"")</f>
        <v/>
      </c>
      <c r="K215" s="268" t="str">
        <f>IFERROR(__xludf.DUMMYFUNCTION("""COMPUTED_VALUE"""),"")</f>
        <v/>
      </c>
      <c r="L215" s="268" t="str">
        <f>IFERROR(__xludf.DUMMYFUNCTION("""COMPUTED_VALUE"""),"")</f>
        <v/>
      </c>
      <c r="M215" s="268" t="str">
        <f>IFERROR(__xludf.DUMMYFUNCTION("""COMPUTED_VALUE"""),"")</f>
        <v/>
      </c>
      <c r="N215" s="268">
        <f>IFERROR(__xludf.DUMMYFUNCTION("""COMPUTED_VALUE"""),0.0)</f>
        <v>0</v>
      </c>
      <c r="O215" s="268">
        <f>IFERROR(__xludf.DUMMYFUNCTION("""COMPUTED_VALUE"""),0.0)</f>
        <v>0</v>
      </c>
      <c r="P215" s="268">
        <f>IFERROR(__xludf.DUMMYFUNCTION("""COMPUTED_VALUE"""),0.0)</f>
        <v>0</v>
      </c>
      <c r="Q215" s="268">
        <f>IFERROR(__xludf.DUMMYFUNCTION("""COMPUTED_VALUE"""),0.0)</f>
        <v>0</v>
      </c>
      <c r="R215" s="268">
        <f>IFERROR(__xludf.DUMMYFUNCTION("""COMPUTED_VALUE"""),0.0)</f>
        <v>0</v>
      </c>
      <c r="S215" s="268">
        <f>IFERROR(__xludf.DUMMYFUNCTION("""COMPUTED_VALUE"""),0.0)</f>
        <v>0</v>
      </c>
      <c r="T215" s="268">
        <f>IFERROR(__xludf.DUMMYFUNCTION("""COMPUTED_VALUE"""),50.0)</f>
        <v>50</v>
      </c>
      <c r="U215" s="268">
        <f>IFERROR(__xludf.DUMMYFUNCTION("""COMPUTED_VALUE"""),0.0)</f>
        <v>0</v>
      </c>
      <c r="V215" s="268">
        <f>IFERROR(__xludf.DUMMYFUNCTION("""COMPUTED_VALUE"""),0.0)</f>
        <v>0</v>
      </c>
      <c r="W215" s="268">
        <f>IFERROR(__xludf.DUMMYFUNCTION("""COMPUTED_VALUE"""),0.0)</f>
        <v>0</v>
      </c>
      <c r="X215" s="268">
        <f>IFERROR(__xludf.DUMMYFUNCTION("""COMPUTED_VALUE"""),20.0)</f>
        <v>20</v>
      </c>
      <c r="Y215" s="268">
        <f>IFERROR(__xludf.DUMMYFUNCTION("""COMPUTED_VALUE"""),10.0)</f>
        <v>10</v>
      </c>
      <c r="Z215" s="268">
        <f>IFERROR(__xludf.DUMMYFUNCTION("""COMPUTED_VALUE"""),-50.0)</f>
        <v>-50</v>
      </c>
      <c r="AA215" s="268">
        <f>IFERROR(__xludf.DUMMYFUNCTION("""COMPUTED_VALUE"""),0.0)</f>
        <v>0</v>
      </c>
      <c r="AB215" s="268">
        <f>IFERROR(__xludf.DUMMYFUNCTION("""COMPUTED_VALUE"""),0.0)</f>
        <v>0</v>
      </c>
      <c r="AC215" s="268">
        <f>IFERROR(__xludf.DUMMYFUNCTION("""COMPUTED_VALUE"""),0.0)</f>
        <v>0</v>
      </c>
      <c r="AD215" s="268">
        <f>IFERROR(__xludf.DUMMYFUNCTION("""COMPUTED_VALUE"""),-10.0)</f>
        <v>-10</v>
      </c>
      <c r="AE215" s="268">
        <f>IFERROR(__xludf.DUMMYFUNCTION("""COMPUTED_VALUE"""),-20.0)</f>
        <v>-20</v>
      </c>
      <c r="AF215" s="268" t="str">
        <f>IFERROR(__xludf.DUMMYFUNCTION("""COMPUTED_VALUE"""),"")</f>
        <v/>
      </c>
      <c r="AG215" s="268">
        <f>IFERROR(__xludf.DUMMYFUNCTION("""COMPUTED_VALUE"""),0.0)</f>
        <v>0</v>
      </c>
      <c r="AH215" s="268">
        <f>IFERROR(__xludf.DUMMYFUNCTION("""COMPUTED_VALUE"""),0.0)</f>
        <v>0</v>
      </c>
      <c r="AI215" s="268">
        <f>IFERROR(__xludf.DUMMYFUNCTION("""COMPUTED_VALUE"""),0.0)</f>
        <v>0</v>
      </c>
      <c r="AJ215" s="268"/>
    </row>
    <row r="216" ht="22.5" customHeight="1">
      <c r="A216" s="170" t="str">
        <f>IFERROR(__xludf.DUMMYFUNCTION("""COMPUTED_VALUE"""),"")</f>
        <v/>
      </c>
      <c r="B216" s="170" t="str">
        <f>IFERROR(__xludf.DUMMYFUNCTION("""COMPUTED_VALUE"""),"")</f>
        <v/>
      </c>
      <c r="C216" s="170">
        <f>IFERROR(__xludf.DUMMYFUNCTION("""COMPUTED_VALUE"""),410.0)</f>
        <v>410</v>
      </c>
      <c r="D216" s="170" t="str">
        <f>IFERROR(__xludf.DUMMYFUNCTION("""COMPUTED_VALUE"""),"Clinica da Familia Wilson Mello Santos")</f>
        <v>Clinica da Familia Wilson Mello Santos</v>
      </c>
      <c r="E216" s="270" t="str">
        <f>IFERROR(__xludf.DUMMYFUNCTION("""COMPUTED_VALUE"""),"ZONA OESTE")</f>
        <v>ZONA OESTE</v>
      </c>
      <c r="F216" s="170" t="str">
        <f>IFERROR(__xludf.DUMMYFUNCTION("""COMPUTED_VALUE"""),"Rio de Janeiro")</f>
        <v>Rio de Janeiro</v>
      </c>
      <c r="G216" s="170" t="str">
        <f>IFERROR(__xludf.DUMMYFUNCTION("""COMPUTED_VALUE"""),"Vila Kennedy")</f>
        <v>Vila Kennedy</v>
      </c>
      <c r="H216" s="170" t="str">
        <f>IFERROR(__xludf.DUMMYFUNCTION("""COMPUTED_VALUE"""),"Unidade básica de saúde - BAIXA COMPLEXIDADE")</f>
        <v>Unidade básica de saúde - BAIXA COMPLEXIDADE</v>
      </c>
      <c r="I216" s="170" t="str">
        <f>IFERROR(__xludf.DUMMYFUNCTION("""COMPUTED_VALUE"""),"Público")</f>
        <v>Público</v>
      </c>
      <c r="J216" s="170" t="str">
        <f>IFERROR(__xludf.DUMMYFUNCTION("""COMPUTED_VALUE"""),"")</f>
        <v/>
      </c>
      <c r="K216" s="170" t="str">
        <f>IFERROR(__xludf.DUMMYFUNCTION("""COMPUTED_VALUE"""),"")</f>
        <v/>
      </c>
      <c r="L216" s="170" t="str">
        <f>IFERROR(__xludf.DUMMYFUNCTION("""COMPUTED_VALUE"""),"")</f>
        <v/>
      </c>
      <c r="M216" s="170" t="str">
        <f>IFERROR(__xludf.DUMMYFUNCTION("""COMPUTED_VALUE"""),"")</f>
        <v/>
      </c>
      <c r="N216" s="170">
        <f>IFERROR(__xludf.DUMMYFUNCTION("""COMPUTED_VALUE"""),0.0)</f>
        <v>0</v>
      </c>
      <c r="O216" s="170">
        <f>IFERROR(__xludf.DUMMYFUNCTION("""COMPUTED_VALUE"""),0.0)</f>
        <v>0</v>
      </c>
      <c r="P216" s="170">
        <f>IFERROR(__xludf.DUMMYFUNCTION("""COMPUTED_VALUE"""),0.0)</f>
        <v>0</v>
      </c>
      <c r="Q216" s="170">
        <f>IFERROR(__xludf.DUMMYFUNCTION("""COMPUTED_VALUE"""),0.0)</f>
        <v>0</v>
      </c>
      <c r="R216" s="170">
        <f>IFERROR(__xludf.DUMMYFUNCTION("""COMPUTED_VALUE"""),0.0)</f>
        <v>0</v>
      </c>
      <c r="S216" s="170">
        <f>IFERROR(__xludf.DUMMYFUNCTION("""COMPUTED_VALUE"""),0.0)</f>
        <v>0</v>
      </c>
      <c r="T216" s="170">
        <f>IFERROR(__xludf.DUMMYFUNCTION("""COMPUTED_VALUE"""),50.0)</f>
        <v>50</v>
      </c>
      <c r="U216" s="170">
        <f>IFERROR(__xludf.DUMMYFUNCTION("""COMPUTED_VALUE"""),0.0)</f>
        <v>0</v>
      </c>
      <c r="V216" s="170">
        <f>IFERROR(__xludf.DUMMYFUNCTION("""COMPUTED_VALUE"""),0.0)</f>
        <v>0</v>
      </c>
      <c r="W216" s="170">
        <f>IFERROR(__xludf.DUMMYFUNCTION("""COMPUTED_VALUE"""),0.0)</f>
        <v>0</v>
      </c>
      <c r="X216" s="170">
        <f>IFERROR(__xludf.DUMMYFUNCTION("""COMPUTED_VALUE"""),20.0)</f>
        <v>20</v>
      </c>
      <c r="Y216" s="170">
        <f>IFERROR(__xludf.DUMMYFUNCTION("""COMPUTED_VALUE"""),10.0)</f>
        <v>10</v>
      </c>
      <c r="Z216" s="170">
        <f>IFERROR(__xludf.DUMMYFUNCTION("""COMPUTED_VALUE"""),-50.0)</f>
        <v>-50</v>
      </c>
      <c r="AA216" s="170">
        <f>IFERROR(__xludf.DUMMYFUNCTION("""COMPUTED_VALUE"""),0.0)</f>
        <v>0</v>
      </c>
      <c r="AB216" s="170">
        <f>IFERROR(__xludf.DUMMYFUNCTION("""COMPUTED_VALUE"""),0.0)</f>
        <v>0</v>
      </c>
      <c r="AC216" s="170">
        <f>IFERROR(__xludf.DUMMYFUNCTION("""COMPUTED_VALUE"""),0.0)</f>
        <v>0</v>
      </c>
      <c r="AD216" s="170">
        <f>IFERROR(__xludf.DUMMYFUNCTION("""COMPUTED_VALUE"""),-10.0)</f>
        <v>-10</v>
      </c>
      <c r="AE216" s="170">
        <f>IFERROR(__xludf.DUMMYFUNCTION("""COMPUTED_VALUE"""),-20.0)</f>
        <v>-20</v>
      </c>
      <c r="AF216" s="170" t="str">
        <f>IFERROR(__xludf.DUMMYFUNCTION("""COMPUTED_VALUE"""),"")</f>
        <v/>
      </c>
      <c r="AG216" s="170">
        <f>IFERROR(__xludf.DUMMYFUNCTION("""COMPUTED_VALUE"""),0.0)</f>
        <v>0</v>
      </c>
      <c r="AH216" s="170">
        <f>IFERROR(__xludf.DUMMYFUNCTION("""COMPUTED_VALUE"""),0.0)</f>
        <v>0</v>
      </c>
      <c r="AI216" s="170">
        <f>IFERROR(__xludf.DUMMYFUNCTION("""COMPUTED_VALUE"""),0.0)</f>
        <v>0</v>
      </c>
      <c r="AJ216" s="170"/>
    </row>
    <row r="217" ht="22.5" customHeight="1">
      <c r="A217" s="268" t="str">
        <f>IFERROR(__xludf.DUMMYFUNCTION("""COMPUTED_VALUE"""),"")</f>
        <v/>
      </c>
      <c r="B217" s="268" t="str">
        <f>IFERROR(__xludf.DUMMYFUNCTION("""COMPUTED_VALUE"""),"")</f>
        <v/>
      </c>
      <c r="C217" s="268">
        <f>IFERROR(__xludf.DUMMYFUNCTION("""COMPUTED_VALUE"""),411.0)</f>
        <v>411</v>
      </c>
      <c r="D217" s="268" t="str">
        <f>IFERROR(__xludf.DUMMYFUNCTION("""COMPUTED_VALUE"""),"Clinica da Família Kelly Cristina de Sá Lacerda")</f>
        <v>Clinica da Família Kelly Cristina de Sá Lacerda</v>
      </c>
      <c r="E217" s="272" t="str">
        <f>IFERROR(__xludf.DUMMYFUNCTION("""COMPUTED_VALUE"""),"ZONA OESTE")</f>
        <v>ZONA OESTE</v>
      </c>
      <c r="F217" s="268" t="str">
        <f>IFERROR(__xludf.DUMMYFUNCTION("""COMPUTED_VALUE"""),"Rio de Janeiro")</f>
        <v>Rio de Janeiro</v>
      </c>
      <c r="G217" s="268" t="str">
        <f>IFERROR(__xludf.DUMMYFUNCTION("""COMPUTED_VALUE"""),"Senador Camará")</f>
        <v>Senador Camará</v>
      </c>
      <c r="H217" s="268" t="str">
        <f>IFERROR(__xludf.DUMMYFUNCTION("""COMPUTED_VALUE"""),"Unidade básica de saúde - BAIXA COMPLEXIDADE")</f>
        <v>Unidade básica de saúde - BAIXA COMPLEXIDADE</v>
      </c>
      <c r="I217" s="268" t="str">
        <f>IFERROR(__xludf.DUMMYFUNCTION("""COMPUTED_VALUE"""),"Público")</f>
        <v>Público</v>
      </c>
      <c r="J217" s="268" t="str">
        <f>IFERROR(__xludf.DUMMYFUNCTION("""COMPUTED_VALUE"""),"")</f>
        <v/>
      </c>
      <c r="K217" s="268" t="str">
        <f>IFERROR(__xludf.DUMMYFUNCTION("""COMPUTED_VALUE"""),"")</f>
        <v/>
      </c>
      <c r="L217" s="268" t="str">
        <f>IFERROR(__xludf.DUMMYFUNCTION("""COMPUTED_VALUE"""),"")</f>
        <v/>
      </c>
      <c r="M217" s="268" t="str">
        <f>IFERROR(__xludf.DUMMYFUNCTION("""COMPUTED_VALUE"""),"")</f>
        <v/>
      </c>
      <c r="N217" s="268">
        <f>IFERROR(__xludf.DUMMYFUNCTION("""COMPUTED_VALUE"""),0.0)</f>
        <v>0</v>
      </c>
      <c r="O217" s="268">
        <f>IFERROR(__xludf.DUMMYFUNCTION("""COMPUTED_VALUE"""),0.0)</f>
        <v>0</v>
      </c>
      <c r="P217" s="268">
        <f>IFERROR(__xludf.DUMMYFUNCTION("""COMPUTED_VALUE"""),0.0)</f>
        <v>0</v>
      </c>
      <c r="Q217" s="268">
        <f>IFERROR(__xludf.DUMMYFUNCTION("""COMPUTED_VALUE"""),0.0)</f>
        <v>0</v>
      </c>
      <c r="R217" s="268">
        <f>IFERROR(__xludf.DUMMYFUNCTION("""COMPUTED_VALUE"""),0.0)</f>
        <v>0</v>
      </c>
      <c r="S217" s="268">
        <f>IFERROR(__xludf.DUMMYFUNCTION("""COMPUTED_VALUE"""),0.0)</f>
        <v>0</v>
      </c>
      <c r="T217" s="268">
        <f>IFERROR(__xludf.DUMMYFUNCTION("""COMPUTED_VALUE"""),50.0)</f>
        <v>50</v>
      </c>
      <c r="U217" s="268">
        <f>IFERROR(__xludf.DUMMYFUNCTION("""COMPUTED_VALUE"""),0.0)</f>
        <v>0</v>
      </c>
      <c r="V217" s="268">
        <f>IFERROR(__xludf.DUMMYFUNCTION("""COMPUTED_VALUE"""),0.0)</f>
        <v>0</v>
      </c>
      <c r="W217" s="268">
        <f>IFERROR(__xludf.DUMMYFUNCTION("""COMPUTED_VALUE"""),0.0)</f>
        <v>0</v>
      </c>
      <c r="X217" s="268">
        <f>IFERROR(__xludf.DUMMYFUNCTION("""COMPUTED_VALUE"""),50.0)</f>
        <v>50</v>
      </c>
      <c r="Y217" s="268">
        <f>IFERROR(__xludf.DUMMYFUNCTION("""COMPUTED_VALUE"""),10.0)</f>
        <v>10</v>
      </c>
      <c r="Z217" s="268">
        <f>IFERROR(__xludf.DUMMYFUNCTION("""COMPUTED_VALUE"""),-50.0)</f>
        <v>-50</v>
      </c>
      <c r="AA217" s="268">
        <f>IFERROR(__xludf.DUMMYFUNCTION("""COMPUTED_VALUE"""),0.0)</f>
        <v>0</v>
      </c>
      <c r="AB217" s="268">
        <f>IFERROR(__xludf.DUMMYFUNCTION("""COMPUTED_VALUE"""),0.0)</f>
        <v>0</v>
      </c>
      <c r="AC217" s="268">
        <f>IFERROR(__xludf.DUMMYFUNCTION("""COMPUTED_VALUE"""),0.0)</f>
        <v>0</v>
      </c>
      <c r="AD217" s="268">
        <f>IFERROR(__xludf.DUMMYFUNCTION("""COMPUTED_VALUE"""),-10.0)</f>
        <v>-10</v>
      </c>
      <c r="AE217" s="268">
        <f>IFERROR(__xludf.DUMMYFUNCTION("""COMPUTED_VALUE"""),-50.0)</f>
        <v>-50</v>
      </c>
      <c r="AF217" s="268" t="str">
        <f>IFERROR(__xludf.DUMMYFUNCTION("""COMPUTED_VALUE"""),"")</f>
        <v/>
      </c>
      <c r="AG217" s="268">
        <f>IFERROR(__xludf.DUMMYFUNCTION("""COMPUTED_VALUE"""),0.0)</f>
        <v>0</v>
      </c>
      <c r="AH217" s="268">
        <f>IFERROR(__xludf.DUMMYFUNCTION("""COMPUTED_VALUE"""),0.0)</f>
        <v>0</v>
      </c>
      <c r="AI217" s="268">
        <f>IFERROR(__xludf.DUMMYFUNCTION("""COMPUTED_VALUE"""),0.0)</f>
        <v>0</v>
      </c>
      <c r="AJ217" s="268"/>
    </row>
    <row r="218" ht="22.5" customHeight="1">
      <c r="A218" s="170" t="str">
        <f>IFERROR(__xludf.DUMMYFUNCTION("""COMPUTED_VALUE"""),"")</f>
        <v/>
      </c>
      <c r="B218" s="170" t="str">
        <f>IFERROR(__xludf.DUMMYFUNCTION("""COMPUTED_VALUE"""),"")</f>
        <v/>
      </c>
      <c r="C218" s="170">
        <f>IFERROR(__xludf.DUMMYFUNCTION("""COMPUTED_VALUE"""),412.0)</f>
        <v>412</v>
      </c>
      <c r="D218" s="170" t="str">
        <f>IFERROR(__xludf.DUMMYFUNCTION("""COMPUTED_VALUE"""),"Clínica da Família Cypriano das Chagas Medeiros")</f>
        <v>Clínica da Família Cypriano das Chagas Medeiros</v>
      </c>
      <c r="E218" s="270" t="str">
        <f>IFERROR(__xludf.DUMMYFUNCTION("""COMPUTED_VALUE"""),"ZONA NORTE")</f>
        <v>ZONA NORTE</v>
      </c>
      <c r="F218" s="170" t="str">
        <f>IFERROR(__xludf.DUMMYFUNCTION("""COMPUTED_VALUE"""),"Rio de Janeiro")</f>
        <v>Rio de Janeiro</v>
      </c>
      <c r="G218" s="170" t="str">
        <f>IFERROR(__xludf.DUMMYFUNCTION("""COMPUTED_VALUE"""),"Coelho Neto")</f>
        <v>Coelho Neto</v>
      </c>
      <c r="H218" s="170" t="str">
        <f>IFERROR(__xludf.DUMMYFUNCTION("""COMPUTED_VALUE"""),"Unidade básica de saúde - BAIXA COMPLEXIDADE")</f>
        <v>Unidade básica de saúde - BAIXA COMPLEXIDADE</v>
      </c>
      <c r="I218" s="170" t="str">
        <f>IFERROR(__xludf.DUMMYFUNCTION("""COMPUTED_VALUE"""),"Público")</f>
        <v>Público</v>
      </c>
      <c r="J218" s="170" t="str">
        <f>IFERROR(__xludf.DUMMYFUNCTION("""COMPUTED_VALUE"""),"")</f>
        <v/>
      </c>
      <c r="K218" s="170" t="str">
        <f>IFERROR(__xludf.DUMMYFUNCTION("""COMPUTED_VALUE"""),"")</f>
        <v/>
      </c>
      <c r="L218" s="170" t="str">
        <f>IFERROR(__xludf.DUMMYFUNCTION("""COMPUTED_VALUE"""),"")</f>
        <v/>
      </c>
      <c r="M218" s="170" t="str">
        <f>IFERROR(__xludf.DUMMYFUNCTION("""COMPUTED_VALUE"""),"")</f>
        <v/>
      </c>
      <c r="N218" s="170">
        <f>IFERROR(__xludf.DUMMYFUNCTION("""COMPUTED_VALUE"""),0.0)</f>
        <v>0</v>
      </c>
      <c r="O218" s="170">
        <f>IFERROR(__xludf.DUMMYFUNCTION("""COMPUTED_VALUE"""),0.0)</f>
        <v>0</v>
      </c>
      <c r="P218" s="170">
        <f>IFERROR(__xludf.DUMMYFUNCTION("""COMPUTED_VALUE"""),0.0)</f>
        <v>0</v>
      </c>
      <c r="Q218" s="170">
        <f>IFERROR(__xludf.DUMMYFUNCTION("""COMPUTED_VALUE"""),0.0)</f>
        <v>0</v>
      </c>
      <c r="R218" s="170">
        <f>IFERROR(__xludf.DUMMYFUNCTION("""COMPUTED_VALUE"""),0.0)</f>
        <v>0</v>
      </c>
      <c r="S218" s="170">
        <f>IFERROR(__xludf.DUMMYFUNCTION("""COMPUTED_VALUE"""),0.0)</f>
        <v>0</v>
      </c>
      <c r="T218" s="170">
        <f>IFERROR(__xludf.DUMMYFUNCTION("""COMPUTED_VALUE"""),50.0)</f>
        <v>50</v>
      </c>
      <c r="U218" s="170">
        <f>IFERROR(__xludf.DUMMYFUNCTION("""COMPUTED_VALUE"""),0.0)</f>
        <v>0</v>
      </c>
      <c r="V218" s="170">
        <f>IFERROR(__xludf.DUMMYFUNCTION("""COMPUTED_VALUE"""),0.0)</f>
        <v>0</v>
      </c>
      <c r="W218" s="170">
        <f>IFERROR(__xludf.DUMMYFUNCTION("""COMPUTED_VALUE"""),0.0)</f>
        <v>0</v>
      </c>
      <c r="X218" s="170">
        <f>IFERROR(__xludf.DUMMYFUNCTION("""COMPUTED_VALUE"""),25.0)</f>
        <v>25</v>
      </c>
      <c r="Y218" s="170">
        <f>IFERROR(__xludf.DUMMYFUNCTION("""COMPUTED_VALUE"""),15.0)</f>
        <v>15</v>
      </c>
      <c r="Z218" s="170">
        <f>IFERROR(__xludf.DUMMYFUNCTION("""COMPUTED_VALUE"""),-50.0)</f>
        <v>-50</v>
      </c>
      <c r="AA218" s="170">
        <f>IFERROR(__xludf.DUMMYFUNCTION("""COMPUTED_VALUE"""),0.0)</f>
        <v>0</v>
      </c>
      <c r="AB218" s="170">
        <f>IFERROR(__xludf.DUMMYFUNCTION("""COMPUTED_VALUE"""),0.0)</f>
        <v>0</v>
      </c>
      <c r="AC218" s="170">
        <f>IFERROR(__xludf.DUMMYFUNCTION("""COMPUTED_VALUE"""),0.0)</f>
        <v>0</v>
      </c>
      <c r="AD218" s="170">
        <f>IFERROR(__xludf.DUMMYFUNCTION("""COMPUTED_VALUE"""),-15.0)</f>
        <v>-15</v>
      </c>
      <c r="AE218" s="170">
        <f>IFERROR(__xludf.DUMMYFUNCTION("""COMPUTED_VALUE"""),-25.0)</f>
        <v>-25</v>
      </c>
      <c r="AF218" s="170" t="str">
        <f>IFERROR(__xludf.DUMMYFUNCTION("""COMPUTED_VALUE"""),"")</f>
        <v/>
      </c>
      <c r="AG218" s="170">
        <f>IFERROR(__xludf.DUMMYFUNCTION("""COMPUTED_VALUE"""),0.0)</f>
        <v>0</v>
      </c>
      <c r="AH218" s="170">
        <f>IFERROR(__xludf.DUMMYFUNCTION("""COMPUTED_VALUE"""),0.0)</f>
        <v>0</v>
      </c>
      <c r="AI218" s="170">
        <f>IFERROR(__xludf.DUMMYFUNCTION("""COMPUTED_VALUE"""),0.0)</f>
        <v>0</v>
      </c>
      <c r="AJ218" s="170"/>
    </row>
    <row r="219" ht="22.5" customHeight="1">
      <c r="A219" s="268" t="str">
        <f>IFERROR(__xludf.DUMMYFUNCTION("""COMPUTED_VALUE"""),"")</f>
        <v/>
      </c>
      <c r="B219" s="268" t="str">
        <f>IFERROR(__xludf.DUMMYFUNCTION("""COMPUTED_VALUE"""),"")</f>
        <v/>
      </c>
      <c r="C219" s="268">
        <f>IFERROR(__xludf.DUMMYFUNCTION("""COMPUTED_VALUE"""),413.0)</f>
        <v>413</v>
      </c>
      <c r="D219" s="268" t="str">
        <f>IFERROR(__xludf.DUMMYFUNCTION("""COMPUTED_VALUE"""),"Hospital Sanatório Penal")</f>
        <v>Hospital Sanatório Penal</v>
      </c>
      <c r="E219" s="272" t="str">
        <f>IFERROR(__xludf.DUMMYFUNCTION("""COMPUTED_VALUE"""),"ZONA OESTE")</f>
        <v>ZONA OESTE</v>
      </c>
      <c r="F219" s="268" t="str">
        <f>IFERROR(__xludf.DUMMYFUNCTION("""COMPUTED_VALUE"""),"Rio de Janeiro")</f>
        <v>Rio de Janeiro</v>
      </c>
      <c r="G219" s="268" t="str">
        <f>IFERROR(__xludf.DUMMYFUNCTION("""COMPUTED_VALUE"""),"Complexo de Gericinó")</f>
        <v>Complexo de Gericinó</v>
      </c>
      <c r="H219" s="268" t="str">
        <f>IFERROR(__xludf.DUMMYFUNCTION("""COMPUTED_VALUE"""),"Hospital de Apoio - MÉDIA COMPLEXIDADE
")</f>
        <v>Hospital de Apoio - MÉDIA COMPLEXIDADE
</v>
      </c>
      <c r="I219" s="268" t="str">
        <f>IFERROR(__xludf.DUMMYFUNCTION("""COMPUTED_VALUE"""),"Público")</f>
        <v>Público</v>
      </c>
      <c r="J219" s="268" t="str">
        <f>IFERROR(__xludf.DUMMYFUNCTION("""COMPUTED_VALUE"""),"")</f>
        <v/>
      </c>
      <c r="K219" s="268" t="str">
        <f>IFERROR(__xludf.DUMMYFUNCTION("""COMPUTED_VALUE"""),"")</f>
        <v/>
      </c>
      <c r="L219" s="268" t="str">
        <f>IFERROR(__xludf.DUMMYFUNCTION("""COMPUTED_VALUE"""),"")</f>
        <v/>
      </c>
      <c r="M219" s="268" t="str">
        <f>IFERROR(__xludf.DUMMYFUNCTION("""COMPUTED_VALUE"""),"")</f>
        <v/>
      </c>
      <c r="N219" s="268">
        <f>IFERROR(__xludf.DUMMYFUNCTION("""COMPUTED_VALUE"""),0.0)</f>
        <v>0</v>
      </c>
      <c r="O219" s="268">
        <f>IFERROR(__xludf.DUMMYFUNCTION("""COMPUTED_VALUE"""),0.0)</f>
        <v>0</v>
      </c>
      <c r="P219" s="268">
        <f>IFERROR(__xludf.DUMMYFUNCTION("""COMPUTED_VALUE"""),0.0)</f>
        <v>0</v>
      </c>
      <c r="Q219" s="268">
        <f>IFERROR(__xludf.DUMMYFUNCTION("""COMPUTED_VALUE"""),0.0)</f>
        <v>0</v>
      </c>
      <c r="R219" s="268">
        <f>IFERROR(__xludf.DUMMYFUNCTION("""COMPUTED_VALUE"""),0.0)</f>
        <v>0</v>
      </c>
      <c r="S219" s="268">
        <f>IFERROR(__xludf.DUMMYFUNCTION("""COMPUTED_VALUE"""),0.0)</f>
        <v>0</v>
      </c>
      <c r="T219" s="268">
        <f>IFERROR(__xludf.DUMMYFUNCTION("""COMPUTED_VALUE"""),50.0)</f>
        <v>50</v>
      </c>
      <c r="U219" s="268">
        <f>IFERROR(__xludf.DUMMYFUNCTION("""COMPUTED_VALUE"""),0.0)</f>
        <v>0</v>
      </c>
      <c r="V219" s="268">
        <f>IFERROR(__xludf.DUMMYFUNCTION("""COMPUTED_VALUE"""),0.0)</f>
        <v>0</v>
      </c>
      <c r="W219" s="268">
        <f>IFERROR(__xludf.DUMMYFUNCTION("""COMPUTED_VALUE"""),0.0)</f>
        <v>0</v>
      </c>
      <c r="X219" s="268">
        <f>IFERROR(__xludf.DUMMYFUNCTION("""COMPUTED_VALUE"""),0.0)</f>
        <v>0</v>
      </c>
      <c r="Y219" s="268">
        <f>IFERROR(__xludf.DUMMYFUNCTION("""COMPUTED_VALUE"""),10.0)</f>
        <v>10</v>
      </c>
      <c r="Z219" s="268">
        <f>IFERROR(__xludf.DUMMYFUNCTION("""COMPUTED_VALUE"""),-50.0)</f>
        <v>-50</v>
      </c>
      <c r="AA219" s="268">
        <f>IFERROR(__xludf.DUMMYFUNCTION("""COMPUTED_VALUE"""),0.0)</f>
        <v>0</v>
      </c>
      <c r="AB219" s="268">
        <f>IFERROR(__xludf.DUMMYFUNCTION("""COMPUTED_VALUE"""),0.0)</f>
        <v>0</v>
      </c>
      <c r="AC219" s="268">
        <f>IFERROR(__xludf.DUMMYFUNCTION("""COMPUTED_VALUE"""),0.0)</f>
        <v>0</v>
      </c>
      <c r="AD219" s="268">
        <f>IFERROR(__xludf.DUMMYFUNCTION("""COMPUTED_VALUE"""),-10.0)</f>
        <v>-10</v>
      </c>
      <c r="AE219" s="268">
        <f>IFERROR(__xludf.DUMMYFUNCTION("""COMPUTED_VALUE"""),0.0)</f>
        <v>0</v>
      </c>
      <c r="AF219" s="268" t="str">
        <f>IFERROR(__xludf.DUMMYFUNCTION("""COMPUTED_VALUE"""),"")</f>
        <v/>
      </c>
      <c r="AG219" s="268">
        <f>IFERROR(__xludf.DUMMYFUNCTION("""COMPUTED_VALUE"""),0.0)</f>
        <v>0</v>
      </c>
      <c r="AH219" s="268">
        <f>IFERROR(__xludf.DUMMYFUNCTION("""COMPUTED_VALUE"""),0.0)</f>
        <v>0</v>
      </c>
      <c r="AI219" s="268">
        <f>IFERROR(__xludf.DUMMYFUNCTION("""COMPUTED_VALUE"""),0.0)</f>
        <v>0</v>
      </c>
      <c r="AJ219" s="268"/>
    </row>
    <row r="220" ht="22.5" customHeight="1">
      <c r="A220" s="170" t="str">
        <f>IFERROR(__xludf.DUMMYFUNCTION("""COMPUTED_VALUE"""),"")</f>
        <v/>
      </c>
      <c r="B220" s="170" t="str">
        <f>IFERROR(__xludf.DUMMYFUNCTION("""COMPUTED_VALUE"""),"")</f>
        <v/>
      </c>
      <c r="C220" s="170">
        <f>IFERROR(__xludf.DUMMYFUNCTION("""COMPUTED_VALUE"""),414.0)</f>
        <v>414</v>
      </c>
      <c r="D220" s="170" t="str">
        <f>IFERROR(__xludf.DUMMYFUNCTION("""COMPUTED_VALUE"""),"Hospital de Campanha do Rio Centro")</f>
        <v>Hospital de Campanha do Rio Centro</v>
      </c>
      <c r="E220" s="270" t="str">
        <f>IFERROR(__xludf.DUMMYFUNCTION("""COMPUTED_VALUE"""),"ZONA OESTE")</f>
        <v>ZONA OESTE</v>
      </c>
      <c r="F220" s="170" t="str">
        <f>IFERROR(__xludf.DUMMYFUNCTION("""COMPUTED_VALUE"""),"Rio de Janeiro")</f>
        <v>Rio de Janeiro</v>
      </c>
      <c r="G220" s="170" t="str">
        <f>IFERROR(__xludf.DUMMYFUNCTION("""COMPUTED_VALUE"""),"Rio Centro")</f>
        <v>Rio Centro</v>
      </c>
      <c r="H220" s="170" t="str">
        <f>IFERROR(__xludf.DUMMYFUNCTION("""COMPUTED_VALUE"""),"Hospital de Referência - ALTA COMPLEXIDADE")</f>
        <v>Hospital de Referência - ALTA COMPLEXIDADE</v>
      </c>
      <c r="I220" s="170" t="str">
        <f>IFERROR(__xludf.DUMMYFUNCTION("""COMPUTED_VALUE"""),"Público")</f>
        <v>Público</v>
      </c>
      <c r="J220" s="170" t="str">
        <f>IFERROR(__xludf.DUMMYFUNCTION("""COMPUTED_VALUE"""),"")</f>
        <v/>
      </c>
      <c r="K220" s="170" t="str">
        <f>IFERROR(__xludf.DUMMYFUNCTION("""COMPUTED_VALUE"""),"")</f>
        <v/>
      </c>
      <c r="L220" s="170" t="str">
        <f>IFERROR(__xludf.DUMMYFUNCTION("""COMPUTED_VALUE"""),"")</f>
        <v/>
      </c>
      <c r="M220" s="170" t="str">
        <f>IFERROR(__xludf.DUMMYFUNCTION("""COMPUTED_VALUE"""),"")</f>
        <v/>
      </c>
      <c r="N220" s="170">
        <f>IFERROR(__xludf.DUMMYFUNCTION("""COMPUTED_VALUE"""),0.0)</f>
        <v>0</v>
      </c>
      <c r="O220" s="170">
        <f>IFERROR(__xludf.DUMMYFUNCTION("""COMPUTED_VALUE"""),0.0)</f>
        <v>0</v>
      </c>
      <c r="P220" s="170">
        <f>IFERROR(__xludf.DUMMYFUNCTION("""COMPUTED_VALUE"""),0.0)</f>
        <v>0</v>
      </c>
      <c r="Q220" s="170">
        <f>IFERROR(__xludf.DUMMYFUNCTION("""COMPUTED_VALUE"""),0.0)</f>
        <v>0</v>
      </c>
      <c r="R220" s="170">
        <f>IFERROR(__xludf.DUMMYFUNCTION("""COMPUTED_VALUE"""),0.0)</f>
        <v>0</v>
      </c>
      <c r="S220" s="170">
        <f>IFERROR(__xludf.DUMMYFUNCTION("""COMPUTED_VALUE"""),0.0)</f>
        <v>0</v>
      </c>
      <c r="T220" s="170">
        <f>IFERROR(__xludf.DUMMYFUNCTION("""COMPUTED_VALUE"""),2500.0)</f>
        <v>2500</v>
      </c>
      <c r="U220" s="170">
        <f>IFERROR(__xludf.DUMMYFUNCTION("""COMPUTED_VALUE"""),0.0)</f>
        <v>0</v>
      </c>
      <c r="V220" s="170">
        <f>IFERROR(__xludf.DUMMYFUNCTION("""COMPUTED_VALUE"""),0.0)</f>
        <v>0</v>
      </c>
      <c r="W220" s="170">
        <f>IFERROR(__xludf.DUMMYFUNCTION("""COMPUTED_VALUE"""),0.0)</f>
        <v>0</v>
      </c>
      <c r="X220" s="170">
        <f>IFERROR(__xludf.DUMMYFUNCTION("""COMPUTED_VALUE"""),0.0)</f>
        <v>0</v>
      </c>
      <c r="Y220" s="170">
        <f>IFERROR(__xludf.DUMMYFUNCTION("""COMPUTED_VALUE"""),0.0)</f>
        <v>0</v>
      </c>
      <c r="Z220" s="170">
        <f>IFERROR(__xludf.DUMMYFUNCTION("""COMPUTED_VALUE"""),-2500.0)</f>
        <v>-2500</v>
      </c>
      <c r="AA220" s="170">
        <f>IFERROR(__xludf.DUMMYFUNCTION("""COMPUTED_VALUE"""),0.0)</f>
        <v>0</v>
      </c>
      <c r="AB220" s="170">
        <f>IFERROR(__xludf.DUMMYFUNCTION("""COMPUTED_VALUE"""),0.0)</f>
        <v>0</v>
      </c>
      <c r="AC220" s="170">
        <f>IFERROR(__xludf.DUMMYFUNCTION("""COMPUTED_VALUE"""),0.0)</f>
        <v>0</v>
      </c>
      <c r="AD220" s="170">
        <f>IFERROR(__xludf.DUMMYFUNCTION("""COMPUTED_VALUE"""),0.0)</f>
        <v>0</v>
      </c>
      <c r="AE220" s="170">
        <f>IFERROR(__xludf.DUMMYFUNCTION("""COMPUTED_VALUE"""),0.0)</f>
        <v>0</v>
      </c>
      <c r="AF220" s="170" t="str">
        <f>IFERROR(__xludf.DUMMYFUNCTION("""COMPUTED_VALUE"""),"")</f>
        <v/>
      </c>
      <c r="AG220" s="170">
        <f>IFERROR(__xludf.DUMMYFUNCTION("""COMPUTED_VALUE"""),0.0)</f>
        <v>0</v>
      </c>
      <c r="AH220" s="170">
        <f>IFERROR(__xludf.DUMMYFUNCTION("""COMPUTED_VALUE"""),0.0)</f>
        <v>0</v>
      </c>
      <c r="AI220" s="170">
        <f>IFERROR(__xludf.DUMMYFUNCTION("""COMPUTED_VALUE"""),0.0)</f>
        <v>0</v>
      </c>
      <c r="AJ220" s="170"/>
    </row>
    <row r="221" ht="22.5" customHeight="1">
      <c r="A221" s="268" t="str">
        <f>IFERROR(__xludf.DUMMYFUNCTION("""COMPUTED_VALUE"""),"")</f>
        <v/>
      </c>
      <c r="B221" s="268" t="str">
        <f>IFERROR(__xludf.DUMMYFUNCTION("""COMPUTED_VALUE"""),"")</f>
        <v/>
      </c>
      <c r="C221" s="268">
        <f>IFERROR(__xludf.DUMMYFUNCTION("""COMPUTED_VALUE"""),415.0)</f>
        <v>415</v>
      </c>
      <c r="D221" s="268" t="str">
        <f>IFERROR(__xludf.DUMMYFUNCTION("""COMPUTED_VALUE"""),"UPA Penha")</f>
        <v>UPA Penha</v>
      </c>
      <c r="E221" s="272" t="str">
        <f>IFERROR(__xludf.DUMMYFUNCTION("""COMPUTED_VALUE"""),"ZONA NORTE")</f>
        <v>ZONA NORTE</v>
      </c>
      <c r="F221" s="268" t="str">
        <f>IFERROR(__xludf.DUMMYFUNCTION("""COMPUTED_VALUE"""),"Rio de Janeiro")</f>
        <v>Rio de Janeiro</v>
      </c>
      <c r="G221" s="268" t="str">
        <f>IFERROR(__xludf.DUMMYFUNCTION("""COMPUTED_VALUE"""),"Penha")</f>
        <v>Penha</v>
      </c>
      <c r="H221" s="268" t="str">
        <f>IFERROR(__xludf.DUMMYFUNCTION("""COMPUTED_VALUE"""),"Grande emergência - MÉDIA COMPLEXIDADE
")</f>
        <v>Grande emergência - MÉDIA COMPLEXIDADE
</v>
      </c>
      <c r="I221" s="268" t="str">
        <f>IFERROR(__xludf.DUMMYFUNCTION("""COMPUTED_VALUE"""),"Público")</f>
        <v>Público</v>
      </c>
      <c r="J221" s="268" t="str">
        <f>IFERROR(__xludf.DUMMYFUNCTION("""COMPUTED_VALUE"""),"")</f>
        <v/>
      </c>
      <c r="K221" s="268" t="str">
        <f>IFERROR(__xludf.DUMMYFUNCTION("""COMPUTED_VALUE"""),"")</f>
        <v/>
      </c>
      <c r="L221" s="268" t="str">
        <f>IFERROR(__xludf.DUMMYFUNCTION("""COMPUTED_VALUE"""),"")</f>
        <v/>
      </c>
      <c r="M221" s="268" t="str">
        <f>IFERROR(__xludf.DUMMYFUNCTION("""COMPUTED_VALUE"""),"")</f>
        <v/>
      </c>
      <c r="N221" s="268">
        <f>IFERROR(__xludf.DUMMYFUNCTION("""COMPUTED_VALUE"""),0.0)</f>
        <v>0</v>
      </c>
      <c r="O221" s="268">
        <f>IFERROR(__xludf.DUMMYFUNCTION("""COMPUTED_VALUE"""),0.0)</f>
        <v>0</v>
      </c>
      <c r="P221" s="268">
        <f>IFERROR(__xludf.DUMMYFUNCTION("""COMPUTED_VALUE"""),0.0)</f>
        <v>0</v>
      </c>
      <c r="Q221" s="268">
        <f>IFERROR(__xludf.DUMMYFUNCTION("""COMPUTED_VALUE"""),0.0)</f>
        <v>0</v>
      </c>
      <c r="R221" s="268">
        <f>IFERROR(__xludf.DUMMYFUNCTION("""COMPUTED_VALUE"""),0.0)</f>
        <v>0</v>
      </c>
      <c r="S221" s="268">
        <f>IFERROR(__xludf.DUMMYFUNCTION("""COMPUTED_VALUE"""),0.0)</f>
        <v>0</v>
      </c>
      <c r="T221" s="268">
        <f>IFERROR(__xludf.DUMMYFUNCTION("""COMPUTED_VALUE"""),50.0)</f>
        <v>50</v>
      </c>
      <c r="U221" s="268">
        <f>IFERROR(__xludf.DUMMYFUNCTION("""COMPUTED_VALUE"""),0.0)</f>
        <v>0</v>
      </c>
      <c r="V221" s="268">
        <f>IFERROR(__xludf.DUMMYFUNCTION("""COMPUTED_VALUE"""),0.0)</f>
        <v>0</v>
      </c>
      <c r="W221" s="268">
        <f>IFERROR(__xludf.DUMMYFUNCTION("""COMPUTED_VALUE"""),0.0)</f>
        <v>0</v>
      </c>
      <c r="X221" s="268">
        <f>IFERROR(__xludf.DUMMYFUNCTION("""COMPUTED_VALUE"""),0.0)</f>
        <v>0</v>
      </c>
      <c r="Y221" s="268">
        <f>IFERROR(__xludf.DUMMYFUNCTION("""COMPUTED_VALUE"""),0.0)</f>
        <v>0</v>
      </c>
      <c r="Z221" s="268">
        <f>IFERROR(__xludf.DUMMYFUNCTION("""COMPUTED_VALUE"""),-50.0)</f>
        <v>-50</v>
      </c>
      <c r="AA221" s="268">
        <f>IFERROR(__xludf.DUMMYFUNCTION("""COMPUTED_VALUE"""),0.0)</f>
        <v>0</v>
      </c>
      <c r="AB221" s="268">
        <f>IFERROR(__xludf.DUMMYFUNCTION("""COMPUTED_VALUE"""),0.0)</f>
        <v>0</v>
      </c>
      <c r="AC221" s="268">
        <f>IFERROR(__xludf.DUMMYFUNCTION("""COMPUTED_VALUE"""),0.0)</f>
        <v>0</v>
      </c>
      <c r="AD221" s="268">
        <f>IFERROR(__xludf.DUMMYFUNCTION("""COMPUTED_VALUE"""),0.0)</f>
        <v>0</v>
      </c>
      <c r="AE221" s="268">
        <f>IFERROR(__xludf.DUMMYFUNCTION("""COMPUTED_VALUE"""),0.0)</f>
        <v>0</v>
      </c>
      <c r="AF221" s="268" t="str">
        <f>IFERROR(__xludf.DUMMYFUNCTION("""COMPUTED_VALUE"""),"")</f>
        <v/>
      </c>
      <c r="AG221" s="268">
        <f>IFERROR(__xludf.DUMMYFUNCTION("""COMPUTED_VALUE"""),0.0)</f>
        <v>0</v>
      </c>
      <c r="AH221" s="268">
        <f>IFERROR(__xludf.DUMMYFUNCTION("""COMPUTED_VALUE"""),0.0)</f>
        <v>0</v>
      </c>
      <c r="AI221" s="268">
        <f>IFERROR(__xludf.DUMMYFUNCTION("""COMPUTED_VALUE"""),0.0)</f>
        <v>0</v>
      </c>
      <c r="AJ221" s="268"/>
    </row>
    <row r="222" ht="22.5" customHeight="1">
      <c r="A222" s="170" t="str">
        <f>IFERROR(__xludf.DUMMYFUNCTION("""COMPUTED_VALUE"""),"")</f>
        <v/>
      </c>
      <c r="B222" s="170" t="str">
        <f>IFERROR(__xludf.DUMMYFUNCTION("""COMPUTED_VALUE"""),"")</f>
        <v/>
      </c>
      <c r="C222" s="170">
        <f>IFERROR(__xludf.DUMMYFUNCTION("""COMPUTED_VALUE"""),416.0)</f>
        <v>416</v>
      </c>
      <c r="D222" s="170" t="str">
        <f>IFERROR(__xludf.DUMMYFUNCTION("""COMPUTED_VALUE"""),"UPA Campo Grande I ")</f>
        <v>UPA Campo Grande I </v>
      </c>
      <c r="E222" s="270" t="str">
        <f>IFERROR(__xludf.DUMMYFUNCTION("""COMPUTED_VALUE"""),"ZONA OESTE")</f>
        <v>ZONA OESTE</v>
      </c>
      <c r="F222" s="170" t="str">
        <f>IFERROR(__xludf.DUMMYFUNCTION("""COMPUTED_VALUE"""),"Rio de Janeiro")</f>
        <v>Rio de Janeiro</v>
      </c>
      <c r="G222" s="170" t="str">
        <f>IFERROR(__xludf.DUMMYFUNCTION("""COMPUTED_VALUE"""),"Campo Grande")</f>
        <v>Campo Grande</v>
      </c>
      <c r="H222" s="170" t="str">
        <f>IFERROR(__xludf.DUMMYFUNCTION("""COMPUTED_VALUE"""),"Grande emergência - MÉDIA COMPLEXIDADE
")</f>
        <v>Grande emergência - MÉDIA COMPLEXIDADE
</v>
      </c>
      <c r="I222" s="170" t="str">
        <f>IFERROR(__xludf.DUMMYFUNCTION("""COMPUTED_VALUE"""),"Público")</f>
        <v>Público</v>
      </c>
      <c r="J222" s="170" t="str">
        <f>IFERROR(__xludf.DUMMYFUNCTION("""COMPUTED_VALUE"""),"")</f>
        <v/>
      </c>
      <c r="K222" s="170" t="str">
        <f>IFERROR(__xludf.DUMMYFUNCTION("""COMPUTED_VALUE"""),"")</f>
        <v/>
      </c>
      <c r="L222" s="170" t="str">
        <f>IFERROR(__xludf.DUMMYFUNCTION("""COMPUTED_VALUE"""),"")</f>
        <v/>
      </c>
      <c r="M222" s="170" t="str">
        <f>IFERROR(__xludf.DUMMYFUNCTION("""COMPUTED_VALUE"""),"")</f>
        <v/>
      </c>
      <c r="N222" s="170">
        <f>IFERROR(__xludf.DUMMYFUNCTION("""COMPUTED_VALUE"""),0.0)</f>
        <v>0</v>
      </c>
      <c r="O222" s="170">
        <f>IFERROR(__xludf.DUMMYFUNCTION("""COMPUTED_VALUE"""),0.0)</f>
        <v>0</v>
      </c>
      <c r="P222" s="170">
        <f>IFERROR(__xludf.DUMMYFUNCTION("""COMPUTED_VALUE"""),0.0)</f>
        <v>0</v>
      </c>
      <c r="Q222" s="170">
        <f>IFERROR(__xludf.DUMMYFUNCTION("""COMPUTED_VALUE"""),0.0)</f>
        <v>0</v>
      </c>
      <c r="R222" s="170">
        <f>IFERROR(__xludf.DUMMYFUNCTION("""COMPUTED_VALUE"""),0.0)</f>
        <v>0</v>
      </c>
      <c r="S222" s="170">
        <f>IFERROR(__xludf.DUMMYFUNCTION("""COMPUTED_VALUE"""),0.0)</f>
        <v>0</v>
      </c>
      <c r="T222" s="170">
        <f>IFERROR(__xludf.DUMMYFUNCTION("""COMPUTED_VALUE"""),0.0)</f>
        <v>0</v>
      </c>
      <c r="U222" s="170">
        <f>IFERROR(__xludf.DUMMYFUNCTION("""COMPUTED_VALUE"""),0.0)</f>
        <v>0</v>
      </c>
      <c r="V222" s="170">
        <f>IFERROR(__xludf.DUMMYFUNCTION("""COMPUTED_VALUE"""),0.0)</f>
        <v>0</v>
      </c>
      <c r="W222" s="170">
        <f>IFERROR(__xludf.DUMMYFUNCTION("""COMPUTED_VALUE"""),0.0)</f>
        <v>0</v>
      </c>
      <c r="X222" s="170">
        <f>IFERROR(__xludf.DUMMYFUNCTION("""COMPUTED_VALUE"""),25.0)</f>
        <v>25</v>
      </c>
      <c r="Y222" s="170">
        <f>IFERROR(__xludf.DUMMYFUNCTION("""COMPUTED_VALUE"""),5.0)</f>
        <v>5</v>
      </c>
      <c r="Z222" s="170">
        <f>IFERROR(__xludf.DUMMYFUNCTION("""COMPUTED_VALUE"""),0.0)</f>
        <v>0</v>
      </c>
      <c r="AA222" s="170">
        <f>IFERROR(__xludf.DUMMYFUNCTION("""COMPUTED_VALUE"""),0.0)</f>
        <v>0</v>
      </c>
      <c r="AB222" s="170">
        <f>IFERROR(__xludf.DUMMYFUNCTION("""COMPUTED_VALUE"""),0.0)</f>
        <v>0</v>
      </c>
      <c r="AC222" s="170">
        <f>IFERROR(__xludf.DUMMYFUNCTION("""COMPUTED_VALUE"""),0.0)</f>
        <v>0</v>
      </c>
      <c r="AD222" s="170">
        <f>IFERROR(__xludf.DUMMYFUNCTION("""COMPUTED_VALUE"""),-5.0)</f>
        <v>-5</v>
      </c>
      <c r="AE222" s="170">
        <f>IFERROR(__xludf.DUMMYFUNCTION("""COMPUTED_VALUE"""),-25.0)</f>
        <v>-25</v>
      </c>
      <c r="AF222" s="170" t="str">
        <f>IFERROR(__xludf.DUMMYFUNCTION("""COMPUTED_VALUE"""),"")</f>
        <v/>
      </c>
      <c r="AG222" s="170">
        <f>IFERROR(__xludf.DUMMYFUNCTION("""COMPUTED_VALUE"""),0.0)</f>
        <v>0</v>
      </c>
      <c r="AH222" s="170">
        <f>IFERROR(__xludf.DUMMYFUNCTION("""COMPUTED_VALUE"""),0.0)</f>
        <v>0</v>
      </c>
      <c r="AI222" s="170">
        <f>IFERROR(__xludf.DUMMYFUNCTION("""COMPUTED_VALUE"""),0.0)</f>
        <v>0</v>
      </c>
      <c r="AJ222" s="170"/>
    </row>
    <row r="223" ht="22.5" customHeight="1">
      <c r="A223" s="268" t="str">
        <f>IFERROR(__xludf.DUMMYFUNCTION("""COMPUTED_VALUE"""),"")</f>
        <v/>
      </c>
      <c r="B223" s="268" t="str">
        <f>IFERROR(__xludf.DUMMYFUNCTION("""COMPUTED_VALUE"""),"")</f>
        <v/>
      </c>
      <c r="C223" s="268">
        <f>IFERROR(__xludf.DUMMYFUNCTION("""COMPUTED_VALUE"""),417.0)</f>
        <v>417</v>
      </c>
      <c r="D223" s="268" t="str">
        <f>IFERROR(__xludf.DUMMYFUNCTION("""COMPUTED_VALUE"""),"UPA São Gonçalo II")</f>
        <v>UPA São Gonçalo II</v>
      </c>
      <c r="E223" s="272" t="str">
        <f>IFERROR(__xludf.DUMMYFUNCTION("""COMPUTED_VALUE"""),"REGIAO METROPOLITANA")</f>
        <v>REGIAO METROPOLITANA</v>
      </c>
      <c r="F223" s="268" t="str">
        <f>IFERROR(__xludf.DUMMYFUNCTION("""COMPUTED_VALUE"""),"São Gonçalo")</f>
        <v>São Gonçalo</v>
      </c>
      <c r="G223" s="268" t="str">
        <f>IFERROR(__xludf.DUMMYFUNCTION("""COMPUTED_VALUE"""),"Jardim Catarina")</f>
        <v>Jardim Catarina</v>
      </c>
      <c r="H223" s="268" t="str">
        <f>IFERROR(__xludf.DUMMYFUNCTION("""COMPUTED_VALUE"""),"Grande emergência - MÉDIA COMPLEXIDADE
")</f>
        <v>Grande emergência - MÉDIA COMPLEXIDADE
</v>
      </c>
      <c r="I223" s="268" t="str">
        <f>IFERROR(__xludf.DUMMYFUNCTION("""COMPUTED_VALUE"""),"Público")</f>
        <v>Público</v>
      </c>
      <c r="J223" s="268" t="str">
        <f>IFERROR(__xludf.DUMMYFUNCTION("""COMPUTED_VALUE"""),"")</f>
        <v/>
      </c>
      <c r="K223" s="268" t="str">
        <f>IFERROR(__xludf.DUMMYFUNCTION("""COMPUTED_VALUE"""),"")</f>
        <v/>
      </c>
      <c r="L223" s="268" t="str">
        <f>IFERROR(__xludf.DUMMYFUNCTION("""COMPUTED_VALUE"""),"")</f>
        <v/>
      </c>
      <c r="M223" s="268" t="str">
        <f>IFERROR(__xludf.DUMMYFUNCTION("""COMPUTED_VALUE"""),"")</f>
        <v/>
      </c>
      <c r="N223" s="268">
        <f>IFERROR(__xludf.DUMMYFUNCTION("""COMPUTED_VALUE"""),0.0)</f>
        <v>0</v>
      </c>
      <c r="O223" s="268">
        <f>IFERROR(__xludf.DUMMYFUNCTION("""COMPUTED_VALUE"""),0.0)</f>
        <v>0</v>
      </c>
      <c r="P223" s="268">
        <f>IFERROR(__xludf.DUMMYFUNCTION("""COMPUTED_VALUE"""),0.0)</f>
        <v>0</v>
      </c>
      <c r="Q223" s="268">
        <f>IFERROR(__xludf.DUMMYFUNCTION("""COMPUTED_VALUE"""),0.0)</f>
        <v>0</v>
      </c>
      <c r="R223" s="268">
        <f>IFERROR(__xludf.DUMMYFUNCTION("""COMPUTED_VALUE"""),0.0)</f>
        <v>0</v>
      </c>
      <c r="S223" s="268">
        <f>IFERROR(__xludf.DUMMYFUNCTION("""COMPUTED_VALUE"""),0.0)</f>
        <v>0</v>
      </c>
      <c r="T223" s="268">
        <f>IFERROR(__xludf.DUMMYFUNCTION("""COMPUTED_VALUE"""),0.0)</f>
        <v>0</v>
      </c>
      <c r="U223" s="268">
        <f>IFERROR(__xludf.DUMMYFUNCTION("""COMPUTED_VALUE"""),0.0)</f>
        <v>0</v>
      </c>
      <c r="V223" s="268">
        <f>IFERROR(__xludf.DUMMYFUNCTION("""COMPUTED_VALUE"""),0.0)</f>
        <v>0</v>
      </c>
      <c r="W223" s="268">
        <f>IFERROR(__xludf.DUMMYFUNCTION("""COMPUTED_VALUE"""),0.0)</f>
        <v>0</v>
      </c>
      <c r="X223" s="268">
        <f>IFERROR(__xludf.DUMMYFUNCTION("""COMPUTED_VALUE"""),0.0)</f>
        <v>0</v>
      </c>
      <c r="Y223" s="268">
        <f>IFERROR(__xludf.DUMMYFUNCTION("""COMPUTED_VALUE"""),25.0)</f>
        <v>25</v>
      </c>
      <c r="Z223" s="268">
        <f>IFERROR(__xludf.DUMMYFUNCTION("""COMPUTED_VALUE"""),0.0)</f>
        <v>0</v>
      </c>
      <c r="AA223" s="268">
        <f>IFERROR(__xludf.DUMMYFUNCTION("""COMPUTED_VALUE"""),0.0)</f>
        <v>0</v>
      </c>
      <c r="AB223" s="268">
        <f>IFERROR(__xludf.DUMMYFUNCTION("""COMPUTED_VALUE"""),0.0)</f>
        <v>0</v>
      </c>
      <c r="AC223" s="268">
        <f>IFERROR(__xludf.DUMMYFUNCTION("""COMPUTED_VALUE"""),0.0)</f>
        <v>0</v>
      </c>
      <c r="AD223" s="268">
        <f>IFERROR(__xludf.DUMMYFUNCTION("""COMPUTED_VALUE"""),-25.0)</f>
        <v>-25</v>
      </c>
      <c r="AE223" s="268">
        <f>IFERROR(__xludf.DUMMYFUNCTION("""COMPUTED_VALUE"""),0.0)</f>
        <v>0</v>
      </c>
      <c r="AF223" s="268" t="str">
        <f>IFERROR(__xludf.DUMMYFUNCTION("""COMPUTED_VALUE"""),"")</f>
        <v/>
      </c>
      <c r="AG223" s="268">
        <f>IFERROR(__xludf.DUMMYFUNCTION("""COMPUTED_VALUE"""),0.0)</f>
        <v>0</v>
      </c>
      <c r="AH223" s="268">
        <f>IFERROR(__xludf.DUMMYFUNCTION("""COMPUTED_VALUE"""),0.0)</f>
        <v>0</v>
      </c>
      <c r="AI223" s="268">
        <f>IFERROR(__xludf.DUMMYFUNCTION("""COMPUTED_VALUE"""),0.0)</f>
        <v>0</v>
      </c>
      <c r="AJ223" s="268"/>
    </row>
    <row r="224" ht="22.5" customHeight="1">
      <c r="A224" s="170" t="str">
        <f>IFERROR(__xludf.DUMMYFUNCTION("""COMPUTED_VALUE"""),"")</f>
        <v/>
      </c>
      <c r="B224" s="170" t="str">
        <f>IFERROR(__xludf.DUMMYFUNCTION("""COMPUTED_VALUE"""),"")</f>
        <v/>
      </c>
      <c r="C224" s="170">
        <f>IFERROR(__xludf.DUMMYFUNCTION("""COMPUTED_VALUE"""),418.0)</f>
        <v>418</v>
      </c>
      <c r="D224" s="170" t="str">
        <f>IFERROR(__xludf.DUMMYFUNCTION("""COMPUTED_VALUE"""),"UPA Itaboraí")</f>
        <v>UPA Itaboraí</v>
      </c>
      <c r="E224" s="270" t="str">
        <f>IFERROR(__xludf.DUMMYFUNCTION("""COMPUTED_VALUE"""),"REGIAO METROPOLITANA")</f>
        <v>REGIAO METROPOLITANA</v>
      </c>
      <c r="F224" s="170" t="str">
        <f>IFERROR(__xludf.DUMMYFUNCTION("""COMPUTED_VALUE"""),"Itaboraí")</f>
        <v>Itaboraí</v>
      </c>
      <c r="G224" s="170" t="str">
        <f>IFERROR(__xludf.DUMMYFUNCTION("""COMPUTED_VALUE"""),"Manilha")</f>
        <v>Manilha</v>
      </c>
      <c r="H224" s="170" t="str">
        <f>IFERROR(__xludf.DUMMYFUNCTION("""COMPUTED_VALUE"""),"Grande emergência - MÉDIA COMPLEXIDADE
")</f>
        <v>Grande emergência - MÉDIA COMPLEXIDADE
</v>
      </c>
      <c r="I224" s="170" t="str">
        <f>IFERROR(__xludf.DUMMYFUNCTION("""COMPUTED_VALUE"""),"Público")</f>
        <v>Público</v>
      </c>
      <c r="J224" s="170" t="str">
        <f>IFERROR(__xludf.DUMMYFUNCTION("""COMPUTED_VALUE"""),"")</f>
        <v/>
      </c>
      <c r="K224" s="170" t="str">
        <f>IFERROR(__xludf.DUMMYFUNCTION("""COMPUTED_VALUE"""),"")</f>
        <v/>
      </c>
      <c r="L224" s="170" t="str">
        <f>IFERROR(__xludf.DUMMYFUNCTION("""COMPUTED_VALUE"""),"")</f>
        <v/>
      </c>
      <c r="M224" s="170" t="str">
        <f>IFERROR(__xludf.DUMMYFUNCTION("""COMPUTED_VALUE"""),"")</f>
        <v/>
      </c>
      <c r="N224" s="170">
        <f>IFERROR(__xludf.DUMMYFUNCTION("""COMPUTED_VALUE"""),0.0)</f>
        <v>0</v>
      </c>
      <c r="O224" s="170">
        <f>IFERROR(__xludf.DUMMYFUNCTION("""COMPUTED_VALUE"""),0.0)</f>
        <v>0</v>
      </c>
      <c r="P224" s="170">
        <f>IFERROR(__xludf.DUMMYFUNCTION("""COMPUTED_VALUE"""),0.0)</f>
        <v>0</v>
      </c>
      <c r="Q224" s="170">
        <f>IFERROR(__xludf.DUMMYFUNCTION("""COMPUTED_VALUE"""),0.0)</f>
        <v>0</v>
      </c>
      <c r="R224" s="170">
        <f>IFERROR(__xludf.DUMMYFUNCTION("""COMPUTED_VALUE"""),0.0)</f>
        <v>0</v>
      </c>
      <c r="S224" s="170">
        <f>IFERROR(__xludf.DUMMYFUNCTION("""COMPUTED_VALUE"""),0.0)</f>
        <v>0</v>
      </c>
      <c r="T224" s="170">
        <f>IFERROR(__xludf.DUMMYFUNCTION("""COMPUTED_VALUE"""),0.0)</f>
        <v>0</v>
      </c>
      <c r="U224" s="170">
        <f>IFERROR(__xludf.DUMMYFUNCTION("""COMPUTED_VALUE"""),0.0)</f>
        <v>0</v>
      </c>
      <c r="V224" s="170">
        <f>IFERROR(__xludf.DUMMYFUNCTION("""COMPUTED_VALUE"""),0.0)</f>
        <v>0</v>
      </c>
      <c r="W224" s="170">
        <f>IFERROR(__xludf.DUMMYFUNCTION("""COMPUTED_VALUE"""),0.0)</f>
        <v>0</v>
      </c>
      <c r="X224" s="170">
        <f>IFERROR(__xludf.DUMMYFUNCTION("""COMPUTED_VALUE"""),0.0)</f>
        <v>0</v>
      </c>
      <c r="Y224" s="170">
        <f>IFERROR(__xludf.DUMMYFUNCTION("""COMPUTED_VALUE"""),25.0)</f>
        <v>25</v>
      </c>
      <c r="Z224" s="170">
        <f>IFERROR(__xludf.DUMMYFUNCTION("""COMPUTED_VALUE"""),0.0)</f>
        <v>0</v>
      </c>
      <c r="AA224" s="170">
        <f>IFERROR(__xludf.DUMMYFUNCTION("""COMPUTED_VALUE"""),0.0)</f>
        <v>0</v>
      </c>
      <c r="AB224" s="170">
        <f>IFERROR(__xludf.DUMMYFUNCTION("""COMPUTED_VALUE"""),0.0)</f>
        <v>0</v>
      </c>
      <c r="AC224" s="170">
        <f>IFERROR(__xludf.DUMMYFUNCTION("""COMPUTED_VALUE"""),0.0)</f>
        <v>0</v>
      </c>
      <c r="AD224" s="170">
        <f>IFERROR(__xludf.DUMMYFUNCTION("""COMPUTED_VALUE"""),-25.0)</f>
        <v>-25</v>
      </c>
      <c r="AE224" s="170">
        <f>IFERROR(__xludf.DUMMYFUNCTION("""COMPUTED_VALUE"""),0.0)</f>
        <v>0</v>
      </c>
      <c r="AF224" s="170" t="str">
        <f>IFERROR(__xludf.DUMMYFUNCTION("""COMPUTED_VALUE"""),"")</f>
        <v/>
      </c>
      <c r="AG224" s="170">
        <f>IFERROR(__xludf.DUMMYFUNCTION("""COMPUTED_VALUE"""),0.0)</f>
        <v>0</v>
      </c>
      <c r="AH224" s="170">
        <f>IFERROR(__xludf.DUMMYFUNCTION("""COMPUTED_VALUE"""),0.0)</f>
        <v>0</v>
      </c>
      <c r="AI224" s="170">
        <f>IFERROR(__xludf.DUMMYFUNCTION("""COMPUTED_VALUE"""),0.0)</f>
        <v>0</v>
      </c>
      <c r="AJ224" s="170"/>
    </row>
    <row r="225" ht="22.5" customHeight="1">
      <c r="A225" s="268" t="str">
        <f>IFERROR(__xludf.DUMMYFUNCTION("""COMPUTED_VALUE"""),"")</f>
        <v/>
      </c>
      <c r="B225" s="268" t="str">
        <f>IFERROR(__xludf.DUMMYFUNCTION("""COMPUTED_VALUE"""),"")</f>
        <v/>
      </c>
      <c r="C225" s="268">
        <f>IFERROR(__xludf.DUMMYFUNCTION("""COMPUTED_VALUE"""),419.0)</f>
        <v>419</v>
      </c>
      <c r="D225" s="268" t="str">
        <f>IFERROR(__xludf.DUMMYFUNCTION("""COMPUTED_VALUE"""),"Clínica da Família Estácio de Sá")</f>
        <v>Clínica da Família Estácio de Sá</v>
      </c>
      <c r="E225" s="272" t="str">
        <f>IFERROR(__xludf.DUMMYFUNCTION("""COMPUTED_VALUE"""),"CENTRO")</f>
        <v>CENTRO</v>
      </c>
      <c r="F225" s="268" t="str">
        <f>IFERROR(__xludf.DUMMYFUNCTION("""COMPUTED_VALUE"""),"Rio de Janeiro")</f>
        <v>Rio de Janeiro</v>
      </c>
      <c r="G225" s="268" t="str">
        <f>IFERROR(__xludf.DUMMYFUNCTION("""COMPUTED_VALUE"""),"Estácio")</f>
        <v>Estácio</v>
      </c>
      <c r="H225" s="268" t="str">
        <f>IFERROR(__xludf.DUMMYFUNCTION("""COMPUTED_VALUE"""),"Unidade básica de saúde - BAIXA COMPLEXIDADE")</f>
        <v>Unidade básica de saúde - BAIXA COMPLEXIDADE</v>
      </c>
      <c r="I225" s="268" t="str">
        <f>IFERROR(__xludf.DUMMYFUNCTION("""COMPUTED_VALUE"""),"Público")</f>
        <v>Público</v>
      </c>
      <c r="J225" s="268" t="str">
        <f>IFERROR(__xludf.DUMMYFUNCTION("""COMPUTED_VALUE"""),"")</f>
        <v/>
      </c>
      <c r="K225" s="268" t="str">
        <f>IFERROR(__xludf.DUMMYFUNCTION("""COMPUTED_VALUE"""),"")</f>
        <v/>
      </c>
      <c r="L225" s="268" t="str">
        <f>IFERROR(__xludf.DUMMYFUNCTION("""COMPUTED_VALUE"""),"")</f>
        <v/>
      </c>
      <c r="M225" s="268" t="str">
        <f>IFERROR(__xludf.DUMMYFUNCTION("""COMPUTED_VALUE"""),"")</f>
        <v/>
      </c>
      <c r="N225" s="268">
        <f>IFERROR(__xludf.DUMMYFUNCTION("""COMPUTED_VALUE"""),0.0)</f>
        <v>0</v>
      </c>
      <c r="O225" s="268">
        <f>IFERROR(__xludf.DUMMYFUNCTION("""COMPUTED_VALUE"""),0.0)</f>
        <v>0</v>
      </c>
      <c r="P225" s="268">
        <f>IFERROR(__xludf.DUMMYFUNCTION("""COMPUTED_VALUE"""),0.0)</f>
        <v>0</v>
      </c>
      <c r="Q225" s="268">
        <f>IFERROR(__xludf.DUMMYFUNCTION("""COMPUTED_VALUE"""),0.0)</f>
        <v>0</v>
      </c>
      <c r="R225" s="268">
        <f>IFERROR(__xludf.DUMMYFUNCTION("""COMPUTED_VALUE"""),0.0)</f>
        <v>0</v>
      </c>
      <c r="S225" s="268">
        <f>IFERROR(__xludf.DUMMYFUNCTION("""COMPUTED_VALUE"""),0.0)</f>
        <v>0</v>
      </c>
      <c r="T225" s="268">
        <f>IFERROR(__xludf.DUMMYFUNCTION("""COMPUTED_VALUE"""),0.0)</f>
        <v>0</v>
      </c>
      <c r="U225" s="268">
        <f>IFERROR(__xludf.DUMMYFUNCTION("""COMPUTED_VALUE"""),0.0)</f>
        <v>0</v>
      </c>
      <c r="V225" s="268">
        <f>IFERROR(__xludf.DUMMYFUNCTION("""COMPUTED_VALUE"""),0.0)</f>
        <v>0</v>
      </c>
      <c r="W225" s="268">
        <f>IFERROR(__xludf.DUMMYFUNCTION("""COMPUTED_VALUE"""),0.0)</f>
        <v>0</v>
      </c>
      <c r="X225" s="268">
        <f>IFERROR(__xludf.DUMMYFUNCTION("""COMPUTED_VALUE"""),10.0)</f>
        <v>10</v>
      </c>
      <c r="Y225" s="268">
        <f>IFERROR(__xludf.DUMMYFUNCTION("""COMPUTED_VALUE"""),20.0)</f>
        <v>20</v>
      </c>
      <c r="Z225" s="268">
        <f>IFERROR(__xludf.DUMMYFUNCTION("""COMPUTED_VALUE"""),0.0)</f>
        <v>0</v>
      </c>
      <c r="AA225" s="268">
        <f>IFERROR(__xludf.DUMMYFUNCTION("""COMPUTED_VALUE"""),0.0)</f>
        <v>0</v>
      </c>
      <c r="AB225" s="268">
        <f>IFERROR(__xludf.DUMMYFUNCTION("""COMPUTED_VALUE"""),0.0)</f>
        <v>0</v>
      </c>
      <c r="AC225" s="268">
        <f>IFERROR(__xludf.DUMMYFUNCTION("""COMPUTED_VALUE"""),0.0)</f>
        <v>0</v>
      </c>
      <c r="AD225" s="268">
        <f>IFERROR(__xludf.DUMMYFUNCTION("""COMPUTED_VALUE"""),-20.0)</f>
        <v>-20</v>
      </c>
      <c r="AE225" s="268">
        <f>IFERROR(__xludf.DUMMYFUNCTION("""COMPUTED_VALUE"""),-10.0)</f>
        <v>-10</v>
      </c>
      <c r="AF225" s="268" t="str">
        <f>IFERROR(__xludf.DUMMYFUNCTION("""COMPUTED_VALUE"""),"")</f>
        <v/>
      </c>
      <c r="AG225" s="268">
        <f>IFERROR(__xludf.DUMMYFUNCTION("""COMPUTED_VALUE"""),0.0)</f>
        <v>0</v>
      </c>
      <c r="AH225" s="268">
        <f>IFERROR(__xludf.DUMMYFUNCTION("""COMPUTED_VALUE"""),0.0)</f>
        <v>0</v>
      </c>
      <c r="AI225" s="268">
        <f>IFERROR(__xludf.DUMMYFUNCTION("""COMPUTED_VALUE"""),0.0)</f>
        <v>0</v>
      </c>
      <c r="AJ225" s="268"/>
    </row>
    <row r="226" ht="22.5" customHeight="1">
      <c r="A226" s="170" t="str">
        <f>IFERROR(__xludf.DUMMYFUNCTION("""COMPUTED_VALUE"""),"")</f>
        <v/>
      </c>
      <c r="B226" s="170" t="str">
        <f>IFERROR(__xludf.DUMMYFUNCTION("""COMPUTED_VALUE"""),"")</f>
        <v/>
      </c>
      <c r="C226" s="170">
        <f>IFERROR(__xludf.DUMMYFUNCTION("""COMPUTED_VALUE"""),420.0)</f>
        <v>420</v>
      </c>
      <c r="D226" s="170" t="str">
        <f>IFERROR(__xludf.DUMMYFUNCTION("""COMPUTED_VALUE"""),"UPA Engenho Novo")</f>
        <v>UPA Engenho Novo</v>
      </c>
      <c r="E226" s="270" t="str">
        <f>IFERROR(__xludf.DUMMYFUNCTION("""COMPUTED_VALUE"""),"ZONA NORTE")</f>
        <v>ZONA NORTE</v>
      </c>
      <c r="F226" s="170" t="str">
        <f>IFERROR(__xludf.DUMMYFUNCTION("""COMPUTED_VALUE"""),"Rio de Janeiro")</f>
        <v>Rio de Janeiro</v>
      </c>
      <c r="G226" s="170" t="str">
        <f>IFERROR(__xludf.DUMMYFUNCTION("""COMPUTED_VALUE"""),"Engenho Novo")</f>
        <v>Engenho Novo</v>
      </c>
      <c r="H226" s="170" t="str">
        <f>IFERROR(__xludf.DUMMYFUNCTION("""COMPUTED_VALUE"""),"Grande emergência - MÉDIA COMPLEXIDADE
")</f>
        <v>Grande emergência - MÉDIA COMPLEXIDADE
</v>
      </c>
      <c r="I226" s="170" t="str">
        <f>IFERROR(__xludf.DUMMYFUNCTION("""COMPUTED_VALUE"""),"Público")</f>
        <v>Público</v>
      </c>
      <c r="J226" s="170" t="str">
        <f>IFERROR(__xludf.DUMMYFUNCTION("""COMPUTED_VALUE"""),"")</f>
        <v/>
      </c>
      <c r="K226" s="170" t="str">
        <f>IFERROR(__xludf.DUMMYFUNCTION("""COMPUTED_VALUE"""),"")</f>
        <v/>
      </c>
      <c r="L226" s="170" t="str">
        <f>IFERROR(__xludf.DUMMYFUNCTION("""COMPUTED_VALUE"""),"")</f>
        <v/>
      </c>
      <c r="M226" s="170" t="str">
        <f>IFERROR(__xludf.DUMMYFUNCTION("""COMPUTED_VALUE"""),"")</f>
        <v/>
      </c>
      <c r="N226" s="170">
        <f>IFERROR(__xludf.DUMMYFUNCTION("""COMPUTED_VALUE"""),0.0)</f>
        <v>0</v>
      </c>
      <c r="O226" s="170">
        <f>IFERROR(__xludf.DUMMYFUNCTION("""COMPUTED_VALUE"""),0.0)</f>
        <v>0</v>
      </c>
      <c r="P226" s="170">
        <f>IFERROR(__xludf.DUMMYFUNCTION("""COMPUTED_VALUE"""),0.0)</f>
        <v>0</v>
      </c>
      <c r="Q226" s="170">
        <f>IFERROR(__xludf.DUMMYFUNCTION("""COMPUTED_VALUE"""),0.0)</f>
        <v>0</v>
      </c>
      <c r="R226" s="170">
        <f>IFERROR(__xludf.DUMMYFUNCTION("""COMPUTED_VALUE"""),0.0)</f>
        <v>0</v>
      </c>
      <c r="S226" s="170">
        <f>IFERROR(__xludf.DUMMYFUNCTION("""COMPUTED_VALUE"""),0.0)</f>
        <v>0</v>
      </c>
      <c r="T226" s="170">
        <f>IFERROR(__xludf.DUMMYFUNCTION("""COMPUTED_VALUE"""),0.0)</f>
        <v>0</v>
      </c>
      <c r="U226" s="170">
        <f>IFERROR(__xludf.DUMMYFUNCTION("""COMPUTED_VALUE"""),0.0)</f>
        <v>0</v>
      </c>
      <c r="V226" s="170">
        <f>IFERROR(__xludf.DUMMYFUNCTION("""COMPUTED_VALUE"""),0.0)</f>
        <v>0</v>
      </c>
      <c r="W226" s="170">
        <f>IFERROR(__xludf.DUMMYFUNCTION("""COMPUTED_VALUE"""),0.0)</f>
        <v>0</v>
      </c>
      <c r="X226" s="170">
        <f>IFERROR(__xludf.DUMMYFUNCTION("""COMPUTED_VALUE"""),20.0)</f>
        <v>20</v>
      </c>
      <c r="Y226" s="170">
        <f>IFERROR(__xludf.DUMMYFUNCTION("""COMPUTED_VALUE"""),12.5)</f>
        <v>12.5</v>
      </c>
      <c r="Z226" s="170">
        <f>IFERROR(__xludf.DUMMYFUNCTION("""COMPUTED_VALUE"""),0.0)</f>
        <v>0</v>
      </c>
      <c r="AA226" s="170">
        <f>IFERROR(__xludf.DUMMYFUNCTION("""COMPUTED_VALUE"""),0.0)</f>
        <v>0</v>
      </c>
      <c r="AB226" s="170">
        <f>IFERROR(__xludf.DUMMYFUNCTION("""COMPUTED_VALUE"""),0.0)</f>
        <v>0</v>
      </c>
      <c r="AC226" s="170">
        <f>IFERROR(__xludf.DUMMYFUNCTION("""COMPUTED_VALUE"""),0.0)</f>
        <v>0</v>
      </c>
      <c r="AD226" s="170">
        <f>IFERROR(__xludf.DUMMYFUNCTION("""COMPUTED_VALUE"""),-12.5)</f>
        <v>-12.5</v>
      </c>
      <c r="AE226" s="170">
        <f>IFERROR(__xludf.DUMMYFUNCTION("""COMPUTED_VALUE"""),-20.0)</f>
        <v>-20</v>
      </c>
      <c r="AF226" s="170" t="str">
        <f>IFERROR(__xludf.DUMMYFUNCTION("""COMPUTED_VALUE"""),"")</f>
        <v/>
      </c>
      <c r="AG226" s="170">
        <f>IFERROR(__xludf.DUMMYFUNCTION("""COMPUTED_VALUE"""),0.0)</f>
        <v>0</v>
      </c>
      <c r="AH226" s="170">
        <f>IFERROR(__xludf.DUMMYFUNCTION("""COMPUTED_VALUE"""),0.0)</f>
        <v>0</v>
      </c>
      <c r="AI226" s="170">
        <f>IFERROR(__xludf.DUMMYFUNCTION("""COMPUTED_VALUE"""),0.0)</f>
        <v>0</v>
      </c>
      <c r="AJ226" s="170"/>
    </row>
    <row r="227" ht="22.5" customHeight="1">
      <c r="A227" s="268" t="str">
        <f>IFERROR(__xludf.DUMMYFUNCTION("""COMPUTED_VALUE"""),"")</f>
        <v/>
      </c>
      <c r="B227" s="268" t="str">
        <f>IFERROR(__xludf.DUMMYFUNCTION("""COMPUTED_VALUE"""),"")</f>
        <v/>
      </c>
      <c r="C227" s="268">
        <f>IFERROR(__xludf.DUMMYFUNCTION("""COMPUTED_VALUE"""),421.0)</f>
        <v>421</v>
      </c>
      <c r="D227" s="268" t="str">
        <f>IFERROR(__xludf.DUMMYFUNCTION("""COMPUTED_VALUE"""),"Distribuidores da Alegria CDD")</f>
        <v>Distribuidores da Alegria CDD</v>
      </c>
      <c r="E227" s="272" t="str">
        <f>IFERROR(__xludf.DUMMYFUNCTION("""COMPUTED_VALUE"""),"ZONA OESTE")</f>
        <v>ZONA OESTE</v>
      </c>
      <c r="F227" s="268" t="str">
        <f>IFERROR(__xludf.DUMMYFUNCTION("""COMPUTED_VALUE"""),"Rio de Janeiro")</f>
        <v>Rio de Janeiro</v>
      </c>
      <c r="G227" s="268" t="str">
        <f>IFERROR(__xludf.DUMMYFUNCTION("""COMPUTED_VALUE"""),"Cidade de Deus")</f>
        <v>Cidade de Deus</v>
      </c>
      <c r="H227" s="268" t="str">
        <f>IFERROR(__xludf.DUMMYFUNCTION("""COMPUTED_VALUE"""),"Outra Instituição")</f>
        <v>Outra Instituição</v>
      </c>
      <c r="I227" s="268" t="str">
        <f>IFERROR(__xludf.DUMMYFUNCTION("""COMPUTED_VALUE"""),"Público")</f>
        <v>Público</v>
      </c>
      <c r="J227" s="268" t="str">
        <f>IFERROR(__xludf.DUMMYFUNCTION("""COMPUTED_VALUE"""),"")</f>
        <v/>
      </c>
      <c r="K227" s="268" t="str">
        <f>IFERROR(__xludf.DUMMYFUNCTION("""COMPUTED_VALUE"""),"")</f>
        <v/>
      </c>
      <c r="L227" s="268" t="str">
        <f>IFERROR(__xludf.DUMMYFUNCTION("""COMPUTED_VALUE"""),"")</f>
        <v/>
      </c>
      <c r="M227" s="268" t="str">
        <f>IFERROR(__xludf.DUMMYFUNCTION("""COMPUTED_VALUE"""),"")</f>
        <v/>
      </c>
      <c r="N227" s="268">
        <f>IFERROR(__xludf.DUMMYFUNCTION("""COMPUTED_VALUE"""),0.0)</f>
        <v>0</v>
      </c>
      <c r="O227" s="268">
        <f>IFERROR(__xludf.DUMMYFUNCTION("""COMPUTED_VALUE"""),0.0)</f>
        <v>0</v>
      </c>
      <c r="P227" s="268">
        <f>IFERROR(__xludf.DUMMYFUNCTION("""COMPUTED_VALUE"""),0.0)</f>
        <v>0</v>
      </c>
      <c r="Q227" s="268">
        <f>IFERROR(__xludf.DUMMYFUNCTION("""COMPUTED_VALUE"""),0.0)</f>
        <v>0</v>
      </c>
      <c r="R227" s="268">
        <f>IFERROR(__xludf.DUMMYFUNCTION("""COMPUTED_VALUE"""),0.0)</f>
        <v>0</v>
      </c>
      <c r="S227" s="268">
        <f>IFERROR(__xludf.DUMMYFUNCTION("""COMPUTED_VALUE"""),0.0)</f>
        <v>0</v>
      </c>
      <c r="T227" s="268">
        <f>IFERROR(__xludf.DUMMYFUNCTION("""COMPUTED_VALUE"""),13.0)</f>
        <v>13</v>
      </c>
      <c r="U227" s="268">
        <f>IFERROR(__xludf.DUMMYFUNCTION("""COMPUTED_VALUE"""),0.0)</f>
        <v>0</v>
      </c>
      <c r="V227" s="268">
        <f>IFERROR(__xludf.DUMMYFUNCTION("""COMPUTED_VALUE"""),0.0)</f>
        <v>0</v>
      </c>
      <c r="W227" s="268">
        <f>IFERROR(__xludf.DUMMYFUNCTION("""COMPUTED_VALUE"""),0.0)</f>
        <v>0</v>
      </c>
      <c r="X227" s="268">
        <f>IFERROR(__xludf.DUMMYFUNCTION("""COMPUTED_VALUE"""),0.0)</f>
        <v>0</v>
      </c>
      <c r="Y227" s="268">
        <f>IFERROR(__xludf.DUMMYFUNCTION("""COMPUTED_VALUE"""),0.0)</f>
        <v>0</v>
      </c>
      <c r="Z227" s="268">
        <f>IFERROR(__xludf.DUMMYFUNCTION("""COMPUTED_VALUE"""),-13.0)</f>
        <v>-13</v>
      </c>
      <c r="AA227" s="268">
        <f>IFERROR(__xludf.DUMMYFUNCTION("""COMPUTED_VALUE"""),0.0)</f>
        <v>0</v>
      </c>
      <c r="AB227" s="268">
        <f>IFERROR(__xludf.DUMMYFUNCTION("""COMPUTED_VALUE"""),0.0)</f>
        <v>0</v>
      </c>
      <c r="AC227" s="268">
        <f>IFERROR(__xludf.DUMMYFUNCTION("""COMPUTED_VALUE"""),0.0)</f>
        <v>0</v>
      </c>
      <c r="AD227" s="268">
        <f>IFERROR(__xludf.DUMMYFUNCTION("""COMPUTED_VALUE"""),0.0)</f>
        <v>0</v>
      </c>
      <c r="AE227" s="268">
        <f>IFERROR(__xludf.DUMMYFUNCTION("""COMPUTED_VALUE"""),0.0)</f>
        <v>0</v>
      </c>
      <c r="AF227" s="268" t="str">
        <f>IFERROR(__xludf.DUMMYFUNCTION("""COMPUTED_VALUE"""),"")</f>
        <v/>
      </c>
      <c r="AG227" s="268">
        <f>IFERROR(__xludf.DUMMYFUNCTION("""COMPUTED_VALUE"""),0.0)</f>
        <v>0</v>
      </c>
      <c r="AH227" s="268">
        <f>IFERROR(__xludf.DUMMYFUNCTION("""COMPUTED_VALUE"""),0.0)</f>
        <v>0</v>
      </c>
      <c r="AI227" s="268">
        <f>IFERROR(__xludf.DUMMYFUNCTION("""COMPUTED_VALUE"""),0.0)</f>
        <v>0</v>
      </c>
      <c r="AJ227" s="268"/>
    </row>
    <row r="228" ht="22.5" customHeight="1">
      <c r="A228" s="170" t="str">
        <f>IFERROR(__xludf.DUMMYFUNCTION("""COMPUTED_VALUE"""),"")</f>
        <v/>
      </c>
      <c r="B228" s="170" t="str">
        <f>IFERROR(__xludf.DUMMYFUNCTION("""COMPUTED_VALUE"""),"")</f>
        <v/>
      </c>
      <c r="C228" s="170">
        <f>IFERROR(__xludf.DUMMYFUNCTION("""COMPUTED_VALUE"""),422.0)</f>
        <v>422</v>
      </c>
      <c r="D228" s="170" t="str">
        <f>IFERROR(__xludf.DUMMYFUNCTION("""COMPUTED_VALUE"""),"Abrigo Dr Sérgio Fernandes")</f>
        <v>Abrigo Dr Sérgio Fernandes</v>
      </c>
      <c r="E228" s="270" t="str">
        <f>IFERROR(__xludf.DUMMYFUNCTION("""COMPUTED_VALUE"""),"REGIAO SERRANA")</f>
        <v>REGIAO SERRANA</v>
      </c>
      <c r="F228" s="170" t="str">
        <f>IFERROR(__xludf.DUMMYFUNCTION("""COMPUTED_VALUE"""),"Teresópolis")</f>
        <v>Teresópolis</v>
      </c>
      <c r="G228" s="170" t="str">
        <f>IFERROR(__xludf.DUMMYFUNCTION("""COMPUTED_VALUE"""),"Teresópolis")</f>
        <v>Teresópolis</v>
      </c>
      <c r="H228" s="170" t="str">
        <f>IFERROR(__xludf.DUMMYFUNCTION("""COMPUTED_VALUE"""),"Outra Instituição")</f>
        <v>Outra Instituição</v>
      </c>
      <c r="I228" s="170" t="str">
        <f>IFERROR(__xludf.DUMMYFUNCTION("""COMPUTED_VALUE"""),"Público")</f>
        <v>Público</v>
      </c>
      <c r="J228" s="170" t="str">
        <f>IFERROR(__xludf.DUMMYFUNCTION("""COMPUTED_VALUE"""),"")</f>
        <v/>
      </c>
      <c r="K228" s="170" t="str">
        <f>IFERROR(__xludf.DUMMYFUNCTION("""COMPUTED_VALUE"""),"")</f>
        <v/>
      </c>
      <c r="L228" s="170" t="str">
        <f>IFERROR(__xludf.DUMMYFUNCTION("""COMPUTED_VALUE"""),"")</f>
        <v/>
      </c>
      <c r="M228" s="170" t="str">
        <f>IFERROR(__xludf.DUMMYFUNCTION("""COMPUTED_VALUE"""),"")</f>
        <v/>
      </c>
      <c r="N228" s="170">
        <f>IFERROR(__xludf.DUMMYFUNCTION("""COMPUTED_VALUE"""),0.0)</f>
        <v>0</v>
      </c>
      <c r="O228" s="170">
        <f>IFERROR(__xludf.DUMMYFUNCTION("""COMPUTED_VALUE"""),0.0)</f>
        <v>0</v>
      </c>
      <c r="P228" s="170">
        <f>IFERROR(__xludf.DUMMYFUNCTION("""COMPUTED_VALUE"""),0.0)</f>
        <v>0</v>
      </c>
      <c r="Q228" s="170">
        <f>IFERROR(__xludf.DUMMYFUNCTION("""COMPUTED_VALUE"""),0.0)</f>
        <v>0</v>
      </c>
      <c r="R228" s="170">
        <f>IFERROR(__xludf.DUMMYFUNCTION("""COMPUTED_VALUE"""),0.0)</f>
        <v>0</v>
      </c>
      <c r="S228" s="170">
        <f>IFERROR(__xludf.DUMMYFUNCTION("""COMPUTED_VALUE"""),0.0)</f>
        <v>0</v>
      </c>
      <c r="T228" s="170">
        <f>IFERROR(__xludf.DUMMYFUNCTION("""COMPUTED_VALUE"""),15.0)</f>
        <v>15</v>
      </c>
      <c r="U228" s="170">
        <f>IFERROR(__xludf.DUMMYFUNCTION("""COMPUTED_VALUE"""),0.0)</f>
        <v>0</v>
      </c>
      <c r="V228" s="170">
        <f>IFERROR(__xludf.DUMMYFUNCTION("""COMPUTED_VALUE"""),0.0)</f>
        <v>0</v>
      </c>
      <c r="W228" s="170">
        <f>IFERROR(__xludf.DUMMYFUNCTION("""COMPUTED_VALUE"""),0.0)</f>
        <v>0</v>
      </c>
      <c r="X228" s="170">
        <f>IFERROR(__xludf.DUMMYFUNCTION("""COMPUTED_VALUE"""),0.0)</f>
        <v>0</v>
      </c>
      <c r="Y228" s="170">
        <f>IFERROR(__xludf.DUMMYFUNCTION("""COMPUTED_VALUE"""),0.0)</f>
        <v>0</v>
      </c>
      <c r="Z228" s="170">
        <f>IFERROR(__xludf.DUMMYFUNCTION("""COMPUTED_VALUE"""),-15.0)</f>
        <v>-15</v>
      </c>
      <c r="AA228" s="170">
        <f>IFERROR(__xludf.DUMMYFUNCTION("""COMPUTED_VALUE"""),0.0)</f>
        <v>0</v>
      </c>
      <c r="AB228" s="170">
        <f>IFERROR(__xludf.DUMMYFUNCTION("""COMPUTED_VALUE"""),0.0)</f>
        <v>0</v>
      </c>
      <c r="AC228" s="170">
        <f>IFERROR(__xludf.DUMMYFUNCTION("""COMPUTED_VALUE"""),0.0)</f>
        <v>0</v>
      </c>
      <c r="AD228" s="170">
        <f>IFERROR(__xludf.DUMMYFUNCTION("""COMPUTED_VALUE"""),0.0)</f>
        <v>0</v>
      </c>
      <c r="AE228" s="170">
        <f>IFERROR(__xludf.DUMMYFUNCTION("""COMPUTED_VALUE"""),0.0)</f>
        <v>0</v>
      </c>
      <c r="AF228" s="170" t="str">
        <f>IFERROR(__xludf.DUMMYFUNCTION("""COMPUTED_VALUE"""),"")</f>
        <v/>
      </c>
      <c r="AG228" s="170">
        <f>IFERROR(__xludf.DUMMYFUNCTION("""COMPUTED_VALUE"""),0.0)</f>
        <v>0</v>
      </c>
      <c r="AH228" s="170">
        <f>IFERROR(__xludf.DUMMYFUNCTION("""COMPUTED_VALUE"""),0.0)</f>
        <v>0</v>
      </c>
      <c r="AI228" s="170">
        <f>IFERROR(__xludf.DUMMYFUNCTION("""COMPUTED_VALUE"""),0.0)</f>
        <v>0</v>
      </c>
      <c r="AJ228" s="170"/>
    </row>
    <row r="229" ht="22.5" customHeight="1">
      <c r="A229" s="268" t="str">
        <f>IFERROR(__xludf.DUMMYFUNCTION("""COMPUTED_VALUE"""),"")</f>
        <v/>
      </c>
      <c r="B229" s="268" t="str">
        <f>IFERROR(__xludf.DUMMYFUNCTION("""COMPUTED_VALUE"""),"")</f>
        <v/>
      </c>
      <c r="C229" s="268">
        <f>IFERROR(__xludf.DUMMYFUNCTION("""COMPUTED_VALUE"""),423.0)</f>
        <v>423</v>
      </c>
      <c r="D229" s="268" t="str">
        <f>IFERROR(__xludf.DUMMYFUNCTION("""COMPUTED_VALUE"""),"Movimento Favela Vertical")</f>
        <v>Movimento Favela Vertical</v>
      </c>
      <c r="E229" s="272" t="str">
        <f>IFERROR(__xludf.DUMMYFUNCTION("""COMPUTED_VALUE"""),"ZONA OESTE")</f>
        <v>ZONA OESTE</v>
      </c>
      <c r="F229" s="268" t="str">
        <f>IFERROR(__xludf.DUMMYFUNCTION("""COMPUTED_VALUE"""),"Rio de Janeiro")</f>
        <v>Rio de Janeiro</v>
      </c>
      <c r="G229" s="268" t="str">
        <f>IFERROR(__xludf.DUMMYFUNCTION("""COMPUTED_VALUE"""),"Gardênia Azul")</f>
        <v>Gardênia Azul</v>
      </c>
      <c r="H229" s="268" t="str">
        <f>IFERROR(__xludf.DUMMYFUNCTION("""COMPUTED_VALUE"""),"Outra Instituição")</f>
        <v>Outra Instituição</v>
      </c>
      <c r="I229" s="268" t="str">
        <f>IFERROR(__xludf.DUMMYFUNCTION("""COMPUTED_VALUE"""),"Público")</f>
        <v>Público</v>
      </c>
      <c r="J229" s="268" t="str">
        <f>IFERROR(__xludf.DUMMYFUNCTION("""COMPUTED_VALUE"""),"")</f>
        <v/>
      </c>
      <c r="K229" s="268" t="str">
        <f>IFERROR(__xludf.DUMMYFUNCTION("""COMPUTED_VALUE"""),"")</f>
        <v/>
      </c>
      <c r="L229" s="268" t="str">
        <f>IFERROR(__xludf.DUMMYFUNCTION("""COMPUTED_VALUE"""),"")</f>
        <v/>
      </c>
      <c r="M229" s="268" t="str">
        <f>IFERROR(__xludf.DUMMYFUNCTION("""COMPUTED_VALUE"""),"")</f>
        <v/>
      </c>
      <c r="N229" s="268">
        <f>IFERROR(__xludf.DUMMYFUNCTION("""COMPUTED_VALUE"""),0.0)</f>
        <v>0</v>
      </c>
      <c r="O229" s="268">
        <f>IFERROR(__xludf.DUMMYFUNCTION("""COMPUTED_VALUE"""),0.0)</f>
        <v>0</v>
      </c>
      <c r="P229" s="268">
        <f>IFERROR(__xludf.DUMMYFUNCTION("""COMPUTED_VALUE"""),0.0)</f>
        <v>0</v>
      </c>
      <c r="Q229" s="268">
        <f>IFERROR(__xludf.DUMMYFUNCTION("""COMPUTED_VALUE"""),0.0)</f>
        <v>0</v>
      </c>
      <c r="R229" s="268">
        <f>IFERROR(__xludf.DUMMYFUNCTION("""COMPUTED_VALUE"""),0.0)</f>
        <v>0</v>
      </c>
      <c r="S229" s="268">
        <f>IFERROR(__xludf.DUMMYFUNCTION("""COMPUTED_VALUE"""),0.0)</f>
        <v>0</v>
      </c>
      <c r="T229" s="268">
        <f>IFERROR(__xludf.DUMMYFUNCTION("""COMPUTED_VALUE"""),20.0)</f>
        <v>20</v>
      </c>
      <c r="U229" s="268">
        <f>IFERROR(__xludf.DUMMYFUNCTION("""COMPUTED_VALUE"""),0.0)</f>
        <v>0</v>
      </c>
      <c r="V229" s="268">
        <f>IFERROR(__xludf.DUMMYFUNCTION("""COMPUTED_VALUE"""),0.0)</f>
        <v>0</v>
      </c>
      <c r="W229" s="268">
        <f>IFERROR(__xludf.DUMMYFUNCTION("""COMPUTED_VALUE"""),0.0)</f>
        <v>0</v>
      </c>
      <c r="X229" s="268">
        <f>IFERROR(__xludf.DUMMYFUNCTION("""COMPUTED_VALUE"""),0.0)</f>
        <v>0</v>
      </c>
      <c r="Y229" s="268">
        <f>IFERROR(__xludf.DUMMYFUNCTION("""COMPUTED_VALUE"""),0.0)</f>
        <v>0</v>
      </c>
      <c r="Z229" s="268">
        <f>IFERROR(__xludf.DUMMYFUNCTION("""COMPUTED_VALUE"""),-20.0)</f>
        <v>-20</v>
      </c>
      <c r="AA229" s="268">
        <f>IFERROR(__xludf.DUMMYFUNCTION("""COMPUTED_VALUE"""),0.0)</f>
        <v>0</v>
      </c>
      <c r="AB229" s="268">
        <f>IFERROR(__xludf.DUMMYFUNCTION("""COMPUTED_VALUE"""),0.0)</f>
        <v>0</v>
      </c>
      <c r="AC229" s="268">
        <f>IFERROR(__xludf.DUMMYFUNCTION("""COMPUTED_VALUE"""),0.0)</f>
        <v>0</v>
      </c>
      <c r="AD229" s="268">
        <f>IFERROR(__xludf.DUMMYFUNCTION("""COMPUTED_VALUE"""),0.0)</f>
        <v>0</v>
      </c>
      <c r="AE229" s="268">
        <f>IFERROR(__xludf.DUMMYFUNCTION("""COMPUTED_VALUE"""),0.0)</f>
        <v>0</v>
      </c>
      <c r="AF229" s="268" t="str">
        <f>IFERROR(__xludf.DUMMYFUNCTION("""COMPUTED_VALUE"""),"")</f>
        <v/>
      </c>
      <c r="AG229" s="268">
        <f>IFERROR(__xludf.DUMMYFUNCTION("""COMPUTED_VALUE"""),0.0)</f>
        <v>0</v>
      </c>
      <c r="AH229" s="268">
        <f>IFERROR(__xludf.DUMMYFUNCTION("""COMPUTED_VALUE"""),0.0)</f>
        <v>0</v>
      </c>
      <c r="AI229" s="268">
        <f>IFERROR(__xludf.DUMMYFUNCTION("""COMPUTED_VALUE"""),0.0)</f>
        <v>0</v>
      </c>
      <c r="AJ229" s="268"/>
    </row>
    <row r="230" ht="22.5" customHeight="1">
      <c r="A230" s="170" t="str">
        <f>IFERROR(__xludf.DUMMYFUNCTION("""COMPUTED_VALUE"""),"")</f>
        <v/>
      </c>
      <c r="B230" s="170" t="str">
        <f>IFERROR(__xludf.DUMMYFUNCTION("""COMPUTED_VALUE"""),"")</f>
        <v/>
      </c>
      <c r="C230" s="170">
        <f>IFERROR(__xludf.DUMMYFUNCTION("""COMPUTED_VALUE"""),424.0)</f>
        <v>424</v>
      </c>
      <c r="D230" s="170" t="str">
        <f>IFERROR(__xludf.DUMMYFUNCTION("""COMPUTED_VALUE"""),"Comunidade Pentecostal Renascer (Movimento Voluntário)")</f>
        <v>Comunidade Pentecostal Renascer (Movimento Voluntário)</v>
      </c>
      <c r="E230" s="270" t="str">
        <f>IFERROR(__xludf.DUMMYFUNCTION("""COMPUTED_VALUE"""),"ZONA OESTE")</f>
        <v>ZONA OESTE</v>
      </c>
      <c r="F230" s="170" t="str">
        <f>IFERROR(__xludf.DUMMYFUNCTION("""COMPUTED_VALUE"""),"Rio de Janeiro")</f>
        <v>Rio de Janeiro</v>
      </c>
      <c r="G230" s="170" t="str">
        <f>IFERROR(__xludf.DUMMYFUNCTION("""COMPUTED_VALUE"""),"Complexo do Alemão")</f>
        <v>Complexo do Alemão</v>
      </c>
      <c r="H230" s="170" t="str">
        <f>IFERROR(__xludf.DUMMYFUNCTION("""COMPUTED_VALUE"""),"Outra Instituição")</f>
        <v>Outra Instituição</v>
      </c>
      <c r="I230" s="170" t="str">
        <f>IFERROR(__xludf.DUMMYFUNCTION("""COMPUTED_VALUE"""),"Público")</f>
        <v>Público</v>
      </c>
      <c r="J230" s="170" t="str">
        <f>IFERROR(__xludf.DUMMYFUNCTION("""COMPUTED_VALUE"""),"")</f>
        <v/>
      </c>
      <c r="K230" s="170" t="str">
        <f>IFERROR(__xludf.DUMMYFUNCTION("""COMPUTED_VALUE"""),"")</f>
        <v/>
      </c>
      <c r="L230" s="170" t="str">
        <f>IFERROR(__xludf.DUMMYFUNCTION("""COMPUTED_VALUE"""),"")</f>
        <v/>
      </c>
      <c r="M230" s="170" t="str">
        <f>IFERROR(__xludf.DUMMYFUNCTION("""COMPUTED_VALUE"""),"")</f>
        <v/>
      </c>
      <c r="N230" s="170">
        <f>IFERROR(__xludf.DUMMYFUNCTION("""COMPUTED_VALUE"""),0.0)</f>
        <v>0</v>
      </c>
      <c r="O230" s="170">
        <f>IFERROR(__xludf.DUMMYFUNCTION("""COMPUTED_VALUE"""),0.0)</f>
        <v>0</v>
      </c>
      <c r="P230" s="170">
        <f>IFERROR(__xludf.DUMMYFUNCTION("""COMPUTED_VALUE"""),0.0)</f>
        <v>0</v>
      </c>
      <c r="Q230" s="170">
        <f>IFERROR(__xludf.DUMMYFUNCTION("""COMPUTED_VALUE"""),0.0)</f>
        <v>0</v>
      </c>
      <c r="R230" s="170">
        <f>IFERROR(__xludf.DUMMYFUNCTION("""COMPUTED_VALUE"""),0.0)</f>
        <v>0</v>
      </c>
      <c r="S230" s="170">
        <f>IFERROR(__xludf.DUMMYFUNCTION("""COMPUTED_VALUE"""),0.0)</f>
        <v>0</v>
      </c>
      <c r="T230" s="170">
        <f>IFERROR(__xludf.DUMMYFUNCTION("""COMPUTED_VALUE"""),12.0)</f>
        <v>12</v>
      </c>
      <c r="U230" s="170">
        <f>IFERROR(__xludf.DUMMYFUNCTION("""COMPUTED_VALUE"""),0.0)</f>
        <v>0</v>
      </c>
      <c r="V230" s="170">
        <f>IFERROR(__xludf.DUMMYFUNCTION("""COMPUTED_VALUE"""),0.0)</f>
        <v>0</v>
      </c>
      <c r="W230" s="170">
        <f>IFERROR(__xludf.DUMMYFUNCTION("""COMPUTED_VALUE"""),0.0)</f>
        <v>0</v>
      </c>
      <c r="X230" s="170">
        <f>IFERROR(__xludf.DUMMYFUNCTION("""COMPUTED_VALUE"""),0.0)</f>
        <v>0</v>
      </c>
      <c r="Y230" s="170">
        <f>IFERROR(__xludf.DUMMYFUNCTION("""COMPUTED_VALUE"""),0.0)</f>
        <v>0</v>
      </c>
      <c r="Z230" s="170">
        <f>IFERROR(__xludf.DUMMYFUNCTION("""COMPUTED_VALUE"""),-12.0)</f>
        <v>-12</v>
      </c>
      <c r="AA230" s="170">
        <f>IFERROR(__xludf.DUMMYFUNCTION("""COMPUTED_VALUE"""),0.0)</f>
        <v>0</v>
      </c>
      <c r="AB230" s="170">
        <f>IFERROR(__xludf.DUMMYFUNCTION("""COMPUTED_VALUE"""),0.0)</f>
        <v>0</v>
      </c>
      <c r="AC230" s="170">
        <f>IFERROR(__xludf.DUMMYFUNCTION("""COMPUTED_VALUE"""),0.0)</f>
        <v>0</v>
      </c>
      <c r="AD230" s="170">
        <f>IFERROR(__xludf.DUMMYFUNCTION("""COMPUTED_VALUE"""),0.0)</f>
        <v>0</v>
      </c>
      <c r="AE230" s="170">
        <f>IFERROR(__xludf.DUMMYFUNCTION("""COMPUTED_VALUE"""),0.0)</f>
        <v>0</v>
      </c>
      <c r="AF230" s="170" t="str">
        <f>IFERROR(__xludf.DUMMYFUNCTION("""COMPUTED_VALUE"""),"")</f>
        <v/>
      </c>
      <c r="AG230" s="170">
        <f>IFERROR(__xludf.DUMMYFUNCTION("""COMPUTED_VALUE"""),0.0)</f>
        <v>0</v>
      </c>
      <c r="AH230" s="170">
        <f>IFERROR(__xludf.DUMMYFUNCTION("""COMPUTED_VALUE"""),0.0)</f>
        <v>0</v>
      </c>
      <c r="AI230" s="170">
        <f>IFERROR(__xludf.DUMMYFUNCTION("""COMPUTED_VALUE"""),0.0)</f>
        <v>0</v>
      </c>
      <c r="AJ230" s="170"/>
    </row>
    <row r="231" ht="22.5" customHeight="1">
      <c r="A231" s="268" t="str">
        <f>IFERROR(__xludf.DUMMYFUNCTION("""COMPUTED_VALUE"""),"")</f>
        <v/>
      </c>
      <c r="B231" s="268" t="str">
        <f>IFERROR(__xludf.DUMMYFUNCTION("""COMPUTED_VALUE"""),"")</f>
        <v/>
      </c>
      <c r="C231" s="268">
        <f>IFERROR(__xludf.DUMMYFUNCTION("""COMPUTED_VALUE"""),425.0)</f>
        <v>425</v>
      </c>
      <c r="D231" s="268" t="str">
        <f>IFERROR(__xludf.DUMMYFUNCTION("""COMPUTED_VALUE"""),"Associação Médicos da Floresta")</f>
        <v>Associação Médicos da Floresta</v>
      </c>
      <c r="E231" s="272" t="str">
        <f>IFERROR(__xludf.DUMMYFUNCTION("""COMPUTED_VALUE"""),"OUTRO ESTADO ")</f>
        <v>OUTRO ESTADO </v>
      </c>
      <c r="F231" s="268" t="str">
        <f>IFERROR(__xludf.DUMMYFUNCTION("""COMPUTED_VALUE"""),"Roraima")</f>
        <v>Roraima</v>
      </c>
      <c r="G231" s="268" t="str">
        <f>IFERROR(__xludf.DUMMYFUNCTION("""COMPUTED_VALUE"""),"Roraima")</f>
        <v>Roraima</v>
      </c>
      <c r="H231" s="268" t="str">
        <f>IFERROR(__xludf.DUMMYFUNCTION("""COMPUTED_VALUE"""),"Outra Instituição")</f>
        <v>Outra Instituição</v>
      </c>
      <c r="I231" s="268" t="str">
        <f>IFERROR(__xludf.DUMMYFUNCTION("""COMPUTED_VALUE"""),"Público")</f>
        <v>Público</v>
      </c>
      <c r="J231" s="268" t="str">
        <f>IFERROR(__xludf.DUMMYFUNCTION("""COMPUTED_VALUE"""),"")</f>
        <v/>
      </c>
      <c r="K231" s="268" t="str">
        <f>IFERROR(__xludf.DUMMYFUNCTION("""COMPUTED_VALUE"""),"")</f>
        <v/>
      </c>
      <c r="L231" s="268" t="str">
        <f>IFERROR(__xludf.DUMMYFUNCTION("""COMPUTED_VALUE"""),"")</f>
        <v/>
      </c>
      <c r="M231" s="268" t="str">
        <f>IFERROR(__xludf.DUMMYFUNCTION("""COMPUTED_VALUE"""),"")</f>
        <v/>
      </c>
      <c r="N231" s="268">
        <f>IFERROR(__xludf.DUMMYFUNCTION("""COMPUTED_VALUE"""),0.0)</f>
        <v>0</v>
      </c>
      <c r="O231" s="268">
        <f>IFERROR(__xludf.DUMMYFUNCTION("""COMPUTED_VALUE"""),0.0)</f>
        <v>0</v>
      </c>
      <c r="P231" s="268">
        <f>IFERROR(__xludf.DUMMYFUNCTION("""COMPUTED_VALUE"""),0.0)</f>
        <v>0</v>
      </c>
      <c r="Q231" s="268">
        <f>IFERROR(__xludf.DUMMYFUNCTION("""COMPUTED_VALUE"""),0.0)</f>
        <v>0</v>
      </c>
      <c r="R231" s="268">
        <f>IFERROR(__xludf.DUMMYFUNCTION("""COMPUTED_VALUE"""),0.0)</f>
        <v>0</v>
      </c>
      <c r="S231" s="268">
        <f>IFERROR(__xludf.DUMMYFUNCTION("""COMPUTED_VALUE"""),0.0)</f>
        <v>0</v>
      </c>
      <c r="T231" s="268">
        <f>IFERROR(__xludf.DUMMYFUNCTION("""COMPUTED_VALUE"""),100.0)</f>
        <v>100</v>
      </c>
      <c r="U231" s="268">
        <f>IFERROR(__xludf.DUMMYFUNCTION("""COMPUTED_VALUE"""),0.0)</f>
        <v>0</v>
      </c>
      <c r="V231" s="268">
        <f>IFERROR(__xludf.DUMMYFUNCTION("""COMPUTED_VALUE"""),0.0)</f>
        <v>0</v>
      </c>
      <c r="W231" s="268">
        <f>IFERROR(__xludf.DUMMYFUNCTION("""COMPUTED_VALUE"""),0.0)</f>
        <v>0</v>
      </c>
      <c r="X231" s="268">
        <f>IFERROR(__xludf.DUMMYFUNCTION("""COMPUTED_VALUE"""),0.0)</f>
        <v>0</v>
      </c>
      <c r="Y231" s="268">
        <f>IFERROR(__xludf.DUMMYFUNCTION("""COMPUTED_VALUE"""),0.0)</f>
        <v>0</v>
      </c>
      <c r="Z231" s="268">
        <f>IFERROR(__xludf.DUMMYFUNCTION("""COMPUTED_VALUE"""),-100.0)</f>
        <v>-100</v>
      </c>
      <c r="AA231" s="268">
        <f>IFERROR(__xludf.DUMMYFUNCTION("""COMPUTED_VALUE"""),0.0)</f>
        <v>0</v>
      </c>
      <c r="AB231" s="268">
        <f>IFERROR(__xludf.DUMMYFUNCTION("""COMPUTED_VALUE"""),0.0)</f>
        <v>0</v>
      </c>
      <c r="AC231" s="268">
        <f>IFERROR(__xludf.DUMMYFUNCTION("""COMPUTED_VALUE"""),0.0)</f>
        <v>0</v>
      </c>
      <c r="AD231" s="268">
        <f>IFERROR(__xludf.DUMMYFUNCTION("""COMPUTED_VALUE"""),0.0)</f>
        <v>0</v>
      </c>
      <c r="AE231" s="268">
        <f>IFERROR(__xludf.DUMMYFUNCTION("""COMPUTED_VALUE"""),0.0)</f>
        <v>0</v>
      </c>
      <c r="AF231" s="268" t="str">
        <f>IFERROR(__xludf.DUMMYFUNCTION("""COMPUTED_VALUE"""),"")</f>
        <v/>
      </c>
      <c r="AG231" s="268">
        <f>IFERROR(__xludf.DUMMYFUNCTION("""COMPUTED_VALUE"""),0.0)</f>
        <v>0</v>
      </c>
      <c r="AH231" s="268">
        <f>IFERROR(__xludf.DUMMYFUNCTION("""COMPUTED_VALUE"""),0.0)</f>
        <v>0</v>
      </c>
      <c r="AI231" s="268">
        <f>IFERROR(__xludf.DUMMYFUNCTION("""COMPUTED_VALUE"""),0.0)</f>
        <v>0</v>
      </c>
      <c r="AJ231" s="268"/>
    </row>
    <row r="232" ht="22.5" customHeight="1">
      <c r="A232" s="170" t="str">
        <f>IFERROR(__xludf.DUMMYFUNCTION("""COMPUTED_VALUE"""),"")</f>
        <v/>
      </c>
      <c r="B232" s="170" t="str">
        <f>IFERROR(__xludf.DUMMYFUNCTION("""COMPUTED_VALUE"""),"")</f>
        <v/>
      </c>
      <c r="C232" s="170">
        <f>IFERROR(__xludf.DUMMYFUNCTION("""COMPUTED_VALUE"""),426.0)</f>
        <v>426</v>
      </c>
      <c r="D232" s="170" t="str">
        <f>IFERROR(__xludf.DUMMYFUNCTION("""COMPUTED_VALUE"""),"Instituto de Macromoléculas Professora Eloisa Mano")</f>
        <v>Instituto de Macromoléculas Professora Eloisa Mano</v>
      </c>
      <c r="E232" s="270" t="str">
        <f>IFERROR(__xludf.DUMMYFUNCTION("""COMPUTED_VALUE"""),"ZONA NORTE")</f>
        <v>ZONA NORTE</v>
      </c>
      <c r="F232" s="170" t="str">
        <f>IFERROR(__xludf.DUMMYFUNCTION("""COMPUTED_VALUE"""),"Rio de Janeiro")</f>
        <v>Rio de Janeiro</v>
      </c>
      <c r="G232" s="170" t="str">
        <f>IFERROR(__xludf.DUMMYFUNCTION("""COMPUTED_VALUE"""),"Ilha do Fundão")</f>
        <v>Ilha do Fundão</v>
      </c>
      <c r="H232" s="170" t="str">
        <f>IFERROR(__xludf.DUMMYFUNCTION("""COMPUTED_VALUE"""),"Outra Instituição")</f>
        <v>Outra Instituição</v>
      </c>
      <c r="I232" s="170" t="str">
        <f>IFERROR(__xludf.DUMMYFUNCTION("""COMPUTED_VALUE"""),"Público")</f>
        <v>Público</v>
      </c>
      <c r="J232" s="170" t="str">
        <f>IFERROR(__xludf.DUMMYFUNCTION("""COMPUTED_VALUE"""),"")</f>
        <v/>
      </c>
      <c r="K232" s="170" t="str">
        <f>IFERROR(__xludf.DUMMYFUNCTION("""COMPUTED_VALUE"""),"")</f>
        <v/>
      </c>
      <c r="L232" s="170" t="str">
        <f>IFERROR(__xludf.DUMMYFUNCTION("""COMPUTED_VALUE"""),"")</f>
        <v/>
      </c>
      <c r="M232" s="170" t="str">
        <f>IFERROR(__xludf.DUMMYFUNCTION("""COMPUTED_VALUE"""),"")</f>
        <v/>
      </c>
      <c r="N232" s="170">
        <f>IFERROR(__xludf.DUMMYFUNCTION("""COMPUTED_VALUE"""),0.0)</f>
        <v>0</v>
      </c>
      <c r="O232" s="170">
        <f>IFERROR(__xludf.DUMMYFUNCTION("""COMPUTED_VALUE"""),0.0)</f>
        <v>0</v>
      </c>
      <c r="P232" s="170">
        <f>IFERROR(__xludf.DUMMYFUNCTION("""COMPUTED_VALUE"""),0.0)</f>
        <v>0</v>
      </c>
      <c r="Q232" s="170">
        <f>IFERROR(__xludf.DUMMYFUNCTION("""COMPUTED_VALUE"""),0.0)</f>
        <v>0</v>
      </c>
      <c r="R232" s="170">
        <f>IFERROR(__xludf.DUMMYFUNCTION("""COMPUTED_VALUE"""),0.0)</f>
        <v>0</v>
      </c>
      <c r="S232" s="170">
        <f>IFERROR(__xludf.DUMMYFUNCTION("""COMPUTED_VALUE"""),0.0)</f>
        <v>0</v>
      </c>
      <c r="T232" s="170">
        <f>IFERROR(__xludf.DUMMYFUNCTION("""COMPUTED_VALUE"""),60.0)</f>
        <v>60</v>
      </c>
      <c r="U232" s="170">
        <f>IFERROR(__xludf.DUMMYFUNCTION("""COMPUTED_VALUE"""),0.0)</f>
        <v>0</v>
      </c>
      <c r="V232" s="170">
        <f>IFERROR(__xludf.DUMMYFUNCTION("""COMPUTED_VALUE"""),0.0)</f>
        <v>0</v>
      </c>
      <c r="W232" s="170">
        <f>IFERROR(__xludf.DUMMYFUNCTION("""COMPUTED_VALUE"""),0.0)</f>
        <v>0</v>
      </c>
      <c r="X232" s="170">
        <f>IFERROR(__xludf.DUMMYFUNCTION("""COMPUTED_VALUE"""),0.0)</f>
        <v>0</v>
      </c>
      <c r="Y232" s="170">
        <f>IFERROR(__xludf.DUMMYFUNCTION("""COMPUTED_VALUE"""),0.0)</f>
        <v>0</v>
      </c>
      <c r="Z232" s="170">
        <f>IFERROR(__xludf.DUMMYFUNCTION("""COMPUTED_VALUE"""),-60.0)</f>
        <v>-60</v>
      </c>
      <c r="AA232" s="170">
        <f>IFERROR(__xludf.DUMMYFUNCTION("""COMPUTED_VALUE"""),0.0)</f>
        <v>0</v>
      </c>
      <c r="AB232" s="170">
        <f>IFERROR(__xludf.DUMMYFUNCTION("""COMPUTED_VALUE"""),0.0)</f>
        <v>0</v>
      </c>
      <c r="AC232" s="170">
        <f>IFERROR(__xludf.DUMMYFUNCTION("""COMPUTED_VALUE"""),0.0)</f>
        <v>0</v>
      </c>
      <c r="AD232" s="170">
        <f>IFERROR(__xludf.DUMMYFUNCTION("""COMPUTED_VALUE"""),0.0)</f>
        <v>0</v>
      </c>
      <c r="AE232" s="170">
        <f>IFERROR(__xludf.DUMMYFUNCTION("""COMPUTED_VALUE"""),0.0)</f>
        <v>0</v>
      </c>
      <c r="AF232" s="170" t="str">
        <f>IFERROR(__xludf.DUMMYFUNCTION("""COMPUTED_VALUE"""),"")</f>
        <v/>
      </c>
      <c r="AG232" s="170">
        <f>IFERROR(__xludf.DUMMYFUNCTION("""COMPUTED_VALUE"""),0.0)</f>
        <v>0</v>
      </c>
      <c r="AH232" s="170">
        <f>IFERROR(__xludf.DUMMYFUNCTION("""COMPUTED_VALUE"""),0.0)</f>
        <v>0</v>
      </c>
      <c r="AI232" s="170">
        <f>IFERROR(__xludf.DUMMYFUNCTION("""COMPUTED_VALUE"""),0.0)</f>
        <v>0</v>
      </c>
      <c r="AJ232" s="170"/>
    </row>
    <row r="233" ht="22.5" customHeight="1">
      <c r="A233" s="268" t="str">
        <f>IFERROR(__xludf.DUMMYFUNCTION("""COMPUTED_VALUE"""),"")</f>
        <v/>
      </c>
      <c r="B233" s="268" t="str">
        <f>IFERROR(__xludf.DUMMYFUNCTION("""COMPUTED_VALUE"""),"")</f>
        <v/>
      </c>
      <c r="C233" s="268">
        <f>IFERROR(__xludf.DUMMYFUNCTION("""COMPUTED_VALUE"""),427.0)</f>
        <v>427</v>
      </c>
      <c r="D233" s="268" t="str">
        <f>IFERROR(__xludf.DUMMYFUNCTION("""COMPUTED_VALUE"""),"Hospital Municipal Antenor Abreu")</f>
        <v>Hospital Municipal Antenor Abreu</v>
      </c>
      <c r="E233" s="272" t="str">
        <f>IFERROR(__xludf.DUMMYFUNCTION("""COMPUTED_VALUE"""),"OUTRO ESTADO ")</f>
        <v>OUTRO ESTADO </v>
      </c>
      <c r="F233" s="268" t="str">
        <f>IFERROR(__xludf.DUMMYFUNCTION("""COMPUTED_VALUE"""),"Maranhão")</f>
        <v>Maranhão</v>
      </c>
      <c r="G233" s="268" t="str">
        <f>IFERROR(__xludf.DUMMYFUNCTION("""COMPUTED_VALUE"""),"Pinheiro")</f>
        <v>Pinheiro</v>
      </c>
      <c r="H233" s="268" t="str">
        <f>IFERROR(__xludf.DUMMYFUNCTION("""COMPUTED_VALUE"""),"Grande emergência - MÉDIA COMPLEXIDADE
")</f>
        <v>Grande emergência - MÉDIA COMPLEXIDADE
</v>
      </c>
      <c r="I233" s="268" t="str">
        <f>IFERROR(__xludf.DUMMYFUNCTION("""COMPUTED_VALUE"""),"Público")</f>
        <v>Público</v>
      </c>
      <c r="J233" s="268" t="str">
        <f>IFERROR(__xludf.DUMMYFUNCTION("""COMPUTED_VALUE"""),"")</f>
        <v/>
      </c>
      <c r="K233" s="268" t="str">
        <f>IFERROR(__xludf.DUMMYFUNCTION("""COMPUTED_VALUE"""),"")</f>
        <v/>
      </c>
      <c r="L233" s="268" t="str">
        <f>IFERROR(__xludf.DUMMYFUNCTION("""COMPUTED_VALUE"""),"")</f>
        <v/>
      </c>
      <c r="M233" s="268" t="str">
        <f>IFERROR(__xludf.DUMMYFUNCTION("""COMPUTED_VALUE"""),"")</f>
        <v/>
      </c>
      <c r="N233" s="268">
        <f>IFERROR(__xludf.DUMMYFUNCTION("""COMPUTED_VALUE"""),0.0)</f>
        <v>0</v>
      </c>
      <c r="O233" s="268">
        <f>IFERROR(__xludf.DUMMYFUNCTION("""COMPUTED_VALUE"""),0.0)</f>
        <v>0</v>
      </c>
      <c r="P233" s="268">
        <f>IFERROR(__xludf.DUMMYFUNCTION("""COMPUTED_VALUE"""),0.0)</f>
        <v>0</v>
      </c>
      <c r="Q233" s="268">
        <f>IFERROR(__xludf.DUMMYFUNCTION("""COMPUTED_VALUE"""),0.0)</f>
        <v>0</v>
      </c>
      <c r="R233" s="268">
        <f>IFERROR(__xludf.DUMMYFUNCTION("""COMPUTED_VALUE"""),0.0)</f>
        <v>0</v>
      </c>
      <c r="S233" s="268">
        <f>IFERROR(__xludf.DUMMYFUNCTION("""COMPUTED_VALUE"""),0.0)</f>
        <v>0</v>
      </c>
      <c r="T233" s="268">
        <f>IFERROR(__xludf.DUMMYFUNCTION("""COMPUTED_VALUE"""),250.0)</f>
        <v>250</v>
      </c>
      <c r="U233" s="268">
        <f>IFERROR(__xludf.DUMMYFUNCTION("""COMPUTED_VALUE"""),0.0)</f>
        <v>0</v>
      </c>
      <c r="V233" s="268">
        <f>IFERROR(__xludf.DUMMYFUNCTION("""COMPUTED_VALUE"""),0.0)</f>
        <v>0</v>
      </c>
      <c r="W233" s="268">
        <f>IFERROR(__xludf.DUMMYFUNCTION("""COMPUTED_VALUE"""),0.0)</f>
        <v>0</v>
      </c>
      <c r="X233" s="268">
        <f>IFERROR(__xludf.DUMMYFUNCTION("""COMPUTED_VALUE"""),0.0)</f>
        <v>0</v>
      </c>
      <c r="Y233" s="268">
        <f>IFERROR(__xludf.DUMMYFUNCTION("""COMPUTED_VALUE"""),0.0)</f>
        <v>0</v>
      </c>
      <c r="Z233" s="268">
        <f>IFERROR(__xludf.DUMMYFUNCTION("""COMPUTED_VALUE"""),-250.0)</f>
        <v>-250</v>
      </c>
      <c r="AA233" s="268">
        <f>IFERROR(__xludf.DUMMYFUNCTION("""COMPUTED_VALUE"""),0.0)</f>
        <v>0</v>
      </c>
      <c r="AB233" s="268">
        <f>IFERROR(__xludf.DUMMYFUNCTION("""COMPUTED_VALUE"""),0.0)</f>
        <v>0</v>
      </c>
      <c r="AC233" s="268">
        <f>IFERROR(__xludf.DUMMYFUNCTION("""COMPUTED_VALUE"""),0.0)</f>
        <v>0</v>
      </c>
      <c r="AD233" s="268">
        <f>IFERROR(__xludf.DUMMYFUNCTION("""COMPUTED_VALUE"""),0.0)</f>
        <v>0</v>
      </c>
      <c r="AE233" s="268">
        <f>IFERROR(__xludf.DUMMYFUNCTION("""COMPUTED_VALUE"""),0.0)</f>
        <v>0</v>
      </c>
      <c r="AF233" s="268" t="str">
        <f>IFERROR(__xludf.DUMMYFUNCTION("""COMPUTED_VALUE"""),"")</f>
        <v/>
      </c>
      <c r="AG233" s="268">
        <f>IFERROR(__xludf.DUMMYFUNCTION("""COMPUTED_VALUE"""),0.0)</f>
        <v>0</v>
      </c>
      <c r="AH233" s="268">
        <f>IFERROR(__xludf.DUMMYFUNCTION("""COMPUTED_VALUE"""),0.0)</f>
        <v>0</v>
      </c>
      <c r="AI233" s="268">
        <f>IFERROR(__xludf.DUMMYFUNCTION("""COMPUTED_VALUE"""),0.0)</f>
        <v>0</v>
      </c>
      <c r="AJ233" s="268"/>
    </row>
    <row r="234" ht="22.5" customHeight="1">
      <c r="A234" s="170" t="str">
        <f>IFERROR(__xludf.DUMMYFUNCTION("""COMPUTED_VALUE"""),"")</f>
        <v/>
      </c>
      <c r="B234" s="170" t="str">
        <f>IFERROR(__xludf.DUMMYFUNCTION("""COMPUTED_VALUE"""),"")</f>
        <v/>
      </c>
      <c r="C234" s="170">
        <f>IFERROR(__xludf.DUMMYFUNCTION("""COMPUTED_VALUE"""),428.0)</f>
        <v>428</v>
      </c>
      <c r="D234" s="170" t="str">
        <f>IFERROR(__xludf.DUMMYFUNCTION("""COMPUTED_VALUE"""),"Hospital Materno Infantil")</f>
        <v>Hospital Materno Infantil</v>
      </c>
      <c r="E234" s="270" t="str">
        <f>IFERROR(__xludf.DUMMYFUNCTION("""COMPUTED_VALUE"""),"OUTRO ESTADO ")</f>
        <v>OUTRO ESTADO </v>
      </c>
      <c r="F234" s="170" t="str">
        <f>IFERROR(__xludf.DUMMYFUNCTION("""COMPUTED_VALUE"""),"Maranhão ")</f>
        <v>Maranhão </v>
      </c>
      <c r="G234" s="170" t="str">
        <f>IFERROR(__xludf.DUMMYFUNCTION("""COMPUTED_VALUE"""),"Pinheiro")</f>
        <v>Pinheiro</v>
      </c>
      <c r="H234" s="170" t="str">
        <f>IFERROR(__xludf.DUMMYFUNCTION("""COMPUTED_VALUE"""),"Grande emergência - MÉDIA COMPLEXIDADE
")</f>
        <v>Grande emergência - MÉDIA COMPLEXIDADE
</v>
      </c>
      <c r="I234" s="170" t="str">
        <f>IFERROR(__xludf.DUMMYFUNCTION("""COMPUTED_VALUE"""),"Público")</f>
        <v>Público</v>
      </c>
      <c r="J234" s="170" t="str">
        <f>IFERROR(__xludf.DUMMYFUNCTION("""COMPUTED_VALUE"""),"")</f>
        <v/>
      </c>
      <c r="K234" s="170" t="str">
        <f>IFERROR(__xludf.DUMMYFUNCTION("""COMPUTED_VALUE"""),"")</f>
        <v/>
      </c>
      <c r="L234" s="170" t="str">
        <f>IFERROR(__xludf.DUMMYFUNCTION("""COMPUTED_VALUE"""),"")</f>
        <v/>
      </c>
      <c r="M234" s="170" t="str">
        <f>IFERROR(__xludf.DUMMYFUNCTION("""COMPUTED_VALUE"""),"")</f>
        <v/>
      </c>
      <c r="N234" s="170">
        <f>IFERROR(__xludf.DUMMYFUNCTION("""COMPUTED_VALUE"""),0.0)</f>
        <v>0</v>
      </c>
      <c r="O234" s="170">
        <f>IFERROR(__xludf.DUMMYFUNCTION("""COMPUTED_VALUE"""),0.0)</f>
        <v>0</v>
      </c>
      <c r="P234" s="170">
        <f>IFERROR(__xludf.DUMMYFUNCTION("""COMPUTED_VALUE"""),0.0)</f>
        <v>0</v>
      </c>
      <c r="Q234" s="170">
        <f>IFERROR(__xludf.DUMMYFUNCTION("""COMPUTED_VALUE"""),0.0)</f>
        <v>0</v>
      </c>
      <c r="R234" s="170">
        <f>IFERROR(__xludf.DUMMYFUNCTION("""COMPUTED_VALUE"""),0.0)</f>
        <v>0</v>
      </c>
      <c r="S234" s="170">
        <f>IFERROR(__xludf.DUMMYFUNCTION("""COMPUTED_VALUE"""),0.0)</f>
        <v>0</v>
      </c>
      <c r="T234" s="170">
        <f>IFERROR(__xludf.DUMMYFUNCTION("""COMPUTED_VALUE"""),200.0)</f>
        <v>200</v>
      </c>
      <c r="U234" s="170">
        <f>IFERROR(__xludf.DUMMYFUNCTION("""COMPUTED_VALUE"""),0.0)</f>
        <v>0</v>
      </c>
      <c r="V234" s="170">
        <f>IFERROR(__xludf.DUMMYFUNCTION("""COMPUTED_VALUE"""),0.0)</f>
        <v>0</v>
      </c>
      <c r="W234" s="170">
        <f>IFERROR(__xludf.DUMMYFUNCTION("""COMPUTED_VALUE"""),0.0)</f>
        <v>0</v>
      </c>
      <c r="X234" s="170">
        <f>IFERROR(__xludf.DUMMYFUNCTION("""COMPUTED_VALUE"""),0.0)</f>
        <v>0</v>
      </c>
      <c r="Y234" s="170">
        <f>IFERROR(__xludf.DUMMYFUNCTION("""COMPUTED_VALUE"""),0.0)</f>
        <v>0</v>
      </c>
      <c r="Z234" s="170">
        <f>IFERROR(__xludf.DUMMYFUNCTION("""COMPUTED_VALUE"""),-200.0)</f>
        <v>-200</v>
      </c>
      <c r="AA234" s="170">
        <f>IFERROR(__xludf.DUMMYFUNCTION("""COMPUTED_VALUE"""),0.0)</f>
        <v>0</v>
      </c>
      <c r="AB234" s="170">
        <f>IFERROR(__xludf.DUMMYFUNCTION("""COMPUTED_VALUE"""),0.0)</f>
        <v>0</v>
      </c>
      <c r="AC234" s="170">
        <f>IFERROR(__xludf.DUMMYFUNCTION("""COMPUTED_VALUE"""),0.0)</f>
        <v>0</v>
      </c>
      <c r="AD234" s="170">
        <f>IFERROR(__xludf.DUMMYFUNCTION("""COMPUTED_VALUE"""),0.0)</f>
        <v>0</v>
      </c>
      <c r="AE234" s="170">
        <f>IFERROR(__xludf.DUMMYFUNCTION("""COMPUTED_VALUE"""),0.0)</f>
        <v>0</v>
      </c>
      <c r="AF234" s="170" t="str">
        <f>IFERROR(__xludf.DUMMYFUNCTION("""COMPUTED_VALUE"""),"")</f>
        <v/>
      </c>
      <c r="AG234" s="170">
        <f>IFERROR(__xludf.DUMMYFUNCTION("""COMPUTED_VALUE"""),0.0)</f>
        <v>0</v>
      </c>
      <c r="AH234" s="170">
        <f>IFERROR(__xludf.DUMMYFUNCTION("""COMPUTED_VALUE"""),0.0)</f>
        <v>0</v>
      </c>
      <c r="AI234" s="170">
        <f>IFERROR(__xludf.DUMMYFUNCTION("""COMPUTED_VALUE"""),0.0)</f>
        <v>0</v>
      </c>
      <c r="AJ234" s="170"/>
    </row>
    <row r="235" ht="22.5" customHeight="1">
      <c r="A235" s="268" t="str">
        <f>IFERROR(__xludf.DUMMYFUNCTION("""COMPUTED_VALUE"""),"")</f>
        <v/>
      </c>
      <c r="B235" s="268" t="str">
        <f>IFERROR(__xludf.DUMMYFUNCTION("""COMPUTED_VALUE"""),"")</f>
        <v/>
      </c>
      <c r="C235" s="268">
        <f>IFERROR(__xludf.DUMMYFUNCTION("""COMPUTED_VALUE"""),429.0)</f>
        <v>429</v>
      </c>
      <c r="D235" s="268" t="str">
        <f>IFERROR(__xludf.DUMMYFUNCTION("""COMPUTED_VALUE"""),"Hospital Estadual Dr. Jackson Lago")</f>
        <v>Hospital Estadual Dr. Jackson Lago</v>
      </c>
      <c r="E235" s="272" t="str">
        <f>IFERROR(__xludf.DUMMYFUNCTION("""COMPUTED_VALUE"""),"OUTRO ESTADO ")</f>
        <v>OUTRO ESTADO </v>
      </c>
      <c r="F235" s="268" t="str">
        <f>IFERROR(__xludf.DUMMYFUNCTION("""COMPUTED_VALUE"""),"Maranhão")</f>
        <v>Maranhão</v>
      </c>
      <c r="G235" s="268" t="str">
        <f>IFERROR(__xludf.DUMMYFUNCTION("""COMPUTED_VALUE"""),"Pinheiro")</f>
        <v>Pinheiro</v>
      </c>
      <c r="H235" s="268" t="str">
        <f>IFERROR(__xludf.DUMMYFUNCTION("""COMPUTED_VALUE"""),"Hospital de Referência - ALTA COMPLEXIDADE")</f>
        <v>Hospital de Referência - ALTA COMPLEXIDADE</v>
      </c>
      <c r="I235" s="268" t="str">
        <f>IFERROR(__xludf.DUMMYFUNCTION("""COMPUTED_VALUE"""),"Público")</f>
        <v>Público</v>
      </c>
      <c r="J235" s="268" t="str">
        <f>IFERROR(__xludf.DUMMYFUNCTION("""COMPUTED_VALUE"""),"")</f>
        <v/>
      </c>
      <c r="K235" s="268" t="str">
        <f>IFERROR(__xludf.DUMMYFUNCTION("""COMPUTED_VALUE"""),"")</f>
        <v/>
      </c>
      <c r="L235" s="268" t="str">
        <f>IFERROR(__xludf.DUMMYFUNCTION("""COMPUTED_VALUE"""),"")</f>
        <v/>
      </c>
      <c r="M235" s="268" t="str">
        <f>IFERROR(__xludf.DUMMYFUNCTION("""COMPUTED_VALUE"""),"")</f>
        <v/>
      </c>
      <c r="N235" s="268">
        <f>IFERROR(__xludf.DUMMYFUNCTION("""COMPUTED_VALUE"""),0.0)</f>
        <v>0</v>
      </c>
      <c r="O235" s="268">
        <f>IFERROR(__xludf.DUMMYFUNCTION("""COMPUTED_VALUE"""),0.0)</f>
        <v>0</v>
      </c>
      <c r="P235" s="268">
        <f>IFERROR(__xludf.DUMMYFUNCTION("""COMPUTED_VALUE"""),0.0)</f>
        <v>0</v>
      </c>
      <c r="Q235" s="268">
        <f>IFERROR(__xludf.DUMMYFUNCTION("""COMPUTED_VALUE"""),0.0)</f>
        <v>0</v>
      </c>
      <c r="R235" s="268">
        <f>IFERROR(__xludf.DUMMYFUNCTION("""COMPUTED_VALUE"""),0.0)</f>
        <v>0</v>
      </c>
      <c r="S235" s="268">
        <f>IFERROR(__xludf.DUMMYFUNCTION("""COMPUTED_VALUE"""),0.0)</f>
        <v>0</v>
      </c>
      <c r="T235" s="268">
        <f>IFERROR(__xludf.DUMMYFUNCTION("""COMPUTED_VALUE"""),500.0)</f>
        <v>500</v>
      </c>
      <c r="U235" s="268">
        <f>IFERROR(__xludf.DUMMYFUNCTION("""COMPUTED_VALUE"""),0.0)</f>
        <v>0</v>
      </c>
      <c r="V235" s="268">
        <f>IFERROR(__xludf.DUMMYFUNCTION("""COMPUTED_VALUE"""),0.0)</f>
        <v>0</v>
      </c>
      <c r="W235" s="268">
        <f>IFERROR(__xludf.DUMMYFUNCTION("""COMPUTED_VALUE"""),0.0)</f>
        <v>0</v>
      </c>
      <c r="X235" s="268">
        <f>IFERROR(__xludf.DUMMYFUNCTION("""COMPUTED_VALUE"""),0.0)</f>
        <v>0</v>
      </c>
      <c r="Y235" s="268">
        <f>IFERROR(__xludf.DUMMYFUNCTION("""COMPUTED_VALUE"""),0.0)</f>
        <v>0</v>
      </c>
      <c r="Z235" s="268">
        <f>IFERROR(__xludf.DUMMYFUNCTION("""COMPUTED_VALUE"""),-500.0)</f>
        <v>-500</v>
      </c>
      <c r="AA235" s="268">
        <f>IFERROR(__xludf.DUMMYFUNCTION("""COMPUTED_VALUE"""),0.0)</f>
        <v>0</v>
      </c>
      <c r="AB235" s="268">
        <f>IFERROR(__xludf.DUMMYFUNCTION("""COMPUTED_VALUE"""),0.0)</f>
        <v>0</v>
      </c>
      <c r="AC235" s="268">
        <f>IFERROR(__xludf.DUMMYFUNCTION("""COMPUTED_VALUE"""),0.0)</f>
        <v>0</v>
      </c>
      <c r="AD235" s="268">
        <f>IFERROR(__xludf.DUMMYFUNCTION("""COMPUTED_VALUE"""),0.0)</f>
        <v>0</v>
      </c>
      <c r="AE235" s="268">
        <f>IFERROR(__xludf.DUMMYFUNCTION("""COMPUTED_VALUE"""),0.0)</f>
        <v>0</v>
      </c>
      <c r="AF235" s="268" t="str">
        <f>IFERROR(__xludf.DUMMYFUNCTION("""COMPUTED_VALUE"""),"")</f>
        <v/>
      </c>
      <c r="AG235" s="268">
        <f>IFERROR(__xludf.DUMMYFUNCTION("""COMPUTED_VALUE"""),0.0)</f>
        <v>0</v>
      </c>
      <c r="AH235" s="268">
        <f>IFERROR(__xludf.DUMMYFUNCTION("""COMPUTED_VALUE"""),0.0)</f>
        <v>0</v>
      </c>
      <c r="AI235" s="268">
        <f>IFERROR(__xludf.DUMMYFUNCTION("""COMPUTED_VALUE"""),0.0)</f>
        <v>0</v>
      </c>
      <c r="AJ235" s="268"/>
    </row>
    <row r="236" ht="22.5" customHeight="1">
      <c r="A236" s="170" t="str">
        <f>IFERROR(__xludf.DUMMYFUNCTION("""COMPUTED_VALUE"""),"")</f>
        <v/>
      </c>
      <c r="B236" s="170" t="str">
        <f>IFERROR(__xludf.DUMMYFUNCTION("""COMPUTED_VALUE"""),"")</f>
        <v/>
      </c>
      <c r="C236" s="170">
        <f>IFERROR(__xludf.DUMMYFUNCTION("""COMPUTED_VALUE"""),430.0)</f>
        <v>430</v>
      </c>
      <c r="D236" s="170" t="str">
        <f>IFERROR(__xludf.DUMMYFUNCTION("""COMPUTED_VALUE"""),"Associação de Caridade São João Nepomuceno - Hospital São João")</f>
        <v>Associação de Caridade São João Nepomuceno - Hospital São João</v>
      </c>
      <c r="E236" s="270" t="str">
        <f>IFERROR(__xludf.DUMMYFUNCTION("""COMPUTED_VALUE"""),"OUTRO ESTADO")</f>
        <v>OUTRO ESTADO</v>
      </c>
      <c r="F236" s="170" t="str">
        <f>IFERROR(__xludf.DUMMYFUNCTION("""COMPUTED_VALUE"""),"Minas Gerais")</f>
        <v>Minas Gerais</v>
      </c>
      <c r="G236" s="170" t="str">
        <f>IFERROR(__xludf.DUMMYFUNCTION("""COMPUTED_VALUE"""),"São João Nepomuceno")</f>
        <v>São João Nepomuceno</v>
      </c>
      <c r="H236" s="170" t="str">
        <f>IFERROR(__xludf.DUMMYFUNCTION("""COMPUTED_VALUE"""),"Grande emergência - MÉDIA COMPLEXIDADE
")</f>
        <v>Grande emergência - MÉDIA COMPLEXIDADE
</v>
      </c>
      <c r="I236" s="170" t="str">
        <f>IFERROR(__xludf.DUMMYFUNCTION("""COMPUTED_VALUE"""),"Público")</f>
        <v>Público</v>
      </c>
      <c r="J236" s="170" t="str">
        <f>IFERROR(__xludf.DUMMYFUNCTION("""COMPUTED_VALUE"""),"")</f>
        <v/>
      </c>
      <c r="K236" s="170" t="str">
        <f>IFERROR(__xludf.DUMMYFUNCTION("""COMPUTED_VALUE"""),"")</f>
        <v/>
      </c>
      <c r="L236" s="170" t="str">
        <f>IFERROR(__xludf.DUMMYFUNCTION("""COMPUTED_VALUE"""),"")</f>
        <v/>
      </c>
      <c r="M236" s="170" t="str">
        <f>IFERROR(__xludf.DUMMYFUNCTION("""COMPUTED_VALUE"""),"")</f>
        <v/>
      </c>
      <c r="N236" s="170">
        <f>IFERROR(__xludf.DUMMYFUNCTION("""COMPUTED_VALUE"""),0.0)</f>
        <v>0</v>
      </c>
      <c r="O236" s="170">
        <f>IFERROR(__xludf.DUMMYFUNCTION("""COMPUTED_VALUE"""),0.0)</f>
        <v>0</v>
      </c>
      <c r="P236" s="170">
        <f>IFERROR(__xludf.DUMMYFUNCTION("""COMPUTED_VALUE"""),0.0)</f>
        <v>0</v>
      </c>
      <c r="Q236" s="170">
        <f>IFERROR(__xludf.DUMMYFUNCTION("""COMPUTED_VALUE"""),0.0)</f>
        <v>0</v>
      </c>
      <c r="R236" s="170">
        <f>IFERROR(__xludf.DUMMYFUNCTION("""COMPUTED_VALUE"""),0.0)</f>
        <v>0</v>
      </c>
      <c r="S236" s="170">
        <f>IFERROR(__xludf.DUMMYFUNCTION("""COMPUTED_VALUE"""),0.0)</f>
        <v>0</v>
      </c>
      <c r="T236" s="170">
        <f>IFERROR(__xludf.DUMMYFUNCTION("""COMPUTED_VALUE"""),300.0)</f>
        <v>300</v>
      </c>
      <c r="U236" s="170">
        <f>IFERROR(__xludf.DUMMYFUNCTION("""COMPUTED_VALUE"""),0.0)</f>
        <v>0</v>
      </c>
      <c r="V236" s="170">
        <f>IFERROR(__xludf.DUMMYFUNCTION("""COMPUTED_VALUE"""),0.0)</f>
        <v>0</v>
      </c>
      <c r="W236" s="170">
        <f>IFERROR(__xludf.DUMMYFUNCTION("""COMPUTED_VALUE"""),0.0)</f>
        <v>0</v>
      </c>
      <c r="X236" s="170">
        <f>IFERROR(__xludf.DUMMYFUNCTION("""COMPUTED_VALUE"""),0.0)</f>
        <v>0</v>
      </c>
      <c r="Y236" s="170">
        <f>IFERROR(__xludf.DUMMYFUNCTION("""COMPUTED_VALUE"""),0.0)</f>
        <v>0</v>
      </c>
      <c r="Z236" s="170">
        <f>IFERROR(__xludf.DUMMYFUNCTION("""COMPUTED_VALUE"""),-300.0)</f>
        <v>-300</v>
      </c>
      <c r="AA236" s="170">
        <f>IFERROR(__xludf.DUMMYFUNCTION("""COMPUTED_VALUE"""),0.0)</f>
        <v>0</v>
      </c>
      <c r="AB236" s="170">
        <f>IFERROR(__xludf.DUMMYFUNCTION("""COMPUTED_VALUE"""),0.0)</f>
        <v>0</v>
      </c>
      <c r="AC236" s="170">
        <f>IFERROR(__xludf.DUMMYFUNCTION("""COMPUTED_VALUE"""),0.0)</f>
        <v>0</v>
      </c>
      <c r="AD236" s="170">
        <f>IFERROR(__xludf.DUMMYFUNCTION("""COMPUTED_VALUE"""),0.0)</f>
        <v>0</v>
      </c>
      <c r="AE236" s="170">
        <f>IFERROR(__xludf.DUMMYFUNCTION("""COMPUTED_VALUE"""),0.0)</f>
        <v>0</v>
      </c>
      <c r="AF236" s="170" t="str">
        <f>IFERROR(__xludf.DUMMYFUNCTION("""COMPUTED_VALUE"""),"")</f>
        <v/>
      </c>
      <c r="AG236" s="170">
        <f>IFERROR(__xludf.DUMMYFUNCTION("""COMPUTED_VALUE"""),0.0)</f>
        <v>0</v>
      </c>
      <c r="AH236" s="170">
        <f>IFERROR(__xludf.DUMMYFUNCTION("""COMPUTED_VALUE"""),0.0)</f>
        <v>0</v>
      </c>
      <c r="AI236" s="170">
        <f>IFERROR(__xludf.DUMMYFUNCTION("""COMPUTED_VALUE"""),0.0)</f>
        <v>0</v>
      </c>
      <c r="AJ236" s="170"/>
    </row>
    <row r="237" ht="22.5" customHeight="1">
      <c r="A237" s="268" t="str">
        <f>IFERROR(__xludf.DUMMYFUNCTION("""COMPUTED_VALUE"""),"")</f>
        <v/>
      </c>
      <c r="B237" s="268" t="str">
        <f>IFERROR(__xludf.DUMMYFUNCTION("""COMPUTED_VALUE"""),"")</f>
        <v/>
      </c>
      <c r="C237" s="268">
        <f>IFERROR(__xludf.DUMMYFUNCTION("""COMPUTED_VALUE"""),431.0)</f>
        <v>431</v>
      </c>
      <c r="D237" s="268" t="str">
        <f>IFERROR(__xludf.DUMMYFUNCTION("""COMPUTED_VALUE"""),"Secretaria de Saúde do Ceará ")</f>
        <v>Secretaria de Saúde do Ceará </v>
      </c>
      <c r="E237" s="272" t="str">
        <f>IFERROR(__xludf.DUMMYFUNCTION("""COMPUTED_VALUE"""),"OUTRO ESTADO ")</f>
        <v>OUTRO ESTADO </v>
      </c>
      <c r="F237" s="268" t="str">
        <f>IFERROR(__xludf.DUMMYFUNCTION("""COMPUTED_VALUE"""),"Ceará")</f>
        <v>Ceará</v>
      </c>
      <c r="G237" s="268" t="str">
        <f>IFERROR(__xludf.DUMMYFUNCTION("""COMPUTED_VALUE"""),"Ceará")</f>
        <v>Ceará</v>
      </c>
      <c r="H237" s="268" t="str">
        <f>IFERROR(__xludf.DUMMYFUNCTION("""COMPUTED_VALUE"""),"Outra Instituição")</f>
        <v>Outra Instituição</v>
      </c>
      <c r="I237" s="268" t="str">
        <f>IFERROR(__xludf.DUMMYFUNCTION("""COMPUTED_VALUE"""),"Público")</f>
        <v>Público</v>
      </c>
      <c r="J237" s="268" t="str">
        <f>IFERROR(__xludf.DUMMYFUNCTION("""COMPUTED_VALUE"""),"")</f>
        <v/>
      </c>
      <c r="K237" s="268" t="str">
        <f>IFERROR(__xludf.DUMMYFUNCTION("""COMPUTED_VALUE"""),"")</f>
        <v/>
      </c>
      <c r="L237" s="268" t="str">
        <f>IFERROR(__xludf.DUMMYFUNCTION("""COMPUTED_VALUE"""),"")</f>
        <v/>
      </c>
      <c r="M237" s="268" t="str">
        <f>IFERROR(__xludf.DUMMYFUNCTION("""COMPUTED_VALUE"""),"")</f>
        <v/>
      </c>
      <c r="N237" s="268">
        <f>IFERROR(__xludf.DUMMYFUNCTION("""COMPUTED_VALUE"""),0.0)</f>
        <v>0</v>
      </c>
      <c r="O237" s="268">
        <f>IFERROR(__xludf.DUMMYFUNCTION("""COMPUTED_VALUE"""),0.0)</f>
        <v>0</v>
      </c>
      <c r="P237" s="268">
        <f>IFERROR(__xludf.DUMMYFUNCTION("""COMPUTED_VALUE"""),0.0)</f>
        <v>0</v>
      </c>
      <c r="Q237" s="268">
        <f>IFERROR(__xludf.DUMMYFUNCTION("""COMPUTED_VALUE"""),0.0)</f>
        <v>0</v>
      </c>
      <c r="R237" s="268">
        <f>IFERROR(__xludf.DUMMYFUNCTION("""COMPUTED_VALUE"""),0.0)</f>
        <v>0</v>
      </c>
      <c r="S237" s="268">
        <f>IFERROR(__xludf.DUMMYFUNCTION("""COMPUTED_VALUE"""),0.0)</f>
        <v>0</v>
      </c>
      <c r="T237" s="268">
        <f>IFERROR(__xludf.DUMMYFUNCTION("""COMPUTED_VALUE"""),1190.0)</f>
        <v>1190</v>
      </c>
      <c r="U237" s="268">
        <f>IFERROR(__xludf.DUMMYFUNCTION("""COMPUTED_VALUE"""),0.0)</f>
        <v>0</v>
      </c>
      <c r="V237" s="268">
        <f>IFERROR(__xludf.DUMMYFUNCTION("""COMPUTED_VALUE"""),0.0)</f>
        <v>0</v>
      </c>
      <c r="W237" s="268">
        <f>IFERROR(__xludf.DUMMYFUNCTION("""COMPUTED_VALUE"""),0.0)</f>
        <v>0</v>
      </c>
      <c r="X237" s="268">
        <f>IFERROR(__xludf.DUMMYFUNCTION("""COMPUTED_VALUE"""),0.0)</f>
        <v>0</v>
      </c>
      <c r="Y237" s="268">
        <f>IFERROR(__xludf.DUMMYFUNCTION("""COMPUTED_VALUE"""),0.0)</f>
        <v>0</v>
      </c>
      <c r="Z237" s="268">
        <f>IFERROR(__xludf.DUMMYFUNCTION("""COMPUTED_VALUE"""),-1190.0)</f>
        <v>-1190</v>
      </c>
      <c r="AA237" s="268">
        <f>IFERROR(__xludf.DUMMYFUNCTION("""COMPUTED_VALUE"""),0.0)</f>
        <v>0</v>
      </c>
      <c r="AB237" s="268">
        <f>IFERROR(__xludf.DUMMYFUNCTION("""COMPUTED_VALUE"""),0.0)</f>
        <v>0</v>
      </c>
      <c r="AC237" s="268">
        <f>IFERROR(__xludf.DUMMYFUNCTION("""COMPUTED_VALUE"""),0.0)</f>
        <v>0</v>
      </c>
      <c r="AD237" s="268">
        <f>IFERROR(__xludf.DUMMYFUNCTION("""COMPUTED_VALUE"""),0.0)</f>
        <v>0</v>
      </c>
      <c r="AE237" s="268">
        <f>IFERROR(__xludf.DUMMYFUNCTION("""COMPUTED_VALUE"""),0.0)</f>
        <v>0</v>
      </c>
      <c r="AF237" s="268" t="str">
        <f>IFERROR(__xludf.DUMMYFUNCTION("""COMPUTED_VALUE"""),"")</f>
        <v/>
      </c>
      <c r="AG237" s="268">
        <f>IFERROR(__xludf.DUMMYFUNCTION("""COMPUTED_VALUE"""),0.0)</f>
        <v>0</v>
      </c>
      <c r="AH237" s="268">
        <f>IFERROR(__xludf.DUMMYFUNCTION("""COMPUTED_VALUE"""),0.0)</f>
        <v>0</v>
      </c>
      <c r="AI237" s="268">
        <f>IFERROR(__xludf.DUMMYFUNCTION("""COMPUTED_VALUE"""),0.0)</f>
        <v>0</v>
      </c>
      <c r="AJ237" s="268"/>
    </row>
  </sheetData>
  <autoFilter ref="$A$1:$AJ$237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4" max="4" width="24.43"/>
    <col customWidth="1" min="5" max="5" width="18.29"/>
    <col customWidth="1" min="7" max="7" width="18.43"/>
    <col customWidth="1" min="8" max="8" width="24.0"/>
    <col customWidth="1" min="10" max="12" width="21.14"/>
    <col customWidth="1" min="13" max="13" width="25.57"/>
    <col customWidth="1" min="14" max="14" width="21.14"/>
    <col customWidth="1" min="15" max="15" width="20.71"/>
    <col customWidth="1" min="16" max="16" width="22.71"/>
    <col customWidth="1" min="17" max="17" width="10.0"/>
    <col customWidth="1" min="18" max="21" width="14.0"/>
    <col customWidth="1" min="22" max="25" width="10.43"/>
    <col customWidth="1" min="26" max="26" width="22.43"/>
  </cols>
  <sheetData>
    <row r="1" ht="18.75" customHeight="1">
      <c r="A1" s="273" t="s">
        <v>2</v>
      </c>
      <c r="B1" s="274" t="s">
        <v>3</v>
      </c>
      <c r="C1" s="274" t="s">
        <v>1118</v>
      </c>
      <c r="D1" s="274" t="s">
        <v>1119</v>
      </c>
      <c r="E1" s="274" t="s">
        <v>14</v>
      </c>
      <c r="F1" s="274" t="s">
        <v>1120</v>
      </c>
      <c r="G1" s="274" t="s">
        <v>1121</v>
      </c>
      <c r="H1" s="274" t="s">
        <v>1122</v>
      </c>
      <c r="I1" s="275" t="s">
        <v>982</v>
      </c>
      <c r="J1" s="274" t="s">
        <v>1123</v>
      </c>
      <c r="K1" s="274" t="s">
        <v>1124</v>
      </c>
      <c r="L1" s="274" t="s">
        <v>1125</v>
      </c>
      <c r="M1" s="274" t="s">
        <v>977</v>
      </c>
      <c r="N1" s="274" t="s">
        <v>1126</v>
      </c>
      <c r="O1" s="274" t="s">
        <v>8</v>
      </c>
      <c r="P1" s="274" t="s">
        <v>979</v>
      </c>
      <c r="Q1" s="276" t="s">
        <v>1127</v>
      </c>
      <c r="R1" s="274" t="s">
        <v>1128</v>
      </c>
      <c r="S1" s="274" t="s">
        <v>1129</v>
      </c>
      <c r="T1" s="274" t="s">
        <v>1130</v>
      </c>
      <c r="U1" s="274" t="s">
        <v>1131</v>
      </c>
      <c r="V1" s="274" t="s">
        <v>1132</v>
      </c>
      <c r="W1" s="274" t="s">
        <v>1133</v>
      </c>
      <c r="X1" s="274" t="s">
        <v>1134</v>
      </c>
      <c r="Y1" s="274" t="s">
        <v>1135</v>
      </c>
      <c r="Z1" s="274" t="s">
        <v>33</v>
      </c>
    </row>
    <row r="2" ht="18.75" customHeight="1">
      <c r="A2" s="277"/>
      <c r="B2" s="278"/>
      <c r="C2" s="279">
        <f t="array" ref="C2:C160">ROW(A2:A160)-1</f>
        <v>1</v>
      </c>
      <c r="D2" s="280"/>
      <c r="E2" s="281"/>
      <c r="F2" s="281"/>
      <c r="G2" s="281"/>
      <c r="H2" s="281"/>
      <c r="I2" s="282"/>
      <c r="J2" s="281" t="s">
        <v>1136</v>
      </c>
      <c r="K2" s="281"/>
      <c r="L2" s="281"/>
      <c r="M2" s="281"/>
      <c r="N2" s="281"/>
      <c r="O2" s="280"/>
      <c r="P2" s="281"/>
      <c r="Q2" s="283"/>
      <c r="R2" s="284">
        <f>IFERROR(__xludf.DUMMYFUNCTION("SUM(QUERY(Coletas_BD!D:M,""select J where D='""&amp;D2&amp;""'"",1))"),5407.0)</f>
        <v>5407</v>
      </c>
      <c r="S2" s="284">
        <f>IFERROR(__xludf.DUMMYFUNCTION("SUM(QUERY(Coletas_BD!D:M,""select K where D='""&amp;D2&amp;""'"",1))"),25.0)</f>
        <v>25</v>
      </c>
      <c r="T2" s="284">
        <f>IFERROR(__xludf.DUMMYFUNCTION("SUM(QUERY(Coletas_BD!D:M,""select L where D='""&amp;D2&amp;""'"",1))"),75.0)</f>
        <v>75</v>
      </c>
      <c r="U2" s="284">
        <f>IFERROR(__xludf.DUMMYFUNCTION("SUM(QUERY(Coletas_BD!D:M,""select M where D='""&amp;D2&amp;""'"",1))"),250.0)</f>
        <v>250</v>
      </c>
      <c r="V2" s="284">
        <f>IFERROR(__xludf.DUMMYFUNCTION("SUM(QUERY(Coletas_BD!D:S,""select P where D='""&amp;D2&amp;""'"",1))"),65.0)</f>
        <v>65</v>
      </c>
      <c r="W2" s="284">
        <f>IFERROR(__xludf.DUMMYFUNCTION("SUM(QUERY(Coletas_BD!D:S,""select Q where D='""&amp;D2&amp;""'"",1))"),21.0)</f>
        <v>21</v>
      </c>
      <c r="X2" s="284">
        <f>IFERROR(__xludf.DUMMYFUNCTION("SUM(QUERY(Coletas_BD!D:S,""select R where D='""&amp;D2&amp;""'"",1))"),2.0)</f>
        <v>2</v>
      </c>
      <c r="Y2" s="284">
        <f>IFERROR(__xludf.DUMMYFUNCTION("SUM(QUERY(Coletas_BD!D:S,""select S where D='""&amp;D2&amp;""'"",1))"),4.0)</f>
        <v>4</v>
      </c>
      <c r="Z2" s="285"/>
    </row>
    <row r="3" ht="18.75" customHeight="1">
      <c r="A3" s="277"/>
      <c r="B3" s="278"/>
      <c r="C3" s="279">
        <v>2.0</v>
      </c>
      <c r="D3" s="286"/>
      <c r="E3" s="287"/>
      <c r="F3" s="286"/>
      <c r="G3" s="286"/>
      <c r="H3" s="286"/>
      <c r="I3" s="288"/>
      <c r="J3" s="287" t="s">
        <v>1136</v>
      </c>
      <c r="K3" s="287"/>
      <c r="L3" s="287"/>
      <c r="M3" s="287"/>
      <c r="N3" s="287"/>
      <c r="O3" s="287"/>
      <c r="P3" s="287"/>
      <c r="Q3" s="289"/>
      <c r="R3" s="284">
        <f>IFERROR(__xludf.DUMMYFUNCTION("SUM(QUERY(Coletas_BD!D:M,""select J where D='""&amp;D3&amp;""'"",1))"),5407.0)</f>
        <v>5407</v>
      </c>
      <c r="S3" s="284">
        <f>IFERROR(__xludf.DUMMYFUNCTION("SUM(QUERY(Coletas_BD!D:M,""select K where D='""&amp;D3&amp;""'"",1))"),25.0)</f>
        <v>25</v>
      </c>
      <c r="T3" s="284">
        <f>IFERROR(__xludf.DUMMYFUNCTION("SUM(QUERY(Coletas_BD!D:M,""select L where D='""&amp;D3&amp;""'"",1))"),75.0)</f>
        <v>75</v>
      </c>
      <c r="U3" s="284">
        <f>IFERROR(__xludf.DUMMYFUNCTION("SUM(QUERY(Coletas_BD!D:M,""select M where D='""&amp;D3&amp;""'"",1))"),250.0)</f>
        <v>250</v>
      </c>
      <c r="V3" s="284">
        <f>IFERROR(__xludf.DUMMYFUNCTION("SUM(QUERY(Coletas_BD!D:S,""select P where D='""&amp;D3&amp;""'"",1))"),65.0)</f>
        <v>65</v>
      </c>
      <c r="W3" s="284">
        <f>IFERROR(__xludf.DUMMYFUNCTION("SUM(QUERY(Coletas_BD!D:S,""select Q where D='""&amp;D3&amp;""'"",1))"),21.0)</f>
        <v>21</v>
      </c>
      <c r="X3" s="284">
        <f>IFERROR(__xludf.DUMMYFUNCTION("SUM(QUERY(Coletas_BD!D:S,""select R where D='""&amp;D3&amp;""'"",1))"),2.0)</f>
        <v>2</v>
      </c>
      <c r="Y3" s="284">
        <f>IFERROR(__xludf.DUMMYFUNCTION("SUM(QUERY(Coletas_BD!D:S,""select S where D='""&amp;D3&amp;""'"",1))"),4.0)</f>
        <v>4</v>
      </c>
      <c r="Z3" s="290"/>
    </row>
    <row r="4" ht="18.75" customHeight="1">
      <c r="A4" s="277"/>
      <c r="B4" s="278"/>
      <c r="C4" s="279">
        <v>3.0</v>
      </c>
      <c r="D4" s="280"/>
      <c r="E4" s="280"/>
      <c r="F4" s="281"/>
      <c r="G4" s="281"/>
      <c r="H4" s="281"/>
      <c r="I4" s="282" t="s">
        <v>1137</v>
      </c>
      <c r="J4" s="281" t="s">
        <v>1136</v>
      </c>
      <c r="K4" s="281"/>
      <c r="L4" s="281"/>
      <c r="M4" s="281"/>
      <c r="N4" s="281"/>
      <c r="O4" s="281"/>
      <c r="P4" s="280"/>
      <c r="Q4" s="283"/>
      <c r="R4" s="284">
        <f>IFERROR(__xludf.DUMMYFUNCTION("SUM(QUERY(Coletas_BD!D:M,""select J where D='""&amp;D4&amp;""'"",1))"),5407.0)</f>
        <v>5407</v>
      </c>
      <c r="S4" s="284">
        <f>IFERROR(__xludf.DUMMYFUNCTION("SUM(QUERY(Coletas_BD!D:M,""select K where D='""&amp;D4&amp;""'"",1))"),25.0)</f>
        <v>25</v>
      </c>
      <c r="T4" s="284">
        <f>IFERROR(__xludf.DUMMYFUNCTION("SUM(QUERY(Coletas_BD!D:M,""select L where D='""&amp;D4&amp;""'"",1))"),75.0)</f>
        <v>75</v>
      </c>
      <c r="U4" s="284">
        <f>IFERROR(__xludf.DUMMYFUNCTION("SUM(QUERY(Coletas_BD!D:M,""select M where D='""&amp;D4&amp;""'"",1))"),250.0)</f>
        <v>250</v>
      </c>
      <c r="V4" s="284">
        <f>IFERROR(__xludf.DUMMYFUNCTION("SUM(QUERY(Coletas_BD!D:S,""select P where D='""&amp;D4&amp;""'"",1))"),65.0)</f>
        <v>65</v>
      </c>
      <c r="W4" s="284">
        <f>IFERROR(__xludf.DUMMYFUNCTION("SUM(QUERY(Coletas_BD!D:S,""select Q where D='""&amp;D4&amp;""'"",1))"),21.0)</f>
        <v>21</v>
      </c>
      <c r="X4" s="284">
        <f>IFERROR(__xludf.DUMMYFUNCTION("SUM(QUERY(Coletas_BD!D:S,""select R where D='""&amp;D4&amp;""'"",1))"),2.0)</f>
        <v>2</v>
      </c>
      <c r="Y4" s="284">
        <f>IFERROR(__xludf.DUMMYFUNCTION("SUM(QUERY(Coletas_BD!D:S,""select S where D='""&amp;D4&amp;""'"",1))"),4.0)</f>
        <v>4</v>
      </c>
      <c r="Z4" s="285"/>
    </row>
    <row r="5" ht="18.75" customHeight="1">
      <c r="A5" s="277"/>
      <c r="B5" s="278"/>
      <c r="C5" s="279">
        <v>4.0</v>
      </c>
      <c r="D5" s="286"/>
      <c r="E5" s="287"/>
      <c r="F5" s="287"/>
      <c r="G5" s="287"/>
      <c r="H5" s="287"/>
      <c r="I5" s="288" t="s">
        <v>1138</v>
      </c>
      <c r="J5" s="287" t="s">
        <v>1139</v>
      </c>
      <c r="K5" s="287"/>
      <c r="L5" s="287"/>
      <c r="M5" s="287"/>
      <c r="N5" s="287"/>
      <c r="O5" s="287"/>
      <c r="P5" s="287"/>
      <c r="Q5" s="289"/>
      <c r="R5" s="284">
        <f>IFERROR(__xludf.DUMMYFUNCTION("SUM(QUERY(Coletas_BD!D:M,""select J where D='""&amp;D5&amp;""'"",1))"),5407.0)</f>
        <v>5407</v>
      </c>
      <c r="S5" s="284">
        <f>IFERROR(__xludf.DUMMYFUNCTION("SUM(QUERY(Coletas_BD!D:M,""select K where D='""&amp;D5&amp;""'"",1))"),25.0)</f>
        <v>25</v>
      </c>
      <c r="T5" s="284">
        <f>IFERROR(__xludf.DUMMYFUNCTION("SUM(QUERY(Coletas_BD!D:M,""select L where D='""&amp;D5&amp;""'"",1))"),75.0)</f>
        <v>75</v>
      </c>
      <c r="U5" s="284">
        <f>IFERROR(__xludf.DUMMYFUNCTION("SUM(QUERY(Coletas_BD!D:M,""select M where D='""&amp;D5&amp;""'"",1))"),250.0)</f>
        <v>250</v>
      </c>
      <c r="V5" s="284">
        <f>IFERROR(__xludf.DUMMYFUNCTION("SUM(QUERY(Coletas_BD!D:S,""select P where D='""&amp;D5&amp;""'"",1))"),65.0)</f>
        <v>65</v>
      </c>
      <c r="W5" s="284">
        <f>IFERROR(__xludf.DUMMYFUNCTION("SUM(QUERY(Coletas_BD!D:S,""select Q where D='""&amp;D5&amp;""'"",1))"),21.0)</f>
        <v>21</v>
      </c>
      <c r="X5" s="284">
        <f>IFERROR(__xludf.DUMMYFUNCTION("SUM(QUERY(Coletas_BD!D:S,""select R where D='""&amp;D5&amp;""'"",1))"),2.0)</f>
        <v>2</v>
      </c>
      <c r="Y5" s="284">
        <f>IFERROR(__xludf.DUMMYFUNCTION("SUM(QUERY(Coletas_BD!D:S,""select S where D='""&amp;D5&amp;""'"",1))"),4.0)</f>
        <v>4</v>
      </c>
      <c r="Z5" s="291"/>
    </row>
    <row r="6" ht="18.75" customHeight="1">
      <c r="A6" s="277"/>
      <c r="B6" s="278"/>
      <c r="C6" s="279">
        <v>5.0</v>
      </c>
      <c r="D6" s="292"/>
      <c r="E6" s="280"/>
      <c r="F6" s="293"/>
      <c r="G6" s="294">
        <v>5.0</v>
      </c>
      <c r="H6" s="293"/>
      <c r="I6" s="282"/>
      <c r="J6" s="281" t="s">
        <v>1140</v>
      </c>
      <c r="K6" s="281"/>
      <c r="L6" s="281"/>
      <c r="M6" s="281"/>
      <c r="N6" s="281"/>
      <c r="O6" s="281"/>
      <c r="P6" s="281"/>
      <c r="Q6" s="283"/>
      <c r="R6" s="284">
        <f>IFERROR(__xludf.DUMMYFUNCTION("SUM(QUERY(Coletas_BD!D:M,""select J where D='""&amp;D6&amp;""'"",1))"),5407.0)</f>
        <v>5407</v>
      </c>
      <c r="S6" s="284">
        <f>IFERROR(__xludf.DUMMYFUNCTION("SUM(QUERY(Coletas_BD!D:M,""select K where D='""&amp;D6&amp;""'"",1))"),25.0)</f>
        <v>25</v>
      </c>
      <c r="T6" s="284">
        <f>IFERROR(__xludf.DUMMYFUNCTION("SUM(QUERY(Coletas_BD!D:M,""select L where D='""&amp;D6&amp;""'"",1))"),75.0)</f>
        <v>75</v>
      </c>
      <c r="U6" s="284">
        <f>IFERROR(__xludf.DUMMYFUNCTION("SUM(QUERY(Coletas_BD!D:M,""select M where D='""&amp;D6&amp;""'"",1))"),250.0)</f>
        <v>250</v>
      </c>
      <c r="V6" s="284">
        <f>IFERROR(__xludf.DUMMYFUNCTION("SUM(QUERY(Coletas_BD!D:S,""select P where D='""&amp;D6&amp;""'"",1))"),65.0)</f>
        <v>65</v>
      </c>
      <c r="W6" s="284">
        <f>IFERROR(__xludf.DUMMYFUNCTION("SUM(QUERY(Coletas_BD!D:S,""select Q where D='""&amp;D6&amp;""'"",1))"),21.0)</f>
        <v>21</v>
      </c>
      <c r="X6" s="284">
        <f>IFERROR(__xludf.DUMMYFUNCTION("SUM(QUERY(Coletas_BD!D:S,""select R where D='""&amp;D6&amp;""'"",1))"),2.0)</f>
        <v>2</v>
      </c>
      <c r="Y6" s="284">
        <f>IFERROR(__xludf.DUMMYFUNCTION("SUM(QUERY(Coletas_BD!D:S,""select S where D='""&amp;D6&amp;""'"",1))"),4.0)</f>
        <v>4</v>
      </c>
      <c r="Z6" s="295"/>
    </row>
    <row r="7" ht="18.75" customHeight="1">
      <c r="A7" s="277"/>
      <c r="B7" s="278"/>
      <c r="C7" s="279">
        <v>6.0</v>
      </c>
      <c r="D7" s="286"/>
      <c r="E7" s="287"/>
      <c r="F7" s="287"/>
      <c r="G7" s="287"/>
      <c r="H7" s="287"/>
      <c r="I7" s="288" t="s">
        <v>1141</v>
      </c>
      <c r="J7" s="287" t="s">
        <v>1136</v>
      </c>
      <c r="K7" s="287"/>
      <c r="L7" s="287"/>
      <c r="M7" s="287"/>
      <c r="N7" s="287"/>
      <c r="O7" s="287"/>
      <c r="P7" s="287"/>
      <c r="Q7" s="289"/>
      <c r="R7" s="284">
        <f>IFERROR(__xludf.DUMMYFUNCTION("SUM(QUERY(Coletas_BD!D:M,""select J where D='""&amp;D7&amp;""'"",1))"),5407.0)</f>
        <v>5407</v>
      </c>
      <c r="S7" s="284">
        <f>IFERROR(__xludf.DUMMYFUNCTION("SUM(QUERY(Coletas_BD!D:M,""select K where D='""&amp;D7&amp;""'"",1))"),25.0)</f>
        <v>25</v>
      </c>
      <c r="T7" s="284">
        <f>IFERROR(__xludf.DUMMYFUNCTION("SUM(QUERY(Coletas_BD!D:M,""select L where D='""&amp;D7&amp;""'"",1))"),75.0)</f>
        <v>75</v>
      </c>
      <c r="U7" s="284">
        <f>IFERROR(__xludf.DUMMYFUNCTION("SUM(QUERY(Coletas_BD!D:M,""select M where D='""&amp;D7&amp;""'"",1))"),250.0)</f>
        <v>250</v>
      </c>
      <c r="V7" s="284">
        <f>IFERROR(__xludf.DUMMYFUNCTION("SUM(QUERY(Coletas_BD!D:S,""select P where D='""&amp;D7&amp;""'"",1))"),65.0)</f>
        <v>65</v>
      </c>
      <c r="W7" s="284">
        <f>IFERROR(__xludf.DUMMYFUNCTION("SUM(QUERY(Coletas_BD!D:S,""select Q where D='""&amp;D7&amp;""'"",1))"),21.0)</f>
        <v>21</v>
      </c>
      <c r="X7" s="284">
        <f>IFERROR(__xludf.DUMMYFUNCTION("SUM(QUERY(Coletas_BD!D:S,""select R where D='""&amp;D7&amp;""'"",1))"),2.0)</f>
        <v>2</v>
      </c>
      <c r="Y7" s="284">
        <f>IFERROR(__xludf.DUMMYFUNCTION("SUM(QUERY(Coletas_BD!D:S,""select S where D='""&amp;D7&amp;""'"",1))"),4.0)</f>
        <v>4</v>
      </c>
      <c r="Z7" s="291"/>
    </row>
    <row r="8" ht="18.75" customHeight="1">
      <c r="A8" s="277"/>
      <c r="B8" s="278"/>
      <c r="C8" s="279">
        <v>7.0</v>
      </c>
      <c r="D8" s="280"/>
      <c r="E8" s="281"/>
      <c r="F8" s="296"/>
      <c r="G8" s="296"/>
      <c r="H8" s="296"/>
      <c r="I8" s="282"/>
      <c r="J8" s="281" t="s">
        <v>1136</v>
      </c>
      <c r="K8" s="281"/>
      <c r="L8" s="281"/>
      <c r="M8" s="281"/>
      <c r="N8" s="281"/>
      <c r="O8" s="281"/>
      <c r="P8" s="281"/>
      <c r="Q8" s="283"/>
      <c r="R8" s="284">
        <f>IFERROR(__xludf.DUMMYFUNCTION("SUM(QUERY(Coletas_BD!D:M,""select J where D='""&amp;D8&amp;""'"",1))"),5407.0)</f>
        <v>5407</v>
      </c>
      <c r="S8" s="284">
        <f>IFERROR(__xludf.DUMMYFUNCTION("SUM(QUERY(Coletas_BD!D:M,""select K where D='""&amp;D8&amp;""'"",1))"),25.0)</f>
        <v>25</v>
      </c>
      <c r="T8" s="284">
        <f>IFERROR(__xludf.DUMMYFUNCTION("SUM(QUERY(Coletas_BD!D:M,""select L where D='""&amp;D8&amp;""'"",1))"),75.0)</f>
        <v>75</v>
      </c>
      <c r="U8" s="284">
        <f>IFERROR(__xludf.DUMMYFUNCTION("SUM(QUERY(Coletas_BD!D:M,""select M where D='""&amp;D8&amp;""'"",1))"),250.0)</f>
        <v>250</v>
      </c>
      <c r="V8" s="284">
        <f>IFERROR(__xludf.DUMMYFUNCTION("SUM(QUERY(Coletas_BD!D:S,""select P where D='""&amp;D8&amp;""'"",1))"),65.0)</f>
        <v>65</v>
      </c>
      <c r="W8" s="284">
        <f>IFERROR(__xludf.DUMMYFUNCTION("SUM(QUERY(Coletas_BD!D:S,""select Q where D='""&amp;D8&amp;""'"",1))"),21.0)</f>
        <v>21</v>
      </c>
      <c r="X8" s="284">
        <f>IFERROR(__xludf.DUMMYFUNCTION("SUM(QUERY(Coletas_BD!D:S,""select R where D='""&amp;D8&amp;""'"",1))"),2.0)</f>
        <v>2</v>
      </c>
      <c r="Y8" s="284">
        <f>IFERROR(__xludf.DUMMYFUNCTION("SUM(QUERY(Coletas_BD!D:S,""select S where D='""&amp;D8&amp;""'"",1))"),4.0)</f>
        <v>4</v>
      </c>
      <c r="Z8" s="297"/>
    </row>
    <row r="9" ht="18.75" customHeight="1">
      <c r="A9" s="277"/>
      <c r="B9" s="278"/>
      <c r="C9" s="279">
        <v>8.0</v>
      </c>
      <c r="D9" s="286"/>
      <c r="E9" s="287"/>
      <c r="F9" s="298"/>
      <c r="G9" s="298"/>
      <c r="H9" s="298"/>
      <c r="I9" s="288"/>
      <c r="J9" s="287" t="s">
        <v>1142</v>
      </c>
      <c r="K9" s="287"/>
      <c r="L9" s="287"/>
      <c r="M9" s="287"/>
      <c r="N9" s="287"/>
      <c r="O9" s="287"/>
      <c r="P9" s="287"/>
      <c r="Q9" s="289"/>
      <c r="R9" s="284">
        <f>IFERROR(__xludf.DUMMYFUNCTION("SUM(QUERY(Coletas_BD!D:M,""select J where D='""&amp;D9&amp;""'"",1))"),5407.0)</f>
        <v>5407</v>
      </c>
      <c r="S9" s="284">
        <f>IFERROR(__xludf.DUMMYFUNCTION("SUM(QUERY(Coletas_BD!D:M,""select K where D='""&amp;D9&amp;""'"",1))"),25.0)</f>
        <v>25</v>
      </c>
      <c r="T9" s="284">
        <f>IFERROR(__xludf.DUMMYFUNCTION("SUM(QUERY(Coletas_BD!D:M,""select L where D='""&amp;D9&amp;""'"",1))"),75.0)</f>
        <v>75</v>
      </c>
      <c r="U9" s="284">
        <f>IFERROR(__xludf.DUMMYFUNCTION("SUM(QUERY(Coletas_BD!D:M,""select M where D='""&amp;D9&amp;""'"",1))"),250.0)</f>
        <v>250</v>
      </c>
      <c r="V9" s="284">
        <f>IFERROR(__xludf.DUMMYFUNCTION("SUM(QUERY(Coletas_BD!D:S,""select P where D='""&amp;D9&amp;""'"",1))"),65.0)</f>
        <v>65</v>
      </c>
      <c r="W9" s="284">
        <f>IFERROR(__xludf.DUMMYFUNCTION("SUM(QUERY(Coletas_BD!D:S,""select Q where D='""&amp;D9&amp;""'"",1))"),21.0)</f>
        <v>21</v>
      </c>
      <c r="X9" s="284">
        <f>IFERROR(__xludf.DUMMYFUNCTION("SUM(QUERY(Coletas_BD!D:S,""select R where D='""&amp;D9&amp;""'"",1))"),2.0)</f>
        <v>2</v>
      </c>
      <c r="Y9" s="284">
        <f>IFERROR(__xludf.DUMMYFUNCTION("SUM(QUERY(Coletas_BD!D:S,""select S where D='""&amp;D9&amp;""'"",1))"),4.0)</f>
        <v>4</v>
      </c>
      <c r="Z9" s="291"/>
    </row>
    <row r="10" ht="18.75" customHeight="1">
      <c r="A10" s="277"/>
      <c r="B10" s="278"/>
      <c r="C10" s="279">
        <v>9.0</v>
      </c>
      <c r="D10" s="280"/>
      <c r="E10" s="281"/>
      <c r="F10" s="296"/>
      <c r="G10" s="296"/>
      <c r="H10" s="296"/>
      <c r="I10" s="282" t="s">
        <v>1143</v>
      </c>
      <c r="J10" s="281" t="s">
        <v>1136</v>
      </c>
      <c r="K10" s="281"/>
      <c r="L10" s="281"/>
      <c r="M10" s="281"/>
      <c r="N10" s="281"/>
      <c r="O10" s="281"/>
      <c r="P10" s="281"/>
      <c r="Q10" s="283"/>
      <c r="R10" s="284">
        <f>IFERROR(__xludf.DUMMYFUNCTION("SUM(QUERY(Coletas_BD!D:M,""select J where D='""&amp;D10&amp;""'"",1))"),5407.0)</f>
        <v>5407</v>
      </c>
      <c r="S10" s="284">
        <f>IFERROR(__xludf.DUMMYFUNCTION("SUM(QUERY(Coletas_BD!D:M,""select K where D='""&amp;D10&amp;""'"",1))"),25.0)</f>
        <v>25</v>
      </c>
      <c r="T10" s="284">
        <f>IFERROR(__xludf.DUMMYFUNCTION("SUM(QUERY(Coletas_BD!D:M,""select L where D='""&amp;D10&amp;""'"",1))"),75.0)</f>
        <v>75</v>
      </c>
      <c r="U10" s="284">
        <f>IFERROR(__xludf.DUMMYFUNCTION("SUM(QUERY(Coletas_BD!D:M,""select M where D='""&amp;D10&amp;""'"",1))"),250.0)</f>
        <v>250</v>
      </c>
      <c r="V10" s="284">
        <f>IFERROR(__xludf.DUMMYFUNCTION("SUM(QUERY(Coletas_BD!D:S,""select P where D='""&amp;D10&amp;""'"",1))"),65.0)</f>
        <v>65</v>
      </c>
      <c r="W10" s="284">
        <f>IFERROR(__xludf.DUMMYFUNCTION("SUM(QUERY(Coletas_BD!D:S,""select Q where D='""&amp;D10&amp;""'"",1))"),21.0)</f>
        <v>21</v>
      </c>
      <c r="X10" s="284">
        <f>IFERROR(__xludf.DUMMYFUNCTION("SUM(QUERY(Coletas_BD!D:S,""select R where D='""&amp;D10&amp;""'"",1))"),2.0)</f>
        <v>2</v>
      </c>
      <c r="Y10" s="284">
        <f>IFERROR(__xludf.DUMMYFUNCTION("SUM(QUERY(Coletas_BD!D:S,""select S where D='""&amp;D10&amp;""'"",1))"),4.0)</f>
        <v>4</v>
      </c>
      <c r="Z10" s="295"/>
    </row>
    <row r="11" ht="18.75" customHeight="1">
      <c r="A11" s="277"/>
      <c r="B11" s="278"/>
      <c r="C11" s="279">
        <v>10.0</v>
      </c>
      <c r="D11" s="286"/>
      <c r="E11" s="287"/>
      <c r="F11" s="298"/>
      <c r="G11" s="298"/>
      <c r="H11" s="298"/>
      <c r="I11" s="288"/>
      <c r="J11" s="287" t="s">
        <v>1139</v>
      </c>
      <c r="K11" s="287"/>
      <c r="L11" s="287"/>
      <c r="M11" s="287"/>
      <c r="N11" s="287"/>
      <c r="O11" s="287"/>
      <c r="P11" s="287"/>
      <c r="Q11" s="289"/>
      <c r="R11" s="284">
        <f>IFERROR(__xludf.DUMMYFUNCTION("SUM(QUERY(Coletas_BD!D:M,""select J where D='""&amp;D11&amp;""'"",1))"),5407.0)</f>
        <v>5407</v>
      </c>
      <c r="S11" s="284">
        <f>IFERROR(__xludf.DUMMYFUNCTION("SUM(QUERY(Coletas_BD!D:M,""select K where D='""&amp;D11&amp;""'"",1))"),25.0)</f>
        <v>25</v>
      </c>
      <c r="T11" s="284">
        <f>IFERROR(__xludf.DUMMYFUNCTION("SUM(QUERY(Coletas_BD!D:M,""select L where D='""&amp;D11&amp;""'"",1))"),75.0)</f>
        <v>75</v>
      </c>
      <c r="U11" s="284">
        <f>IFERROR(__xludf.DUMMYFUNCTION("SUM(QUERY(Coletas_BD!D:M,""select M where D='""&amp;D11&amp;""'"",1))"),250.0)</f>
        <v>250</v>
      </c>
      <c r="V11" s="284">
        <f>IFERROR(__xludf.DUMMYFUNCTION("SUM(QUERY(Coletas_BD!D:S,""select P where D='""&amp;D11&amp;""'"",1))"),65.0)</f>
        <v>65</v>
      </c>
      <c r="W11" s="284">
        <f>IFERROR(__xludf.DUMMYFUNCTION("SUM(QUERY(Coletas_BD!D:S,""select Q where D='""&amp;D11&amp;""'"",1))"),21.0)</f>
        <v>21</v>
      </c>
      <c r="X11" s="284">
        <f>IFERROR(__xludf.DUMMYFUNCTION("SUM(QUERY(Coletas_BD!D:S,""select R where D='""&amp;D11&amp;""'"",1))"),2.0)</f>
        <v>2</v>
      </c>
      <c r="Y11" s="284">
        <f>IFERROR(__xludf.DUMMYFUNCTION("SUM(QUERY(Coletas_BD!D:S,""select S where D='""&amp;D11&amp;""'"",1))"),4.0)</f>
        <v>4</v>
      </c>
      <c r="Z11" s="291"/>
    </row>
    <row r="12" ht="18.75" customHeight="1">
      <c r="A12" s="277"/>
      <c r="B12" s="278"/>
      <c r="C12" s="279">
        <v>11.0</v>
      </c>
      <c r="D12" s="280"/>
      <c r="E12" s="281"/>
      <c r="F12" s="281"/>
      <c r="G12" s="281"/>
      <c r="H12" s="281"/>
      <c r="I12" s="282" t="s">
        <v>1144</v>
      </c>
      <c r="J12" s="281" t="s">
        <v>1136</v>
      </c>
      <c r="K12" s="281"/>
      <c r="L12" s="281"/>
      <c r="M12" s="281"/>
      <c r="N12" s="281"/>
      <c r="O12" s="281"/>
      <c r="P12" s="281"/>
      <c r="Q12" s="283"/>
      <c r="R12" s="284">
        <f>IFERROR(__xludf.DUMMYFUNCTION("SUM(QUERY(Coletas_BD!D:M,""select J where D='""&amp;D12&amp;""'"",1))"),5407.0)</f>
        <v>5407</v>
      </c>
      <c r="S12" s="284">
        <f>IFERROR(__xludf.DUMMYFUNCTION("SUM(QUERY(Coletas_BD!D:M,""select K where D='""&amp;D12&amp;""'"",1))"),25.0)</f>
        <v>25</v>
      </c>
      <c r="T12" s="284">
        <f>IFERROR(__xludf.DUMMYFUNCTION("SUM(QUERY(Coletas_BD!D:M,""select L where D='""&amp;D12&amp;""'"",1))"),75.0)</f>
        <v>75</v>
      </c>
      <c r="U12" s="284">
        <f>IFERROR(__xludf.DUMMYFUNCTION("SUM(QUERY(Coletas_BD!D:M,""select M where D='""&amp;D12&amp;""'"",1))"),250.0)</f>
        <v>250</v>
      </c>
      <c r="V12" s="284">
        <f>IFERROR(__xludf.DUMMYFUNCTION("SUM(QUERY(Coletas_BD!D:S,""select P where D='""&amp;D12&amp;""'"",1))"),65.0)</f>
        <v>65</v>
      </c>
      <c r="W12" s="284">
        <f>IFERROR(__xludf.DUMMYFUNCTION("SUM(QUERY(Coletas_BD!D:S,""select Q where D='""&amp;D12&amp;""'"",1))"),21.0)</f>
        <v>21</v>
      </c>
      <c r="X12" s="284">
        <f>IFERROR(__xludf.DUMMYFUNCTION("SUM(QUERY(Coletas_BD!D:S,""select R where D='""&amp;D12&amp;""'"",1))"),2.0)</f>
        <v>2</v>
      </c>
      <c r="Y12" s="284">
        <f>IFERROR(__xludf.DUMMYFUNCTION("SUM(QUERY(Coletas_BD!D:S,""select S where D='""&amp;D12&amp;""'"",1))"),4.0)</f>
        <v>4</v>
      </c>
      <c r="Z12" s="295"/>
    </row>
    <row r="13" ht="18.75" customHeight="1">
      <c r="A13" s="277"/>
      <c r="B13" s="278"/>
      <c r="C13" s="279">
        <v>12.0</v>
      </c>
      <c r="D13" s="286"/>
      <c r="E13" s="287"/>
      <c r="F13" s="298"/>
      <c r="G13" s="298"/>
      <c r="H13" s="298"/>
      <c r="I13" s="288"/>
      <c r="J13" s="287" t="s">
        <v>1136</v>
      </c>
      <c r="K13" s="287"/>
      <c r="L13" s="287"/>
      <c r="M13" s="287"/>
      <c r="N13" s="287"/>
      <c r="O13" s="287"/>
      <c r="P13" s="287"/>
      <c r="Q13" s="289"/>
      <c r="R13" s="284">
        <f>IFERROR(__xludf.DUMMYFUNCTION("SUM(QUERY(Coletas_BD!D:M,""select J where D='""&amp;D13&amp;""'"",1))"),5407.0)</f>
        <v>5407</v>
      </c>
      <c r="S13" s="284">
        <f>IFERROR(__xludf.DUMMYFUNCTION("SUM(QUERY(Coletas_BD!D:M,""select K where D='""&amp;D13&amp;""'"",1))"),25.0)</f>
        <v>25</v>
      </c>
      <c r="T13" s="284">
        <f>IFERROR(__xludf.DUMMYFUNCTION("SUM(QUERY(Coletas_BD!D:M,""select L where D='""&amp;D13&amp;""'"",1))"),75.0)</f>
        <v>75</v>
      </c>
      <c r="U13" s="284">
        <f>IFERROR(__xludf.DUMMYFUNCTION("SUM(QUERY(Coletas_BD!D:M,""select M where D='""&amp;D13&amp;""'"",1))"),250.0)</f>
        <v>250</v>
      </c>
      <c r="V13" s="284">
        <f>IFERROR(__xludf.DUMMYFUNCTION("SUM(QUERY(Coletas_BD!D:S,""select P where D='""&amp;D13&amp;""'"",1))"),65.0)</f>
        <v>65</v>
      </c>
      <c r="W13" s="284">
        <f>IFERROR(__xludf.DUMMYFUNCTION("SUM(QUERY(Coletas_BD!D:S,""select Q where D='""&amp;D13&amp;""'"",1))"),21.0)</f>
        <v>21</v>
      </c>
      <c r="X13" s="284">
        <f>IFERROR(__xludf.DUMMYFUNCTION("SUM(QUERY(Coletas_BD!D:S,""select R where D='""&amp;D13&amp;""'"",1))"),2.0)</f>
        <v>2</v>
      </c>
      <c r="Y13" s="284">
        <f>IFERROR(__xludf.DUMMYFUNCTION("SUM(QUERY(Coletas_BD!D:S,""select S where D='""&amp;D13&amp;""'"",1))"),4.0)</f>
        <v>4</v>
      </c>
      <c r="Z13" s="291"/>
    </row>
    <row r="14" ht="18.75" customHeight="1">
      <c r="A14" s="299"/>
      <c r="B14" s="300"/>
      <c r="C14" s="279">
        <v>13.0</v>
      </c>
      <c r="D14" s="280"/>
      <c r="E14" s="301"/>
      <c r="F14" s="281"/>
      <c r="G14" s="281"/>
      <c r="H14" s="281"/>
      <c r="I14" s="282"/>
      <c r="J14" s="281" t="s">
        <v>1136</v>
      </c>
      <c r="K14" s="281"/>
      <c r="L14" s="281"/>
      <c r="M14" s="281"/>
      <c r="N14" s="281"/>
      <c r="O14" s="281"/>
      <c r="P14" s="281"/>
      <c r="Q14" s="283"/>
      <c r="R14" s="284">
        <f>IFERROR(__xludf.DUMMYFUNCTION("SUM(QUERY(Coletas_BD!D:M,""select J where D='""&amp;D14&amp;""'"",1))"),5407.0)</f>
        <v>5407</v>
      </c>
      <c r="S14" s="284">
        <f>IFERROR(__xludf.DUMMYFUNCTION("SUM(QUERY(Coletas_BD!D:M,""select K where D='""&amp;D14&amp;""'"",1))"),25.0)</f>
        <v>25</v>
      </c>
      <c r="T14" s="284">
        <f>IFERROR(__xludf.DUMMYFUNCTION("SUM(QUERY(Coletas_BD!D:M,""select L where D='""&amp;D14&amp;""'"",1))"),75.0)</f>
        <v>75</v>
      </c>
      <c r="U14" s="284">
        <f>IFERROR(__xludf.DUMMYFUNCTION("SUM(QUERY(Coletas_BD!D:M,""select M where D='""&amp;D14&amp;""'"",1))"),250.0)</f>
        <v>250</v>
      </c>
      <c r="V14" s="284">
        <f>IFERROR(__xludf.DUMMYFUNCTION("SUM(QUERY(Coletas_BD!D:S,""select P where D='""&amp;D14&amp;""'"",1))"),65.0)</f>
        <v>65</v>
      </c>
      <c r="W14" s="284">
        <f>IFERROR(__xludf.DUMMYFUNCTION("SUM(QUERY(Coletas_BD!D:S,""select Q where D='""&amp;D14&amp;""'"",1))"),21.0)</f>
        <v>21</v>
      </c>
      <c r="X14" s="284">
        <f>IFERROR(__xludf.DUMMYFUNCTION("SUM(QUERY(Coletas_BD!D:S,""select R where D='""&amp;D14&amp;""'"",1))"),2.0)</f>
        <v>2</v>
      </c>
      <c r="Y14" s="284">
        <f>IFERROR(__xludf.DUMMYFUNCTION("SUM(QUERY(Coletas_BD!D:S,""select S where D='""&amp;D14&amp;""'"",1))"),4.0)</f>
        <v>4</v>
      </c>
      <c r="Z14" s="295"/>
    </row>
    <row r="15" ht="18.75" customHeight="1">
      <c r="A15" s="299"/>
      <c r="B15" s="300"/>
      <c r="C15" s="279">
        <v>14.0</v>
      </c>
      <c r="D15" s="286"/>
      <c r="E15" s="287"/>
      <c r="F15" s="287"/>
      <c r="G15" s="287"/>
      <c r="H15" s="287"/>
      <c r="I15" s="288"/>
      <c r="J15" s="287" t="s">
        <v>1136</v>
      </c>
      <c r="K15" s="287"/>
      <c r="L15" s="287"/>
      <c r="M15" s="287"/>
      <c r="N15" s="287"/>
      <c r="O15" s="287"/>
      <c r="P15" s="287"/>
      <c r="Q15" s="289"/>
      <c r="R15" s="284">
        <f>IFERROR(__xludf.DUMMYFUNCTION("SUM(QUERY(Coletas_BD!D:M,""select J where D='""&amp;D15&amp;""'"",1))"),5407.0)</f>
        <v>5407</v>
      </c>
      <c r="S15" s="284">
        <f>IFERROR(__xludf.DUMMYFUNCTION("SUM(QUERY(Coletas_BD!D:M,""select K where D='""&amp;D15&amp;""'"",1))"),25.0)</f>
        <v>25</v>
      </c>
      <c r="T15" s="284">
        <f>IFERROR(__xludf.DUMMYFUNCTION("SUM(QUERY(Coletas_BD!D:M,""select L where D='""&amp;D15&amp;""'"",1))"),75.0)</f>
        <v>75</v>
      </c>
      <c r="U15" s="284">
        <f>IFERROR(__xludf.DUMMYFUNCTION("SUM(QUERY(Coletas_BD!D:M,""select M where D='""&amp;D15&amp;""'"",1))"),250.0)</f>
        <v>250</v>
      </c>
      <c r="V15" s="284">
        <f>IFERROR(__xludf.DUMMYFUNCTION("SUM(QUERY(Coletas_BD!D:S,""select P where D='""&amp;D15&amp;""'"",1))"),65.0)</f>
        <v>65</v>
      </c>
      <c r="W15" s="284">
        <f>IFERROR(__xludf.DUMMYFUNCTION("SUM(QUERY(Coletas_BD!D:S,""select Q where D='""&amp;D15&amp;""'"",1))"),21.0)</f>
        <v>21</v>
      </c>
      <c r="X15" s="284">
        <f>IFERROR(__xludf.DUMMYFUNCTION("SUM(QUERY(Coletas_BD!D:S,""select R where D='""&amp;D15&amp;""'"",1))"),2.0)</f>
        <v>2</v>
      </c>
      <c r="Y15" s="284">
        <f>IFERROR(__xludf.DUMMYFUNCTION("SUM(QUERY(Coletas_BD!D:S,""select S where D='""&amp;D15&amp;""'"",1))"),4.0)</f>
        <v>4</v>
      </c>
      <c r="Z15" s="291"/>
    </row>
    <row r="16" ht="18.75" customHeight="1">
      <c r="A16" s="299"/>
      <c r="B16" s="300"/>
      <c r="C16" s="279">
        <v>15.0</v>
      </c>
      <c r="D16" s="280"/>
      <c r="E16" s="302"/>
      <c r="F16" s="281"/>
      <c r="G16" s="281"/>
      <c r="H16" s="281"/>
      <c r="I16" s="282"/>
      <c r="J16" s="281"/>
      <c r="K16" s="281"/>
      <c r="L16" s="281"/>
      <c r="M16" s="281"/>
      <c r="N16" s="281"/>
      <c r="O16" s="281"/>
      <c r="P16" s="281"/>
      <c r="Q16" s="283"/>
      <c r="R16" s="284">
        <f>IFERROR(__xludf.DUMMYFUNCTION("SUM(QUERY(Coletas_BD!D:M,""select J where D='""&amp;D16&amp;""'"",1))"),5407.0)</f>
        <v>5407</v>
      </c>
      <c r="S16" s="284">
        <f>IFERROR(__xludf.DUMMYFUNCTION("SUM(QUERY(Coletas_BD!D:M,""select K where D='""&amp;D16&amp;""'"",1))"),25.0)</f>
        <v>25</v>
      </c>
      <c r="T16" s="284">
        <f>IFERROR(__xludf.DUMMYFUNCTION("SUM(QUERY(Coletas_BD!D:M,""select L where D='""&amp;D16&amp;""'"",1))"),75.0)</f>
        <v>75</v>
      </c>
      <c r="U16" s="284">
        <f>IFERROR(__xludf.DUMMYFUNCTION("SUM(QUERY(Coletas_BD!D:M,""select M where D='""&amp;D16&amp;""'"",1))"),250.0)</f>
        <v>250</v>
      </c>
      <c r="V16" s="284">
        <f>IFERROR(__xludf.DUMMYFUNCTION("SUM(QUERY(Coletas_BD!D:S,""select P where D='""&amp;D16&amp;""'"",1))"),65.0)</f>
        <v>65</v>
      </c>
      <c r="W16" s="284">
        <f>IFERROR(__xludf.DUMMYFUNCTION("SUM(QUERY(Coletas_BD!D:S,""select Q where D='""&amp;D16&amp;""'"",1))"),21.0)</f>
        <v>21</v>
      </c>
      <c r="X16" s="284">
        <f>IFERROR(__xludf.DUMMYFUNCTION("SUM(QUERY(Coletas_BD!D:S,""select R where D='""&amp;D16&amp;""'"",1))"),2.0)</f>
        <v>2</v>
      </c>
      <c r="Y16" s="284">
        <f>IFERROR(__xludf.DUMMYFUNCTION("SUM(QUERY(Coletas_BD!D:S,""select S where D='""&amp;D16&amp;""'"",1))"),4.0)</f>
        <v>4</v>
      </c>
      <c r="Z16" s="295"/>
    </row>
    <row r="17" ht="18.75" customHeight="1">
      <c r="A17" s="299"/>
      <c r="B17" s="300"/>
      <c r="C17" s="279">
        <v>16.0</v>
      </c>
      <c r="D17" s="286"/>
      <c r="E17" s="294"/>
      <c r="F17" s="287"/>
      <c r="G17" s="287"/>
      <c r="H17" s="287"/>
      <c r="I17" s="288"/>
      <c r="J17" s="287"/>
      <c r="K17" s="287"/>
      <c r="L17" s="287"/>
      <c r="M17" s="287"/>
      <c r="N17" s="287"/>
      <c r="O17" s="287"/>
      <c r="P17" s="287"/>
      <c r="Q17" s="289"/>
      <c r="R17" s="284">
        <f>IFERROR(__xludf.DUMMYFUNCTION("SUM(QUERY(Coletas_BD!D:M,""select J where D='""&amp;D17&amp;""'"",1))"),5407.0)</f>
        <v>5407</v>
      </c>
      <c r="S17" s="284">
        <f>IFERROR(__xludf.DUMMYFUNCTION("SUM(QUERY(Coletas_BD!D:M,""select K where D='""&amp;D17&amp;""'"",1))"),25.0)</f>
        <v>25</v>
      </c>
      <c r="T17" s="284">
        <f>IFERROR(__xludf.DUMMYFUNCTION("SUM(QUERY(Coletas_BD!D:M,""select L where D='""&amp;D17&amp;""'"",1))"),75.0)</f>
        <v>75</v>
      </c>
      <c r="U17" s="284">
        <f>IFERROR(__xludf.DUMMYFUNCTION("SUM(QUERY(Coletas_BD!D:M,""select M where D='""&amp;D17&amp;""'"",1))"),250.0)</f>
        <v>250</v>
      </c>
      <c r="V17" s="284">
        <f>IFERROR(__xludf.DUMMYFUNCTION("SUM(QUERY(Coletas_BD!D:S,""select P where D='""&amp;D17&amp;""'"",1))"),65.0)</f>
        <v>65</v>
      </c>
      <c r="W17" s="284">
        <f>IFERROR(__xludf.DUMMYFUNCTION("SUM(QUERY(Coletas_BD!D:S,""select Q where D='""&amp;D17&amp;""'"",1))"),21.0)</f>
        <v>21</v>
      </c>
      <c r="X17" s="284">
        <f>IFERROR(__xludf.DUMMYFUNCTION("SUM(QUERY(Coletas_BD!D:S,""select R where D='""&amp;D17&amp;""'"",1))"),2.0)</f>
        <v>2</v>
      </c>
      <c r="Y17" s="284">
        <f>IFERROR(__xludf.DUMMYFUNCTION("SUM(QUERY(Coletas_BD!D:S,""select S where D='""&amp;D17&amp;""'"",1))"),4.0)</f>
        <v>4</v>
      </c>
      <c r="Z17" s="291"/>
    </row>
    <row r="18" ht="18.75" customHeight="1">
      <c r="A18" s="299"/>
      <c r="B18" s="300"/>
      <c r="C18" s="279">
        <v>17.0</v>
      </c>
      <c r="D18" s="280"/>
      <c r="E18" s="281"/>
      <c r="F18" s="281"/>
      <c r="G18" s="281"/>
      <c r="H18" s="281"/>
      <c r="I18" s="282"/>
      <c r="J18" s="281" t="s">
        <v>1145</v>
      </c>
      <c r="K18" s="281"/>
      <c r="L18" s="281"/>
      <c r="M18" s="281"/>
      <c r="N18" s="281"/>
      <c r="O18" s="281"/>
      <c r="P18" s="281"/>
      <c r="Q18" s="283"/>
      <c r="R18" s="284">
        <f>IFERROR(__xludf.DUMMYFUNCTION("SUM(QUERY(Coletas_BD!D:M,""select J where D='""&amp;D18&amp;""'"",1))"),5407.0)</f>
        <v>5407</v>
      </c>
      <c r="S18" s="284">
        <f>IFERROR(__xludf.DUMMYFUNCTION("SUM(QUERY(Coletas_BD!D:M,""select K where D='""&amp;D18&amp;""'"",1))"),25.0)</f>
        <v>25</v>
      </c>
      <c r="T18" s="284">
        <f>IFERROR(__xludf.DUMMYFUNCTION("SUM(QUERY(Coletas_BD!D:M,""select L where D='""&amp;D18&amp;""'"",1))"),75.0)</f>
        <v>75</v>
      </c>
      <c r="U18" s="284">
        <f>IFERROR(__xludf.DUMMYFUNCTION("SUM(QUERY(Coletas_BD!D:M,""select M where D='""&amp;D18&amp;""'"",1))"),250.0)</f>
        <v>250</v>
      </c>
      <c r="V18" s="284">
        <f>IFERROR(__xludf.DUMMYFUNCTION("SUM(QUERY(Coletas_BD!D:S,""select P where D='""&amp;D18&amp;""'"",1))"),65.0)</f>
        <v>65</v>
      </c>
      <c r="W18" s="284">
        <f>IFERROR(__xludf.DUMMYFUNCTION("SUM(QUERY(Coletas_BD!D:S,""select Q where D='""&amp;D18&amp;""'"",1))"),21.0)</f>
        <v>21</v>
      </c>
      <c r="X18" s="284">
        <f>IFERROR(__xludf.DUMMYFUNCTION("SUM(QUERY(Coletas_BD!D:S,""select R where D='""&amp;D18&amp;""'"",1))"),2.0)</f>
        <v>2</v>
      </c>
      <c r="Y18" s="284">
        <f>IFERROR(__xludf.DUMMYFUNCTION("SUM(QUERY(Coletas_BD!D:S,""select S where D='""&amp;D18&amp;""'"",1))"),4.0)</f>
        <v>4</v>
      </c>
      <c r="Z18" s="295"/>
    </row>
    <row r="19" ht="18.75" customHeight="1">
      <c r="A19" s="299"/>
      <c r="B19" s="300"/>
      <c r="C19" s="279">
        <v>18.0</v>
      </c>
      <c r="D19" s="301"/>
      <c r="E19" s="303"/>
      <c r="F19" s="304"/>
      <c r="G19" s="304"/>
      <c r="H19" s="304"/>
      <c r="I19" s="305"/>
      <c r="J19" s="305"/>
      <c r="K19" s="305"/>
      <c r="L19" s="305"/>
      <c r="M19" s="305"/>
      <c r="N19" s="305"/>
      <c r="O19" s="305"/>
      <c r="P19" s="305"/>
      <c r="Q19" s="283"/>
      <c r="R19" s="284">
        <f>IFERROR(__xludf.DUMMYFUNCTION("SUM(QUERY(Coletas_BD!D:M,""select J where D='""&amp;D19&amp;""'"",1))"),5407.0)</f>
        <v>5407</v>
      </c>
      <c r="S19" s="284">
        <f>IFERROR(__xludf.DUMMYFUNCTION("SUM(QUERY(Coletas_BD!D:M,""select K where D='""&amp;D19&amp;""'"",1))"),25.0)</f>
        <v>25</v>
      </c>
      <c r="T19" s="284">
        <f>IFERROR(__xludf.DUMMYFUNCTION("SUM(QUERY(Coletas_BD!D:M,""select L where D='""&amp;D19&amp;""'"",1))"),75.0)</f>
        <v>75</v>
      </c>
      <c r="U19" s="284">
        <f>IFERROR(__xludf.DUMMYFUNCTION("SUM(QUERY(Coletas_BD!D:M,""select M where D='""&amp;D19&amp;""'"",1))"),250.0)</f>
        <v>250</v>
      </c>
      <c r="V19" s="284">
        <f>IFERROR(__xludf.DUMMYFUNCTION("SUM(QUERY(Coletas_BD!D:S,""select P where D='""&amp;D19&amp;""'"",1))"),65.0)</f>
        <v>65</v>
      </c>
      <c r="W19" s="284">
        <f>IFERROR(__xludf.DUMMYFUNCTION("SUM(QUERY(Coletas_BD!D:S,""select Q where D='""&amp;D19&amp;""'"",1))"),21.0)</f>
        <v>21</v>
      </c>
      <c r="X19" s="284">
        <f>IFERROR(__xludf.DUMMYFUNCTION("SUM(QUERY(Coletas_BD!D:S,""select R where D='""&amp;D19&amp;""'"",1))"),2.0)</f>
        <v>2</v>
      </c>
      <c r="Y19" s="284">
        <f>IFERROR(__xludf.DUMMYFUNCTION("SUM(QUERY(Coletas_BD!D:S,""select S where D='""&amp;D19&amp;""'"",1))"),4.0)</f>
        <v>4</v>
      </c>
      <c r="Z19" s="295"/>
    </row>
    <row r="20" ht="18.75" customHeight="1">
      <c r="A20" s="299"/>
      <c r="B20" s="300"/>
      <c r="C20" s="279">
        <v>19.0</v>
      </c>
      <c r="D20" s="306"/>
      <c r="E20" s="307"/>
      <c r="F20" s="306"/>
      <c r="G20" s="306"/>
      <c r="H20" s="306"/>
      <c r="I20" s="308"/>
      <c r="J20" s="308"/>
      <c r="K20" s="306"/>
      <c r="L20" s="306"/>
      <c r="M20" s="308"/>
      <c r="N20" s="306"/>
      <c r="O20" s="308"/>
      <c r="P20" s="308"/>
      <c r="Q20" s="289"/>
      <c r="R20" s="284">
        <f>IFERROR(__xludf.DUMMYFUNCTION("SUM(QUERY(Coletas_BD!D:M,""select J where D='""&amp;D20&amp;""'"",1))"),5407.0)</f>
        <v>5407</v>
      </c>
      <c r="S20" s="284">
        <f>IFERROR(__xludf.DUMMYFUNCTION("SUM(QUERY(Coletas_BD!D:M,""select K where D='""&amp;D20&amp;""'"",1))"),25.0)</f>
        <v>25</v>
      </c>
      <c r="T20" s="284">
        <f>IFERROR(__xludf.DUMMYFUNCTION("SUM(QUERY(Coletas_BD!D:M,""select L where D='""&amp;D20&amp;""'"",1))"),75.0)</f>
        <v>75</v>
      </c>
      <c r="U20" s="284">
        <f>IFERROR(__xludf.DUMMYFUNCTION("SUM(QUERY(Coletas_BD!D:M,""select M where D='""&amp;D20&amp;""'"",1))"),250.0)</f>
        <v>250</v>
      </c>
      <c r="V20" s="284">
        <f>IFERROR(__xludf.DUMMYFUNCTION("SUM(QUERY(Coletas_BD!D:S,""select P where D='""&amp;D20&amp;""'"",1))"),65.0)</f>
        <v>65</v>
      </c>
      <c r="W20" s="284">
        <f>IFERROR(__xludf.DUMMYFUNCTION("SUM(QUERY(Coletas_BD!D:S,""select Q where D='""&amp;D20&amp;""'"",1))"),21.0)</f>
        <v>21</v>
      </c>
      <c r="X20" s="284">
        <f>IFERROR(__xludf.DUMMYFUNCTION("SUM(QUERY(Coletas_BD!D:S,""select R where D='""&amp;D20&amp;""'"",1))"),2.0)</f>
        <v>2</v>
      </c>
      <c r="Y20" s="284">
        <f>IFERROR(__xludf.DUMMYFUNCTION("SUM(QUERY(Coletas_BD!D:S,""select S where D='""&amp;D20&amp;""'"",1))"),4.0)</f>
        <v>4</v>
      </c>
      <c r="Z20" s="291"/>
    </row>
    <row r="21" ht="18.75" customHeight="1">
      <c r="A21" s="299"/>
      <c r="B21" s="300"/>
      <c r="C21" s="279">
        <v>20.0</v>
      </c>
      <c r="D21" s="301"/>
      <c r="E21" s="303"/>
      <c r="F21" s="301"/>
      <c r="G21" s="301"/>
      <c r="H21" s="301"/>
      <c r="I21" s="305"/>
      <c r="J21" s="305"/>
      <c r="K21" s="305"/>
      <c r="L21" s="305"/>
      <c r="M21" s="305"/>
      <c r="N21" s="305"/>
      <c r="O21" s="305"/>
      <c r="P21" s="305"/>
      <c r="Q21" s="283"/>
      <c r="R21" s="284">
        <f>IFERROR(__xludf.DUMMYFUNCTION("SUM(QUERY(Coletas_BD!D:M,""select J where D='""&amp;D21&amp;""'"",1))"),5407.0)</f>
        <v>5407</v>
      </c>
      <c r="S21" s="284">
        <f>IFERROR(__xludf.DUMMYFUNCTION("SUM(QUERY(Coletas_BD!D:M,""select K where D='""&amp;D21&amp;""'"",1))"),25.0)</f>
        <v>25</v>
      </c>
      <c r="T21" s="284">
        <f>IFERROR(__xludf.DUMMYFUNCTION("SUM(QUERY(Coletas_BD!D:M,""select L where D='""&amp;D21&amp;""'"",1))"),75.0)</f>
        <v>75</v>
      </c>
      <c r="U21" s="284">
        <f>IFERROR(__xludf.DUMMYFUNCTION("SUM(QUERY(Coletas_BD!D:M,""select M where D='""&amp;D21&amp;""'"",1))"),250.0)</f>
        <v>250</v>
      </c>
      <c r="V21" s="284">
        <f>IFERROR(__xludf.DUMMYFUNCTION("SUM(QUERY(Coletas_BD!D:S,""select P where D='""&amp;D21&amp;""'"",1))"),65.0)</f>
        <v>65</v>
      </c>
      <c r="W21" s="284">
        <f>IFERROR(__xludf.DUMMYFUNCTION("SUM(QUERY(Coletas_BD!D:S,""select Q where D='""&amp;D21&amp;""'"",1))"),21.0)</f>
        <v>21</v>
      </c>
      <c r="X21" s="284">
        <f>IFERROR(__xludf.DUMMYFUNCTION("SUM(QUERY(Coletas_BD!D:S,""select R where D='""&amp;D21&amp;""'"",1))"),2.0)</f>
        <v>2</v>
      </c>
      <c r="Y21" s="284">
        <f>IFERROR(__xludf.DUMMYFUNCTION("SUM(QUERY(Coletas_BD!D:S,""select S where D='""&amp;D21&amp;""'"",1))"),4.0)</f>
        <v>4</v>
      </c>
      <c r="Z21" s="309"/>
    </row>
    <row r="22" ht="18.75" customHeight="1">
      <c r="A22" s="277"/>
      <c r="B22" s="278"/>
      <c r="C22" s="279">
        <v>21.0</v>
      </c>
      <c r="D22" s="306"/>
      <c r="E22" s="307"/>
      <c r="F22" s="310"/>
      <c r="G22" s="310"/>
      <c r="H22" s="310"/>
      <c r="I22" s="308"/>
      <c r="J22" s="308" t="s">
        <v>1136</v>
      </c>
      <c r="K22" s="308"/>
      <c r="L22" s="308"/>
      <c r="M22" s="308"/>
      <c r="N22" s="308"/>
      <c r="O22" s="308"/>
      <c r="P22" s="308"/>
      <c r="Q22" s="289"/>
      <c r="R22" s="284">
        <f>IFERROR(__xludf.DUMMYFUNCTION("SUM(QUERY(Coletas_BD!D:M,""select J where D='""&amp;D22&amp;""'"",1))"),5407.0)</f>
        <v>5407</v>
      </c>
      <c r="S22" s="284">
        <f>IFERROR(__xludf.DUMMYFUNCTION("SUM(QUERY(Coletas_BD!D:M,""select K where D='""&amp;D22&amp;""'"",1))"),25.0)</f>
        <v>25</v>
      </c>
      <c r="T22" s="284">
        <f>IFERROR(__xludf.DUMMYFUNCTION("SUM(QUERY(Coletas_BD!D:M,""select L where D='""&amp;D22&amp;""'"",1))"),75.0)</f>
        <v>75</v>
      </c>
      <c r="U22" s="284">
        <f>IFERROR(__xludf.DUMMYFUNCTION("SUM(QUERY(Coletas_BD!D:M,""select M where D='""&amp;D22&amp;""'"",1))"),250.0)</f>
        <v>250</v>
      </c>
      <c r="V22" s="284">
        <f>IFERROR(__xludf.DUMMYFUNCTION("SUM(QUERY(Coletas_BD!D:S,""select P where D='""&amp;D22&amp;""'"",1))"),65.0)</f>
        <v>65</v>
      </c>
      <c r="W22" s="284">
        <f>IFERROR(__xludf.DUMMYFUNCTION("SUM(QUERY(Coletas_BD!D:S,""select Q where D='""&amp;D22&amp;""'"",1))"),21.0)</f>
        <v>21</v>
      </c>
      <c r="X22" s="284">
        <f>IFERROR(__xludf.DUMMYFUNCTION("SUM(QUERY(Coletas_BD!D:S,""select R where D='""&amp;D22&amp;""'"",1))"),2.0)</f>
        <v>2</v>
      </c>
      <c r="Y22" s="284">
        <f>IFERROR(__xludf.DUMMYFUNCTION("SUM(QUERY(Coletas_BD!D:S,""select S where D='""&amp;D22&amp;""'"",1))"),4.0)</f>
        <v>4</v>
      </c>
      <c r="Z22" s="311"/>
    </row>
    <row r="23" ht="18.75" customHeight="1">
      <c r="A23" s="277"/>
      <c r="B23" s="278"/>
      <c r="C23" s="279">
        <v>22.0</v>
      </c>
      <c r="D23" s="301"/>
      <c r="E23" s="303"/>
      <c r="F23" s="312"/>
      <c r="G23" s="312"/>
      <c r="H23" s="312"/>
      <c r="I23" s="305" t="s">
        <v>1146</v>
      </c>
      <c r="J23" s="305" t="s">
        <v>1140</v>
      </c>
      <c r="K23" s="305"/>
      <c r="L23" s="305"/>
      <c r="M23" s="305"/>
      <c r="N23" s="305"/>
      <c r="O23" s="305"/>
      <c r="P23" s="305"/>
      <c r="Q23" s="283"/>
      <c r="R23" s="284">
        <f>IFERROR(__xludf.DUMMYFUNCTION("SUM(QUERY(Coletas_BD!D:M,""select J where D='""&amp;D23&amp;""'"",1))"),5407.0)</f>
        <v>5407</v>
      </c>
      <c r="S23" s="284">
        <f>IFERROR(__xludf.DUMMYFUNCTION("SUM(QUERY(Coletas_BD!D:M,""select K where D='""&amp;D23&amp;""'"",1))"),25.0)</f>
        <v>25</v>
      </c>
      <c r="T23" s="284">
        <f>IFERROR(__xludf.DUMMYFUNCTION("SUM(QUERY(Coletas_BD!D:M,""select L where D='""&amp;D23&amp;""'"",1))"),75.0)</f>
        <v>75</v>
      </c>
      <c r="U23" s="284">
        <f>IFERROR(__xludf.DUMMYFUNCTION("SUM(QUERY(Coletas_BD!D:M,""select M where D='""&amp;D23&amp;""'"",1))"),250.0)</f>
        <v>250</v>
      </c>
      <c r="V23" s="284">
        <f>IFERROR(__xludf.DUMMYFUNCTION("SUM(QUERY(Coletas_BD!D:S,""select P where D='""&amp;D23&amp;""'"",1))"),65.0)</f>
        <v>65</v>
      </c>
      <c r="W23" s="284">
        <f>IFERROR(__xludf.DUMMYFUNCTION("SUM(QUERY(Coletas_BD!D:S,""select Q where D='""&amp;D23&amp;""'"",1))"),21.0)</f>
        <v>21</v>
      </c>
      <c r="X23" s="284">
        <f>IFERROR(__xludf.DUMMYFUNCTION("SUM(QUERY(Coletas_BD!D:S,""select R where D='""&amp;D23&amp;""'"",1))"),2.0)</f>
        <v>2</v>
      </c>
      <c r="Y23" s="284">
        <f>IFERROR(__xludf.DUMMYFUNCTION("SUM(QUERY(Coletas_BD!D:S,""select S where D='""&amp;D23&amp;""'"",1))"),4.0)</f>
        <v>4</v>
      </c>
      <c r="Z23" s="309"/>
    </row>
    <row r="24" ht="18.75" customHeight="1">
      <c r="A24" s="277"/>
      <c r="B24" s="278"/>
      <c r="C24" s="279">
        <v>23.0</v>
      </c>
      <c r="D24" s="306"/>
      <c r="E24" s="307"/>
      <c r="F24" s="310"/>
      <c r="G24" s="310"/>
      <c r="H24" s="310"/>
      <c r="I24" s="308" t="s">
        <v>1147</v>
      </c>
      <c r="J24" s="308" t="s">
        <v>1136</v>
      </c>
      <c r="K24" s="308"/>
      <c r="L24" s="308"/>
      <c r="M24" s="308"/>
      <c r="N24" s="308"/>
      <c r="O24" s="308"/>
      <c r="P24" s="308"/>
      <c r="Q24" s="289"/>
      <c r="R24" s="284">
        <f>IFERROR(__xludf.DUMMYFUNCTION("SUM(QUERY(Coletas_BD!D:M,""select J where D='""&amp;D24&amp;""'"",1))"),5407.0)</f>
        <v>5407</v>
      </c>
      <c r="S24" s="284">
        <f>IFERROR(__xludf.DUMMYFUNCTION("SUM(QUERY(Coletas_BD!D:M,""select K where D='""&amp;D24&amp;""'"",1))"),25.0)</f>
        <v>25</v>
      </c>
      <c r="T24" s="284">
        <f>IFERROR(__xludf.DUMMYFUNCTION("SUM(QUERY(Coletas_BD!D:M,""select L where D='""&amp;D24&amp;""'"",1))"),75.0)</f>
        <v>75</v>
      </c>
      <c r="U24" s="284">
        <f>IFERROR(__xludf.DUMMYFUNCTION("SUM(QUERY(Coletas_BD!D:M,""select M where D='""&amp;D24&amp;""'"",1))"),250.0)</f>
        <v>250</v>
      </c>
      <c r="V24" s="284">
        <f>IFERROR(__xludf.DUMMYFUNCTION("SUM(QUERY(Coletas_BD!D:S,""select P where D='""&amp;D24&amp;""'"",1))"),65.0)</f>
        <v>65</v>
      </c>
      <c r="W24" s="284">
        <f>IFERROR(__xludf.DUMMYFUNCTION("SUM(QUERY(Coletas_BD!D:S,""select Q where D='""&amp;D24&amp;""'"",1))"),21.0)</f>
        <v>21</v>
      </c>
      <c r="X24" s="284">
        <f>IFERROR(__xludf.DUMMYFUNCTION("SUM(QUERY(Coletas_BD!D:S,""select R where D='""&amp;D24&amp;""'"",1))"),2.0)</f>
        <v>2</v>
      </c>
      <c r="Y24" s="284">
        <f>IFERROR(__xludf.DUMMYFUNCTION("SUM(QUERY(Coletas_BD!D:S,""select S where D='""&amp;D24&amp;""'"",1))"),4.0)</f>
        <v>4</v>
      </c>
      <c r="Z24" s="311"/>
    </row>
    <row r="25" ht="18.75" customHeight="1">
      <c r="A25" s="277"/>
      <c r="B25" s="278"/>
      <c r="C25" s="279">
        <v>24.0</v>
      </c>
      <c r="D25" s="301"/>
      <c r="E25" s="303"/>
      <c r="F25" s="303"/>
      <c r="G25" s="303"/>
      <c r="H25" s="303"/>
      <c r="I25" s="305" t="s">
        <v>1148</v>
      </c>
      <c r="J25" s="305" t="s">
        <v>1136</v>
      </c>
      <c r="K25" s="305"/>
      <c r="L25" s="305"/>
      <c r="M25" s="305"/>
      <c r="N25" s="305"/>
      <c r="O25" s="305"/>
      <c r="P25" s="305"/>
      <c r="Q25" s="283"/>
      <c r="R25" s="284">
        <f>IFERROR(__xludf.DUMMYFUNCTION("SUM(QUERY(Coletas_BD!D:M,""select J where D='""&amp;D25&amp;""'"",1))"),5407.0)</f>
        <v>5407</v>
      </c>
      <c r="S25" s="284">
        <f>IFERROR(__xludf.DUMMYFUNCTION("SUM(QUERY(Coletas_BD!D:M,""select K where D='""&amp;D25&amp;""'"",1))"),25.0)</f>
        <v>25</v>
      </c>
      <c r="T25" s="284">
        <f>IFERROR(__xludf.DUMMYFUNCTION("SUM(QUERY(Coletas_BD!D:M,""select L where D='""&amp;D25&amp;""'"",1))"),75.0)</f>
        <v>75</v>
      </c>
      <c r="U25" s="284">
        <f>IFERROR(__xludf.DUMMYFUNCTION("SUM(QUERY(Coletas_BD!D:M,""select M where D='""&amp;D25&amp;""'"",1))"),250.0)</f>
        <v>250</v>
      </c>
      <c r="V25" s="284">
        <f>IFERROR(__xludf.DUMMYFUNCTION("SUM(QUERY(Coletas_BD!D:S,""select P where D='""&amp;D25&amp;""'"",1))"),65.0)</f>
        <v>65</v>
      </c>
      <c r="W25" s="284">
        <f>IFERROR(__xludf.DUMMYFUNCTION("SUM(QUERY(Coletas_BD!D:S,""select Q where D='""&amp;D25&amp;""'"",1))"),21.0)</f>
        <v>21</v>
      </c>
      <c r="X25" s="284">
        <f>IFERROR(__xludf.DUMMYFUNCTION("SUM(QUERY(Coletas_BD!D:S,""select R where D='""&amp;D25&amp;""'"",1))"),2.0)</f>
        <v>2</v>
      </c>
      <c r="Y25" s="284">
        <f>IFERROR(__xludf.DUMMYFUNCTION("SUM(QUERY(Coletas_BD!D:S,""select S where D='""&amp;D25&amp;""'"",1))"),4.0)</f>
        <v>4</v>
      </c>
      <c r="Z25" s="295"/>
    </row>
    <row r="26" ht="18.75" customHeight="1">
      <c r="A26" s="277"/>
      <c r="B26" s="278"/>
      <c r="C26" s="279">
        <v>25.0</v>
      </c>
      <c r="D26" s="306"/>
      <c r="E26" s="307"/>
      <c r="F26" s="310"/>
      <c r="G26" s="310"/>
      <c r="H26" s="310"/>
      <c r="I26" s="308"/>
      <c r="J26" s="308" t="s">
        <v>1136</v>
      </c>
      <c r="K26" s="308"/>
      <c r="L26" s="308"/>
      <c r="M26" s="308"/>
      <c r="N26" s="308"/>
      <c r="O26" s="308"/>
      <c r="P26" s="308"/>
      <c r="Q26" s="289"/>
      <c r="R26" s="284">
        <f>IFERROR(__xludf.DUMMYFUNCTION("SUM(QUERY(Coletas_BD!D:M,""select J where D='""&amp;D26&amp;""'"",1))"),5407.0)</f>
        <v>5407</v>
      </c>
      <c r="S26" s="284">
        <f>IFERROR(__xludf.DUMMYFUNCTION("SUM(QUERY(Coletas_BD!D:M,""select K where D='""&amp;D26&amp;""'"",1))"),25.0)</f>
        <v>25</v>
      </c>
      <c r="T26" s="284">
        <f>IFERROR(__xludf.DUMMYFUNCTION("SUM(QUERY(Coletas_BD!D:M,""select L where D='""&amp;D26&amp;""'"",1))"),75.0)</f>
        <v>75</v>
      </c>
      <c r="U26" s="284">
        <f>IFERROR(__xludf.DUMMYFUNCTION("SUM(QUERY(Coletas_BD!D:M,""select M where D='""&amp;D26&amp;""'"",1))"),250.0)</f>
        <v>250</v>
      </c>
      <c r="V26" s="284">
        <f>IFERROR(__xludf.DUMMYFUNCTION("SUM(QUERY(Coletas_BD!D:S,""select P where D='""&amp;D26&amp;""'"",1))"),65.0)</f>
        <v>65</v>
      </c>
      <c r="W26" s="284">
        <f>IFERROR(__xludf.DUMMYFUNCTION("SUM(QUERY(Coletas_BD!D:S,""select Q where D='""&amp;D26&amp;""'"",1))"),21.0)</f>
        <v>21</v>
      </c>
      <c r="X26" s="284">
        <f>IFERROR(__xludf.DUMMYFUNCTION("SUM(QUERY(Coletas_BD!D:S,""select R where D='""&amp;D26&amp;""'"",1))"),2.0)</f>
        <v>2</v>
      </c>
      <c r="Y26" s="284">
        <f>IFERROR(__xludf.DUMMYFUNCTION("SUM(QUERY(Coletas_BD!D:S,""select S where D='""&amp;D26&amp;""'"",1))"),4.0)</f>
        <v>4</v>
      </c>
      <c r="Z26" s="311"/>
    </row>
    <row r="27" ht="18.75" customHeight="1">
      <c r="A27" s="277"/>
      <c r="B27" s="278"/>
      <c r="C27" s="279">
        <v>26.0</v>
      </c>
      <c r="D27" s="301"/>
      <c r="E27" s="303"/>
      <c r="F27" s="303"/>
      <c r="G27" s="303"/>
      <c r="H27" s="303"/>
      <c r="I27" s="305"/>
      <c r="J27" s="305" t="s">
        <v>1139</v>
      </c>
      <c r="K27" s="305"/>
      <c r="L27" s="305"/>
      <c r="M27" s="305"/>
      <c r="N27" s="305"/>
      <c r="O27" s="305"/>
      <c r="P27" s="305"/>
      <c r="Q27" s="283"/>
      <c r="R27" s="284">
        <f>IFERROR(__xludf.DUMMYFUNCTION("SUM(QUERY(Coletas_BD!D:M,""select J where D='""&amp;D27&amp;""'"",1))"),5407.0)</f>
        <v>5407</v>
      </c>
      <c r="S27" s="284">
        <f>IFERROR(__xludf.DUMMYFUNCTION("SUM(QUERY(Coletas_BD!D:M,""select K where D='""&amp;D27&amp;""'"",1))"),25.0)</f>
        <v>25</v>
      </c>
      <c r="T27" s="284">
        <f>IFERROR(__xludf.DUMMYFUNCTION("SUM(QUERY(Coletas_BD!D:M,""select L where D='""&amp;D27&amp;""'"",1))"),75.0)</f>
        <v>75</v>
      </c>
      <c r="U27" s="284">
        <f>IFERROR(__xludf.DUMMYFUNCTION("SUM(QUERY(Coletas_BD!D:M,""select M where D='""&amp;D27&amp;""'"",1))"),250.0)</f>
        <v>250</v>
      </c>
      <c r="V27" s="284">
        <f>IFERROR(__xludf.DUMMYFUNCTION("SUM(QUERY(Coletas_BD!D:S,""select P where D='""&amp;D27&amp;""'"",1))"),65.0)</f>
        <v>65</v>
      </c>
      <c r="W27" s="284">
        <f>IFERROR(__xludf.DUMMYFUNCTION("SUM(QUERY(Coletas_BD!D:S,""select Q where D='""&amp;D27&amp;""'"",1))"),21.0)</f>
        <v>21</v>
      </c>
      <c r="X27" s="284">
        <f>IFERROR(__xludf.DUMMYFUNCTION("SUM(QUERY(Coletas_BD!D:S,""select R where D='""&amp;D27&amp;""'"",1))"),2.0)</f>
        <v>2</v>
      </c>
      <c r="Y27" s="284">
        <f>IFERROR(__xludf.DUMMYFUNCTION("SUM(QUERY(Coletas_BD!D:S,""select S where D='""&amp;D27&amp;""'"",1))"),4.0)</f>
        <v>4</v>
      </c>
      <c r="Z27" s="309"/>
    </row>
    <row r="28" ht="18.75" customHeight="1">
      <c r="A28" s="277"/>
      <c r="B28" s="278"/>
      <c r="C28" s="279">
        <v>27.0</v>
      </c>
      <c r="D28" s="306"/>
      <c r="E28" s="307"/>
      <c r="F28" s="310"/>
      <c r="G28" s="310"/>
      <c r="H28" s="310"/>
      <c r="I28" s="308"/>
      <c r="J28" s="308" t="s">
        <v>1136</v>
      </c>
      <c r="K28" s="308"/>
      <c r="L28" s="308"/>
      <c r="M28" s="308"/>
      <c r="N28" s="308"/>
      <c r="O28" s="308"/>
      <c r="P28" s="308"/>
      <c r="Q28" s="289"/>
      <c r="R28" s="284">
        <f>IFERROR(__xludf.DUMMYFUNCTION("SUM(QUERY(Coletas_BD!D:M,""select J where D='""&amp;D28&amp;""'"",1))"),5407.0)</f>
        <v>5407</v>
      </c>
      <c r="S28" s="284">
        <f>IFERROR(__xludf.DUMMYFUNCTION("SUM(QUERY(Coletas_BD!D:M,""select K where D='""&amp;D28&amp;""'"",1))"),25.0)</f>
        <v>25</v>
      </c>
      <c r="T28" s="284">
        <f>IFERROR(__xludf.DUMMYFUNCTION("SUM(QUERY(Coletas_BD!D:M,""select L where D='""&amp;D28&amp;""'"",1))"),75.0)</f>
        <v>75</v>
      </c>
      <c r="U28" s="284">
        <f>IFERROR(__xludf.DUMMYFUNCTION("SUM(QUERY(Coletas_BD!D:M,""select M where D='""&amp;D28&amp;""'"",1))"),250.0)</f>
        <v>250</v>
      </c>
      <c r="V28" s="284">
        <f>IFERROR(__xludf.DUMMYFUNCTION("SUM(QUERY(Coletas_BD!D:S,""select P where D='""&amp;D28&amp;""'"",1))"),65.0)</f>
        <v>65</v>
      </c>
      <c r="W28" s="284">
        <f>IFERROR(__xludf.DUMMYFUNCTION("SUM(QUERY(Coletas_BD!D:S,""select Q where D='""&amp;D28&amp;""'"",1))"),21.0)</f>
        <v>21</v>
      </c>
      <c r="X28" s="284">
        <f>IFERROR(__xludf.DUMMYFUNCTION("SUM(QUERY(Coletas_BD!D:S,""select R where D='""&amp;D28&amp;""'"",1))"),2.0)</f>
        <v>2</v>
      </c>
      <c r="Y28" s="284">
        <f>IFERROR(__xludf.DUMMYFUNCTION("SUM(QUERY(Coletas_BD!D:S,""select S where D='""&amp;D28&amp;""'"",1))"),4.0)</f>
        <v>4</v>
      </c>
      <c r="Z28" s="311"/>
    </row>
    <row r="29" ht="18.75" customHeight="1">
      <c r="A29" s="277"/>
      <c r="B29" s="278"/>
      <c r="C29" s="279">
        <v>28.0</v>
      </c>
      <c r="D29" s="302"/>
      <c r="E29" s="305"/>
      <c r="F29" s="313"/>
      <c r="G29" s="313"/>
      <c r="H29" s="313"/>
      <c r="I29" s="305"/>
      <c r="J29" s="314" t="s">
        <v>1139</v>
      </c>
      <c r="K29" s="305"/>
      <c r="L29" s="305"/>
      <c r="M29" s="305"/>
      <c r="N29" s="305"/>
      <c r="O29" s="305"/>
      <c r="P29" s="301"/>
      <c r="Q29" s="313"/>
      <c r="R29" s="284">
        <f>IFERROR(__xludf.DUMMYFUNCTION("SUM(QUERY(Coletas_BD!D:M,""select J where D='""&amp;D29&amp;""'"",1))"),5407.0)</f>
        <v>5407</v>
      </c>
      <c r="S29" s="284">
        <f>IFERROR(__xludf.DUMMYFUNCTION("SUM(QUERY(Coletas_BD!D:M,""select K where D='""&amp;D29&amp;""'"",1))"),25.0)</f>
        <v>25</v>
      </c>
      <c r="T29" s="284">
        <f>IFERROR(__xludf.DUMMYFUNCTION("SUM(QUERY(Coletas_BD!D:M,""select L where D='""&amp;D29&amp;""'"",1))"),75.0)</f>
        <v>75</v>
      </c>
      <c r="U29" s="284">
        <f>IFERROR(__xludf.DUMMYFUNCTION("SUM(QUERY(Coletas_BD!D:M,""select M where D='""&amp;D29&amp;""'"",1))"),250.0)</f>
        <v>250</v>
      </c>
      <c r="V29" s="284">
        <f>IFERROR(__xludf.DUMMYFUNCTION("SUM(QUERY(Coletas_BD!D:S,""select P where D='""&amp;D29&amp;""'"",1))"),65.0)</f>
        <v>65</v>
      </c>
      <c r="W29" s="284">
        <f>IFERROR(__xludf.DUMMYFUNCTION("SUM(QUERY(Coletas_BD!D:S,""select Q where D='""&amp;D29&amp;""'"",1))"),21.0)</f>
        <v>21</v>
      </c>
      <c r="X29" s="284">
        <f>IFERROR(__xludf.DUMMYFUNCTION("SUM(QUERY(Coletas_BD!D:S,""select R where D='""&amp;D29&amp;""'"",1))"),2.0)</f>
        <v>2</v>
      </c>
      <c r="Y29" s="284">
        <f>IFERROR(__xludf.DUMMYFUNCTION("SUM(QUERY(Coletas_BD!D:S,""select S where D='""&amp;D29&amp;""'"",1))"),4.0)</f>
        <v>4</v>
      </c>
      <c r="Z29" s="309"/>
    </row>
    <row r="30" ht="18.75" customHeight="1">
      <c r="A30" s="277"/>
      <c r="B30" s="278"/>
      <c r="C30" s="279">
        <v>29.0</v>
      </c>
      <c r="D30" s="302"/>
      <c r="E30" s="305"/>
      <c r="F30" s="313"/>
      <c r="G30" s="313"/>
      <c r="H30" s="313"/>
      <c r="I30" s="308"/>
      <c r="J30" s="308"/>
      <c r="K30" s="308"/>
      <c r="L30" s="308"/>
      <c r="M30" s="308"/>
      <c r="N30" s="308"/>
      <c r="O30" s="315"/>
      <c r="P30" s="308"/>
      <c r="Q30" s="313"/>
      <c r="R30" s="284">
        <f>IFERROR(__xludf.DUMMYFUNCTION("SUM(QUERY(Coletas_BD!D:M,""select J where D='""&amp;D30&amp;""'"",1))"),5407.0)</f>
        <v>5407</v>
      </c>
      <c r="S30" s="284">
        <f>IFERROR(__xludf.DUMMYFUNCTION("SUM(QUERY(Coletas_BD!D:M,""select K where D='""&amp;D30&amp;""'"",1))"),25.0)</f>
        <v>25</v>
      </c>
      <c r="T30" s="284">
        <f>IFERROR(__xludf.DUMMYFUNCTION("SUM(QUERY(Coletas_BD!D:M,""select L where D='""&amp;D30&amp;""'"",1))"),75.0)</f>
        <v>75</v>
      </c>
      <c r="U30" s="284">
        <f>IFERROR(__xludf.DUMMYFUNCTION("SUM(QUERY(Coletas_BD!D:M,""select M where D='""&amp;D30&amp;""'"",1))"),250.0)</f>
        <v>250</v>
      </c>
      <c r="V30" s="284">
        <f>IFERROR(__xludf.DUMMYFUNCTION("SUM(QUERY(Coletas_BD!D:S,""select P where D='""&amp;D30&amp;""'"",1))"),65.0)</f>
        <v>65</v>
      </c>
      <c r="W30" s="284">
        <f>IFERROR(__xludf.DUMMYFUNCTION("SUM(QUERY(Coletas_BD!D:S,""select Q where D='""&amp;D30&amp;""'"",1))"),21.0)</f>
        <v>21</v>
      </c>
      <c r="X30" s="284">
        <f>IFERROR(__xludf.DUMMYFUNCTION("SUM(QUERY(Coletas_BD!D:S,""select R where D='""&amp;D30&amp;""'"",1))"),2.0)</f>
        <v>2</v>
      </c>
      <c r="Y30" s="284">
        <f>IFERROR(__xludf.DUMMYFUNCTION("SUM(QUERY(Coletas_BD!D:S,""select S where D='""&amp;D30&amp;""'"",1))"),4.0)</f>
        <v>4</v>
      </c>
      <c r="Z30" s="311"/>
    </row>
    <row r="31" ht="18.75" customHeight="1">
      <c r="A31" s="277"/>
      <c r="B31" s="278"/>
      <c r="C31" s="279">
        <v>30.0</v>
      </c>
      <c r="D31" s="302"/>
      <c r="E31" s="305"/>
      <c r="F31" s="313"/>
      <c r="G31" s="313"/>
      <c r="H31" s="313"/>
      <c r="I31" s="305"/>
      <c r="J31" s="305"/>
      <c r="K31" s="305"/>
      <c r="L31" s="305"/>
      <c r="M31" s="305"/>
      <c r="N31" s="305"/>
      <c r="O31" s="316"/>
      <c r="P31" s="305"/>
      <c r="Q31" s="313"/>
      <c r="R31" s="284">
        <f>IFERROR(__xludf.DUMMYFUNCTION("SUM(QUERY(Coletas_BD!D:M,""select J where D='""&amp;D31&amp;""'"",1))"),5407.0)</f>
        <v>5407</v>
      </c>
      <c r="S31" s="284">
        <f>IFERROR(__xludf.DUMMYFUNCTION("SUM(QUERY(Coletas_BD!D:M,""select K where D='""&amp;D31&amp;""'"",1))"),25.0)</f>
        <v>25</v>
      </c>
      <c r="T31" s="284">
        <f>IFERROR(__xludf.DUMMYFUNCTION("SUM(QUERY(Coletas_BD!D:M,""select L where D='""&amp;D31&amp;""'"",1))"),75.0)</f>
        <v>75</v>
      </c>
      <c r="U31" s="284">
        <f>IFERROR(__xludf.DUMMYFUNCTION("SUM(QUERY(Coletas_BD!D:M,""select M where D='""&amp;D31&amp;""'"",1))"),250.0)</f>
        <v>250</v>
      </c>
      <c r="V31" s="284">
        <f>IFERROR(__xludf.DUMMYFUNCTION("SUM(QUERY(Coletas_BD!D:S,""select P where D='""&amp;D31&amp;""'"",1))"),65.0)</f>
        <v>65</v>
      </c>
      <c r="W31" s="284">
        <f>IFERROR(__xludf.DUMMYFUNCTION("SUM(QUERY(Coletas_BD!D:S,""select Q where D='""&amp;D31&amp;""'"",1))"),21.0)</f>
        <v>21</v>
      </c>
      <c r="X31" s="284">
        <f>IFERROR(__xludf.DUMMYFUNCTION("SUM(QUERY(Coletas_BD!D:S,""select R where D='""&amp;D31&amp;""'"",1))"),2.0)</f>
        <v>2</v>
      </c>
      <c r="Y31" s="284">
        <f>IFERROR(__xludf.DUMMYFUNCTION("SUM(QUERY(Coletas_BD!D:S,""select S where D='""&amp;D31&amp;""'"",1))"),4.0)</f>
        <v>4</v>
      </c>
      <c r="Z31" s="295"/>
    </row>
    <row r="32" ht="18.75" customHeight="1">
      <c r="A32" s="277"/>
      <c r="B32" s="278"/>
      <c r="C32" s="279">
        <v>31.0</v>
      </c>
      <c r="D32" s="317"/>
      <c r="E32" s="305"/>
      <c r="F32" s="313"/>
      <c r="G32" s="313"/>
      <c r="H32" s="313"/>
      <c r="I32" s="308"/>
      <c r="J32" s="318" t="s">
        <v>1136</v>
      </c>
      <c r="K32" s="308"/>
      <c r="L32" s="308"/>
      <c r="M32" s="308"/>
      <c r="N32" s="308"/>
      <c r="O32" s="316"/>
      <c r="P32" s="308"/>
      <c r="Q32" s="313"/>
      <c r="R32" s="284">
        <f>IFERROR(__xludf.DUMMYFUNCTION("SUM(QUERY(Coletas_BD!D:M,""select J where D='""&amp;D32&amp;""'"",1))"),5407.0)</f>
        <v>5407</v>
      </c>
      <c r="S32" s="284">
        <f>IFERROR(__xludf.DUMMYFUNCTION("SUM(QUERY(Coletas_BD!D:M,""select K where D='""&amp;D32&amp;""'"",1))"),25.0)</f>
        <v>25</v>
      </c>
      <c r="T32" s="284">
        <f>IFERROR(__xludf.DUMMYFUNCTION("SUM(QUERY(Coletas_BD!D:M,""select L where D='""&amp;D32&amp;""'"",1))"),75.0)</f>
        <v>75</v>
      </c>
      <c r="U32" s="284">
        <f>IFERROR(__xludf.DUMMYFUNCTION("SUM(QUERY(Coletas_BD!D:M,""select M where D='""&amp;D32&amp;""'"",1))"),250.0)</f>
        <v>250</v>
      </c>
      <c r="V32" s="284">
        <f>IFERROR(__xludf.DUMMYFUNCTION("SUM(QUERY(Coletas_BD!D:S,""select P where D='""&amp;D32&amp;""'"",1))"),65.0)</f>
        <v>65</v>
      </c>
      <c r="W32" s="284">
        <f>IFERROR(__xludf.DUMMYFUNCTION("SUM(QUERY(Coletas_BD!D:S,""select Q where D='""&amp;D32&amp;""'"",1))"),21.0)</f>
        <v>21</v>
      </c>
      <c r="X32" s="284">
        <f>IFERROR(__xludf.DUMMYFUNCTION("SUM(QUERY(Coletas_BD!D:S,""select R where D='""&amp;D32&amp;""'"",1))"),2.0)</f>
        <v>2</v>
      </c>
      <c r="Y32" s="284">
        <f>IFERROR(__xludf.DUMMYFUNCTION("SUM(QUERY(Coletas_BD!D:S,""select S where D='""&amp;D32&amp;""'"",1))"),4.0)</f>
        <v>4</v>
      </c>
      <c r="Z32" s="311"/>
    </row>
    <row r="33" ht="18.75" customHeight="1">
      <c r="A33" s="277"/>
      <c r="B33" s="278"/>
      <c r="C33" s="279">
        <v>32.0</v>
      </c>
      <c r="D33" s="302"/>
      <c r="E33" s="305"/>
      <c r="F33" s="313"/>
      <c r="G33" s="313"/>
      <c r="H33" s="313"/>
      <c r="I33" s="305"/>
      <c r="J33" s="305"/>
      <c r="K33" s="305"/>
      <c r="L33" s="305"/>
      <c r="M33" s="305"/>
      <c r="N33" s="305"/>
      <c r="O33" s="316"/>
      <c r="P33" s="305"/>
      <c r="Q33" s="313"/>
      <c r="R33" s="284">
        <f>IFERROR(__xludf.DUMMYFUNCTION("SUM(QUERY(Coletas_BD!D:M,""select J where D='""&amp;D33&amp;""'"",1))"),5407.0)</f>
        <v>5407</v>
      </c>
      <c r="S33" s="284">
        <f>IFERROR(__xludf.DUMMYFUNCTION("SUM(QUERY(Coletas_BD!D:M,""select K where D='""&amp;D33&amp;""'"",1))"),25.0)</f>
        <v>25</v>
      </c>
      <c r="T33" s="284">
        <f>IFERROR(__xludf.DUMMYFUNCTION("SUM(QUERY(Coletas_BD!D:M,""select L where D='""&amp;D33&amp;""'"",1))"),75.0)</f>
        <v>75</v>
      </c>
      <c r="U33" s="284">
        <f>IFERROR(__xludf.DUMMYFUNCTION("SUM(QUERY(Coletas_BD!D:M,""select M where D='""&amp;D33&amp;""'"",1))"),250.0)</f>
        <v>250</v>
      </c>
      <c r="V33" s="284">
        <f>IFERROR(__xludf.DUMMYFUNCTION("SUM(QUERY(Coletas_BD!D:S,""select P where D='""&amp;D33&amp;""'"",1))"),65.0)</f>
        <v>65</v>
      </c>
      <c r="W33" s="284">
        <f>IFERROR(__xludf.DUMMYFUNCTION("SUM(QUERY(Coletas_BD!D:S,""select Q where D='""&amp;D33&amp;""'"",1))"),21.0)</f>
        <v>21</v>
      </c>
      <c r="X33" s="284">
        <f>IFERROR(__xludf.DUMMYFUNCTION("SUM(QUERY(Coletas_BD!D:S,""select R where D='""&amp;D33&amp;""'"",1))"),2.0)</f>
        <v>2</v>
      </c>
      <c r="Y33" s="284">
        <f>IFERROR(__xludf.DUMMYFUNCTION("SUM(QUERY(Coletas_BD!D:S,""select S where D='""&amp;D33&amp;""'"",1))"),4.0)</f>
        <v>4</v>
      </c>
      <c r="Z33" s="309"/>
    </row>
    <row r="34" ht="18.75" customHeight="1">
      <c r="A34" s="277"/>
      <c r="B34" s="278"/>
      <c r="C34" s="279">
        <v>33.0</v>
      </c>
      <c r="D34" s="302"/>
      <c r="E34" s="305"/>
      <c r="F34" s="313"/>
      <c r="G34" s="313"/>
      <c r="H34" s="313"/>
      <c r="I34" s="308"/>
      <c r="J34" s="308"/>
      <c r="K34" s="308"/>
      <c r="L34" s="308"/>
      <c r="M34" s="308"/>
      <c r="N34" s="308"/>
      <c r="O34" s="305"/>
      <c r="P34" s="308"/>
      <c r="Q34" s="313"/>
      <c r="R34" s="284">
        <f>IFERROR(__xludf.DUMMYFUNCTION("SUM(QUERY(Coletas_BD!D:M,""select J where D='""&amp;D34&amp;""'"",1))"),5407.0)</f>
        <v>5407</v>
      </c>
      <c r="S34" s="284">
        <f>IFERROR(__xludf.DUMMYFUNCTION("SUM(QUERY(Coletas_BD!D:M,""select K where D='""&amp;D34&amp;""'"",1))"),25.0)</f>
        <v>25</v>
      </c>
      <c r="T34" s="284">
        <f>IFERROR(__xludf.DUMMYFUNCTION("SUM(QUERY(Coletas_BD!D:M,""select L where D='""&amp;D34&amp;""'"",1))"),75.0)</f>
        <v>75</v>
      </c>
      <c r="U34" s="284">
        <f>IFERROR(__xludf.DUMMYFUNCTION("SUM(QUERY(Coletas_BD!D:M,""select M where D='""&amp;D34&amp;""'"",1))"),250.0)</f>
        <v>250</v>
      </c>
      <c r="V34" s="284">
        <f>IFERROR(__xludf.DUMMYFUNCTION("SUM(QUERY(Coletas_BD!D:S,""select P where D='""&amp;D34&amp;""'"",1))"),65.0)</f>
        <v>65</v>
      </c>
      <c r="W34" s="284">
        <f>IFERROR(__xludf.DUMMYFUNCTION("SUM(QUERY(Coletas_BD!D:S,""select Q where D='""&amp;D34&amp;""'"",1))"),21.0)</f>
        <v>21</v>
      </c>
      <c r="X34" s="284">
        <f>IFERROR(__xludf.DUMMYFUNCTION("SUM(QUERY(Coletas_BD!D:S,""select R where D='""&amp;D34&amp;""'"",1))"),2.0)</f>
        <v>2</v>
      </c>
      <c r="Y34" s="284">
        <f>IFERROR(__xludf.DUMMYFUNCTION("SUM(QUERY(Coletas_BD!D:S,""select S where D='""&amp;D34&amp;""'"",1))"),4.0)</f>
        <v>4</v>
      </c>
      <c r="Z34" s="311"/>
    </row>
    <row r="35" ht="18.75" customHeight="1">
      <c r="A35" s="277"/>
      <c r="B35" s="278"/>
      <c r="C35" s="279">
        <v>34.0</v>
      </c>
      <c r="D35" s="302"/>
      <c r="E35" s="305"/>
      <c r="F35" s="316"/>
      <c r="G35" s="316"/>
      <c r="H35" s="316"/>
      <c r="I35" s="305"/>
      <c r="J35" s="305"/>
      <c r="K35" s="305"/>
      <c r="L35" s="305"/>
      <c r="M35" s="305"/>
      <c r="N35" s="305"/>
      <c r="O35" s="316"/>
      <c r="P35" s="305"/>
      <c r="Q35" s="313"/>
      <c r="R35" s="284">
        <f>IFERROR(__xludf.DUMMYFUNCTION("SUM(QUERY(Coletas_BD!D:M,""select J where D='""&amp;D35&amp;""'"",1))"),5407.0)</f>
        <v>5407</v>
      </c>
      <c r="S35" s="284">
        <f>IFERROR(__xludf.DUMMYFUNCTION("SUM(QUERY(Coletas_BD!D:M,""select K where D='""&amp;D35&amp;""'"",1))"),25.0)</f>
        <v>25</v>
      </c>
      <c r="T35" s="284">
        <f>IFERROR(__xludf.DUMMYFUNCTION("SUM(QUERY(Coletas_BD!D:M,""select L where D='""&amp;D35&amp;""'"",1))"),75.0)</f>
        <v>75</v>
      </c>
      <c r="U35" s="284">
        <f>IFERROR(__xludf.DUMMYFUNCTION("SUM(QUERY(Coletas_BD!D:M,""select M where D='""&amp;D35&amp;""'"",1))"),250.0)</f>
        <v>250</v>
      </c>
      <c r="V35" s="284">
        <f>IFERROR(__xludf.DUMMYFUNCTION("SUM(QUERY(Coletas_BD!D:S,""select P where D='""&amp;D35&amp;""'"",1))"),65.0)</f>
        <v>65</v>
      </c>
      <c r="W35" s="284">
        <f>IFERROR(__xludf.DUMMYFUNCTION("SUM(QUERY(Coletas_BD!D:S,""select Q where D='""&amp;D35&amp;""'"",1))"),21.0)</f>
        <v>21</v>
      </c>
      <c r="X35" s="284">
        <f>IFERROR(__xludf.DUMMYFUNCTION("SUM(QUERY(Coletas_BD!D:S,""select R where D='""&amp;D35&amp;""'"",1))"),2.0)</f>
        <v>2</v>
      </c>
      <c r="Y35" s="284">
        <f>IFERROR(__xludf.DUMMYFUNCTION("SUM(QUERY(Coletas_BD!D:S,""select S where D='""&amp;D35&amp;""'"",1))"),4.0)</f>
        <v>4</v>
      </c>
      <c r="Z35" s="309"/>
    </row>
    <row r="36" ht="18.75" customHeight="1">
      <c r="A36" s="277"/>
      <c r="B36" s="278"/>
      <c r="C36" s="279">
        <v>35.0</v>
      </c>
      <c r="D36" s="302"/>
      <c r="E36" s="305"/>
      <c r="F36" s="313"/>
      <c r="G36" s="313"/>
      <c r="H36" s="313"/>
      <c r="I36" s="308"/>
      <c r="J36" s="308"/>
      <c r="K36" s="308"/>
      <c r="L36" s="308"/>
      <c r="M36" s="308"/>
      <c r="N36" s="308"/>
      <c r="O36" s="316"/>
      <c r="P36" s="308"/>
      <c r="Q36" s="313"/>
      <c r="R36" s="284">
        <f>IFERROR(__xludf.DUMMYFUNCTION("SUM(QUERY(Coletas_BD!D:M,""select J where D='""&amp;D36&amp;""'"",1))"),5407.0)</f>
        <v>5407</v>
      </c>
      <c r="S36" s="284">
        <f>IFERROR(__xludf.DUMMYFUNCTION("SUM(QUERY(Coletas_BD!D:M,""select K where D='""&amp;D36&amp;""'"",1))"),25.0)</f>
        <v>25</v>
      </c>
      <c r="T36" s="284">
        <f>IFERROR(__xludf.DUMMYFUNCTION("SUM(QUERY(Coletas_BD!D:M,""select L where D='""&amp;D36&amp;""'"",1))"),75.0)</f>
        <v>75</v>
      </c>
      <c r="U36" s="284">
        <f>IFERROR(__xludf.DUMMYFUNCTION("SUM(QUERY(Coletas_BD!D:M,""select M where D='""&amp;D36&amp;""'"",1))"),250.0)</f>
        <v>250</v>
      </c>
      <c r="V36" s="284">
        <f>IFERROR(__xludf.DUMMYFUNCTION("SUM(QUERY(Coletas_BD!D:S,""select P where D='""&amp;D36&amp;""'"",1))"),65.0)</f>
        <v>65</v>
      </c>
      <c r="W36" s="284">
        <f>IFERROR(__xludf.DUMMYFUNCTION("SUM(QUERY(Coletas_BD!D:S,""select Q where D='""&amp;D36&amp;""'"",1))"),21.0)</f>
        <v>21</v>
      </c>
      <c r="X36" s="284">
        <f>IFERROR(__xludf.DUMMYFUNCTION("SUM(QUERY(Coletas_BD!D:S,""select R where D='""&amp;D36&amp;""'"",1))"),2.0)</f>
        <v>2</v>
      </c>
      <c r="Y36" s="284">
        <f>IFERROR(__xludf.DUMMYFUNCTION("SUM(QUERY(Coletas_BD!D:S,""select S where D='""&amp;D36&amp;""'"",1))"),4.0)</f>
        <v>4</v>
      </c>
      <c r="Z36" s="311"/>
    </row>
    <row r="37" ht="18.75" customHeight="1">
      <c r="A37" s="277"/>
      <c r="B37" s="278"/>
      <c r="C37" s="279">
        <v>36.0</v>
      </c>
      <c r="D37" s="302"/>
      <c r="E37" s="305"/>
      <c r="F37" s="305"/>
      <c r="G37" s="305"/>
      <c r="H37" s="305"/>
      <c r="I37" s="305"/>
      <c r="J37" s="305"/>
      <c r="K37" s="305"/>
      <c r="L37" s="305"/>
      <c r="M37" s="305"/>
      <c r="N37" s="305"/>
      <c r="O37" s="305"/>
      <c r="P37" s="305"/>
      <c r="Q37" s="313"/>
      <c r="R37" s="284">
        <f>IFERROR(__xludf.DUMMYFUNCTION("SUM(QUERY(Coletas_BD!D:M,""select J where D='""&amp;D37&amp;""'"",1))"),5407.0)</f>
        <v>5407</v>
      </c>
      <c r="S37" s="284">
        <f>IFERROR(__xludf.DUMMYFUNCTION("SUM(QUERY(Coletas_BD!D:M,""select K where D='""&amp;D37&amp;""'"",1))"),25.0)</f>
        <v>25</v>
      </c>
      <c r="T37" s="284">
        <f>IFERROR(__xludf.DUMMYFUNCTION("SUM(QUERY(Coletas_BD!D:M,""select L where D='""&amp;D37&amp;""'"",1))"),75.0)</f>
        <v>75</v>
      </c>
      <c r="U37" s="284">
        <f>IFERROR(__xludf.DUMMYFUNCTION("SUM(QUERY(Coletas_BD!D:M,""select M where D='""&amp;D37&amp;""'"",1))"),250.0)</f>
        <v>250</v>
      </c>
      <c r="V37" s="284">
        <f>IFERROR(__xludf.DUMMYFUNCTION("SUM(QUERY(Coletas_BD!D:S,""select P where D='""&amp;D37&amp;""'"",1))"),65.0)</f>
        <v>65</v>
      </c>
      <c r="W37" s="284">
        <f>IFERROR(__xludf.DUMMYFUNCTION("SUM(QUERY(Coletas_BD!D:S,""select Q where D='""&amp;D37&amp;""'"",1))"),21.0)</f>
        <v>21</v>
      </c>
      <c r="X37" s="284">
        <f>IFERROR(__xludf.DUMMYFUNCTION("SUM(QUERY(Coletas_BD!D:S,""select R where D='""&amp;D37&amp;""'"",1))"),2.0)</f>
        <v>2</v>
      </c>
      <c r="Y37" s="284">
        <f>IFERROR(__xludf.DUMMYFUNCTION("SUM(QUERY(Coletas_BD!D:S,""select S where D='""&amp;D37&amp;""'"",1))"),4.0)</f>
        <v>4</v>
      </c>
      <c r="Z37" s="295"/>
    </row>
    <row r="38" ht="18.75" customHeight="1">
      <c r="A38" s="277"/>
      <c r="B38" s="278"/>
      <c r="C38" s="279">
        <v>37.0</v>
      </c>
      <c r="D38" s="302"/>
      <c r="E38" s="305"/>
      <c r="F38" s="313"/>
      <c r="G38" s="313"/>
      <c r="H38" s="313"/>
      <c r="I38" s="308"/>
      <c r="J38" s="308"/>
      <c r="K38" s="308"/>
      <c r="L38" s="308"/>
      <c r="M38" s="308"/>
      <c r="N38" s="308"/>
      <c r="O38" s="316"/>
      <c r="P38" s="308"/>
      <c r="Q38" s="313"/>
      <c r="R38" s="284">
        <f>IFERROR(__xludf.DUMMYFUNCTION("SUM(QUERY(Coletas_BD!D:M,""select J where D='""&amp;D38&amp;""'"",1))"),5407.0)</f>
        <v>5407</v>
      </c>
      <c r="S38" s="284">
        <f>IFERROR(__xludf.DUMMYFUNCTION("SUM(QUERY(Coletas_BD!D:M,""select K where D='""&amp;D38&amp;""'"",1))"),25.0)</f>
        <v>25</v>
      </c>
      <c r="T38" s="284">
        <f>IFERROR(__xludf.DUMMYFUNCTION("SUM(QUERY(Coletas_BD!D:M,""select L where D='""&amp;D38&amp;""'"",1))"),75.0)</f>
        <v>75</v>
      </c>
      <c r="U38" s="284">
        <f>IFERROR(__xludf.DUMMYFUNCTION("SUM(QUERY(Coletas_BD!D:M,""select M where D='""&amp;D38&amp;""'"",1))"),250.0)</f>
        <v>250</v>
      </c>
      <c r="V38" s="284">
        <f>IFERROR(__xludf.DUMMYFUNCTION("SUM(QUERY(Coletas_BD!D:S,""select P where D='""&amp;D38&amp;""'"",1))"),65.0)</f>
        <v>65</v>
      </c>
      <c r="W38" s="284">
        <f>IFERROR(__xludf.DUMMYFUNCTION("SUM(QUERY(Coletas_BD!D:S,""select Q where D='""&amp;D38&amp;""'"",1))"),21.0)</f>
        <v>21</v>
      </c>
      <c r="X38" s="284">
        <f>IFERROR(__xludf.DUMMYFUNCTION("SUM(QUERY(Coletas_BD!D:S,""select R where D='""&amp;D38&amp;""'"",1))"),2.0)</f>
        <v>2</v>
      </c>
      <c r="Y38" s="284">
        <f>IFERROR(__xludf.DUMMYFUNCTION("SUM(QUERY(Coletas_BD!D:S,""select S where D='""&amp;D38&amp;""'"",1))"),4.0)</f>
        <v>4</v>
      </c>
      <c r="Z38" s="311"/>
    </row>
    <row r="39" ht="18.75" customHeight="1">
      <c r="A39" s="277"/>
      <c r="B39" s="278"/>
      <c r="C39" s="279">
        <v>38.0</v>
      </c>
      <c r="D39" s="302"/>
      <c r="E39" s="305"/>
      <c r="F39" s="305"/>
      <c r="G39" s="305"/>
      <c r="H39" s="305"/>
      <c r="I39" s="305"/>
      <c r="J39" s="305"/>
      <c r="K39" s="305"/>
      <c r="L39" s="305"/>
      <c r="M39" s="305"/>
      <c r="N39" s="305"/>
      <c r="O39" s="316"/>
      <c r="P39" s="305"/>
      <c r="Q39" s="313"/>
      <c r="R39" s="284">
        <f>IFERROR(__xludf.DUMMYFUNCTION("SUM(QUERY(Coletas_BD!D:M,""select J where D='""&amp;D39&amp;""'"",1))"),5407.0)</f>
        <v>5407</v>
      </c>
      <c r="S39" s="284">
        <f>IFERROR(__xludf.DUMMYFUNCTION("SUM(QUERY(Coletas_BD!D:M,""select K where D='""&amp;D39&amp;""'"",1))"),25.0)</f>
        <v>25</v>
      </c>
      <c r="T39" s="284">
        <f>IFERROR(__xludf.DUMMYFUNCTION("SUM(QUERY(Coletas_BD!D:M,""select L where D='""&amp;D39&amp;""'"",1))"),75.0)</f>
        <v>75</v>
      </c>
      <c r="U39" s="284">
        <f>IFERROR(__xludf.DUMMYFUNCTION("SUM(QUERY(Coletas_BD!D:M,""select M where D='""&amp;D39&amp;""'"",1))"),250.0)</f>
        <v>250</v>
      </c>
      <c r="V39" s="284">
        <f>IFERROR(__xludf.DUMMYFUNCTION("SUM(QUERY(Coletas_BD!D:S,""select P where D='""&amp;D39&amp;""'"",1))"),65.0)</f>
        <v>65</v>
      </c>
      <c r="W39" s="284">
        <f>IFERROR(__xludf.DUMMYFUNCTION("SUM(QUERY(Coletas_BD!D:S,""select Q where D='""&amp;D39&amp;""'"",1))"),21.0)</f>
        <v>21</v>
      </c>
      <c r="X39" s="284">
        <f>IFERROR(__xludf.DUMMYFUNCTION("SUM(QUERY(Coletas_BD!D:S,""select R where D='""&amp;D39&amp;""'"",1))"),2.0)</f>
        <v>2</v>
      </c>
      <c r="Y39" s="284">
        <f>IFERROR(__xludf.DUMMYFUNCTION("SUM(QUERY(Coletas_BD!D:S,""select S where D='""&amp;D39&amp;""'"",1))"),4.0)</f>
        <v>4</v>
      </c>
      <c r="Z39" s="309"/>
    </row>
    <row r="40" ht="18.75" customHeight="1">
      <c r="A40" s="277"/>
      <c r="B40" s="278"/>
      <c r="C40" s="279">
        <v>39.0</v>
      </c>
      <c r="D40" s="302"/>
      <c r="E40" s="305"/>
      <c r="F40" s="305"/>
      <c r="G40" s="305"/>
      <c r="H40" s="305"/>
      <c r="I40" s="308"/>
      <c r="J40" s="308"/>
      <c r="K40" s="308"/>
      <c r="L40" s="308"/>
      <c r="M40" s="308"/>
      <c r="N40" s="308"/>
      <c r="O40" s="316"/>
      <c r="P40" s="308"/>
      <c r="Q40" s="313"/>
      <c r="R40" s="284">
        <f>IFERROR(__xludf.DUMMYFUNCTION("SUM(QUERY(Coletas_BD!D:M,""select J where D='""&amp;D40&amp;""'"",1))"),5407.0)</f>
        <v>5407</v>
      </c>
      <c r="S40" s="284">
        <f>IFERROR(__xludf.DUMMYFUNCTION("SUM(QUERY(Coletas_BD!D:M,""select K where D='""&amp;D40&amp;""'"",1))"),25.0)</f>
        <v>25</v>
      </c>
      <c r="T40" s="284">
        <f>IFERROR(__xludf.DUMMYFUNCTION("SUM(QUERY(Coletas_BD!D:M,""select L where D='""&amp;D40&amp;""'"",1))"),75.0)</f>
        <v>75</v>
      </c>
      <c r="U40" s="284">
        <f>IFERROR(__xludf.DUMMYFUNCTION("SUM(QUERY(Coletas_BD!D:M,""select M where D='""&amp;D40&amp;""'"",1))"),250.0)</f>
        <v>250</v>
      </c>
      <c r="V40" s="284">
        <f>IFERROR(__xludf.DUMMYFUNCTION("SUM(QUERY(Coletas_BD!D:S,""select P where D='""&amp;D40&amp;""'"",1))"),65.0)</f>
        <v>65</v>
      </c>
      <c r="W40" s="284">
        <f>IFERROR(__xludf.DUMMYFUNCTION("SUM(QUERY(Coletas_BD!D:S,""select Q where D='""&amp;D40&amp;""'"",1))"),21.0)</f>
        <v>21</v>
      </c>
      <c r="X40" s="284">
        <f>IFERROR(__xludf.DUMMYFUNCTION("SUM(QUERY(Coletas_BD!D:S,""select R where D='""&amp;D40&amp;""'"",1))"),2.0)</f>
        <v>2</v>
      </c>
      <c r="Y40" s="284">
        <f>IFERROR(__xludf.DUMMYFUNCTION("SUM(QUERY(Coletas_BD!D:S,""select S where D='""&amp;D40&amp;""'"",1))"),4.0)</f>
        <v>4</v>
      </c>
      <c r="Z40" s="311"/>
    </row>
    <row r="41" ht="18.75" customHeight="1">
      <c r="A41" s="277"/>
      <c r="B41" s="278"/>
      <c r="C41" s="279">
        <v>40.0</v>
      </c>
      <c r="D41" s="302"/>
      <c r="E41" s="305"/>
      <c r="F41" s="313"/>
      <c r="G41" s="313"/>
      <c r="H41" s="313"/>
      <c r="I41" s="305"/>
      <c r="J41" s="305"/>
      <c r="K41" s="305"/>
      <c r="L41" s="305"/>
      <c r="M41" s="305"/>
      <c r="N41" s="305"/>
      <c r="O41" s="316"/>
      <c r="P41" s="305"/>
      <c r="Q41" s="313"/>
      <c r="R41" s="284">
        <f>IFERROR(__xludf.DUMMYFUNCTION("SUM(QUERY(Coletas_BD!D:M,""select J where D='""&amp;D41&amp;""'"",1))"),5407.0)</f>
        <v>5407</v>
      </c>
      <c r="S41" s="284">
        <f>IFERROR(__xludf.DUMMYFUNCTION("SUM(QUERY(Coletas_BD!D:M,""select K where D='""&amp;D41&amp;""'"",1))"),25.0)</f>
        <v>25</v>
      </c>
      <c r="T41" s="284">
        <f>IFERROR(__xludf.DUMMYFUNCTION("SUM(QUERY(Coletas_BD!D:M,""select L where D='""&amp;D41&amp;""'"",1))"),75.0)</f>
        <v>75</v>
      </c>
      <c r="U41" s="284">
        <f>IFERROR(__xludf.DUMMYFUNCTION("SUM(QUERY(Coletas_BD!D:M,""select M where D='""&amp;D41&amp;""'"",1))"),250.0)</f>
        <v>250</v>
      </c>
      <c r="V41" s="284">
        <f>IFERROR(__xludf.DUMMYFUNCTION("SUM(QUERY(Coletas_BD!D:S,""select P where D='""&amp;D41&amp;""'"",1))"),65.0)</f>
        <v>65</v>
      </c>
      <c r="W41" s="284">
        <f>IFERROR(__xludf.DUMMYFUNCTION("SUM(QUERY(Coletas_BD!D:S,""select Q where D='""&amp;D41&amp;""'"",1))"),21.0)</f>
        <v>21</v>
      </c>
      <c r="X41" s="284">
        <f>IFERROR(__xludf.DUMMYFUNCTION("SUM(QUERY(Coletas_BD!D:S,""select R where D='""&amp;D41&amp;""'"",1))"),2.0)</f>
        <v>2</v>
      </c>
      <c r="Y41" s="284">
        <f>IFERROR(__xludf.DUMMYFUNCTION("SUM(QUERY(Coletas_BD!D:S,""select S where D='""&amp;D41&amp;""'"",1))"),4.0)</f>
        <v>4</v>
      </c>
      <c r="Z41" s="309"/>
    </row>
    <row r="42" ht="18.75" customHeight="1">
      <c r="A42" s="277"/>
      <c r="B42" s="278"/>
      <c r="C42" s="279">
        <v>41.0</v>
      </c>
      <c r="D42" s="302"/>
      <c r="E42" s="305"/>
      <c r="F42" s="313"/>
      <c r="G42" s="313"/>
      <c r="H42" s="313"/>
      <c r="I42" s="305"/>
      <c r="J42" s="305"/>
      <c r="K42" s="305"/>
      <c r="L42" s="305"/>
      <c r="M42" s="305"/>
      <c r="N42" s="305"/>
      <c r="O42" s="316"/>
      <c r="P42" s="305"/>
      <c r="Q42" s="313"/>
      <c r="R42" s="284">
        <f>IFERROR(__xludf.DUMMYFUNCTION("SUM(QUERY(Coletas_BD!D:M,""select J where D='""&amp;D42&amp;""'"",1))"),5407.0)</f>
        <v>5407</v>
      </c>
      <c r="S42" s="284">
        <f>IFERROR(__xludf.DUMMYFUNCTION("SUM(QUERY(Coletas_BD!D:M,""select K where D='""&amp;D42&amp;""'"",1))"),25.0)</f>
        <v>25</v>
      </c>
      <c r="T42" s="284">
        <f>IFERROR(__xludf.DUMMYFUNCTION("SUM(QUERY(Coletas_BD!D:M,""select L where D='""&amp;D42&amp;""'"",1))"),75.0)</f>
        <v>75</v>
      </c>
      <c r="U42" s="284">
        <f>IFERROR(__xludf.DUMMYFUNCTION("SUM(QUERY(Coletas_BD!D:M,""select M where D='""&amp;D42&amp;""'"",1))"),250.0)</f>
        <v>250</v>
      </c>
      <c r="V42" s="284">
        <f>IFERROR(__xludf.DUMMYFUNCTION("SUM(QUERY(Coletas_BD!D:S,""select P where D='""&amp;D42&amp;""'"",1))"),65.0)</f>
        <v>65</v>
      </c>
      <c r="W42" s="284">
        <f>IFERROR(__xludf.DUMMYFUNCTION("SUM(QUERY(Coletas_BD!D:S,""select Q where D='""&amp;D42&amp;""'"",1))"),21.0)</f>
        <v>21</v>
      </c>
      <c r="X42" s="284">
        <f>IFERROR(__xludf.DUMMYFUNCTION("SUM(QUERY(Coletas_BD!D:S,""select R where D='""&amp;D42&amp;""'"",1))"),2.0)</f>
        <v>2</v>
      </c>
      <c r="Y42" s="284">
        <f>IFERROR(__xludf.DUMMYFUNCTION("SUM(QUERY(Coletas_BD!D:S,""select S where D='""&amp;D42&amp;""'"",1))"),4.0)</f>
        <v>4</v>
      </c>
      <c r="Z42" s="311"/>
    </row>
    <row r="43" ht="18.75" customHeight="1">
      <c r="A43" s="277"/>
      <c r="B43" s="278"/>
      <c r="C43" s="279">
        <v>42.0</v>
      </c>
      <c r="D43" s="302"/>
      <c r="E43" s="305"/>
      <c r="F43" s="313"/>
      <c r="G43" s="313"/>
      <c r="H43" s="313"/>
      <c r="I43" s="305"/>
      <c r="J43" s="305"/>
      <c r="K43" s="305"/>
      <c r="L43" s="305"/>
      <c r="M43" s="305"/>
      <c r="N43" s="305"/>
      <c r="O43" s="305"/>
      <c r="P43" s="305"/>
      <c r="Q43" s="313"/>
      <c r="R43" s="284">
        <f>IFERROR(__xludf.DUMMYFUNCTION("SUM(QUERY(Coletas_BD!D:M,""select J where D='""&amp;D43&amp;""'"",1))"),5407.0)</f>
        <v>5407</v>
      </c>
      <c r="S43" s="284">
        <f>IFERROR(__xludf.DUMMYFUNCTION("SUM(QUERY(Coletas_BD!D:M,""select K where D='""&amp;D43&amp;""'"",1))"),25.0)</f>
        <v>25</v>
      </c>
      <c r="T43" s="284">
        <f>IFERROR(__xludf.DUMMYFUNCTION("SUM(QUERY(Coletas_BD!D:M,""select L where D='""&amp;D43&amp;""'"",1))"),75.0)</f>
        <v>75</v>
      </c>
      <c r="U43" s="284">
        <f>IFERROR(__xludf.DUMMYFUNCTION("SUM(QUERY(Coletas_BD!D:M,""select M where D='""&amp;D43&amp;""'"",1))"),250.0)</f>
        <v>250</v>
      </c>
      <c r="V43" s="284">
        <f>IFERROR(__xludf.DUMMYFUNCTION("SUM(QUERY(Coletas_BD!D:S,""select P where D='""&amp;D43&amp;""'"",1))"),65.0)</f>
        <v>65</v>
      </c>
      <c r="W43" s="284">
        <f>IFERROR(__xludf.DUMMYFUNCTION("SUM(QUERY(Coletas_BD!D:S,""select Q where D='""&amp;D43&amp;""'"",1))"),21.0)</f>
        <v>21</v>
      </c>
      <c r="X43" s="284">
        <f>IFERROR(__xludf.DUMMYFUNCTION("SUM(QUERY(Coletas_BD!D:S,""select R where D='""&amp;D43&amp;""'"",1))"),2.0)</f>
        <v>2</v>
      </c>
      <c r="Y43" s="284">
        <f>IFERROR(__xludf.DUMMYFUNCTION("SUM(QUERY(Coletas_BD!D:S,""select S where D='""&amp;D43&amp;""'"",1))"),4.0)</f>
        <v>4</v>
      </c>
      <c r="Z43" s="295"/>
    </row>
    <row r="44" ht="18.75" customHeight="1">
      <c r="A44" s="277"/>
      <c r="B44" s="278"/>
      <c r="C44" s="279">
        <v>43.0</v>
      </c>
      <c r="D44" s="302"/>
      <c r="E44" s="305"/>
      <c r="F44" s="313"/>
      <c r="G44" s="313"/>
      <c r="H44" s="313"/>
      <c r="I44" s="305"/>
      <c r="J44" s="305"/>
      <c r="K44" s="305"/>
      <c r="L44" s="305"/>
      <c r="M44" s="305"/>
      <c r="N44" s="305"/>
      <c r="O44" s="316"/>
      <c r="P44" s="305"/>
      <c r="Q44" s="313"/>
      <c r="R44" s="284">
        <f>IFERROR(__xludf.DUMMYFUNCTION("SUM(QUERY(Coletas_BD!D:M,""select J where D='""&amp;D44&amp;""'"",1))"),5407.0)</f>
        <v>5407</v>
      </c>
      <c r="S44" s="284">
        <f>IFERROR(__xludf.DUMMYFUNCTION("SUM(QUERY(Coletas_BD!D:M,""select K where D='""&amp;D44&amp;""'"",1))"),25.0)</f>
        <v>25</v>
      </c>
      <c r="T44" s="284">
        <f>IFERROR(__xludf.DUMMYFUNCTION("SUM(QUERY(Coletas_BD!D:M,""select L where D='""&amp;D44&amp;""'"",1))"),75.0)</f>
        <v>75</v>
      </c>
      <c r="U44" s="284">
        <f>IFERROR(__xludf.DUMMYFUNCTION("SUM(QUERY(Coletas_BD!D:M,""select M where D='""&amp;D44&amp;""'"",1))"),250.0)</f>
        <v>250</v>
      </c>
      <c r="V44" s="284">
        <f>IFERROR(__xludf.DUMMYFUNCTION("SUM(QUERY(Coletas_BD!D:S,""select P where D='""&amp;D44&amp;""'"",1))"),65.0)</f>
        <v>65</v>
      </c>
      <c r="W44" s="284">
        <f>IFERROR(__xludf.DUMMYFUNCTION("SUM(QUERY(Coletas_BD!D:S,""select Q where D='""&amp;D44&amp;""'"",1))"),21.0)</f>
        <v>21</v>
      </c>
      <c r="X44" s="284">
        <f>IFERROR(__xludf.DUMMYFUNCTION("SUM(QUERY(Coletas_BD!D:S,""select R where D='""&amp;D44&amp;""'"",1))"),2.0)</f>
        <v>2</v>
      </c>
      <c r="Y44" s="284">
        <f>IFERROR(__xludf.DUMMYFUNCTION("SUM(QUERY(Coletas_BD!D:S,""select S where D='""&amp;D44&amp;""'"",1))"),4.0)</f>
        <v>4</v>
      </c>
      <c r="Z44" s="311"/>
    </row>
    <row r="45" ht="18.75" customHeight="1">
      <c r="A45" s="277"/>
      <c r="B45" s="278"/>
      <c r="C45" s="279">
        <v>44.0</v>
      </c>
      <c r="D45" s="302"/>
      <c r="E45" s="305"/>
      <c r="F45" s="313"/>
      <c r="G45" s="313"/>
      <c r="H45" s="313"/>
      <c r="I45" s="305"/>
      <c r="J45" s="305"/>
      <c r="K45" s="305"/>
      <c r="L45" s="305"/>
      <c r="M45" s="305"/>
      <c r="N45" s="305"/>
      <c r="O45" s="316"/>
      <c r="P45" s="305"/>
      <c r="Q45" s="313"/>
      <c r="R45" s="284">
        <f>IFERROR(__xludf.DUMMYFUNCTION("SUM(QUERY(Coletas_BD!D:M,""select J where D='""&amp;D45&amp;""'"",1))"),5407.0)</f>
        <v>5407</v>
      </c>
      <c r="S45" s="284">
        <f>IFERROR(__xludf.DUMMYFUNCTION("SUM(QUERY(Coletas_BD!D:M,""select K where D='""&amp;D45&amp;""'"",1))"),25.0)</f>
        <v>25</v>
      </c>
      <c r="T45" s="284">
        <f>IFERROR(__xludf.DUMMYFUNCTION("SUM(QUERY(Coletas_BD!D:M,""select L where D='""&amp;D45&amp;""'"",1))"),75.0)</f>
        <v>75</v>
      </c>
      <c r="U45" s="284">
        <f>IFERROR(__xludf.DUMMYFUNCTION("SUM(QUERY(Coletas_BD!D:M,""select M where D='""&amp;D45&amp;""'"",1))"),250.0)</f>
        <v>250</v>
      </c>
      <c r="V45" s="284">
        <f>IFERROR(__xludf.DUMMYFUNCTION("SUM(QUERY(Coletas_BD!D:S,""select P where D='""&amp;D45&amp;""'"",1))"),65.0)</f>
        <v>65</v>
      </c>
      <c r="W45" s="284">
        <f>IFERROR(__xludf.DUMMYFUNCTION("SUM(QUERY(Coletas_BD!D:S,""select Q where D='""&amp;D45&amp;""'"",1))"),21.0)</f>
        <v>21</v>
      </c>
      <c r="X45" s="284">
        <f>IFERROR(__xludf.DUMMYFUNCTION("SUM(QUERY(Coletas_BD!D:S,""select R where D='""&amp;D45&amp;""'"",1))"),2.0)</f>
        <v>2</v>
      </c>
      <c r="Y45" s="284">
        <f>IFERROR(__xludf.DUMMYFUNCTION("SUM(QUERY(Coletas_BD!D:S,""select S where D='""&amp;D45&amp;""'"",1))"),4.0)</f>
        <v>4</v>
      </c>
      <c r="Z45" s="309"/>
    </row>
    <row r="46" ht="18.75" customHeight="1">
      <c r="A46" s="277"/>
      <c r="B46" s="278"/>
      <c r="C46" s="279">
        <v>45.0</v>
      </c>
      <c r="D46" s="302"/>
      <c r="E46" s="305"/>
      <c r="F46" s="313"/>
      <c r="G46" s="313"/>
      <c r="H46" s="313"/>
      <c r="I46" s="305"/>
      <c r="J46" s="305"/>
      <c r="K46" s="305"/>
      <c r="L46" s="305"/>
      <c r="M46" s="305"/>
      <c r="N46" s="305"/>
      <c r="O46" s="316"/>
      <c r="P46" s="305"/>
      <c r="Q46" s="313"/>
      <c r="R46" s="284">
        <f>IFERROR(__xludf.DUMMYFUNCTION("SUM(QUERY(Coletas_BD!D:M,""select J where D='""&amp;D46&amp;""'"",1))"),5407.0)</f>
        <v>5407</v>
      </c>
      <c r="S46" s="284">
        <f>IFERROR(__xludf.DUMMYFUNCTION("SUM(QUERY(Coletas_BD!D:M,""select K where D='""&amp;D46&amp;""'"",1))"),25.0)</f>
        <v>25</v>
      </c>
      <c r="T46" s="284">
        <f>IFERROR(__xludf.DUMMYFUNCTION("SUM(QUERY(Coletas_BD!D:M,""select L where D='""&amp;D46&amp;""'"",1))"),75.0)</f>
        <v>75</v>
      </c>
      <c r="U46" s="284">
        <f>IFERROR(__xludf.DUMMYFUNCTION("SUM(QUERY(Coletas_BD!D:M,""select M where D='""&amp;D46&amp;""'"",1))"),250.0)</f>
        <v>250</v>
      </c>
      <c r="V46" s="284">
        <f>IFERROR(__xludf.DUMMYFUNCTION("SUM(QUERY(Coletas_BD!D:S,""select P where D='""&amp;D46&amp;""'"",1))"),65.0)</f>
        <v>65</v>
      </c>
      <c r="W46" s="284">
        <f>IFERROR(__xludf.DUMMYFUNCTION("SUM(QUERY(Coletas_BD!D:S,""select Q where D='""&amp;D46&amp;""'"",1))"),21.0)</f>
        <v>21</v>
      </c>
      <c r="X46" s="284">
        <f>IFERROR(__xludf.DUMMYFUNCTION("SUM(QUERY(Coletas_BD!D:S,""select R where D='""&amp;D46&amp;""'"",1))"),2.0)</f>
        <v>2</v>
      </c>
      <c r="Y46" s="284">
        <f>IFERROR(__xludf.DUMMYFUNCTION("SUM(QUERY(Coletas_BD!D:S,""select S where D='""&amp;D46&amp;""'"",1))"),4.0)</f>
        <v>4</v>
      </c>
      <c r="Z46" s="311"/>
    </row>
    <row r="47" ht="18.75" customHeight="1">
      <c r="A47" s="277"/>
      <c r="B47" s="278"/>
      <c r="C47" s="279">
        <v>46.0</v>
      </c>
      <c r="D47" s="302"/>
      <c r="E47" s="305"/>
      <c r="F47" s="313"/>
      <c r="G47" s="313"/>
      <c r="H47" s="313"/>
      <c r="I47" s="305"/>
      <c r="J47" s="305"/>
      <c r="K47" s="305"/>
      <c r="L47" s="305"/>
      <c r="M47" s="305"/>
      <c r="N47" s="305"/>
      <c r="O47" s="316"/>
      <c r="P47" s="305"/>
      <c r="Q47" s="313"/>
      <c r="R47" s="284">
        <f>IFERROR(__xludf.DUMMYFUNCTION("SUM(QUERY(Coletas_BD!D:M,""select J where D='""&amp;D47&amp;""'"",1))"),5407.0)</f>
        <v>5407</v>
      </c>
      <c r="S47" s="284">
        <f>IFERROR(__xludf.DUMMYFUNCTION("SUM(QUERY(Coletas_BD!D:M,""select K where D='""&amp;D47&amp;""'"",1))"),25.0)</f>
        <v>25</v>
      </c>
      <c r="T47" s="284">
        <f>IFERROR(__xludf.DUMMYFUNCTION("SUM(QUERY(Coletas_BD!D:M,""select L where D='""&amp;D47&amp;""'"",1))"),75.0)</f>
        <v>75</v>
      </c>
      <c r="U47" s="284">
        <f>IFERROR(__xludf.DUMMYFUNCTION("SUM(QUERY(Coletas_BD!D:M,""select M where D='""&amp;D47&amp;""'"",1))"),250.0)</f>
        <v>250</v>
      </c>
      <c r="V47" s="284">
        <f>IFERROR(__xludf.DUMMYFUNCTION("SUM(QUERY(Coletas_BD!D:S,""select P where D='""&amp;D47&amp;""'"",1))"),65.0)</f>
        <v>65</v>
      </c>
      <c r="W47" s="284">
        <f>IFERROR(__xludf.DUMMYFUNCTION("SUM(QUERY(Coletas_BD!D:S,""select Q where D='""&amp;D47&amp;""'"",1))"),21.0)</f>
        <v>21</v>
      </c>
      <c r="X47" s="284">
        <f>IFERROR(__xludf.DUMMYFUNCTION("SUM(QUERY(Coletas_BD!D:S,""select R where D='""&amp;D47&amp;""'"",1))"),2.0)</f>
        <v>2</v>
      </c>
      <c r="Y47" s="284">
        <f>IFERROR(__xludf.DUMMYFUNCTION("SUM(QUERY(Coletas_BD!D:S,""select S where D='""&amp;D47&amp;""'"",1))"),4.0)</f>
        <v>4</v>
      </c>
      <c r="Z47" s="309"/>
    </row>
    <row r="48" ht="18.75" customHeight="1">
      <c r="A48" s="277"/>
      <c r="B48" s="278"/>
      <c r="C48" s="279">
        <v>47.0</v>
      </c>
      <c r="D48" s="302"/>
      <c r="E48" s="305"/>
      <c r="F48" s="313"/>
      <c r="G48" s="313"/>
      <c r="H48" s="313"/>
      <c r="I48" s="305"/>
      <c r="J48" s="305"/>
      <c r="K48" s="305"/>
      <c r="L48" s="305"/>
      <c r="M48" s="305"/>
      <c r="N48" s="305"/>
      <c r="O48" s="316"/>
      <c r="P48" s="305"/>
      <c r="Q48" s="313"/>
      <c r="R48" s="284">
        <f>IFERROR(__xludf.DUMMYFUNCTION("SUM(QUERY(Coletas_BD!D:M,""select J where D='""&amp;D48&amp;""'"",1))"),5407.0)</f>
        <v>5407</v>
      </c>
      <c r="S48" s="284">
        <f>IFERROR(__xludf.DUMMYFUNCTION("SUM(QUERY(Coletas_BD!D:M,""select K where D='""&amp;D48&amp;""'"",1))"),25.0)</f>
        <v>25</v>
      </c>
      <c r="T48" s="284">
        <f>IFERROR(__xludf.DUMMYFUNCTION("SUM(QUERY(Coletas_BD!D:M,""select L where D='""&amp;D48&amp;""'"",1))"),75.0)</f>
        <v>75</v>
      </c>
      <c r="U48" s="284">
        <f>IFERROR(__xludf.DUMMYFUNCTION("SUM(QUERY(Coletas_BD!D:M,""select M where D='""&amp;D48&amp;""'"",1))"),250.0)</f>
        <v>250</v>
      </c>
      <c r="V48" s="284">
        <f>IFERROR(__xludf.DUMMYFUNCTION("SUM(QUERY(Coletas_BD!D:S,""select P where D='""&amp;D48&amp;""'"",1))"),65.0)</f>
        <v>65</v>
      </c>
      <c r="W48" s="284">
        <f>IFERROR(__xludf.DUMMYFUNCTION("SUM(QUERY(Coletas_BD!D:S,""select Q where D='""&amp;D48&amp;""'"",1))"),21.0)</f>
        <v>21</v>
      </c>
      <c r="X48" s="284">
        <f>IFERROR(__xludf.DUMMYFUNCTION("SUM(QUERY(Coletas_BD!D:S,""select R where D='""&amp;D48&amp;""'"",1))"),2.0)</f>
        <v>2</v>
      </c>
      <c r="Y48" s="284">
        <f>IFERROR(__xludf.DUMMYFUNCTION("SUM(QUERY(Coletas_BD!D:S,""select S where D='""&amp;D48&amp;""'"",1))"),4.0)</f>
        <v>4</v>
      </c>
      <c r="Z48" s="311"/>
    </row>
    <row r="49" ht="18.75" customHeight="1">
      <c r="A49" s="277"/>
      <c r="B49" s="278"/>
      <c r="C49" s="279">
        <v>48.0</v>
      </c>
      <c r="D49" s="302"/>
      <c r="E49" s="305"/>
      <c r="F49" s="313"/>
      <c r="G49" s="313"/>
      <c r="H49" s="313"/>
      <c r="I49" s="305"/>
      <c r="J49" s="305"/>
      <c r="K49" s="305"/>
      <c r="L49" s="305"/>
      <c r="M49" s="305"/>
      <c r="N49" s="305"/>
      <c r="O49" s="316"/>
      <c r="P49" s="305"/>
      <c r="Q49" s="313"/>
      <c r="R49" s="284">
        <f>IFERROR(__xludf.DUMMYFUNCTION("SUM(QUERY(Coletas_BD!D:M,""select J where D='""&amp;D49&amp;""'"",1))"),5407.0)</f>
        <v>5407</v>
      </c>
      <c r="S49" s="284">
        <f>IFERROR(__xludf.DUMMYFUNCTION("SUM(QUERY(Coletas_BD!D:M,""select K where D='""&amp;D49&amp;""'"",1))"),25.0)</f>
        <v>25</v>
      </c>
      <c r="T49" s="284">
        <f>IFERROR(__xludf.DUMMYFUNCTION("SUM(QUERY(Coletas_BD!D:M,""select L where D='""&amp;D49&amp;""'"",1))"),75.0)</f>
        <v>75</v>
      </c>
      <c r="U49" s="284">
        <f>IFERROR(__xludf.DUMMYFUNCTION("SUM(QUERY(Coletas_BD!D:M,""select M where D='""&amp;D49&amp;""'"",1))"),250.0)</f>
        <v>250</v>
      </c>
      <c r="V49" s="284">
        <f>IFERROR(__xludf.DUMMYFUNCTION("SUM(QUERY(Coletas_BD!D:S,""select P where D='""&amp;D49&amp;""'"",1))"),65.0)</f>
        <v>65</v>
      </c>
      <c r="W49" s="284">
        <f>IFERROR(__xludf.DUMMYFUNCTION("SUM(QUERY(Coletas_BD!D:S,""select Q where D='""&amp;D49&amp;""'"",1))"),21.0)</f>
        <v>21</v>
      </c>
      <c r="X49" s="284">
        <f>IFERROR(__xludf.DUMMYFUNCTION("SUM(QUERY(Coletas_BD!D:S,""select R where D='""&amp;D49&amp;""'"",1))"),2.0)</f>
        <v>2</v>
      </c>
      <c r="Y49" s="284">
        <f>IFERROR(__xludf.DUMMYFUNCTION("SUM(QUERY(Coletas_BD!D:S,""select S where D='""&amp;D49&amp;""'"",1))"),4.0)</f>
        <v>4</v>
      </c>
      <c r="Z49" s="295"/>
    </row>
    <row r="50" ht="18.75" customHeight="1">
      <c r="A50" s="277"/>
      <c r="B50" s="278"/>
      <c r="C50" s="279">
        <v>49.0</v>
      </c>
      <c r="D50" s="302"/>
      <c r="E50" s="305"/>
      <c r="F50" s="313"/>
      <c r="G50" s="313"/>
      <c r="H50" s="313"/>
      <c r="I50" s="305"/>
      <c r="J50" s="305"/>
      <c r="K50" s="305"/>
      <c r="L50" s="305"/>
      <c r="M50" s="305"/>
      <c r="N50" s="305"/>
      <c r="O50" s="316"/>
      <c r="P50" s="305"/>
      <c r="Q50" s="313"/>
      <c r="R50" s="284">
        <f>IFERROR(__xludf.DUMMYFUNCTION("SUM(QUERY(Coletas_BD!D:M,""select J where D='""&amp;D50&amp;""'"",1))"),5407.0)</f>
        <v>5407</v>
      </c>
      <c r="S50" s="284">
        <f>IFERROR(__xludf.DUMMYFUNCTION("SUM(QUERY(Coletas_BD!D:M,""select K where D='""&amp;D50&amp;""'"",1))"),25.0)</f>
        <v>25</v>
      </c>
      <c r="T50" s="284">
        <f>IFERROR(__xludf.DUMMYFUNCTION("SUM(QUERY(Coletas_BD!D:M,""select L where D='""&amp;D50&amp;""'"",1))"),75.0)</f>
        <v>75</v>
      </c>
      <c r="U50" s="284">
        <f>IFERROR(__xludf.DUMMYFUNCTION("SUM(QUERY(Coletas_BD!D:M,""select M where D='""&amp;D50&amp;""'"",1))"),250.0)</f>
        <v>250</v>
      </c>
      <c r="V50" s="284">
        <f>IFERROR(__xludf.DUMMYFUNCTION("SUM(QUERY(Coletas_BD!D:S,""select P where D='""&amp;D50&amp;""'"",1))"),65.0)</f>
        <v>65</v>
      </c>
      <c r="W50" s="284">
        <f>IFERROR(__xludf.DUMMYFUNCTION("SUM(QUERY(Coletas_BD!D:S,""select Q where D='""&amp;D50&amp;""'"",1))"),21.0)</f>
        <v>21</v>
      </c>
      <c r="X50" s="284">
        <f>IFERROR(__xludf.DUMMYFUNCTION("SUM(QUERY(Coletas_BD!D:S,""select R where D='""&amp;D50&amp;""'"",1))"),2.0)</f>
        <v>2</v>
      </c>
      <c r="Y50" s="284">
        <f>IFERROR(__xludf.DUMMYFUNCTION("SUM(QUERY(Coletas_BD!D:S,""select S where D='""&amp;D50&amp;""'"",1))"),4.0)</f>
        <v>4</v>
      </c>
      <c r="Z50" s="311"/>
    </row>
    <row r="51" ht="18.75" customHeight="1">
      <c r="A51" s="277"/>
      <c r="B51" s="278"/>
      <c r="C51" s="279">
        <v>50.0</v>
      </c>
      <c r="D51" s="302"/>
      <c r="E51" s="305"/>
      <c r="F51" s="305"/>
      <c r="G51" s="305"/>
      <c r="H51" s="305"/>
      <c r="I51" s="305"/>
      <c r="J51" s="305"/>
      <c r="K51" s="305"/>
      <c r="L51" s="305"/>
      <c r="M51" s="305"/>
      <c r="N51" s="305"/>
      <c r="O51" s="316"/>
      <c r="P51" s="305"/>
      <c r="Q51" s="313"/>
      <c r="R51" s="284">
        <f>IFERROR(__xludf.DUMMYFUNCTION("SUM(QUERY(Coletas_BD!D:M,""select J where D='""&amp;D51&amp;""'"",1))"),5407.0)</f>
        <v>5407</v>
      </c>
      <c r="S51" s="284">
        <f>IFERROR(__xludf.DUMMYFUNCTION("SUM(QUERY(Coletas_BD!D:M,""select K where D='""&amp;D51&amp;""'"",1))"),25.0)</f>
        <v>25</v>
      </c>
      <c r="T51" s="284">
        <f>IFERROR(__xludf.DUMMYFUNCTION("SUM(QUERY(Coletas_BD!D:M,""select L where D='""&amp;D51&amp;""'"",1))"),75.0)</f>
        <v>75</v>
      </c>
      <c r="U51" s="284">
        <f>IFERROR(__xludf.DUMMYFUNCTION("SUM(QUERY(Coletas_BD!D:M,""select M where D='""&amp;D51&amp;""'"",1))"),250.0)</f>
        <v>250</v>
      </c>
      <c r="V51" s="284">
        <f>IFERROR(__xludf.DUMMYFUNCTION("SUM(QUERY(Coletas_BD!D:S,""select P where D='""&amp;D51&amp;""'"",1))"),65.0)</f>
        <v>65</v>
      </c>
      <c r="W51" s="284">
        <f>IFERROR(__xludf.DUMMYFUNCTION("SUM(QUERY(Coletas_BD!D:S,""select Q where D='""&amp;D51&amp;""'"",1))"),21.0)</f>
        <v>21</v>
      </c>
      <c r="X51" s="284">
        <f>IFERROR(__xludf.DUMMYFUNCTION("SUM(QUERY(Coletas_BD!D:S,""select R where D='""&amp;D51&amp;""'"",1))"),2.0)</f>
        <v>2</v>
      </c>
      <c r="Y51" s="284">
        <f>IFERROR(__xludf.DUMMYFUNCTION("SUM(QUERY(Coletas_BD!D:S,""select S where D='""&amp;D51&amp;""'"",1))"),4.0)</f>
        <v>4</v>
      </c>
      <c r="Z51" s="309"/>
    </row>
    <row r="52" ht="18.75" customHeight="1">
      <c r="A52" s="277"/>
      <c r="B52" s="278"/>
      <c r="C52" s="279">
        <v>51.0</v>
      </c>
      <c r="D52" s="302"/>
      <c r="E52" s="305"/>
      <c r="F52" s="313"/>
      <c r="G52" s="313"/>
      <c r="H52" s="313"/>
      <c r="I52" s="305"/>
      <c r="J52" s="305"/>
      <c r="K52" s="305"/>
      <c r="L52" s="305"/>
      <c r="M52" s="305"/>
      <c r="N52" s="305"/>
      <c r="O52" s="316"/>
      <c r="P52" s="305"/>
      <c r="Q52" s="313"/>
      <c r="R52" s="284">
        <f>IFERROR(__xludf.DUMMYFUNCTION("SUM(QUERY(Coletas_BD!D:M,""select J where D='""&amp;D52&amp;""'"",1))"),5407.0)</f>
        <v>5407</v>
      </c>
      <c r="S52" s="284">
        <f>IFERROR(__xludf.DUMMYFUNCTION("SUM(QUERY(Coletas_BD!D:M,""select K where D='""&amp;D52&amp;""'"",1))"),25.0)</f>
        <v>25</v>
      </c>
      <c r="T52" s="284">
        <f>IFERROR(__xludf.DUMMYFUNCTION("SUM(QUERY(Coletas_BD!D:M,""select L where D='""&amp;D52&amp;""'"",1))"),75.0)</f>
        <v>75</v>
      </c>
      <c r="U52" s="284">
        <f>IFERROR(__xludf.DUMMYFUNCTION("SUM(QUERY(Coletas_BD!D:M,""select M where D='""&amp;D52&amp;""'"",1))"),250.0)</f>
        <v>250</v>
      </c>
      <c r="V52" s="284">
        <f>IFERROR(__xludf.DUMMYFUNCTION("SUM(QUERY(Coletas_BD!D:S,""select P where D='""&amp;D52&amp;""'"",1))"),65.0)</f>
        <v>65</v>
      </c>
      <c r="W52" s="284">
        <f>IFERROR(__xludf.DUMMYFUNCTION("SUM(QUERY(Coletas_BD!D:S,""select Q where D='""&amp;D52&amp;""'"",1))"),21.0)</f>
        <v>21</v>
      </c>
      <c r="X52" s="284">
        <f>IFERROR(__xludf.DUMMYFUNCTION("SUM(QUERY(Coletas_BD!D:S,""select R where D='""&amp;D52&amp;""'"",1))"),2.0)</f>
        <v>2</v>
      </c>
      <c r="Y52" s="284">
        <f>IFERROR(__xludf.DUMMYFUNCTION("SUM(QUERY(Coletas_BD!D:S,""select S where D='""&amp;D52&amp;""'"",1))"),4.0)</f>
        <v>4</v>
      </c>
      <c r="Z52" s="311"/>
    </row>
    <row r="53" ht="18.75" customHeight="1">
      <c r="A53" s="277"/>
      <c r="B53" s="278"/>
      <c r="C53" s="279">
        <v>52.0</v>
      </c>
      <c r="D53" s="302"/>
      <c r="E53" s="305"/>
      <c r="F53" s="313"/>
      <c r="G53" s="313"/>
      <c r="H53" s="313"/>
      <c r="I53" s="305"/>
      <c r="J53" s="305"/>
      <c r="K53" s="305"/>
      <c r="L53" s="305"/>
      <c r="M53" s="305"/>
      <c r="N53" s="305"/>
      <c r="O53" s="316"/>
      <c r="P53" s="305"/>
      <c r="Q53" s="313"/>
      <c r="R53" s="284">
        <f>IFERROR(__xludf.DUMMYFUNCTION("SUM(QUERY(Coletas_BD!D:M,""select J where D='""&amp;D53&amp;""'"",1))"),5407.0)</f>
        <v>5407</v>
      </c>
      <c r="S53" s="284">
        <f>IFERROR(__xludf.DUMMYFUNCTION("SUM(QUERY(Coletas_BD!D:M,""select K where D='""&amp;D53&amp;""'"",1))"),25.0)</f>
        <v>25</v>
      </c>
      <c r="T53" s="284">
        <f>IFERROR(__xludf.DUMMYFUNCTION("SUM(QUERY(Coletas_BD!D:M,""select L where D='""&amp;D53&amp;""'"",1))"),75.0)</f>
        <v>75</v>
      </c>
      <c r="U53" s="284">
        <f>IFERROR(__xludf.DUMMYFUNCTION("SUM(QUERY(Coletas_BD!D:M,""select M where D='""&amp;D53&amp;""'"",1))"),250.0)</f>
        <v>250</v>
      </c>
      <c r="V53" s="284">
        <f>IFERROR(__xludf.DUMMYFUNCTION("SUM(QUERY(Coletas_BD!D:S,""select P where D='""&amp;D53&amp;""'"",1))"),65.0)</f>
        <v>65</v>
      </c>
      <c r="W53" s="284">
        <f>IFERROR(__xludf.DUMMYFUNCTION("SUM(QUERY(Coletas_BD!D:S,""select Q where D='""&amp;D53&amp;""'"",1))"),21.0)</f>
        <v>21</v>
      </c>
      <c r="X53" s="284">
        <f>IFERROR(__xludf.DUMMYFUNCTION("SUM(QUERY(Coletas_BD!D:S,""select R where D='""&amp;D53&amp;""'"",1))"),2.0)</f>
        <v>2</v>
      </c>
      <c r="Y53" s="284">
        <f>IFERROR(__xludf.DUMMYFUNCTION("SUM(QUERY(Coletas_BD!D:S,""select S where D='""&amp;D53&amp;""'"",1))"),4.0)</f>
        <v>4</v>
      </c>
      <c r="Z53" s="309"/>
    </row>
    <row r="54" ht="18.75" customHeight="1">
      <c r="A54" s="277"/>
      <c r="B54" s="278"/>
      <c r="C54" s="279">
        <v>53.0</v>
      </c>
      <c r="D54" s="302"/>
      <c r="E54" s="305"/>
      <c r="F54" s="313"/>
      <c r="G54" s="313"/>
      <c r="H54" s="313"/>
      <c r="I54" s="305"/>
      <c r="J54" s="305"/>
      <c r="K54" s="305"/>
      <c r="L54" s="305"/>
      <c r="M54" s="305"/>
      <c r="N54" s="305"/>
      <c r="O54" s="316"/>
      <c r="P54" s="305"/>
      <c r="Q54" s="313"/>
      <c r="R54" s="284">
        <f>IFERROR(__xludf.DUMMYFUNCTION("SUM(QUERY(Coletas_BD!D:M,""select J where D='""&amp;D54&amp;""'"",1))"),5407.0)</f>
        <v>5407</v>
      </c>
      <c r="S54" s="284">
        <f>IFERROR(__xludf.DUMMYFUNCTION("SUM(QUERY(Coletas_BD!D:M,""select K where D='""&amp;D54&amp;""'"",1))"),25.0)</f>
        <v>25</v>
      </c>
      <c r="T54" s="284">
        <f>IFERROR(__xludf.DUMMYFUNCTION("SUM(QUERY(Coletas_BD!D:M,""select L where D='""&amp;D54&amp;""'"",1))"),75.0)</f>
        <v>75</v>
      </c>
      <c r="U54" s="284">
        <f>IFERROR(__xludf.DUMMYFUNCTION("SUM(QUERY(Coletas_BD!D:M,""select M where D='""&amp;D54&amp;""'"",1))"),250.0)</f>
        <v>250</v>
      </c>
      <c r="V54" s="284">
        <f>IFERROR(__xludf.DUMMYFUNCTION("SUM(QUERY(Coletas_BD!D:S,""select P where D='""&amp;D54&amp;""'"",1))"),65.0)</f>
        <v>65</v>
      </c>
      <c r="W54" s="284">
        <f>IFERROR(__xludf.DUMMYFUNCTION("SUM(QUERY(Coletas_BD!D:S,""select Q where D='""&amp;D54&amp;""'"",1))"),21.0)</f>
        <v>21</v>
      </c>
      <c r="X54" s="284">
        <f>IFERROR(__xludf.DUMMYFUNCTION("SUM(QUERY(Coletas_BD!D:S,""select R where D='""&amp;D54&amp;""'"",1))"),2.0)</f>
        <v>2</v>
      </c>
      <c r="Y54" s="284">
        <f>IFERROR(__xludf.DUMMYFUNCTION("SUM(QUERY(Coletas_BD!D:S,""select S where D='""&amp;D54&amp;""'"",1))"),4.0)</f>
        <v>4</v>
      </c>
      <c r="Z54" s="311"/>
    </row>
    <row r="55" ht="18.75" customHeight="1">
      <c r="A55" s="277"/>
      <c r="B55" s="278"/>
      <c r="C55" s="279">
        <v>54.0</v>
      </c>
      <c r="D55" s="302"/>
      <c r="E55" s="305"/>
      <c r="F55" s="313"/>
      <c r="G55" s="313"/>
      <c r="H55" s="313"/>
      <c r="I55" s="305"/>
      <c r="J55" s="305"/>
      <c r="K55" s="305"/>
      <c r="L55" s="305"/>
      <c r="M55" s="305"/>
      <c r="N55" s="305"/>
      <c r="O55" s="316"/>
      <c r="P55" s="305"/>
      <c r="Q55" s="313"/>
      <c r="R55" s="284">
        <f>IFERROR(__xludf.DUMMYFUNCTION("SUM(QUERY(Coletas_BD!D:M,""select J where D='""&amp;D55&amp;""'"",1))"),5407.0)</f>
        <v>5407</v>
      </c>
      <c r="S55" s="284">
        <f>IFERROR(__xludf.DUMMYFUNCTION("SUM(QUERY(Coletas_BD!D:M,""select K where D='""&amp;D55&amp;""'"",1))"),25.0)</f>
        <v>25</v>
      </c>
      <c r="T55" s="284">
        <f>IFERROR(__xludf.DUMMYFUNCTION("SUM(QUERY(Coletas_BD!D:M,""select L where D='""&amp;D55&amp;""'"",1))"),75.0)</f>
        <v>75</v>
      </c>
      <c r="U55" s="284">
        <f>IFERROR(__xludf.DUMMYFUNCTION("SUM(QUERY(Coletas_BD!D:M,""select M where D='""&amp;D55&amp;""'"",1))"),250.0)</f>
        <v>250</v>
      </c>
      <c r="V55" s="284">
        <f>IFERROR(__xludf.DUMMYFUNCTION("SUM(QUERY(Coletas_BD!D:S,""select P where D='""&amp;D55&amp;""'"",1))"),65.0)</f>
        <v>65</v>
      </c>
      <c r="W55" s="284">
        <f>IFERROR(__xludf.DUMMYFUNCTION("SUM(QUERY(Coletas_BD!D:S,""select Q where D='""&amp;D55&amp;""'"",1))"),21.0)</f>
        <v>21</v>
      </c>
      <c r="X55" s="284">
        <f>IFERROR(__xludf.DUMMYFUNCTION("SUM(QUERY(Coletas_BD!D:S,""select R where D='""&amp;D55&amp;""'"",1))"),2.0)</f>
        <v>2</v>
      </c>
      <c r="Y55" s="284">
        <f>IFERROR(__xludf.DUMMYFUNCTION("SUM(QUERY(Coletas_BD!D:S,""select S where D='""&amp;D55&amp;""'"",1))"),4.0)</f>
        <v>4</v>
      </c>
      <c r="Z55" s="295"/>
    </row>
    <row r="56" ht="18.75" customHeight="1">
      <c r="A56" s="277"/>
      <c r="B56" s="278"/>
      <c r="C56" s="279">
        <v>55.0</v>
      </c>
      <c r="D56" s="302"/>
      <c r="E56" s="305"/>
      <c r="F56" s="313"/>
      <c r="G56" s="313"/>
      <c r="H56" s="313"/>
      <c r="I56" s="305"/>
      <c r="J56" s="305"/>
      <c r="K56" s="305"/>
      <c r="L56" s="305"/>
      <c r="M56" s="305"/>
      <c r="N56" s="305"/>
      <c r="O56" s="316"/>
      <c r="P56" s="305"/>
      <c r="Q56" s="313"/>
      <c r="R56" s="284">
        <f>IFERROR(__xludf.DUMMYFUNCTION("SUM(QUERY(Coletas_BD!D:M,""select J where D='""&amp;D56&amp;""'"",1))"),5407.0)</f>
        <v>5407</v>
      </c>
      <c r="S56" s="284">
        <f>IFERROR(__xludf.DUMMYFUNCTION("SUM(QUERY(Coletas_BD!D:M,""select K where D='""&amp;D56&amp;""'"",1))"),25.0)</f>
        <v>25</v>
      </c>
      <c r="T56" s="284">
        <f>IFERROR(__xludf.DUMMYFUNCTION("SUM(QUERY(Coletas_BD!D:M,""select L where D='""&amp;D56&amp;""'"",1))"),75.0)</f>
        <v>75</v>
      </c>
      <c r="U56" s="284">
        <f>IFERROR(__xludf.DUMMYFUNCTION("SUM(QUERY(Coletas_BD!D:M,""select M where D='""&amp;D56&amp;""'"",1))"),250.0)</f>
        <v>250</v>
      </c>
      <c r="V56" s="284">
        <f>IFERROR(__xludf.DUMMYFUNCTION("SUM(QUERY(Coletas_BD!D:S,""select P where D='""&amp;D56&amp;""'"",1))"),65.0)</f>
        <v>65</v>
      </c>
      <c r="W56" s="284">
        <f>IFERROR(__xludf.DUMMYFUNCTION("SUM(QUERY(Coletas_BD!D:S,""select Q where D='""&amp;D56&amp;""'"",1))"),21.0)</f>
        <v>21</v>
      </c>
      <c r="X56" s="284">
        <f>IFERROR(__xludf.DUMMYFUNCTION("SUM(QUERY(Coletas_BD!D:S,""select R where D='""&amp;D56&amp;""'"",1))"),2.0)</f>
        <v>2</v>
      </c>
      <c r="Y56" s="284">
        <f>IFERROR(__xludf.DUMMYFUNCTION("SUM(QUERY(Coletas_BD!D:S,""select S where D='""&amp;D56&amp;""'"",1))"),4.0)</f>
        <v>4</v>
      </c>
      <c r="Z56" s="311"/>
    </row>
    <row r="57" ht="18.75" customHeight="1">
      <c r="A57" s="277"/>
      <c r="B57" s="278"/>
      <c r="C57" s="279">
        <v>56.0</v>
      </c>
      <c r="D57" s="302"/>
      <c r="E57" s="305"/>
      <c r="F57" s="305"/>
      <c r="G57" s="305"/>
      <c r="H57" s="305"/>
      <c r="I57" s="305"/>
      <c r="J57" s="305"/>
      <c r="K57" s="305"/>
      <c r="L57" s="305"/>
      <c r="M57" s="305"/>
      <c r="N57" s="305"/>
      <c r="O57" s="316"/>
      <c r="P57" s="305"/>
      <c r="Q57" s="313"/>
      <c r="R57" s="284">
        <f>IFERROR(__xludf.DUMMYFUNCTION("SUM(QUERY(Coletas_BD!D:M,""select J where D='""&amp;D57&amp;""'"",1))"),5407.0)</f>
        <v>5407</v>
      </c>
      <c r="S57" s="284">
        <f>IFERROR(__xludf.DUMMYFUNCTION("SUM(QUERY(Coletas_BD!D:M,""select K where D='""&amp;D57&amp;""'"",1))"),25.0)</f>
        <v>25</v>
      </c>
      <c r="T57" s="284">
        <f>IFERROR(__xludf.DUMMYFUNCTION("SUM(QUERY(Coletas_BD!D:M,""select L where D='""&amp;D57&amp;""'"",1))"),75.0)</f>
        <v>75</v>
      </c>
      <c r="U57" s="284">
        <f>IFERROR(__xludf.DUMMYFUNCTION("SUM(QUERY(Coletas_BD!D:M,""select M where D='""&amp;D57&amp;""'"",1))"),250.0)</f>
        <v>250</v>
      </c>
      <c r="V57" s="284">
        <f>IFERROR(__xludf.DUMMYFUNCTION("SUM(QUERY(Coletas_BD!D:S,""select P where D='""&amp;D57&amp;""'"",1))"),65.0)</f>
        <v>65</v>
      </c>
      <c r="W57" s="284">
        <f>IFERROR(__xludf.DUMMYFUNCTION("SUM(QUERY(Coletas_BD!D:S,""select Q where D='""&amp;D57&amp;""'"",1))"),21.0)</f>
        <v>21</v>
      </c>
      <c r="X57" s="284">
        <f>IFERROR(__xludf.DUMMYFUNCTION("SUM(QUERY(Coletas_BD!D:S,""select R where D='""&amp;D57&amp;""'"",1))"),2.0)</f>
        <v>2</v>
      </c>
      <c r="Y57" s="284">
        <f>IFERROR(__xludf.DUMMYFUNCTION("SUM(QUERY(Coletas_BD!D:S,""select S where D='""&amp;D57&amp;""'"",1))"),4.0)</f>
        <v>4</v>
      </c>
      <c r="Z57" s="309"/>
    </row>
    <row r="58" ht="18.75" customHeight="1">
      <c r="A58" s="277"/>
      <c r="B58" s="278"/>
      <c r="C58" s="279">
        <v>57.0</v>
      </c>
      <c r="D58" s="302"/>
      <c r="E58" s="305"/>
      <c r="F58" s="313"/>
      <c r="G58" s="313"/>
      <c r="H58" s="313"/>
      <c r="I58" s="305"/>
      <c r="J58" s="305"/>
      <c r="K58" s="305"/>
      <c r="L58" s="305"/>
      <c r="M58" s="305"/>
      <c r="N58" s="305"/>
      <c r="O58" s="316"/>
      <c r="P58" s="305"/>
      <c r="Q58" s="313"/>
      <c r="R58" s="284">
        <f>IFERROR(__xludf.DUMMYFUNCTION("SUM(QUERY(Coletas_BD!D:M,""select J where D='""&amp;D58&amp;""'"",1))"),5407.0)</f>
        <v>5407</v>
      </c>
      <c r="S58" s="284">
        <f>IFERROR(__xludf.DUMMYFUNCTION("SUM(QUERY(Coletas_BD!D:M,""select K where D='""&amp;D58&amp;""'"",1))"),25.0)</f>
        <v>25</v>
      </c>
      <c r="T58" s="284">
        <f>IFERROR(__xludf.DUMMYFUNCTION("SUM(QUERY(Coletas_BD!D:M,""select L where D='""&amp;D58&amp;""'"",1))"),75.0)</f>
        <v>75</v>
      </c>
      <c r="U58" s="284">
        <f>IFERROR(__xludf.DUMMYFUNCTION("SUM(QUERY(Coletas_BD!D:M,""select M where D='""&amp;D58&amp;""'"",1))"),250.0)</f>
        <v>250</v>
      </c>
      <c r="V58" s="284">
        <f>IFERROR(__xludf.DUMMYFUNCTION("SUM(QUERY(Coletas_BD!D:S,""select P where D='""&amp;D58&amp;""'"",1))"),65.0)</f>
        <v>65</v>
      </c>
      <c r="W58" s="284">
        <f>IFERROR(__xludf.DUMMYFUNCTION("SUM(QUERY(Coletas_BD!D:S,""select Q where D='""&amp;D58&amp;""'"",1))"),21.0)</f>
        <v>21</v>
      </c>
      <c r="X58" s="284">
        <f>IFERROR(__xludf.DUMMYFUNCTION("SUM(QUERY(Coletas_BD!D:S,""select R where D='""&amp;D58&amp;""'"",1))"),2.0)</f>
        <v>2</v>
      </c>
      <c r="Y58" s="284">
        <f>IFERROR(__xludf.DUMMYFUNCTION("SUM(QUERY(Coletas_BD!D:S,""select S where D='""&amp;D58&amp;""'"",1))"),4.0)</f>
        <v>4</v>
      </c>
      <c r="Z58" s="311"/>
    </row>
    <row r="59" ht="18.75" customHeight="1">
      <c r="A59" s="277"/>
      <c r="B59" s="278"/>
      <c r="C59" s="279">
        <v>58.0</v>
      </c>
      <c r="D59" s="302"/>
      <c r="E59" s="305"/>
      <c r="F59" s="313"/>
      <c r="G59" s="313"/>
      <c r="H59" s="313"/>
      <c r="I59" s="305"/>
      <c r="J59" s="305"/>
      <c r="K59" s="305"/>
      <c r="L59" s="305"/>
      <c r="M59" s="305"/>
      <c r="N59" s="305"/>
      <c r="O59" s="316"/>
      <c r="P59" s="305"/>
      <c r="Q59" s="313"/>
      <c r="R59" s="284">
        <f>IFERROR(__xludf.DUMMYFUNCTION("SUM(QUERY(Coletas_BD!D:M,""select J where D='""&amp;D59&amp;""'"",1))"),5407.0)</f>
        <v>5407</v>
      </c>
      <c r="S59" s="284">
        <f>IFERROR(__xludf.DUMMYFUNCTION("SUM(QUERY(Coletas_BD!D:M,""select K where D='""&amp;D59&amp;""'"",1))"),25.0)</f>
        <v>25</v>
      </c>
      <c r="T59" s="284">
        <f>IFERROR(__xludf.DUMMYFUNCTION("SUM(QUERY(Coletas_BD!D:M,""select L where D='""&amp;D59&amp;""'"",1))"),75.0)</f>
        <v>75</v>
      </c>
      <c r="U59" s="284">
        <f>IFERROR(__xludf.DUMMYFUNCTION("SUM(QUERY(Coletas_BD!D:M,""select M where D='""&amp;D59&amp;""'"",1))"),250.0)</f>
        <v>250</v>
      </c>
      <c r="V59" s="284">
        <f>IFERROR(__xludf.DUMMYFUNCTION("SUM(QUERY(Coletas_BD!D:S,""select P where D='""&amp;D59&amp;""'"",1))"),65.0)</f>
        <v>65</v>
      </c>
      <c r="W59" s="284">
        <f>IFERROR(__xludf.DUMMYFUNCTION("SUM(QUERY(Coletas_BD!D:S,""select Q where D='""&amp;D59&amp;""'"",1))"),21.0)</f>
        <v>21</v>
      </c>
      <c r="X59" s="284">
        <f>IFERROR(__xludf.DUMMYFUNCTION("SUM(QUERY(Coletas_BD!D:S,""select R where D='""&amp;D59&amp;""'"",1))"),2.0)</f>
        <v>2</v>
      </c>
      <c r="Y59" s="284">
        <f>IFERROR(__xludf.DUMMYFUNCTION("SUM(QUERY(Coletas_BD!D:S,""select S where D='""&amp;D59&amp;""'"",1))"),4.0)</f>
        <v>4</v>
      </c>
      <c r="Z59" s="309"/>
    </row>
    <row r="60" ht="18.75" customHeight="1">
      <c r="A60" s="277"/>
      <c r="B60" s="278"/>
      <c r="C60" s="279">
        <v>59.0</v>
      </c>
      <c r="D60" s="302"/>
      <c r="E60" s="305"/>
      <c r="F60" s="305"/>
      <c r="G60" s="305"/>
      <c r="H60" s="305"/>
      <c r="I60" s="305"/>
      <c r="J60" s="305"/>
      <c r="K60" s="305"/>
      <c r="L60" s="305"/>
      <c r="M60" s="305"/>
      <c r="N60" s="305"/>
      <c r="O60" s="316"/>
      <c r="P60" s="305"/>
      <c r="Q60" s="313"/>
      <c r="R60" s="284">
        <f>IFERROR(__xludf.DUMMYFUNCTION("SUM(QUERY(Coletas_BD!D:M,""select J where D='""&amp;D60&amp;""'"",1))"),5407.0)</f>
        <v>5407</v>
      </c>
      <c r="S60" s="284">
        <f>IFERROR(__xludf.DUMMYFUNCTION("SUM(QUERY(Coletas_BD!D:M,""select K where D='""&amp;D60&amp;""'"",1))"),25.0)</f>
        <v>25</v>
      </c>
      <c r="T60" s="284">
        <f>IFERROR(__xludf.DUMMYFUNCTION("SUM(QUERY(Coletas_BD!D:M,""select L where D='""&amp;D60&amp;""'"",1))"),75.0)</f>
        <v>75</v>
      </c>
      <c r="U60" s="284">
        <f>IFERROR(__xludf.DUMMYFUNCTION("SUM(QUERY(Coletas_BD!D:M,""select M where D='""&amp;D60&amp;""'"",1))"),250.0)</f>
        <v>250</v>
      </c>
      <c r="V60" s="284">
        <f>IFERROR(__xludf.DUMMYFUNCTION("SUM(QUERY(Coletas_BD!D:S,""select P where D='""&amp;D60&amp;""'"",1))"),65.0)</f>
        <v>65</v>
      </c>
      <c r="W60" s="284">
        <f>IFERROR(__xludf.DUMMYFUNCTION("SUM(QUERY(Coletas_BD!D:S,""select Q where D='""&amp;D60&amp;""'"",1))"),21.0)</f>
        <v>21</v>
      </c>
      <c r="X60" s="284">
        <f>IFERROR(__xludf.DUMMYFUNCTION("SUM(QUERY(Coletas_BD!D:S,""select R where D='""&amp;D60&amp;""'"",1))"),2.0)</f>
        <v>2</v>
      </c>
      <c r="Y60" s="284">
        <f>IFERROR(__xludf.DUMMYFUNCTION("SUM(QUERY(Coletas_BD!D:S,""select S where D='""&amp;D60&amp;""'"",1))"),4.0)</f>
        <v>4</v>
      </c>
      <c r="Z60" s="311"/>
    </row>
    <row r="61" ht="18.75" customHeight="1">
      <c r="A61" s="277"/>
      <c r="B61" s="278"/>
      <c r="C61" s="279">
        <v>60.0</v>
      </c>
      <c r="D61" s="302"/>
      <c r="E61" s="305"/>
      <c r="F61" s="305"/>
      <c r="G61" s="305"/>
      <c r="H61" s="305"/>
      <c r="I61" s="305"/>
      <c r="J61" s="305"/>
      <c r="K61" s="305"/>
      <c r="L61" s="305"/>
      <c r="M61" s="305"/>
      <c r="N61" s="305"/>
      <c r="O61" s="316"/>
      <c r="P61" s="305"/>
      <c r="Q61" s="313"/>
      <c r="R61" s="284">
        <f>IFERROR(__xludf.DUMMYFUNCTION("SUM(QUERY(Coletas_BD!D:M,""select J where D='""&amp;D61&amp;""'"",1))"),5407.0)</f>
        <v>5407</v>
      </c>
      <c r="S61" s="284">
        <f>IFERROR(__xludf.DUMMYFUNCTION("SUM(QUERY(Coletas_BD!D:M,""select K where D='""&amp;D61&amp;""'"",1))"),25.0)</f>
        <v>25</v>
      </c>
      <c r="T61" s="284">
        <f>IFERROR(__xludf.DUMMYFUNCTION("SUM(QUERY(Coletas_BD!D:M,""select L where D='""&amp;D61&amp;""'"",1))"),75.0)</f>
        <v>75</v>
      </c>
      <c r="U61" s="284">
        <f>IFERROR(__xludf.DUMMYFUNCTION("SUM(QUERY(Coletas_BD!D:M,""select M where D='""&amp;D61&amp;""'"",1))"),250.0)</f>
        <v>250</v>
      </c>
      <c r="V61" s="284">
        <f>IFERROR(__xludf.DUMMYFUNCTION("SUM(QUERY(Coletas_BD!D:S,""select P where D='""&amp;D61&amp;""'"",1))"),65.0)</f>
        <v>65</v>
      </c>
      <c r="W61" s="284">
        <f>IFERROR(__xludf.DUMMYFUNCTION("SUM(QUERY(Coletas_BD!D:S,""select Q where D='""&amp;D61&amp;""'"",1))"),21.0)</f>
        <v>21</v>
      </c>
      <c r="X61" s="284">
        <f>IFERROR(__xludf.DUMMYFUNCTION("SUM(QUERY(Coletas_BD!D:S,""select R where D='""&amp;D61&amp;""'"",1))"),2.0)</f>
        <v>2</v>
      </c>
      <c r="Y61" s="284">
        <f>IFERROR(__xludf.DUMMYFUNCTION("SUM(QUERY(Coletas_BD!D:S,""select S where D='""&amp;D61&amp;""'"",1))"),4.0)</f>
        <v>4</v>
      </c>
      <c r="Z61" s="295"/>
    </row>
    <row r="62" ht="18.75" customHeight="1">
      <c r="A62" s="277"/>
      <c r="B62" s="278"/>
      <c r="C62" s="279">
        <v>61.0</v>
      </c>
      <c r="D62" s="302"/>
      <c r="E62" s="305"/>
      <c r="F62" s="313"/>
      <c r="G62" s="313"/>
      <c r="H62" s="313"/>
      <c r="I62" s="305"/>
      <c r="J62" s="305"/>
      <c r="K62" s="305"/>
      <c r="L62" s="305"/>
      <c r="M62" s="305"/>
      <c r="N62" s="305"/>
      <c r="O62" s="316"/>
      <c r="P62" s="305"/>
      <c r="Q62" s="313"/>
      <c r="R62" s="284">
        <f>IFERROR(__xludf.DUMMYFUNCTION("SUM(QUERY(Coletas_BD!D:M,""select J where D='""&amp;D62&amp;""'"",1))"),5407.0)</f>
        <v>5407</v>
      </c>
      <c r="S62" s="284">
        <f>IFERROR(__xludf.DUMMYFUNCTION("SUM(QUERY(Coletas_BD!D:M,""select K where D='""&amp;D62&amp;""'"",1))"),25.0)</f>
        <v>25</v>
      </c>
      <c r="T62" s="284">
        <f>IFERROR(__xludf.DUMMYFUNCTION("SUM(QUERY(Coletas_BD!D:M,""select L where D='""&amp;D62&amp;""'"",1))"),75.0)</f>
        <v>75</v>
      </c>
      <c r="U62" s="284">
        <f>IFERROR(__xludf.DUMMYFUNCTION("SUM(QUERY(Coletas_BD!D:M,""select M where D='""&amp;D62&amp;""'"",1))"),250.0)</f>
        <v>250</v>
      </c>
      <c r="V62" s="284">
        <f>IFERROR(__xludf.DUMMYFUNCTION("SUM(QUERY(Coletas_BD!D:S,""select P where D='""&amp;D62&amp;""'"",1))"),65.0)</f>
        <v>65</v>
      </c>
      <c r="W62" s="284">
        <f>IFERROR(__xludf.DUMMYFUNCTION("SUM(QUERY(Coletas_BD!D:S,""select Q where D='""&amp;D62&amp;""'"",1))"),21.0)</f>
        <v>21</v>
      </c>
      <c r="X62" s="284">
        <f>IFERROR(__xludf.DUMMYFUNCTION("SUM(QUERY(Coletas_BD!D:S,""select R where D='""&amp;D62&amp;""'"",1))"),2.0)</f>
        <v>2</v>
      </c>
      <c r="Y62" s="284">
        <f>IFERROR(__xludf.DUMMYFUNCTION("SUM(QUERY(Coletas_BD!D:S,""select S where D='""&amp;D62&amp;""'"",1))"),4.0)</f>
        <v>4</v>
      </c>
      <c r="Z62" s="311"/>
    </row>
    <row r="63" ht="18.75" customHeight="1">
      <c r="A63" s="277"/>
      <c r="B63" s="278"/>
      <c r="C63" s="279">
        <v>62.0</v>
      </c>
      <c r="D63" s="302"/>
      <c r="E63" s="305"/>
      <c r="F63" s="305"/>
      <c r="G63" s="305"/>
      <c r="H63" s="305"/>
      <c r="I63" s="305"/>
      <c r="J63" s="305"/>
      <c r="K63" s="305"/>
      <c r="L63" s="305"/>
      <c r="M63" s="305"/>
      <c r="N63" s="305"/>
      <c r="O63" s="316"/>
      <c r="P63" s="305"/>
      <c r="Q63" s="313"/>
      <c r="R63" s="284">
        <f>IFERROR(__xludf.DUMMYFUNCTION("SUM(QUERY(Coletas_BD!D:M,""select J where D='""&amp;D63&amp;""'"",1))"),5407.0)</f>
        <v>5407</v>
      </c>
      <c r="S63" s="284">
        <f>IFERROR(__xludf.DUMMYFUNCTION("SUM(QUERY(Coletas_BD!D:M,""select K where D='""&amp;D63&amp;""'"",1))"),25.0)</f>
        <v>25</v>
      </c>
      <c r="T63" s="284">
        <f>IFERROR(__xludf.DUMMYFUNCTION("SUM(QUERY(Coletas_BD!D:M,""select L where D='""&amp;D63&amp;""'"",1))"),75.0)</f>
        <v>75</v>
      </c>
      <c r="U63" s="284">
        <f>IFERROR(__xludf.DUMMYFUNCTION("SUM(QUERY(Coletas_BD!D:M,""select M where D='""&amp;D63&amp;""'"",1))"),250.0)</f>
        <v>250</v>
      </c>
      <c r="V63" s="284">
        <f>IFERROR(__xludf.DUMMYFUNCTION("SUM(QUERY(Coletas_BD!D:S,""select P where D='""&amp;D63&amp;""'"",1))"),65.0)</f>
        <v>65</v>
      </c>
      <c r="W63" s="284">
        <f>IFERROR(__xludf.DUMMYFUNCTION("SUM(QUERY(Coletas_BD!D:S,""select Q where D='""&amp;D63&amp;""'"",1))"),21.0)</f>
        <v>21</v>
      </c>
      <c r="X63" s="284">
        <f>IFERROR(__xludf.DUMMYFUNCTION("SUM(QUERY(Coletas_BD!D:S,""select R where D='""&amp;D63&amp;""'"",1))"),2.0)</f>
        <v>2</v>
      </c>
      <c r="Y63" s="284">
        <f>IFERROR(__xludf.DUMMYFUNCTION("SUM(QUERY(Coletas_BD!D:S,""select S where D='""&amp;D63&amp;""'"",1))"),4.0)</f>
        <v>4</v>
      </c>
      <c r="Z63" s="309"/>
    </row>
    <row r="64" ht="18.75" customHeight="1">
      <c r="A64" s="277"/>
      <c r="B64" s="278"/>
      <c r="C64" s="279">
        <v>63.0</v>
      </c>
      <c r="D64" s="302"/>
      <c r="E64" s="305"/>
      <c r="F64" s="305"/>
      <c r="G64" s="305"/>
      <c r="H64" s="305"/>
      <c r="I64" s="305"/>
      <c r="J64" s="305"/>
      <c r="K64" s="305"/>
      <c r="L64" s="305"/>
      <c r="M64" s="305"/>
      <c r="N64" s="305"/>
      <c r="O64" s="316"/>
      <c r="P64" s="305"/>
      <c r="Q64" s="313"/>
      <c r="R64" s="284">
        <f>IFERROR(__xludf.DUMMYFUNCTION("SUM(QUERY(Coletas_BD!D:M,""select J where D='""&amp;D64&amp;""'"",1))"),5407.0)</f>
        <v>5407</v>
      </c>
      <c r="S64" s="284">
        <f>IFERROR(__xludf.DUMMYFUNCTION("SUM(QUERY(Coletas_BD!D:M,""select K where D='""&amp;D64&amp;""'"",1))"),25.0)</f>
        <v>25</v>
      </c>
      <c r="T64" s="284">
        <f>IFERROR(__xludf.DUMMYFUNCTION("SUM(QUERY(Coletas_BD!D:M,""select L where D='""&amp;D64&amp;""'"",1))"),75.0)</f>
        <v>75</v>
      </c>
      <c r="U64" s="284">
        <f>IFERROR(__xludf.DUMMYFUNCTION("SUM(QUERY(Coletas_BD!D:M,""select M where D='""&amp;D64&amp;""'"",1))"),250.0)</f>
        <v>250</v>
      </c>
      <c r="V64" s="284">
        <f>IFERROR(__xludf.DUMMYFUNCTION("SUM(QUERY(Coletas_BD!D:S,""select P where D='""&amp;D64&amp;""'"",1))"),65.0)</f>
        <v>65</v>
      </c>
      <c r="W64" s="284">
        <f>IFERROR(__xludf.DUMMYFUNCTION("SUM(QUERY(Coletas_BD!D:S,""select Q where D='""&amp;D64&amp;""'"",1))"),21.0)</f>
        <v>21</v>
      </c>
      <c r="X64" s="284">
        <f>IFERROR(__xludf.DUMMYFUNCTION("SUM(QUERY(Coletas_BD!D:S,""select R where D='""&amp;D64&amp;""'"",1))"),2.0)</f>
        <v>2</v>
      </c>
      <c r="Y64" s="284">
        <f>IFERROR(__xludf.DUMMYFUNCTION("SUM(QUERY(Coletas_BD!D:S,""select S where D='""&amp;D64&amp;""'"",1))"),4.0)</f>
        <v>4</v>
      </c>
      <c r="Z64" s="311"/>
    </row>
    <row r="65" ht="18.75" customHeight="1">
      <c r="A65" s="277"/>
      <c r="B65" s="278"/>
      <c r="C65" s="279">
        <v>64.0</v>
      </c>
      <c r="D65" s="302"/>
      <c r="E65" s="305"/>
      <c r="F65" s="305"/>
      <c r="G65" s="305"/>
      <c r="H65" s="305"/>
      <c r="I65" s="305"/>
      <c r="J65" s="305"/>
      <c r="K65" s="305"/>
      <c r="L65" s="305"/>
      <c r="M65" s="305"/>
      <c r="N65" s="305"/>
      <c r="O65" s="316"/>
      <c r="P65" s="305"/>
      <c r="Q65" s="313"/>
      <c r="R65" s="284">
        <f>IFERROR(__xludf.DUMMYFUNCTION("SUM(QUERY(Coletas_BD!D:M,""select J where D='""&amp;D65&amp;""'"",1))"),5407.0)</f>
        <v>5407</v>
      </c>
      <c r="S65" s="284">
        <f>IFERROR(__xludf.DUMMYFUNCTION("SUM(QUERY(Coletas_BD!D:M,""select K where D='""&amp;D65&amp;""'"",1))"),25.0)</f>
        <v>25</v>
      </c>
      <c r="T65" s="284">
        <f>IFERROR(__xludf.DUMMYFUNCTION("SUM(QUERY(Coletas_BD!D:M,""select L where D='""&amp;D65&amp;""'"",1))"),75.0)</f>
        <v>75</v>
      </c>
      <c r="U65" s="284">
        <f>IFERROR(__xludf.DUMMYFUNCTION("SUM(QUERY(Coletas_BD!D:M,""select M where D='""&amp;D65&amp;""'"",1))"),250.0)</f>
        <v>250</v>
      </c>
      <c r="V65" s="284">
        <f>IFERROR(__xludf.DUMMYFUNCTION("SUM(QUERY(Coletas_BD!D:S,""select P where D='""&amp;D65&amp;""'"",1))"),65.0)</f>
        <v>65</v>
      </c>
      <c r="W65" s="284">
        <f>IFERROR(__xludf.DUMMYFUNCTION("SUM(QUERY(Coletas_BD!D:S,""select Q where D='""&amp;D65&amp;""'"",1))"),21.0)</f>
        <v>21</v>
      </c>
      <c r="X65" s="284">
        <f>IFERROR(__xludf.DUMMYFUNCTION("SUM(QUERY(Coletas_BD!D:S,""select R where D='""&amp;D65&amp;""'"",1))"),2.0)</f>
        <v>2</v>
      </c>
      <c r="Y65" s="284">
        <f>IFERROR(__xludf.DUMMYFUNCTION("SUM(QUERY(Coletas_BD!D:S,""select S where D='""&amp;D65&amp;""'"",1))"),4.0)</f>
        <v>4</v>
      </c>
      <c r="Z65" s="309"/>
    </row>
    <row r="66" ht="18.75" customHeight="1">
      <c r="A66" s="277"/>
      <c r="B66" s="278"/>
      <c r="C66" s="279">
        <v>65.0</v>
      </c>
      <c r="D66" s="302"/>
      <c r="E66" s="305"/>
      <c r="F66" s="313"/>
      <c r="G66" s="313"/>
      <c r="H66" s="313"/>
      <c r="I66" s="305"/>
      <c r="J66" s="305"/>
      <c r="K66" s="305"/>
      <c r="L66" s="305"/>
      <c r="M66" s="305"/>
      <c r="N66" s="305"/>
      <c r="O66" s="316"/>
      <c r="P66" s="305"/>
      <c r="Q66" s="313"/>
      <c r="R66" s="284">
        <f>IFERROR(__xludf.DUMMYFUNCTION("SUM(QUERY(Coletas_BD!D:M,""select J where D='""&amp;D66&amp;""'"",1))"),5407.0)</f>
        <v>5407</v>
      </c>
      <c r="S66" s="284">
        <f>IFERROR(__xludf.DUMMYFUNCTION("SUM(QUERY(Coletas_BD!D:M,""select K where D='""&amp;D66&amp;""'"",1))"),25.0)</f>
        <v>25</v>
      </c>
      <c r="T66" s="284">
        <f>IFERROR(__xludf.DUMMYFUNCTION("SUM(QUERY(Coletas_BD!D:M,""select L where D='""&amp;D66&amp;""'"",1))"),75.0)</f>
        <v>75</v>
      </c>
      <c r="U66" s="284">
        <f>IFERROR(__xludf.DUMMYFUNCTION("SUM(QUERY(Coletas_BD!D:M,""select M where D='""&amp;D66&amp;""'"",1))"),250.0)</f>
        <v>250</v>
      </c>
      <c r="V66" s="284">
        <f>IFERROR(__xludf.DUMMYFUNCTION("SUM(QUERY(Coletas_BD!D:S,""select P where D='""&amp;D66&amp;""'"",1))"),65.0)</f>
        <v>65</v>
      </c>
      <c r="W66" s="284">
        <f>IFERROR(__xludf.DUMMYFUNCTION("SUM(QUERY(Coletas_BD!D:S,""select Q where D='""&amp;D66&amp;""'"",1))"),21.0)</f>
        <v>21</v>
      </c>
      <c r="X66" s="284">
        <f>IFERROR(__xludf.DUMMYFUNCTION("SUM(QUERY(Coletas_BD!D:S,""select R where D='""&amp;D66&amp;""'"",1))"),2.0)</f>
        <v>2</v>
      </c>
      <c r="Y66" s="284">
        <f>IFERROR(__xludf.DUMMYFUNCTION("SUM(QUERY(Coletas_BD!D:S,""select S where D='""&amp;D66&amp;""'"",1))"),4.0)</f>
        <v>4</v>
      </c>
      <c r="Z66" s="311"/>
    </row>
    <row r="67" ht="18.75" customHeight="1">
      <c r="A67" s="299"/>
      <c r="B67" s="300"/>
      <c r="C67" s="279">
        <v>66.0</v>
      </c>
      <c r="D67" s="302"/>
      <c r="E67" s="302"/>
      <c r="F67" s="313"/>
      <c r="G67" s="313"/>
      <c r="H67" s="313"/>
      <c r="I67" s="305"/>
      <c r="J67" s="305"/>
      <c r="K67" s="305"/>
      <c r="L67" s="305"/>
      <c r="M67" s="305"/>
      <c r="N67" s="305"/>
      <c r="O67" s="305"/>
      <c r="P67" s="301"/>
      <c r="Q67" s="313"/>
      <c r="R67" s="284">
        <f>IFERROR(__xludf.DUMMYFUNCTION("SUM(QUERY(Coletas_BD!D:M,""select J where D='""&amp;D67&amp;""'"",1))"),5407.0)</f>
        <v>5407</v>
      </c>
      <c r="S67" s="284">
        <f>IFERROR(__xludf.DUMMYFUNCTION("SUM(QUERY(Coletas_BD!D:M,""select K where D='""&amp;D67&amp;""'"",1))"),25.0)</f>
        <v>25</v>
      </c>
      <c r="T67" s="284">
        <f>IFERROR(__xludf.DUMMYFUNCTION("SUM(QUERY(Coletas_BD!D:M,""select L where D='""&amp;D67&amp;""'"",1))"),75.0)</f>
        <v>75</v>
      </c>
      <c r="U67" s="284">
        <f>IFERROR(__xludf.DUMMYFUNCTION("SUM(QUERY(Coletas_BD!D:M,""select M where D='""&amp;D67&amp;""'"",1))"),250.0)</f>
        <v>250</v>
      </c>
      <c r="V67" s="284">
        <f>IFERROR(__xludf.DUMMYFUNCTION("SUM(QUERY(Coletas_BD!D:S,""select P where D='""&amp;D67&amp;""'"",1))"),65.0)</f>
        <v>65</v>
      </c>
      <c r="W67" s="284">
        <f>IFERROR(__xludf.DUMMYFUNCTION("SUM(QUERY(Coletas_BD!D:S,""select Q where D='""&amp;D67&amp;""'"",1))"),21.0)</f>
        <v>21</v>
      </c>
      <c r="X67" s="284">
        <f>IFERROR(__xludf.DUMMYFUNCTION("SUM(QUERY(Coletas_BD!D:S,""select R where D='""&amp;D67&amp;""'"",1))"),2.0)</f>
        <v>2</v>
      </c>
      <c r="Y67" s="284">
        <f>IFERROR(__xludf.DUMMYFUNCTION("SUM(QUERY(Coletas_BD!D:S,""select S where D='""&amp;D67&amp;""'"",1))"),4.0)</f>
        <v>4</v>
      </c>
      <c r="Z67" s="295"/>
    </row>
    <row r="68" ht="18.75" customHeight="1">
      <c r="A68" s="299"/>
      <c r="B68" s="300"/>
      <c r="C68" s="279">
        <v>67.0</v>
      </c>
      <c r="D68" s="302"/>
      <c r="E68" s="303"/>
      <c r="F68" s="313"/>
      <c r="G68" s="313"/>
      <c r="H68" s="313"/>
      <c r="I68" s="305"/>
      <c r="J68" s="305"/>
      <c r="K68" s="305"/>
      <c r="L68" s="305"/>
      <c r="M68" s="305"/>
      <c r="N68" s="305"/>
      <c r="O68" s="305"/>
      <c r="P68" s="305"/>
      <c r="Q68" s="313"/>
      <c r="R68" s="284">
        <f>IFERROR(__xludf.DUMMYFUNCTION("SUM(QUERY(Coletas_BD!D:M,""select J where D='""&amp;D68&amp;""'"",1))"),5407.0)</f>
        <v>5407</v>
      </c>
      <c r="S68" s="284">
        <f>IFERROR(__xludf.DUMMYFUNCTION("SUM(QUERY(Coletas_BD!D:M,""select K where D='""&amp;D68&amp;""'"",1))"),25.0)</f>
        <v>25</v>
      </c>
      <c r="T68" s="284">
        <f>IFERROR(__xludf.DUMMYFUNCTION("SUM(QUERY(Coletas_BD!D:M,""select L where D='""&amp;D68&amp;""'"",1))"),75.0)</f>
        <v>75</v>
      </c>
      <c r="U68" s="284">
        <f>IFERROR(__xludf.DUMMYFUNCTION("SUM(QUERY(Coletas_BD!D:M,""select M where D='""&amp;D68&amp;""'"",1))"),250.0)</f>
        <v>250</v>
      </c>
      <c r="V68" s="284">
        <f>IFERROR(__xludf.DUMMYFUNCTION("SUM(QUERY(Coletas_BD!D:S,""select P where D='""&amp;D68&amp;""'"",1))"),65.0)</f>
        <v>65</v>
      </c>
      <c r="W68" s="284">
        <f>IFERROR(__xludf.DUMMYFUNCTION("SUM(QUERY(Coletas_BD!D:S,""select Q where D='""&amp;D68&amp;""'"",1))"),21.0)</f>
        <v>21</v>
      </c>
      <c r="X68" s="284">
        <f>IFERROR(__xludf.DUMMYFUNCTION("SUM(QUERY(Coletas_BD!D:S,""select R where D='""&amp;D68&amp;""'"",1))"),2.0)</f>
        <v>2</v>
      </c>
      <c r="Y68" s="284">
        <f>IFERROR(__xludf.DUMMYFUNCTION("SUM(QUERY(Coletas_BD!D:S,""select S where D='""&amp;D68&amp;""'"",1))"),4.0)</f>
        <v>4</v>
      </c>
      <c r="Z68" s="311"/>
    </row>
    <row r="69" ht="18.75" customHeight="1">
      <c r="A69" s="299"/>
      <c r="B69" s="300"/>
      <c r="C69" s="279">
        <v>68.0</v>
      </c>
      <c r="D69" s="302"/>
      <c r="E69" s="303"/>
      <c r="F69" s="305"/>
      <c r="G69" s="305"/>
      <c r="H69" s="305"/>
      <c r="I69" s="305"/>
      <c r="J69" s="305"/>
      <c r="K69" s="305"/>
      <c r="L69" s="305"/>
      <c r="M69" s="305"/>
      <c r="N69" s="305"/>
      <c r="O69" s="316"/>
      <c r="P69" s="305"/>
      <c r="Q69" s="313"/>
      <c r="R69" s="284">
        <f>IFERROR(__xludf.DUMMYFUNCTION("SUM(QUERY(Coletas_BD!D:M,""select J where D='""&amp;D69&amp;""'"",1))"),5407.0)</f>
        <v>5407</v>
      </c>
      <c r="S69" s="284">
        <f>IFERROR(__xludf.DUMMYFUNCTION("SUM(QUERY(Coletas_BD!D:M,""select K where D='""&amp;D69&amp;""'"",1))"),25.0)</f>
        <v>25</v>
      </c>
      <c r="T69" s="284">
        <f>IFERROR(__xludf.DUMMYFUNCTION("SUM(QUERY(Coletas_BD!D:M,""select L where D='""&amp;D69&amp;""'"",1))"),75.0)</f>
        <v>75</v>
      </c>
      <c r="U69" s="284">
        <f>IFERROR(__xludf.DUMMYFUNCTION("SUM(QUERY(Coletas_BD!D:M,""select M where D='""&amp;D69&amp;""'"",1))"),250.0)</f>
        <v>250</v>
      </c>
      <c r="V69" s="284">
        <f>IFERROR(__xludf.DUMMYFUNCTION("SUM(QUERY(Coletas_BD!D:S,""select P where D='""&amp;D69&amp;""'"",1))"),65.0)</f>
        <v>65</v>
      </c>
      <c r="W69" s="284">
        <f>IFERROR(__xludf.DUMMYFUNCTION("SUM(QUERY(Coletas_BD!D:S,""select Q where D='""&amp;D69&amp;""'"",1))"),21.0)</f>
        <v>21</v>
      </c>
      <c r="X69" s="284">
        <f>IFERROR(__xludf.DUMMYFUNCTION("SUM(QUERY(Coletas_BD!D:S,""select R where D='""&amp;D69&amp;""'"",1))"),2.0)</f>
        <v>2</v>
      </c>
      <c r="Y69" s="284">
        <f>IFERROR(__xludf.DUMMYFUNCTION("SUM(QUERY(Coletas_BD!D:S,""select S where D='""&amp;D69&amp;""'"",1))"),4.0)</f>
        <v>4</v>
      </c>
      <c r="Z69" s="309"/>
    </row>
    <row r="70" ht="18.75" customHeight="1">
      <c r="A70" s="299"/>
      <c r="B70" s="300"/>
      <c r="C70" s="279">
        <v>69.0</v>
      </c>
      <c r="D70" s="302"/>
      <c r="E70" s="303"/>
      <c r="F70" s="305"/>
      <c r="G70" s="305"/>
      <c r="H70" s="305"/>
      <c r="I70" s="305"/>
      <c r="J70" s="305"/>
      <c r="K70" s="305"/>
      <c r="L70" s="305"/>
      <c r="M70" s="305"/>
      <c r="N70" s="305"/>
      <c r="O70" s="316"/>
      <c r="P70" s="305"/>
      <c r="Q70" s="313"/>
      <c r="R70" s="284">
        <f>IFERROR(__xludf.DUMMYFUNCTION("SUM(QUERY(Coletas_BD!D:M,""select J where D='""&amp;D70&amp;""'"",1))"),5407.0)</f>
        <v>5407</v>
      </c>
      <c r="S70" s="284">
        <f>IFERROR(__xludf.DUMMYFUNCTION("SUM(QUERY(Coletas_BD!D:M,""select K where D='""&amp;D70&amp;""'"",1))"),25.0)</f>
        <v>25</v>
      </c>
      <c r="T70" s="284">
        <f>IFERROR(__xludf.DUMMYFUNCTION("SUM(QUERY(Coletas_BD!D:M,""select L where D='""&amp;D70&amp;""'"",1))"),75.0)</f>
        <v>75</v>
      </c>
      <c r="U70" s="284">
        <f>IFERROR(__xludf.DUMMYFUNCTION("SUM(QUERY(Coletas_BD!D:M,""select M where D='""&amp;D70&amp;""'"",1))"),250.0)</f>
        <v>250</v>
      </c>
      <c r="V70" s="284">
        <f>IFERROR(__xludf.DUMMYFUNCTION("SUM(QUERY(Coletas_BD!D:S,""select P where D='""&amp;D70&amp;""'"",1))"),65.0)</f>
        <v>65</v>
      </c>
      <c r="W70" s="284">
        <f>IFERROR(__xludf.DUMMYFUNCTION("SUM(QUERY(Coletas_BD!D:S,""select Q where D='""&amp;D70&amp;""'"",1))"),21.0)</f>
        <v>21</v>
      </c>
      <c r="X70" s="284">
        <f>IFERROR(__xludf.DUMMYFUNCTION("SUM(QUERY(Coletas_BD!D:S,""select R where D='""&amp;D70&amp;""'"",1))"),2.0)</f>
        <v>2</v>
      </c>
      <c r="Y70" s="284">
        <f>IFERROR(__xludf.DUMMYFUNCTION("SUM(QUERY(Coletas_BD!D:S,""select S where D='""&amp;D70&amp;""'"",1))"),4.0)</f>
        <v>4</v>
      </c>
      <c r="Z70" s="311"/>
    </row>
    <row r="71" ht="18.75" customHeight="1">
      <c r="A71" s="299"/>
      <c r="B71" s="300"/>
      <c r="C71" s="279">
        <v>70.0</v>
      </c>
      <c r="D71" s="302"/>
      <c r="E71" s="319"/>
      <c r="F71" s="313"/>
      <c r="G71" s="313"/>
      <c r="H71" s="313"/>
      <c r="I71" s="305"/>
      <c r="J71" s="305"/>
      <c r="K71" s="305"/>
      <c r="L71" s="305"/>
      <c r="M71" s="305"/>
      <c r="N71" s="305"/>
      <c r="O71" s="316"/>
      <c r="P71" s="305"/>
      <c r="Q71" s="313"/>
      <c r="R71" s="284">
        <f>IFERROR(__xludf.DUMMYFUNCTION("SUM(QUERY(Coletas_BD!D:M,""select J where D='""&amp;D71&amp;""'"",1))"),5407.0)</f>
        <v>5407</v>
      </c>
      <c r="S71" s="284">
        <f>IFERROR(__xludf.DUMMYFUNCTION("SUM(QUERY(Coletas_BD!D:M,""select K where D='""&amp;D71&amp;""'"",1))"),25.0)</f>
        <v>25</v>
      </c>
      <c r="T71" s="284">
        <f>IFERROR(__xludf.DUMMYFUNCTION("SUM(QUERY(Coletas_BD!D:M,""select L where D='""&amp;D71&amp;""'"",1))"),75.0)</f>
        <v>75</v>
      </c>
      <c r="U71" s="284">
        <f>IFERROR(__xludf.DUMMYFUNCTION("SUM(QUERY(Coletas_BD!D:M,""select M where D='""&amp;D71&amp;""'"",1))"),250.0)</f>
        <v>250</v>
      </c>
      <c r="V71" s="284">
        <f>IFERROR(__xludf.DUMMYFUNCTION("SUM(QUERY(Coletas_BD!D:S,""select P where D='""&amp;D71&amp;""'"",1))"),65.0)</f>
        <v>65</v>
      </c>
      <c r="W71" s="284">
        <f>IFERROR(__xludf.DUMMYFUNCTION("SUM(QUERY(Coletas_BD!D:S,""select Q where D='""&amp;D71&amp;""'"",1))"),21.0)</f>
        <v>21</v>
      </c>
      <c r="X71" s="284">
        <f>IFERROR(__xludf.DUMMYFUNCTION("SUM(QUERY(Coletas_BD!D:S,""select R where D='""&amp;D71&amp;""'"",1))"),2.0)</f>
        <v>2</v>
      </c>
      <c r="Y71" s="284">
        <f>IFERROR(__xludf.DUMMYFUNCTION("SUM(QUERY(Coletas_BD!D:S,""select S where D='""&amp;D71&amp;""'"",1))"),4.0)</f>
        <v>4</v>
      </c>
      <c r="Z71" s="309"/>
    </row>
    <row r="72" ht="18.75" customHeight="1">
      <c r="A72" s="299"/>
      <c r="B72" s="300"/>
      <c r="C72" s="279">
        <v>71.0</v>
      </c>
      <c r="D72" s="302"/>
      <c r="E72" s="303"/>
      <c r="F72" s="305"/>
      <c r="G72" s="305"/>
      <c r="H72" s="305"/>
      <c r="I72" s="305"/>
      <c r="J72" s="305"/>
      <c r="K72" s="305"/>
      <c r="L72" s="305"/>
      <c r="M72" s="305"/>
      <c r="N72" s="305"/>
      <c r="O72" s="316"/>
      <c r="P72" s="305"/>
      <c r="Q72" s="313"/>
      <c r="R72" s="284">
        <f>IFERROR(__xludf.DUMMYFUNCTION("SUM(QUERY(Coletas_BD!D:M,""select J where D='""&amp;D72&amp;""'"",1))"),5407.0)</f>
        <v>5407</v>
      </c>
      <c r="S72" s="284">
        <f>IFERROR(__xludf.DUMMYFUNCTION("SUM(QUERY(Coletas_BD!D:M,""select K where D='""&amp;D72&amp;""'"",1))"),25.0)</f>
        <v>25</v>
      </c>
      <c r="T72" s="284">
        <f>IFERROR(__xludf.DUMMYFUNCTION("SUM(QUERY(Coletas_BD!D:M,""select L where D='""&amp;D72&amp;""'"",1))"),75.0)</f>
        <v>75</v>
      </c>
      <c r="U72" s="284">
        <f>IFERROR(__xludf.DUMMYFUNCTION("SUM(QUERY(Coletas_BD!D:M,""select M where D='""&amp;D72&amp;""'"",1))"),250.0)</f>
        <v>250</v>
      </c>
      <c r="V72" s="284">
        <f>IFERROR(__xludf.DUMMYFUNCTION("SUM(QUERY(Coletas_BD!D:S,""select P where D='""&amp;D72&amp;""'"",1))"),65.0)</f>
        <v>65</v>
      </c>
      <c r="W72" s="284">
        <f>IFERROR(__xludf.DUMMYFUNCTION("SUM(QUERY(Coletas_BD!D:S,""select Q where D='""&amp;D72&amp;""'"",1))"),21.0)</f>
        <v>21</v>
      </c>
      <c r="X72" s="284">
        <f>IFERROR(__xludf.DUMMYFUNCTION("SUM(QUERY(Coletas_BD!D:S,""select R where D='""&amp;D72&amp;""'"",1))"),2.0)</f>
        <v>2</v>
      </c>
      <c r="Y72" s="284">
        <f>IFERROR(__xludf.DUMMYFUNCTION("SUM(QUERY(Coletas_BD!D:S,""select S where D='""&amp;D72&amp;""'"",1))"),4.0)</f>
        <v>4</v>
      </c>
      <c r="Z72" s="311"/>
    </row>
    <row r="73" ht="18.75" customHeight="1">
      <c r="A73" s="299"/>
      <c r="B73" s="300"/>
      <c r="C73" s="279">
        <v>72.0</v>
      </c>
      <c r="D73" s="315"/>
      <c r="E73" s="303"/>
      <c r="F73" s="313"/>
      <c r="G73" s="313"/>
      <c r="H73" s="313"/>
      <c r="I73" s="305"/>
      <c r="J73" s="305"/>
      <c r="K73" s="305"/>
      <c r="L73" s="305"/>
      <c r="M73" s="305"/>
      <c r="N73" s="305"/>
      <c r="O73" s="316"/>
      <c r="P73" s="305"/>
      <c r="Q73" s="313"/>
      <c r="R73" s="284">
        <f>IFERROR(__xludf.DUMMYFUNCTION("SUM(QUERY(Coletas_BD!D:M,""select J where D='""&amp;D73&amp;""'"",1))"),5407.0)</f>
        <v>5407</v>
      </c>
      <c r="S73" s="284">
        <f>IFERROR(__xludf.DUMMYFUNCTION("SUM(QUERY(Coletas_BD!D:M,""select K where D='""&amp;D73&amp;""'"",1))"),25.0)</f>
        <v>25</v>
      </c>
      <c r="T73" s="284">
        <f>IFERROR(__xludf.DUMMYFUNCTION("SUM(QUERY(Coletas_BD!D:M,""select L where D='""&amp;D73&amp;""'"",1))"),75.0)</f>
        <v>75</v>
      </c>
      <c r="U73" s="284">
        <f>IFERROR(__xludf.DUMMYFUNCTION("SUM(QUERY(Coletas_BD!D:M,""select M where D='""&amp;D73&amp;""'"",1))"),250.0)</f>
        <v>250</v>
      </c>
      <c r="V73" s="284">
        <f>IFERROR(__xludf.DUMMYFUNCTION("SUM(QUERY(Coletas_BD!D:S,""select P where D='""&amp;D73&amp;""'"",1))"),65.0)</f>
        <v>65</v>
      </c>
      <c r="W73" s="284">
        <f>IFERROR(__xludf.DUMMYFUNCTION("SUM(QUERY(Coletas_BD!D:S,""select Q where D='""&amp;D73&amp;""'"",1))"),21.0)</f>
        <v>21</v>
      </c>
      <c r="X73" s="284">
        <f>IFERROR(__xludf.DUMMYFUNCTION("SUM(QUERY(Coletas_BD!D:S,""select R where D='""&amp;D73&amp;""'"",1))"),2.0)</f>
        <v>2</v>
      </c>
      <c r="Y73" s="284">
        <f>IFERROR(__xludf.DUMMYFUNCTION("SUM(QUERY(Coletas_BD!D:S,""select S where D='""&amp;D73&amp;""'"",1))"),4.0)</f>
        <v>4</v>
      </c>
      <c r="Z73" s="295"/>
    </row>
    <row r="74" ht="18.75" customHeight="1">
      <c r="A74" s="299"/>
      <c r="B74" s="300"/>
      <c r="C74" s="279">
        <v>73.0</v>
      </c>
      <c r="D74" s="302"/>
      <c r="E74" s="303"/>
      <c r="F74" s="305"/>
      <c r="G74" s="305"/>
      <c r="H74" s="305"/>
      <c r="I74" s="305"/>
      <c r="J74" s="305"/>
      <c r="K74" s="305"/>
      <c r="L74" s="305"/>
      <c r="M74" s="305"/>
      <c r="N74" s="305"/>
      <c r="O74" s="316"/>
      <c r="P74" s="305"/>
      <c r="Q74" s="313"/>
      <c r="R74" s="284">
        <f>IFERROR(__xludf.DUMMYFUNCTION("SUM(QUERY(Coletas_BD!D:M,""select J where D='""&amp;D74&amp;""'"",1))"),5407.0)</f>
        <v>5407</v>
      </c>
      <c r="S74" s="284">
        <f>IFERROR(__xludf.DUMMYFUNCTION("SUM(QUERY(Coletas_BD!D:M,""select K where D='""&amp;D74&amp;""'"",1))"),25.0)</f>
        <v>25</v>
      </c>
      <c r="T74" s="284">
        <f>IFERROR(__xludf.DUMMYFUNCTION("SUM(QUERY(Coletas_BD!D:M,""select L where D='""&amp;D74&amp;""'"",1))"),75.0)</f>
        <v>75</v>
      </c>
      <c r="U74" s="284">
        <f>IFERROR(__xludf.DUMMYFUNCTION("SUM(QUERY(Coletas_BD!D:M,""select M where D='""&amp;D74&amp;""'"",1))"),250.0)</f>
        <v>250</v>
      </c>
      <c r="V74" s="284">
        <f>IFERROR(__xludf.DUMMYFUNCTION("SUM(QUERY(Coletas_BD!D:S,""select P where D='""&amp;D74&amp;""'"",1))"),65.0)</f>
        <v>65</v>
      </c>
      <c r="W74" s="284">
        <f>IFERROR(__xludf.DUMMYFUNCTION("SUM(QUERY(Coletas_BD!D:S,""select Q where D='""&amp;D74&amp;""'"",1))"),21.0)</f>
        <v>21</v>
      </c>
      <c r="X74" s="284">
        <f>IFERROR(__xludf.DUMMYFUNCTION("SUM(QUERY(Coletas_BD!D:S,""select R where D='""&amp;D74&amp;""'"",1))"),2.0)</f>
        <v>2</v>
      </c>
      <c r="Y74" s="284">
        <f>IFERROR(__xludf.DUMMYFUNCTION("SUM(QUERY(Coletas_BD!D:S,""select S where D='""&amp;D74&amp;""'"",1))"),4.0)</f>
        <v>4</v>
      </c>
      <c r="Z74" s="311"/>
    </row>
    <row r="75" ht="18.75" customHeight="1">
      <c r="A75" s="299"/>
      <c r="B75" s="300"/>
      <c r="C75" s="279">
        <v>74.0</v>
      </c>
      <c r="D75" s="302"/>
      <c r="E75" s="303"/>
      <c r="F75" s="316"/>
      <c r="G75" s="316"/>
      <c r="H75" s="316"/>
      <c r="I75" s="305"/>
      <c r="J75" s="305"/>
      <c r="K75" s="305"/>
      <c r="L75" s="305"/>
      <c r="M75" s="305"/>
      <c r="N75" s="305"/>
      <c r="O75" s="316"/>
      <c r="P75" s="305"/>
      <c r="Q75" s="313"/>
      <c r="R75" s="284">
        <f>IFERROR(__xludf.DUMMYFUNCTION("SUM(QUERY(Coletas_BD!D:M,""select J where D='""&amp;D75&amp;""'"",1))"),5407.0)</f>
        <v>5407</v>
      </c>
      <c r="S75" s="284">
        <f>IFERROR(__xludf.DUMMYFUNCTION("SUM(QUERY(Coletas_BD!D:M,""select K where D='""&amp;D75&amp;""'"",1))"),25.0)</f>
        <v>25</v>
      </c>
      <c r="T75" s="284">
        <f>IFERROR(__xludf.DUMMYFUNCTION("SUM(QUERY(Coletas_BD!D:M,""select L where D='""&amp;D75&amp;""'"",1))"),75.0)</f>
        <v>75</v>
      </c>
      <c r="U75" s="284">
        <f>IFERROR(__xludf.DUMMYFUNCTION("SUM(QUERY(Coletas_BD!D:M,""select M where D='""&amp;D75&amp;""'"",1))"),250.0)</f>
        <v>250</v>
      </c>
      <c r="V75" s="284">
        <f>IFERROR(__xludf.DUMMYFUNCTION("SUM(QUERY(Coletas_BD!D:S,""select P where D='""&amp;D75&amp;""'"",1))"),65.0)</f>
        <v>65</v>
      </c>
      <c r="W75" s="284">
        <f>IFERROR(__xludf.DUMMYFUNCTION("SUM(QUERY(Coletas_BD!D:S,""select Q where D='""&amp;D75&amp;""'"",1))"),21.0)</f>
        <v>21</v>
      </c>
      <c r="X75" s="284">
        <f>IFERROR(__xludf.DUMMYFUNCTION("SUM(QUERY(Coletas_BD!D:S,""select R where D='""&amp;D75&amp;""'"",1))"),2.0)</f>
        <v>2</v>
      </c>
      <c r="Y75" s="284">
        <f>IFERROR(__xludf.DUMMYFUNCTION("SUM(QUERY(Coletas_BD!D:S,""select S where D='""&amp;D75&amp;""'"",1))"),4.0)</f>
        <v>4</v>
      </c>
      <c r="Z75" s="309"/>
    </row>
    <row r="76" ht="18.75" customHeight="1">
      <c r="A76" s="299"/>
      <c r="B76" s="300"/>
      <c r="C76" s="279">
        <v>75.0</v>
      </c>
      <c r="D76" s="302"/>
      <c r="E76" s="303"/>
      <c r="F76" s="313"/>
      <c r="G76" s="313"/>
      <c r="H76" s="313"/>
      <c r="I76" s="305"/>
      <c r="J76" s="305"/>
      <c r="K76" s="305"/>
      <c r="L76" s="305"/>
      <c r="M76" s="305"/>
      <c r="N76" s="305"/>
      <c r="O76" s="316"/>
      <c r="P76" s="305"/>
      <c r="Q76" s="313"/>
      <c r="R76" s="284">
        <f>IFERROR(__xludf.DUMMYFUNCTION("SUM(QUERY(Coletas_BD!D:M,""select J where D='""&amp;D76&amp;""'"",1))"),5407.0)</f>
        <v>5407</v>
      </c>
      <c r="S76" s="284">
        <f>IFERROR(__xludf.DUMMYFUNCTION("SUM(QUERY(Coletas_BD!D:M,""select K where D='""&amp;D76&amp;""'"",1))"),25.0)</f>
        <v>25</v>
      </c>
      <c r="T76" s="284">
        <f>IFERROR(__xludf.DUMMYFUNCTION("SUM(QUERY(Coletas_BD!D:M,""select L where D='""&amp;D76&amp;""'"",1))"),75.0)</f>
        <v>75</v>
      </c>
      <c r="U76" s="284">
        <f>IFERROR(__xludf.DUMMYFUNCTION("SUM(QUERY(Coletas_BD!D:M,""select M where D='""&amp;D76&amp;""'"",1))"),250.0)</f>
        <v>250</v>
      </c>
      <c r="V76" s="284">
        <f>IFERROR(__xludf.DUMMYFUNCTION("SUM(QUERY(Coletas_BD!D:S,""select P where D='""&amp;D76&amp;""'"",1))"),65.0)</f>
        <v>65</v>
      </c>
      <c r="W76" s="284">
        <f>IFERROR(__xludf.DUMMYFUNCTION("SUM(QUERY(Coletas_BD!D:S,""select Q where D='""&amp;D76&amp;""'"",1))"),21.0)</f>
        <v>21</v>
      </c>
      <c r="X76" s="284">
        <f>IFERROR(__xludf.DUMMYFUNCTION("SUM(QUERY(Coletas_BD!D:S,""select R where D='""&amp;D76&amp;""'"",1))"),2.0)</f>
        <v>2</v>
      </c>
      <c r="Y76" s="284">
        <f>IFERROR(__xludf.DUMMYFUNCTION("SUM(QUERY(Coletas_BD!D:S,""select S where D='""&amp;D76&amp;""'"",1))"),4.0)</f>
        <v>4</v>
      </c>
      <c r="Z76" s="311"/>
    </row>
    <row r="77" ht="18.75" customHeight="1">
      <c r="A77" s="299"/>
      <c r="B77" s="300"/>
      <c r="C77" s="279">
        <v>76.0</v>
      </c>
      <c r="D77" s="315"/>
      <c r="E77" s="303"/>
      <c r="F77" s="313"/>
      <c r="G77" s="313"/>
      <c r="H77" s="313"/>
      <c r="I77" s="305"/>
      <c r="J77" s="305"/>
      <c r="K77" s="305"/>
      <c r="L77" s="305"/>
      <c r="M77" s="305"/>
      <c r="N77" s="305"/>
      <c r="O77" s="316"/>
      <c r="P77" s="305"/>
      <c r="Q77" s="313"/>
      <c r="R77" s="284">
        <f>IFERROR(__xludf.DUMMYFUNCTION("SUM(QUERY(Coletas_BD!D:M,""select J where D='""&amp;D77&amp;""'"",1))"),5407.0)</f>
        <v>5407</v>
      </c>
      <c r="S77" s="284">
        <f>IFERROR(__xludf.DUMMYFUNCTION("SUM(QUERY(Coletas_BD!D:M,""select K where D='""&amp;D77&amp;""'"",1))"),25.0)</f>
        <v>25</v>
      </c>
      <c r="T77" s="284">
        <f>IFERROR(__xludf.DUMMYFUNCTION("SUM(QUERY(Coletas_BD!D:M,""select L where D='""&amp;D77&amp;""'"",1))"),75.0)</f>
        <v>75</v>
      </c>
      <c r="U77" s="284">
        <f>IFERROR(__xludf.DUMMYFUNCTION("SUM(QUERY(Coletas_BD!D:M,""select M where D='""&amp;D77&amp;""'"",1))"),250.0)</f>
        <v>250</v>
      </c>
      <c r="V77" s="284">
        <f>IFERROR(__xludf.DUMMYFUNCTION("SUM(QUERY(Coletas_BD!D:S,""select P where D='""&amp;D77&amp;""'"",1))"),65.0)</f>
        <v>65</v>
      </c>
      <c r="W77" s="284">
        <f>IFERROR(__xludf.DUMMYFUNCTION("SUM(QUERY(Coletas_BD!D:S,""select Q where D='""&amp;D77&amp;""'"",1))"),21.0)</f>
        <v>21</v>
      </c>
      <c r="X77" s="284">
        <f>IFERROR(__xludf.DUMMYFUNCTION("SUM(QUERY(Coletas_BD!D:S,""select R where D='""&amp;D77&amp;""'"",1))"),2.0)</f>
        <v>2</v>
      </c>
      <c r="Y77" s="284">
        <f>IFERROR(__xludf.DUMMYFUNCTION("SUM(QUERY(Coletas_BD!D:S,""select S where D='""&amp;D77&amp;""'"",1))"),4.0)</f>
        <v>4</v>
      </c>
      <c r="Z77" s="309"/>
    </row>
    <row r="78" ht="18.75" customHeight="1">
      <c r="A78" s="299"/>
      <c r="B78" s="300"/>
      <c r="C78" s="279">
        <v>77.0</v>
      </c>
      <c r="D78" s="302"/>
      <c r="E78" s="303"/>
      <c r="F78" s="316"/>
      <c r="G78" s="316"/>
      <c r="H78" s="316"/>
      <c r="I78" s="305"/>
      <c r="J78" s="305"/>
      <c r="K78" s="305"/>
      <c r="L78" s="305"/>
      <c r="M78" s="305"/>
      <c r="N78" s="305"/>
      <c r="O78" s="316"/>
      <c r="P78" s="305"/>
      <c r="Q78" s="313"/>
      <c r="R78" s="284">
        <f>IFERROR(__xludf.DUMMYFUNCTION("SUM(QUERY(Coletas_BD!D:M,""select J where D='""&amp;D78&amp;""'"",1))"),5407.0)</f>
        <v>5407</v>
      </c>
      <c r="S78" s="284">
        <f>IFERROR(__xludf.DUMMYFUNCTION("SUM(QUERY(Coletas_BD!D:M,""select K where D='""&amp;D78&amp;""'"",1))"),25.0)</f>
        <v>25</v>
      </c>
      <c r="T78" s="284">
        <f>IFERROR(__xludf.DUMMYFUNCTION("SUM(QUERY(Coletas_BD!D:M,""select L where D='""&amp;D78&amp;""'"",1))"),75.0)</f>
        <v>75</v>
      </c>
      <c r="U78" s="284">
        <f>IFERROR(__xludf.DUMMYFUNCTION("SUM(QUERY(Coletas_BD!D:M,""select M where D='""&amp;D78&amp;""'"",1))"),250.0)</f>
        <v>250</v>
      </c>
      <c r="V78" s="284">
        <f>IFERROR(__xludf.DUMMYFUNCTION("SUM(QUERY(Coletas_BD!D:S,""select P where D='""&amp;D78&amp;""'"",1))"),65.0)</f>
        <v>65</v>
      </c>
      <c r="W78" s="284">
        <f>IFERROR(__xludf.DUMMYFUNCTION("SUM(QUERY(Coletas_BD!D:S,""select Q where D='""&amp;D78&amp;""'"",1))"),21.0)</f>
        <v>21</v>
      </c>
      <c r="X78" s="284">
        <f>IFERROR(__xludf.DUMMYFUNCTION("SUM(QUERY(Coletas_BD!D:S,""select R where D='""&amp;D78&amp;""'"",1))"),2.0)</f>
        <v>2</v>
      </c>
      <c r="Y78" s="284">
        <f>IFERROR(__xludf.DUMMYFUNCTION("SUM(QUERY(Coletas_BD!D:S,""select S where D='""&amp;D78&amp;""'"",1))"),4.0)</f>
        <v>4</v>
      </c>
      <c r="Z78" s="311"/>
    </row>
    <row r="79" ht="18.75" customHeight="1">
      <c r="A79" s="299"/>
      <c r="B79" s="300"/>
      <c r="C79" s="279">
        <v>78.0</v>
      </c>
      <c r="D79" s="302"/>
      <c r="E79" s="303"/>
      <c r="F79" s="305"/>
      <c r="G79" s="305"/>
      <c r="H79" s="305"/>
      <c r="I79" s="305"/>
      <c r="J79" s="305"/>
      <c r="K79" s="305"/>
      <c r="L79" s="305"/>
      <c r="M79" s="305"/>
      <c r="N79" s="305"/>
      <c r="O79" s="316"/>
      <c r="P79" s="305"/>
      <c r="Q79" s="313"/>
      <c r="R79" s="284">
        <f>IFERROR(__xludf.DUMMYFUNCTION("SUM(QUERY(Coletas_BD!D:M,""select J where D='""&amp;D79&amp;""'"",1))"),5407.0)</f>
        <v>5407</v>
      </c>
      <c r="S79" s="284">
        <f>IFERROR(__xludf.DUMMYFUNCTION("SUM(QUERY(Coletas_BD!D:M,""select K where D='""&amp;D79&amp;""'"",1))"),25.0)</f>
        <v>25</v>
      </c>
      <c r="T79" s="284">
        <f>IFERROR(__xludf.DUMMYFUNCTION("SUM(QUERY(Coletas_BD!D:M,""select L where D='""&amp;D79&amp;""'"",1))"),75.0)</f>
        <v>75</v>
      </c>
      <c r="U79" s="284">
        <f>IFERROR(__xludf.DUMMYFUNCTION("SUM(QUERY(Coletas_BD!D:M,""select M where D='""&amp;D79&amp;""'"",1))"),250.0)</f>
        <v>250</v>
      </c>
      <c r="V79" s="284">
        <f>IFERROR(__xludf.DUMMYFUNCTION("SUM(QUERY(Coletas_BD!D:S,""select P where D='""&amp;D79&amp;""'"",1))"),65.0)</f>
        <v>65</v>
      </c>
      <c r="W79" s="284">
        <f>IFERROR(__xludf.DUMMYFUNCTION("SUM(QUERY(Coletas_BD!D:S,""select Q where D='""&amp;D79&amp;""'"",1))"),21.0)</f>
        <v>21</v>
      </c>
      <c r="X79" s="284">
        <f>IFERROR(__xludf.DUMMYFUNCTION("SUM(QUERY(Coletas_BD!D:S,""select R where D='""&amp;D79&amp;""'"",1))"),2.0)</f>
        <v>2</v>
      </c>
      <c r="Y79" s="284">
        <f>IFERROR(__xludf.DUMMYFUNCTION("SUM(QUERY(Coletas_BD!D:S,""select S where D='""&amp;D79&amp;""'"",1))"),4.0)</f>
        <v>4</v>
      </c>
      <c r="Z79" s="295"/>
    </row>
    <row r="80" ht="18.75" customHeight="1">
      <c r="A80" s="299"/>
      <c r="B80" s="300"/>
      <c r="C80" s="279">
        <v>79.0</v>
      </c>
      <c r="D80" s="302"/>
      <c r="E80" s="303"/>
      <c r="F80" s="305"/>
      <c r="G80" s="305"/>
      <c r="H80" s="305"/>
      <c r="I80" s="305"/>
      <c r="J80" s="301"/>
      <c r="K80" s="305"/>
      <c r="L80" s="305"/>
      <c r="M80" s="305"/>
      <c r="N80" s="305"/>
      <c r="O80" s="316"/>
      <c r="P80" s="320"/>
      <c r="Q80" s="313"/>
      <c r="R80" s="284">
        <f>IFERROR(__xludf.DUMMYFUNCTION("SUM(QUERY(Coletas_BD!D:M,""select J where D='""&amp;D80&amp;""'"",1))"),5407.0)</f>
        <v>5407</v>
      </c>
      <c r="S80" s="284">
        <f>IFERROR(__xludf.DUMMYFUNCTION("SUM(QUERY(Coletas_BD!D:M,""select K where D='""&amp;D80&amp;""'"",1))"),25.0)</f>
        <v>25</v>
      </c>
      <c r="T80" s="284">
        <f>IFERROR(__xludf.DUMMYFUNCTION("SUM(QUERY(Coletas_BD!D:M,""select L where D='""&amp;D80&amp;""'"",1))"),75.0)</f>
        <v>75</v>
      </c>
      <c r="U80" s="284">
        <f>IFERROR(__xludf.DUMMYFUNCTION("SUM(QUERY(Coletas_BD!D:M,""select M where D='""&amp;D80&amp;""'"",1))"),250.0)</f>
        <v>250</v>
      </c>
      <c r="V80" s="284">
        <f>IFERROR(__xludf.DUMMYFUNCTION("SUM(QUERY(Coletas_BD!D:S,""select P where D='""&amp;D80&amp;""'"",1))"),65.0)</f>
        <v>65</v>
      </c>
      <c r="W80" s="284">
        <f>IFERROR(__xludf.DUMMYFUNCTION("SUM(QUERY(Coletas_BD!D:S,""select Q where D='""&amp;D80&amp;""'"",1))"),21.0)</f>
        <v>21</v>
      </c>
      <c r="X80" s="284">
        <f>IFERROR(__xludf.DUMMYFUNCTION("SUM(QUERY(Coletas_BD!D:S,""select R where D='""&amp;D80&amp;""'"",1))"),2.0)</f>
        <v>2</v>
      </c>
      <c r="Y80" s="284">
        <f>IFERROR(__xludf.DUMMYFUNCTION("SUM(QUERY(Coletas_BD!D:S,""select S where D='""&amp;D80&amp;""'"",1))"),4.0)</f>
        <v>4</v>
      </c>
      <c r="Z80" s="311"/>
    </row>
    <row r="81" ht="18.75" customHeight="1">
      <c r="A81" s="299"/>
      <c r="B81" s="300"/>
      <c r="C81" s="279">
        <v>80.0</v>
      </c>
      <c r="D81" s="302"/>
      <c r="E81" s="303"/>
      <c r="F81" s="305"/>
      <c r="G81" s="305"/>
      <c r="H81" s="305"/>
      <c r="I81" s="305"/>
      <c r="J81" s="305"/>
      <c r="K81" s="305"/>
      <c r="L81" s="305"/>
      <c r="M81" s="305"/>
      <c r="N81" s="305"/>
      <c r="O81" s="316"/>
      <c r="P81" s="305"/>
      <c r="Q81" s="313"/>
      <c r="R81" s="284">
        <f>IFERROR(__xludf.DUMMYFUNCTION("SUM(QUERY(Coletas_BD!D:M,""select J where D='""&amp;D81&amp;""'"",1))"),5407.0)</f>
        <v>5407</v>
      </c>
      <c r="S81" s="284">
        <f>IFERROR(__xludf.DUMMYFUNCTION("SUM(QUERY(Coletas_BD!D:M,""select K where D='""&amp;D81&amp;""'"",1))"),25.0)</f>
        <v>25</v>
      </c>
      <c r="T81" s="284">
        <f>IFERROR(__xludf.DUMMYFUNCTION("SUM(QUERY(Coletas_BD!D:M,""select L where D='""&amp;D81&amp;""'"",1))"),75.0)</f>
        <v>75</v>
      </c>
      <c r="U81" s="284">
        <f>IFERROR(__xludf.DUMMYFUNCTION("SUM(QUERY(Coletas_BD!D:M,""select M where D='""&amp;D81&amp;""'"",1))"),250.0)</f>
        <v>250</v>
      </c>
      <c r="V81" s="284">
        <f>IFERROR(__xludf.DUMMYFUNCTION("SUM(QUERY(Coletas_BD!D:S,""select P where D='""&amp;D81&amp;""'"",1))"),65.0)</f>
        <v>65</v>
      </c>
      <c r="W81" s="284">
        <f>IFERROR(__xludf.DUMMYFUNCTION("SUM(QUERY(Coletas_BD!D:S,""select Q where D='""&amp;D81&amp;""'"",1))"),21.0)</f>
        <v>21</v>
      </c>
      <c r="X81" s="284">
        <f>IFERROR(__xludf.DUMMYFUNCTION("SUM(QUERY(Coletas_BD!D:S,""select R where D='""&amp;D81&amp;""'"",1))"),2.0)</f>
        <v>2</v>
      </c>
      <c r="Y81" s="284">
        <f>IFERROR(__xludf.DUMMYFUNCTION("SUM(QUERY(Coletas_BD!D:S,""select S where D='""&amp;D81&amp;""'"",1))"),4.0)</f>
        <v>4</v>
      </c>
      <c r="Z81" s="309"/>
    </row>
    <row r="82" ht="18.75" customHeight="1">
      <c r="A82" s="321"/>
      <c r="B82" s="322"/>
      <c r="C82" s="279">
        <v>81.0</v>
      </c>
      <c r="D82" s="323"/>
      <c r="E82" s="323"/>
      <c r="F82" s="324"/>
      <c r="G82" s="324">
        <v>40.0</v>
      </c>
      <c r="H82" s="323" t="s">
        <v>1149</v>
      </c>
      <c r="I82" s="315"/>
      <c r="J82" s="323" t="s">
        <v>1140</v>
      </c>
      <c r="K82" s="305"/>
      <c r="L82" s="305"/>
      <c r="M82" s="323"/>
      <c r="N82" s="325"/>
      <c r="O82" s="323"/>
      <c r="P82" s="323"/>
      <c r="Q82" s="313"/>
      <c r="R82" s="284">
        <f>IFERROR(__xludf.DUMMYFUNCTION("SUM(QUERY(Coletas_BD!D:M,""select J where D='""&amp;D82&amp;""'"",1))"),5407.0)</f>
        <v>5407</v>
      </c>
      <c r="S82" s="284">
        <f>IFERROR(__xludf.DUMMYFUNCTION("SUM(QUERY(Coletas_BD!D:M,""select K where D='""&amp;D82&amp;""'"",1))"),25.0)</f>
        <v>25</v>
      </c>
      <c r="T82" s="284">
        <f>IFERROR(__xludf.DUMMYFUNCTION("SUM(QUERY(Coletas_BD!D:M,""select L where D='""&amp;D82&amp;""'"",1))"),75.0)</f>
        <v>75</v>
      </c>
      <c r="U82" s="284">
        <f>IFERROR(__xludf.DUMMYFUNCTION("SUM(QUERY(Coletas_BD!D:M,""select M where D='""&amp;D82&amp;""'"",1))"),250.0)</f>
        <v>250</v>
      </c>
      <c r="V82" s="284">
        <f>IFERROR(__xludf.DUMMYFUNCTION("SUM(QUERY(Coletas_BD!D:S,""select P where D='""&amp;D82&amp;""'"",1))"),65.0)</f>
        <v>65</v>
      </c>
      <c r="W82" s="284">
        <f>IFERROR(__xludf.DUMMYFUNCTION("SUM(QUERY(Coletas_BD!D:S,""select Q where D='""&amp;D82&amp;""'"",1))"),21.0)</f>
        <v>21</v>
      </c>
      <c r="X82" s="284">
        <f>IFERROR(__xludf.DUMMYFUNCTION("SUM(QUERY(Coletas_BD!D:S,""select R where D='""&amp;D82&amp;""'"",1))"),2.0)</f>
        <v>2</v>
      </c>
      <c r="Y82" s="284">
        <f>IFERROR(__xludf.DUMMYFUNCTION("SUM(QUERY(Coletas_BD!D:S,""select S where D='""&amp;D82&amp;""'"",1))"),4.0)</f>
        <v>4</v>
      </c>
      <c r="Z82" s="311"/>
    </row>
    <row r="83" ht="18.75" customHeight="1">
      <c r="A83" s="277"/>
      <c r="B83" s="278"/>
      <c r="C83" s="279">
        <v>82.0</v>
      </c>
      <c r="D83" s="323"/>
      <c r="E83" s="323"/>
      <c r="F83" s="324"/>
      <c r="G83" s="324">
        <v>2.0</v>
      </c>
      <c r="H83" s="323" t="s">
        <v>1150</v>
      </c>
      <c r="I83" s="315"/>
      <c r="J83" s="323" t="s">
        <v>1151</v>
      </c>
      <c r="K83" s="305"/>
      <c r="L83" s="305"/>
      <c r="M83" s="323"/>
      <c r="N83" s="325"/>
      <c r="O83" s="323"/>
      <c r="P83" s="323"/>
      <c r="Q83" s="313"/>
      <c r="R83" s="284">
        <f>IFERROR(__xludf.DUMMYFUNCTION("SUM(QUERY(Coletas_BD!D:M,""select J where D='""&amp;D83&amp;""'"",1))"),5407.0)</f>
        <v>5407</v>
      </c>
      <c r="S83" s="284">
        <f>IFERROR(__xludf.DUMMYFUNCTION("SUM(QUERY(Coletas_BD!D:M,""select K where D='""&amp;D83&amp;""'"",1))"),25.0)</f>
        <v>25</v>
      </c>
      <c r="T83" s="284">
        <f>IFERROR(__xludf.DUMMYFUNCTION("SUM(QUERY(Coletas_BD!D:M,""select L where D='""&amp;D83&amp;""'"",1))"),75.0)</f>
        <v>75</v>
      </c>
      <c r="U83" s="284">
        <f>IFERROR(__xludf.DUMMYFUNCTION("SUM(QUERY(Coletas_BD!D:M,""select M where D='""&amp;D83&amp;""'"",1))"),250.0)</f>
        <v>250</v>
      </c>
      <c r="V83" s="284">
        <f>IFERROR(__xludf.DUMMYFUNCTION("SUM(QUERY(Coletas_BD!D:S,""select P where D='""&amp;D83&amp;""'"",1))"),65.0)</f>
        <v>65</v>
      </c>
      <c r="W83" s="284">
        <f>IFERROR(__xludf.DUMMYFUNCTION("SUM(QUERY(Coletas_BD!D:S,""select Q where D='""&amp;D83&amp;""'"",1))"),21.0)</f>
        <v>21</v>
      </c>
      <c r="X83" s="284">
        <f>IFERROR(__xludf.DUMMYFUNCTION("SUM(QUERY(Coletas_BD!D:S,""select R where D='""&amp;D83&amp;""'"",1))"),2.0)</f>
        <v>2</v>
      </c>
      <c r="Y83" s="284">
        <f>IFERROR(__xludf.DUMMYFUNCTION("SUM(QUERY(Coletas_BD!D:S,""select S where D='""&amp;D83&amp;""'"",1))"),4.0)</f>
        <v>4</v>
      </c>
      <c r="Z83" s="309"/>
    </row>
    <row r="84" ht="18.75" customHeight="1">
      <c r="A84" s="277"/>
      <c r="B84" s="278"/>
      <c r="C84" s="279">
        <v>83.0</v>
      </c>
      <c r="D84" s="323"/>
      <c r="E84" s="323"/>
      <c r="F84" s="324"/>
      <c r="G84" s="324">
        <v>1.0</v>
      </c>
      <c r="H84" s="323" t="s">
        <v>1152</v>
      </c>
      <c r="I84" s="315"/>
      <c r="J84" s="323" t="s">
        <v>1136</v>
      </c>
      <c r="K84" s="305"/>
      <c r="L84" s="305"/>
      <c r="M84" s="323"/>
      <c r="N84" s="325"/>
      <c r="O84" s="323"/>
      <c r="P84" s="323"/>
      <c r="Q84" s="313"/>
      <c r="R84" s="284">
        <f>IFERROR(__xludf.DUMMYFUNCTION("SUM(QUERY(Coletas_BD!D:M,""select J where D='""&amp;D84&amp;""'"",1))"),5407.0)</f>
        <v>5407</v>
      </c>
      <c r="S84" s="284">
        <f>IFERROR(__xludf.DUMMYFUNCTION("SUM(QUERY(Coletas_BD!D:M,""select K where D='""&amp;D84&amp;""'"",1))"),25.0)</f>
        <v>25</v>
      </c>
      <c r="T84" s="284">
        <f>IFERROR(__xludf.DUMMYFUNCTION("SUM(QUERY(Coletas_BD!D:M,""select L where D='""&amp;D84&amp;""'"",1))"),75.0)</f>
        <v>75</v>
      </c>
      <c r="U84" s="284">
        <f>IFERROR(__xludf.DUMMYFUNCTION("SUM(QUERY(Coletas_BD!D:M,""select M where D='""&amp;D84&amp;""'"",1))"),250.0)</f>
        <v>250</v>
      </c>
      <c r="V84" s="284">
        <f>IFERROR(__xludf.DUMMYFUNCTION("SUM(QUERY(Coletas_BD!D:S,""select P where D='""&amp;D84&amp;""'"",1))"),65.0)</f>
        <v>65</v>
      </c>
      <c r="W84" s="284">
        <f>IFERROR(__xludf.DUMMYFUNCTION("SUM(QUERY(Coletas_BD!D:S,""select Q where D='""&amp;D84&amp;""'"",1))"),21.0)</f>
        <v>21</v>
      </c>
      <c r="X84" s="284">
        <f>IFERROR(__xludf.DUMMYFUNCTION("SUM(QUERY(Coletas_BD!D:S,""select R where D='""&amp;D84&amp;""'"",1))"),2.0)</f>
        <v>2</v>
      </c>
      <c r="Y84" s="284">
        <f>IFERROR(__xludf.DUMMYFUNCTION("SUM(QUERY(Coletas_BD!D:S,""select S where D='""&amp;D84&amp;""'"",1))"),4.0)</f>
        <v>4</v>
      </c>
      <c r="Z84" s="311"/>
    </row>
    <row r="85" ht="18.75" customHeight="1">
      <c r="A85" s="277"/>
      <c r="B85" s="278"/>
      <c r="C85" s="279">
        <v>84.0</v>
      </c>
      <c r="D85" s="323"/>
      <c r="E85" s="323"/>
      <c r="F85" s="324"/>
      <c r="G85" s="324">
        <v>1.0</v>
      </c>
      <c r="H85" s="323" t="s">
        <v>1153</v>
      </c>
      <c r="I85" s="315"/>
      <c r="J85" s="323" t="s">
        <v>1151</v>
      </c>
      <c r="K85" s="305"/>
      <c r="L85" s="305"/>
      <c r="M85" s="323"/>
      <c r="N85" s="325"/>
      <c r="O85" s="323"/>
      <c r="P85" s="323"/>
      <c r="Q85" s="313"/>
      <c r="R85" s="284">
        <f>IFERROR(__xludf.DUMMYFUNCTION("SUM(QUERY(Coletas_BD!D:M,""select J where D='""&amp;D85&amp;""'"",1))"),5407.0)</f>
        <v>5407</v>
      </c>
      <c r="S85" s="284">
        <f>IFERROR(__xludf.DUMMYFUNCTION("SUM(QUERY(Coletas_BD!D:M,""select K where D='""&amp;D85&amp;""'"",1))"),25.0)</f>
        <v>25</v>
      </c>
      <c r="T85" s="284">
        <f>IFERROR(__xludf.DUMMYFUNCTION("SUM(QUERY(Coletas_BD!D:M,""select L where D='""&amp;D85&amp;""'"",1))"),75.0)</f>
        <v>75</v>
      </c>
      <c r="U85" s="284">
        <f>IFERROR(__xludf.DUMMYFUNCTION("SUM(QUERY(Coletas_BD!D:M,""select M where D='""&amp;D85&amp;""'"",1))"),250.0)</f>
        <v>250</v>
      </c>
      <c r="V85" s="284">
        <f>IFERROR(__xludf.DUMMYFUNCTION("SUM(QUERY(Coletas_BD!D:S,""select P where D='""&amp;D85&amp;""'"",1))"),65.0)</f>
        <v>65</v>
      </c>
      <c r="W85" s="284">
        <f>IFERROR(__xludf.DUMMYFUNCTION("SUM(QUERY(Coletas_BD!D:S,""select Q where D='""&amp;D85&amp;""'"",1))"),21.0)</f>
        <v>21</v>
      </c>
      <c r="X85" s="284">
        <f>IFERROR(__xludf.DUMMYFUNCTION("SUM(QUERY(Coletas_BD!D:S,""select R where D='""&amp;D85&amp;""'"",1))"),2.0)</f>
        <v>2</v>
      </c>
      <c r="Y85" s="284">
        <f>IFERROR(__xludf.DUMMYFUNCTION("SUM(QUERY(Coletas_BD!D:S,""select S where D='""&amp;D85&amp;""'"",1))"),4.0)</f>
        <v>4</v>
      </c>
      <c r="Z85" s="295"/>
    </row>
    <row r="86" ht="18.75" customHeight="1">
      <c r="A86" s="277"/>
      <c r="B86" s="278"/>
      <c r="C86" s="279">
        <v>85.0</v>
      </c>
      <c r="D86" s="323"/>
      <c r="E86" s="323"/>
      <c r="F86" s="324"/>
      <c r="G86" s="324">
        <v>1.0</v>
      </c>
      <c r="H86" s="323" t="s">
        <v>1154</v>
      </c>
      <c r="I86" s="315"/>
      <c r="J86" s="323" t="s">
        <v>1142</v>
      </c>
      <c r="K86" s="305"/>
      <c r="L86" s="305"/>
      <c r="M86" s="323"/>
      <c r="N86" s="325"/>
      <c r="O86" s="323"/>
      <c r="P86" s="323"/>
      <c r="Q86" s="313"/>
      <c r="R86" s="284">
        <f>IFERROR(__xludf.DUMMYFUNCTION("SUM(QUERY(Coletas_BD!D:M,""select J where D='""&amp;D86&amp;""'"",1))"),5407.0)</f>
        <v>5407</v>
      </c>
      <c r="S86" s="284">
        <f>IFERROR(__xludf.DUMMYFUNCTION("SUM(QUERY(Coletas_BD!D:M,""select K where D='""&amp;D86&amp;""'"",1))"),25.0)</f>
        <v>25</v>
      </c>
      <c r="T86" s="284">
        <f>IFERROR(__xludf.DUMMYFUNCTION("SUM(QUERY(Coletas_BD!D:M,""select L where D='""&amp;D86&amp;""'"",1))"),75.0)</f>
        <v>75</v>
      </c>
      <c r="U86" s="284">
        <f>IFERROR(__xludf.DUMMYFUNCTION("SUM(QUERY(Coletas_BD!D:M,""select M where D='""&amp;D86&amp;""'"",1))"),250.0)</f>
        <v>250</v>
      </c>
      <c r="V86" s="284">
        <f>IFERROR(__xludf.DUMMYFUNCTION("SUM(QUERY(Coletas_BD!D:S,""select P where D='""&amp;D86&amp;""'"",1))"),65.0)</f>
        <v>65</v>
      </c>
      <c r="W86" s="284">
        <f>IFERROR(__xludf.DUMMYFUNCTION("SUM(QUERY(Coletas_BD!D:S,""select Q where D='""&amp;D86&amp;""'"",1))"),21.0)</f>
        <v>21</v>
      </c>
      <c r="X86" s="284">
        <f>IFERROR(__xludf.DUMMYFUNCTION("SUM(QUERY(Coletas_BD!D:S,""select R where D='""&amp;D86&amp;""'"",1))"),2.0)</f>
        <v>2</v>
      </c>
      <c r="Y86" s="284">
        <f>IFERROR(__xludf.DUMMYFUNCTION("SUM(QUERY(Coletas_BD!D:S,""select S where D='""&amp;D86&amp;""'"",1))"),4.0)</f>
        <v>4</v>
      </c>
      <c r="Z86" s="311"/>
    </row>
    <row r="87" ht="18.75" customHeight="1">
      <c r="A87" s="277"/>
      <c r="B87" s="278"/>
      <c r="C87" s="279">
        <v>86.0</v>
      </c>
      <c r="D87" s="323"/>
      <c r="E87" s="323"/>
      <c r="F87" s="324"/>
      <c r="G87" s="324">
        <v>3.0</v>
      </c>
      <c r="H87" s="323" t="s">
        <v>1155</v>
      </c>
      <c r="I87" s="323" t="s">
        <v>1156</v>
      </c>
      <c r="J87" s="323" t="s">
        <v>1151</v>
      </c>
      <c r="K87" s="305"/>
      <c r="L87" s="305"/>
      <c r="M87" s="323"/>
      <c r="N87" s="325"/>
      <c r="O87" s="323"/>
      <c r="P87" s="323"/>
      <c r="Q87" s="313"/>
      <c r="R87" s="284">
        <f>IFERROR(__xludf.DUMMYFUNCTION("SUM(QUERY(Coletas_BD!D:M,""select J where D='""&amp;D87&amp;""'"",1))"),5407.0)</f>
        <v>5407</v>
      </c>
      <c r="S87" s="284">
        <f>IFERROR(__xludf.DUMMYFUNCTION("SUM(QUERY(Coletas_BD!D:M,""select K where D='""&amp;D87&amp;""'"",1))"),25.0)</f>
        <v>25</v>
      </c>
      <c r="T87" s="284">
        <f>IFERROR(__xludf.DUMMYFUNCTION("SUM(QUERY(Coletas_BD!D:M,""select L where D='""&amp;D87&amp;""'"",1))"),75.0)</f>
        <v>75</v>
      </c>
      <c r="U87" s="284">
        <f>IFERROR(__xludf.DUMMYFUNCTION("SUM(QUERY(Coletas_BD!D:M,""select M where D='""&amp;D87&amp;""'"",1))"),250.0)</f>
        <v>250</v>
      </c>
      <c r="V87" s="284">
        <f>IFERROR(__xludf.DUMMYFUNCTION("SUM(QUERY(Coletas_BD!D:S,""select P where D='""&amp;D87&amp;""'"",1))"),65.0)</f>
        <v>65</v>
      </c>
      <c r="W87" s="284">
        <f>IFERROR(__xludf.DUMMYFUNCTION("SUM(QUERY(Coletas_BD!D:S,""select Q where D='""&amp;D87&amp;""'"",1))"),21.0)</f>
        <v>21</v>
      </c>
      <c r="X87" s="284">
        <f>IFERROR(__xludf.DUMMYFUNCTION("SUM(QUERY(Coletas_BD!D:S,""select R where D='""&amp;D87&amp;""'"",1))"),2.0)</f>
        <v>2</v>
      </c>
      <c r="Y87" s="284">
        <f>IFERROR(__xludf.DUMMYFUNCTION("SUM(QUERY(Coletas_BD!D:S,""select S where D='""&amp;D87&amp;""'"",1))"),4.0)</f>
        <v>4</v>
      </c>
      <c r="Z87" s="309"/>
    </row>
    <row r="88" ht="18.75" customHeight="1">
      <c r="A88" s="277"/>
      <c r="B88" s="278"/>
      <c r="C88" s="279">
        <v>87.0</v>
      </c>
      <c r="D88" s="323"/>
      <c r="E88" s="323"/>
      <c r="F88" s="324"/>
      <c r="G88" s="323">
        <v>2.0</v>
      </c>
      <c r="H88" s="323" t="s">
        <v>1157</v>
      </c>
      <c r="I88" s="315"/>
      <c r="J88" s="323" t="s">
        <v>1151</v>
      </c>
      <c r="K88" s="305"/>
      <c r="L88" s="305"/>
      <c r="M88" s="323"/>
      <c r="N88" s="325"/>
      <c r="O88" s="323"/>
      <c r="P88" s="323"/>
      <c r="Q88" s="313"/>
      <c r="R88" s="284">
        <f>IFERROR(__xludf.DUMMYFUNCTION("SUM(QUERY(Coletas_BD!D:M,""select J where D='""&amp;D88&amp;""'"",1))"),5407.0)</f>
        <v>5407</v>
      </c>
      <c r="S88" s="284">
        <f>IFERROR(__xludf.DUMMYFUNCTION("SUM(QUERY(Coletas_BD!D:M,""select K where D='""&amp;D88&amp;""'"",1))"),25.0)</f>
        <v>25</v>
      </c>
      <c r="T88" s="284">
        <f>IFERROR(__xludf.DUMMYFUNCTION("SUM(QUERY(Coletas_BD!D:M,""select L where D='""&amp;D88&amp;""'"",1))"),75.0)</f>
        <v>75</v>
      </c>
      <c r="U88" s="284">
        <f>IFERROR(__xludf.DUMMYFUNCTION("SUM(QUERY(Coletas_BD!D:M,""select M where D='""&amp;D88&amp;""'"",1))"),250.0)</f>
        <v>250</v>
      </c>
      <c r="V88" s="284">
        <f>IFERROR(__xludf.DUMMYFUNCTION("SUM(QUERY(Coletas_BD!D:S,""select P where D='""&amp;D88&amp;""'"",1))"),65.0)</f>
        <v>65</v>
      </c>
      <c r="W88" s="284">
        <f>IFERROR(__xludf.DUMMYFUNCTION("SUM(QUERY(Coletas_BD!D:S,""select Q where D='""&amp;D88&amp;""'"",1))"),21.0)</f>
        <v>21</v>
      </c>
      <c r="X88" s="284">
        <f>IFERROR(__xludf.DUMMYFUNCTION("SUM(QUERY(Coletas_BD!D:S,""select R where D='""&amp;D88&amp;""'"",1))"),2.0)</f>
        <v>2</v>
      </c>
      <c r="Y88" s="284">
        <f>IFERROR(__xludf.DUMMYFUNCTION("SUM(QUERY(Coletas_BD!D:S,""select S where D='""&amp;D88&amp;""'"",1))"),4.0)</f>
        <v>4</v>
      </c>
      <c r="Z88" s="311"/>
    </row>
    <row r="89" ht="18.75" customHeight="1">
      <c r="A89" s="277"/>
      <c r="B89" s="278"/>
      <c r="C89" s="279">
        <v>88.0</v>
      </c>
      <c r="D89" s="323"/>
      <c r="E89" s="323"/>
      <c r="F89" s="324"/>
      <c r="G89" s="324">
        <v>1.0</v>
      </c>
      <c r="H89" s="323" t="s">
        <v>1158</v>
      </c>
      <c r="I89" s="323" t="s">
        <v>1159</v>
      </c>
      <c r="J89" s="323" t="s">
        <v>1136</v>
      </c>
      <c r="K89" s="305"/>
      <c r="L89" s="305"/>
      <c r="M89" s="323"/>
      <c r="N89" s="325"/>
      <c r="O89" s="323"/>
      <c r="P89" s="323"/>
      <c r="Q89" s="313"/>
      <c r="R89" s="284">
        <f>IFERROR(__xludf.DUMMYFUNCTION("SUM(QUERY(Coletas_BD!D:M,""select J where D='""&amp;D89&amp;""'"",1))"),5407.0)</f>
        <v>5407</v>
      </c>
      <c r="S89" s="284">
        <f>IFERROR(__xludf.DUMMYFUNCTION("SUM(QUERY(Coletas_BD!D:M,""select K where D='""&amp;D89&amp;""'"",1))"),25.0)</f>
        <v>25</v>
      </c>
      <c r="T89" s="284">
        <f>IFERROR(__xludf.DUMMYFUNCTION("SUM(QUERY(Coletas_BD!D:M,""select L where D='""&amp;D89&amp;""'"",1))"),75.0)</f>
        <v>75</v>
      </c>
      <c r="U89" s="284">
        <f>IFERROR(__xludf.DUMMYFUNCTION("SUM(QUERY(Coletas_BD!D:M,""select M where D='""&amp;D89&amp;""'"",1))"),250.0)</f>
        <v>250</v>
      </c>
      <c r="V89" s="284">
        <f>IFERROR(__xludf.DUMMYFUNCTION("SUM(QUERY(Coletas_BD!D:S,""select P where D='""&amp;D89&amp;""'"",1))"),65.0)</f>
        <v>65</v>
      </c>
      <c r="W89" s="284">
        <f>IFERROR(__xludf.DUMMYFUNCTION("SUM(QUERY(Coletas_BD!D:S,""select Q where D='""&amp;D89&amp;""'"",1))"),21.0)</f>
        <v>21</v>
      </c>
      <c r="X89" s="284">
        <f>IFERROR(__xludf.DUMMYFUNCTION("SUM(QUERY(Coletas_BD!D:S,""select R where D='""&amp;D89&amp;""'"",1))"),2.0)</f>
        <v>2</v>
      </c>
      <c r="Y89" s="284">
        <f>IFERROR(__xludf.DUMMYFUNCTION("SUM(QUERY(Coletas_BD!D:S,""select S where D='""&amp;D89&amp;""'"",1))"),4.0)</f>
        <v>4</v>
      </c>
      <c r="Z89" s="309"/>
    </row>
    <row r="90" ht="18.75" customHeight="1">
      <c r="A90" s="277"/>
      <c r="B90" s="278"/>
      <c r="C90" s="279">
        <v>89.0</v>
      </c>
      <c r="D90" s="323"/>
      <c r="E90" s="323"/>
      <c r="F90" s="324"/>
      <c r="G90" s="324">
        <v>1.0</v>
      </c>
      <c r="H90" s="323" t="s">
        <v>1160</v>
      </c>
      <c r="I90" s="315"/>
      <c r="J90" s="323" t="s">
        <v>1161</v>
      </c>
      <c r="K90" s="305"/>
      <c r="L90" s="305"/>
      <c r="M90" s="323"/>
      <c r="N90" s="325"/>
      <c r="O90" s="323"/>
      <c r="P90" s="323"/>
      <c r="Q90" s="313"/>
      <c r="R90" s="284">
        <f>IFERROR(__xludf.DUMMYFUNCTION("SUM(QUERY(Coletas_BD!D:M,""select J where D='""&amp;D90&amp;""'"",1))"),5407.0)</f>
        <v>5407</v>
      </c>
      <c r="S90" s="284">
        <f>IFERROR(__xludf.DUMMYFUNCTION("SUM(QUERY(Coletas_BD!D:M,""select K where D='""&amp;D90&amp;""'"",1))"),25.0)</f>
        <v>25</v>
      </c>
      <c r="T90" s="284">
        <f>IFERROR(__xludf.DUMMYFUNCTION("SUM(QUERY(Coletas_BD!D:M,""select L where D='""&amp;D90&amp;""'"",1))"),75.0)</f>
        <v>75</v>
      </c>
      <c r="U90" s="284">
        <f>IFERROR(__xludf.DUMMYFUNCTION("SUM(QUERY(Coletas_BD!D:M,""select M where D='""&amp;D90&amp;""'"",1))"),250.0)</f>
        <v>250</v>
      </c>
      <c r="V90" s="284">
        <f>IFERROR(__xludf.DUMMYFUNCTION("SUM(QUERY(Coletas_BD!D:S,""select P where D='""&amp;D90&amp;""'"",1))"),65.0)</f>
        <v>65</v>
      </c>
      <c r="W90" s="284">
        <f>IFERROR(__xludf.DUMMYFUNCTION("SUM(QUERY(Coletas_BD!D:S,""select Q where D='""&amp;D90&amp;""'"",1))"),21.0)</f>
        <v>21</v>
      </c>
      <c r="X90" s="284">
        <f>IFERROR(__xludf.DUMMYFUNCTION("SUM(QUERY(Coletas_BD!D:S,""select R where D='""&amp;D90&amp;""'"",1))"),2.0)</f>
        <v>2</v>
      </c>
      <c r="Y90" s="284">
        <f>IFERROR(__xludf.DUMMYFUNCTION("SUM(QUERY(Coletas_BD!D:S,""select S where D='""&amp;D90&amp;""'"",1))"),4.0)</f>
        <v>4</v>
      </c>
      <c r="Z90" s="311"/>
    </row>
    <row r="91" ht="18.75" customHeight="1">
      <c r="A91" s="277"/>
      <c r="B91" s="278"/>
      <c r="C91" s="279">
        <v>90.0</v>
      </c>
      <c r="D91" s="323"/>
      <c r="E91" s="323"/>
      <c r="F91" s="324"/>
      <c r="G91" s="324">
        <v>4.0</v>
      </c>
      <c r="H91" s="323" t="s">
        <v>1162</v>
      </c>
      <c r="I91" s="315"/>
      <c r="J91" s="323" t="s">
        <v>1140</v>
      </c>
      <c r="K91" s="305"/>
      <c r="L91" s="305"/>
      <c r="M91" s="323"/>
      <c r="N91" s="325"/>
      <c r="O91" s="323"/>
      <c r="P91" s="323"/>
      <c r="Q91" s="313"/>
      <c r="R91" s="284">
        <f>IFERROR(__xludf.DUMMYFUNCTION("SUM(QUERY(Coletas_BD!D:M,""select J where D='""&amp;D91&amp;""'"",1))"),5407.0)</f>
        <v>5407</v>
      </c>
      <c r="S91" s="284">
        <f>IFERROR(__xludf.DUMMYFUNCTION("SUM(QUERY(Coletas_BD!D:M,""select K where D='""&amp;D91&amp;""'"",1))"),25.0)</f>
        <v>25</v>
      </c>
      <c r="T91" s="284">
        <f>IFERROR(__xludf.DUMMYFUNCTION("SUM(QUERY(Coletas_BD!D:M,""select L where D='""&amp;D91&amp;""'"",1))"),75.0)</f>
        <v>75</v>
      </c>
      <c r="U91" s="284">
        <f>IFERROR(__xludf.DUMMYFUNCTION("SUM(QUERY(Coletas_BD!D:M,""select M where D='""&amp;D91&amp;""'"",1))"),250.0)</f>
        <v>250</v>
      </c>
      <c r="V91" s="284">
        <f>IFERROR(__xludf.DUMMYFUNCTION("SUM(QUERY(Coletas_BD!D:S,""select P where D='""&amp;D91&amp;""'"",1))"),65.0)</f>
        <v>65</v>
      </c>
      <c r="W91" s="284">
        <f>IFERROR(__xludf.DUMMYFUNCTION("SUM(QUERY(Coletas_BD!D:S,""select Q where D='""&amp;D91&amp;""'"",1))"),21.0)</f>
        <v>21</v>
      </c>
      <c r="X91" s="284">
        <f>IFERROR(__xludf.DUMMYFUNCTION("SUM(QUERY(Coletas_BD!D:S,""select R where D='""&amp;D91&amp;""'"",1))"),2.0)</f>
        <v>2</v>
      </c>
      <c r="Y91" s="284">
        <f>IFERROR(__xludf.DUMMYFUNCTION("SUM(QUERY(Coletas_BD!D:S,""select S where D='""&amp;D91&amp;""'"",1))"),4.0)</f>
        <v>4</v>
      </c>
      <c r="Z91" s="295"/>
    </row>
    <row r="92" ht="18.75" customHeight="1">
      <c r="A92" s="326"/>
      <c r="B92" s="327"/>
      <c r="C92" s="279">
        <v>91.0</v>
      </c>
      <c r="D92" s="323"/>
      <c r="E92" s="323"/>
      <c r="F92" s="324"/>
      <c r="G92" s="324" t="s">
        <v>1163</v>
      </c>
      <c r="H92" s="323" t="s">
        <v>1164</v>
      </c>
      <c r="I92" s="323" t="s">
        <v>1165</v>
      </c>
      <c r="J92" s="323" t="s">
        <v>1140</v>
      </c>
      <c r="K92" s="305"/>
      <c r="L92" s="305"/>
      <c r="M92" s="323"/>
      <c r="N92" s="325"/>
      <c r="O92" s="323"/>
      <c r="P92" s="325"/>
      <c r="Q92" s="328"/>
      <c r="R92" s="284">
        <f>IFERROR(__xludf.DUMMYFUNCTION("SUM(QUERY(Coletas_BD!D:M,""select J where D='""&amp;D92&amp;""'"",1))"),5407.0)</f>
        <v>5407</v>
      </c>
      <c r="S92" s="284">
        <f>IFERROR(__xludf.DUMMYFUNCTION("SUM(QUERY(Coletas_BD!D:M,""select K where D='""&amp;D92&amp;""'"",1))"),25.0)</f>
        <v>25</v>
      </c>
      <c r="T92" s="284">
        <f>IFERROR(__xludf.DUMMYFUNCTION("SUM(QUERY(Coletas_BD!D:M,""select L where D='""&amp;D92&amp;""'"",1))"),75.0)</f>
        <v>75</v>
      </c>
      <c r="U92" s="284">
        <f>IFERROR(__xludf.DUMMYFUNCTION("SUM(QUERY(Coletas_BD!D:M,""select M where D='""&amp;D92&amp;""'"",1))"),250.0)</f>
        <v>250</v>
      </c>
      <c r="V92" s="284">
        <f>IFERROR(__xludf.DUMMYFUNCTION("SUM(QUERY(Coletas_BD!D:S,""select P where D='""&amp;D92&amp;""'"",1))"),65.0)</f>
        <v>65</v>
      </c>
      <c r="W92" s="284">
        <f>IFERROR(__xludf.DUMMYFUNCTION("SUM(QUERY(Coletas_BD!D:S,""select Q where D='""&amp;D92&amp;""'"",1))"),21.0)</f>
        <v>21</v>
      </c>
      <c r="X92" s="284">
        <f>IFERROR(__xludf.DUMMYFUNCTION("SUM(QUERY(Coletas_BD!D:S,""select R where D='""&amp;D92&amp;""'"",1))"),2.0)</f>
        <v>2</v>
      </c>
      <c r="Y92" s="284">
        <f>IFERROR(__xludf.DUMMYFUNCTION("SUM(QUERY(Coletas_BD!D:S,""select S where D='""&amp;D92&amp;""'"",1))"),4.0)</f>
        <v>4</v>
      </c>
      <c r="Z92" s="311"/>
    </row>
    <row r="93" ht="18.75" customHeight="1">
      <c r="A93" s="326"/>
      <c r="B93" s="327"/>
      <c r="C93" s="279">
        <v>92.0</v>
      </c>
      <c r="D93" s="323"/>
      <c r="E93" s="323"/>
      <c r="F93" s="324"/>
      <c r="G93" s="324">
        <v>0.0</v>
      </c>
      <c r="H93" s="323"/>
      <c r="I93" s="323" t="s">
        <v>1166</v>
      </c>
      <c r="J93" s="323"/>
      <c r="K93" s="305"/>
      <c r="L93" s="305"/>
      <c r="M93" s="323"/>
      <c r="N93" s="325"/>
      <c r="O93" s="323"/>
      <c r="P93" s="323"/>
      <c r="Q93" s="328"/>
      <c r="R93" s="284">
        <f>IFERROR(__xludf.DUMMYFUNCTION("SUM(QUERY(Coletas_BD!D:M,""select J where D='""&amp;D93&amp;""'"",1))"),5407.0)</f>
        <v>5407</v>
      </c>
      <c r="S93" s="284">
        <f>IFERROR(__xludf.DUMMYFUNCTION("SUM(QUERY(Coletas_BD!D:M,""select K where D='""&amp;D93&amp;""'"",1))"),25.0)</f>
        <v>25</v>
      </c>
      <c r="T93" s="284">
        <f>IFERROR(__xludf.DUMMYFUNCTION("SUM(QUERY(Coletas_BD!D:M,""select L where D='""&amp;D93&amp;""'"",1))"),75.0)</f>
        <v>75</v>
      </c>
      <c r="U93" s="284">
        <f>IFERROR(__xludf.DUMMYFUNCTION("SUM(QUERY(Coletas_BD!D:M,""select M where D='""&amp;D93&amp;""'"",1))"),250.0)</f>
        <v>250</v>
      </c>
      <c r="V93" s="284">
        <f>IFERROR(__xludf.DUMMYFUNCTION("SUM(QUERY(Coletas_BD!D:S,""select P where D='""&amp;D93&amp;""'"",1))"),65.0)</f>
        <v>65</v>
      </c>
      <c r="W93" s="284">
        <f>IFERROR(__xludf.DUMMYFUNCTION("SUM(QUERY(Coletas_BD!D:S,""select Q where D='""&amp;D93&amp;""'"",1))"),21.0)</f>
        <v>21</v>
      </c>
      <c r="X93" s="284">
        <f>IFERROR(__xludf.DUMMYFUNCTION("SUM(QUERY(Coletas_BD!D:S,""select R where D='""&amp;D93&amp;""'"",1))"),2.0)</f>
        <v>2</v>
      </c>
      <c r="Y93" s="284">
        <f>IFERROR(__xludf.DUMMYFUNCTION("SUM(QUERY(Coletas_BD!D:S,""select S where D='""&amp;D93&amp;""'"",1))"),4.0)</f>
        <v>4</v>
      </c>
      <c r="Z93" s="309"/>
    </row>
    <row r="94" ht="18.75" customHeight="1">
      <c r="A94" s="329"/>
      <c r="B94" s="327"/>
      <c r="C94" s="279">
        <v>93.0</v>
      </c>
      <c r="D94" s="323"/>
      <c r="E94" s="323"/>
      <c r="F94" s="324"/>
      <c r="G94" s="324">
        <v>1.0</v>
      </c>
      <c r="H94" s="323" t="s">
        <v>1167</v>
      </c>
      <c r="I94" s="323" t="s">
        <v>1168</v>
      </c>
      <c r="J94" s="323" t="s">
        <v>1136</v>
      </c>
      <c r="K94" s="305"/>
      <c r="L94" s="305"/>
      <c r="M94" s="323"/>
      <c r="N94" s="325"/>
      <c r="O94" s="323"/>
      <c r="P94" s="323"/>
      <c r="Q94" s="330"/>
      <c r="R94" s="284">
        <f>IFERROR(__xludf.DUMMYFUNCTION("SUM(QUERY(Coletas_BD!D:M,""select J where D='""&amp;D94&amp;""'"",1))"),5407.0)</f>
        <v>5407</v>
      </c>
      <c r="S94" s="284">
        <f>IFERROR(__xludf.DUMMYFUNCTION("SUM(QUERY(Coletas_BD!D:M,""select K where D='""&amp;D94&amp;""'"",1))"),25.0)</f>
        <v>25</v>
      </c>
      <c r="T94" s="284">
        <f>IFERROR(__xludf.DUMMYFUNCTION("SUM(QUERY(Coletas_BD!D:M,""select L where D='""&amp;D94&amp;""'"",1))"),75.0)</f>
        <v>75</v>
      </c>
      <c r="U94" s="284">
        <f>IFERROR(__xludf.DUMMYFUNCTION("SUM(QUERY(Coletas_BD!D:M,""select M where D='""&amp;D94&amp;""'"",1))"),250.0)</f>
        <v>250</v>
      </c>
      <c r="V94" s="284">
        <f>IFERROR(__xludf.DUMMYFUNCTION("SUM(QUERY(Coletas_BD!D:S,""select P where D='""&amp;D94&amp;""'"",1))"),65.0)</f>
        <v>65</v>
      </c>
      <c r="W94" s="284">
        <f>IFERROR(__xludf.DUMMYFUNCTION("SUM(QUERY(Coletas_BD!D:S,""select Q where D='""&amp;D94&amp;""'"",1))"),21.0)</f>
        <v>21</v>
      </c>
      <c r="X94" s="284">
        <f>IFERROR(__xludf.DUMMYFUNCTION("SUM(QUERY(Coletas_BD!D:S,""select R where D='""&amp;D94&amp;""'"",1))"),2.0)</f>
        <v>2</v>
      </c>
      <c r="Y94" s="284">
        <f>IFERROR(__xludf.DUMMYFUNCTION("SUM(QUERY(Coletas_BD!D:S,""select S where D='""&amp;D94&amp;""'"",1))"),4.0)</f>
        <v>4</v>
      </c>
      <c r="Z94" s="309"/>
    </row>
    <row r="95" ht="18.75" customHeight="1">
      <c r="A95" s="329"/>
      <c r="B95" s="327"/>
      <c r="C95" s="279">
        <v>94.0</v>
      </c>
      <c r="D95" s="323"/>
      <c r="E95" s="323"/>
      <c r="F95" s="324"/>
      <c r="G95" s="324">
        <v>2.0</v>
      </c>
      <c r="H95" s="323" t="s">
        <v>1169</v>
      </c>
      <c r="I95" s="323" t="s">
        <v>1170</v>
      </c>
      <c r="J95" s="323" t="s">
        <v>1140</v>
      </c>
      <c r="K95" s="305"/>
      <c r="L95" s="305"/>
      <c r="M95" s="323"/>
      <c r="N95" s="325"/>
      <c r="O95" s="323"/>
      <c r="P95" s="323"/>
      <c r="Q95" s="330"/>
      <c r="R95" s="284">
        <f>IFERROR(__xludf.DUMMYFUNCTION("SUM(QUERY(Coletas_BD!D:M,""select J where D='""&amp;D95&amp;""'"",1))"),5407.0)</f>
        <v>5407</v>
      </c>
      <c r="S95" s="284">
        <f>IFERROR(__xludf.DUMMYFUNCTION("SUM(QUERY(Coletas_BD!D:M,""select K where D='""&amp;D95&amp;""'"",1))"),25.0)</f>
        <v>25</v>
      </c>
      <c r="T95" s="284">
        <f>IFERROR(__xludf.DUMMYFUNCTION("SUM(QUERY(Coletas_BD!D:M,""select L where D='""&amp;D95&amp;""'"",1))"),75.0)</f>
        <v>75</v>
      </c>
      <c r="U95" s="284">
        <f>IFERROR(__xludf.DUMMYFUNCTION("SUM(QUERY(Coletas_BD!D:M,""select M where D='""&amp;D95&amp;""'"",1))"),250.0)</f>
        <v>250</v>
      </c>
      <c r="V95" s="284">
        <f>IFERROR(__xludf.DUMMYFUNCTION("SUM(QUERY(Coletas_BD!D:S,""select P where D='""&amp;D95&amp;""'"",1))"),65.0)</f>
        <v>65</v>
      </c>
      <c r="W95" s="284">
        <f>IFERROR(__xludf.DUMMYFUNCTION("SUM(QUERY(Coletas_BD!D:S,""select Q where D='""&amp;D95&amp;""'"",1))"),21.0)</f>
        <v>21</v>
      </c>
      <c r="X95" s="284">
        <f>IFERROR(__xludf.DUMMYFUNCTION("SUM(QUERY(Coletas_BD!D:S,""select R where D='""&amp;D95&amp;""'"",1))"),2.0)</f>
        <v>2</v>
      </c>
      <c r="Y95" s="284">
        <f>IFERROR(__xludf.DUMMYFUNCTION("SUM(QUERY(Coletas_BD!D:S,""select S where D='""&amp;D95&amp;""'"",1))"),4.0)</f>
        <v>4</v>
      </c>
      <c r="Z95" s="309"/>
    </row>
    <row r="96" ht="18.75" customHeight="1">
      <c r="A96" s="329"/>
      <c r="B96" s="327"/>
      <c r="C96" s="279">
        <v>95.0</v>
      </c>
      <c r="D96" s="331"/>
      <c r="E96" s="331"/>
      <c r="F96" s="324"/>
      <c r="G96" s="328">
        <v>1.0</v>
      </c>
      <c r="H96" s="331" t="s">
        <v>1149</v>
      </c>
      <c r="I96" s="323"/>
      <c r="J96" s="331" t="s">
        <v>1171</v>
      </c>
      <c r="K96" s="305"/>
      <c r="L96" s="305"/>
      <c r="M96" s="323"/>
      <c r="N96" s="325"/>
      <c r="O96" s="331"/>
      <c r="P96" s="323"/>
      <c r="Q96" s="330"/>
      <c r="R96" s="284">
        <f>IFERROR(__xludf.DUMMYFUNCTION("SUM(QUERY(Coletas_BD!D:M,""select J where D='""&amp;D96&amp;""'"",1))"),5407.0)</f>
        <v>5407</v>
      </c>
      <c r="S96" s="284">
        <f>IFERROR(__xludf.DUMMYFUNCTION("SUM(QUERY(Coletas_BD!D:M,""select K where D='""&amp;D96&amp;""'"",1))"),25.0)</f>
        <v>25</v>
      </c>
      <c r="T96" s="284">
        <f>IFERROR(__xludf.DUMMYFUNCTION("SUM(QUERY(Coletas_BD!D:M,""select L where D='""&amp;D96&amp;""'"",1))"),75.0)</f>
        <v>75</v>
      </c>
      <c r="U96" s="284">
        <f>IFERROR(__xludf.DUMMYFUNCTION("SUM(QUERY(Coletas_BD!D:M,""select M where D='""&amp;D96&amp;""'"",1))"),250.0)</f>
        <v>250</v>
      </c>
      <c r="V96" s="284">
        <f>IFERROR(__xludf.DUMMYFUNCTION("SUM(QUERY(Coletas_BD!D:S,""select P where D='""&amp;D96&amp;""'"",1))"),65.0)</f>
        <v>65</v>
      </c>
      <c r="W96" s="284">
        <f>IFERROR(__xludf.DUMMYFUNCTION("SUM(QUERY(Coletas_BD!D:S,""select Q where D='""&amp;D96&amp;""'"",1))"),21.0)</f>
        <v>21</v>
      </c>
      <c r="X96" s="284">
        <f>IFERROR(__xludf.DUMMYFUNCTION("SUM(QUERY(Coletas_BD!D:S,""select R where D='""&amp;D96&amp;""'"",1))"),2.0)</f>
        <v>2</v>
      </c>
      <c r="Y96" s="284">
        <f>IFERROR(__xludf.DUMMYFUNCTION("SUM(QUERY(Coletas_BD!D:S,""select S where D='""&amp;D96&amp;""'"",1))"),4.0)</f>
        <v>4</v>
      </c>
      <c r="Z96" s="309"/>
    </row>
    <row r="97" ht="18.75" customHeight="1">
      <c r="A97" s="329"/>
      <c r="B97" s="327"/>
      <c r="C97" s="279">
        <v>96.0</v>
      </c>
      <c r="D97" s="331"/>
      <c r="E97" s="331"/>
      <c r="F97" s="324"/>
      <c r="G97" s="328">
        <v>1.0</v>
      </c>
      <c r="H97" s="331" t="s">
        <v>1172</v>
      </c>
      <c r="I97" s="323"/>
      <c r="J97" s="331" t="s">
        <v>1173</v>
      </c>
      <c r="K97" s="305"/>
      <c r="L97" s="305"/>
      <c r="M97" s="323"/>
      <c r="N97" s="325"/>
      <c r="O97" s="331"/>
      <c r="P97" s="323"/>
      <c r="Q97" s="330"/>
      <c r="R97" s="284">
        <f>IFERROR(__xludf.DUMMYFUNCTION("SUM(QUERY(Coletas_BD!D:M,""select J where D='""&amp;D97&amp;""'"",1))"),5407.0)</f>
        <v>5407</v>
      </c>
      <c r="S97" s="284">
        <f>IFERROR(__xludf.DUMMYFUNCTION("SUM(QUERY(Coletas_BD!D:M,""select K where D='""&amp;D97&amp;""'"",1))"),25.0)</f>
        <v>25</v>
      </c>
      <c r="T97" s="284">
        <f>IFERROR(__xludf.DUMMYFUNCTION("SUM(QUERY(Coletas_BD!D:M,""select L where D='""&amp;D97&amp;""'"",1))"),75.0)</f>
        <v>75</v>
      </c>
      <c r="U97" s="284">
        <f>IFERROR(__xludf.DUMMYFUNCTION("SUM(QUERY(Coletas_BD!D:M,""select M where D='""&amp;D97&amp;""'"",1))"),250.0)</f>
        <v>250</v>
      </c>
      <c r="V97" s="284">
        <f>IFERROR(__xludf.DUMMYFUNCTION("SUM(QUERY(Coletas_BD!D:S,""select P where D='""&amp;D97&amp;""'"",1))"),65.0)</f>
        <v>65</v>
      </c>
      <c r="W97" s="284">
        <f>IFERROR(__xludf.DUMMYFUNCTION("SUM(QUERY(Coletas_BD!D:S,""select Q where D='""&amp;D97&amp;""'"",1))"),21.0)</f>
        <v>21</v>
      </c>
      <c r="X97" s="284">
        <f>IFERROR(__xludf.DUMMYFUNCTION("SUM(QUERY(Coletas_BD!D:S,""select R where D='""&amp;D97&amp;""'"",1))"),2.0)</f>
        <v>2</v>
      </c>
      <c r="Y97" s="284">
        <f>IFERROR(__xludf.DUMMYFUNCTION("SUM(QUERY(Coletas_BD!D:S,""select S where D='""&amp;D97&amp;""'"",1))"),4.0)</f>
        <v>4</v>
      </c>
      <c r="Z97" s="309"/>
    </row>
    <row r="98" ht="18.75" customHeight="1">
      <c r="A98" s="329"/>
      <c r="B98" s="327"/>
      <c r="C98" s="279">
        <v>97.0</v>
      </c>
      <c r="D98" s="331"/>
      <c r="E98" s="331"/>
      <c r="F98" s="324"/>
      <c r="G98" s="328">
        <v>2.0</v>
      </c>
      <c r="H98" s="331" t="s">
        <v>1174</v>
      </c>
      <c r="I98" s="323"/>
      <c r="J98" s="332" t="s">
        <v>1175</v>
      </c>
      <c r="K98" s="305"/>
      <c r="L98" s="305"/>
      <c r="M98" s="323"/>
      <c r="N98" s="325"/>
      <c r="O98" s="331"/>
      <c r="P98" s="323"/>
      <c r="Q98" s="330"/>
      <c r="R98" s="284">
        <f>IFERROR(__xludf.DUMMYFUNCTION("SUM(QUERY(Coletas_BD!D:M,""select J where D='""&amp;D98&amp;""'"",1))"),5407.0)</f>
        <v>5407</v>
      </c>
      <c r="S98" s="284">
        <f>IFERROR(__xludf.DUMMYFUNCTION("SUM(QUERY(Coletas_BD!D:M,""select K where D='""&amp;D98&amp;""'"",1))"),25.0)</f>
        <v>25</v>
      </c>
      <c r="T98" s="284">
        <f>IFERROR(__xludf.DUMMYFUNCTION("SUM(QUERY(Coletas_BD!D:M,""select L where D='""&amp;D98&amp;""'"",1))"),75.0)</f>
        <v>75</v>
      </c>
      <c r="U98" s="284">
        <f>IFERROR(__xludf.DUMMYFUNCTION("SUM(QUERY(Coletas_BD!D:M,""select M where D='""&amp;D98&amp;""'"",1))"),250.0)</f>
        <v>250</v>
      </c>
      <c r="V98" s="284">
        <f>IFERROR(__xludf.DUMMYFUNCTION("SUM(QUERY(Coletas_BD!D:S,""select P where D='""&amp;D98&amp;""'"",1))"),65.0)</f>
        <v>65</v>
      </c>
      <c r="W98" s="284">
        <f>IFERROR(__xludf.DUMMYFUNCTION("SUM(QUERY(Coletas_BD!D:S,""select Q where D='""&amp;D98&amp;""'"",1))"),21.0)</f>
        <v>21</v>
      </c>
      <c r="X98" s="284">
        <f>IFERROR(__xludf.DUMMYFUNCTION("SUM(QUERY(Coletas_BD!D:S,""select R where D='""&amp;D98&amp;""'"",1))"),2.0)</f>
        <v>2</v>
      </c>
      <c r="Y98" s="284">
        <f>IFERROR(__xludf.DUMMYFUNCTION("SUM(QUERY(Coletas_BD!D:S,""select S where D='""&amp;D98&amp;""'"",1))"),4.0)</f>
        <v>4</v>
      </c>
      <c r="Z98" s="309"/>
    </row>
    <row r="99" ht="18.75" customHeight="1">
      <c r="A99" s="329"/>
      <c r="B99" s="327"/>
      <c r="C99" s="279">
        <v>98.0</v>
      </c>
      <c r="D99" s="331"/>
      <c r="E99" s="331"/>
      <c r="F99" s="324"/>
      <c r="G99" s="328">
        <v>2.0</v>
      </c>
      <c r="H99" s="331" t="s">
        <v>1176</v>
      </c>
      <c r="I99" s="323"/>
      <c r="J99" s="331" t="s">
        <v>1139</v>
      </c>
      <c r="K99" s="305"/>
      <c r="L99" s="305"/>
      <c r="M99" s="323"/>
      <c r="N99" s="325"/>
      <c r="O99" s="331"/>
      <c r="P99" s="323"/>
      <c r="Q99" s="330"/>
      <c r="R99" s="284">
        <f>IFERROR(__xludf.DUMMYFUNCTION("SUM(QUERY(Coletas_BD!D:M,""select J where D='""&amp;D99&amp;""'"",1))"),5407.0)</f>
        <v>5407</v>
      </c>
      <c r="S99" s="284">
        <f>IFERROR(__xludf.DUMMYFUNCTION("SUM(QUERY(Coletas_BD!D:M,""select K where D='""&amp;D99&amp;""'"",1))"),25.0)</f>
        <v>25</v>
      </c>
      <c r="T99" s="284">
        <f>IFERROR(__xludf.DUMMYFUNCTION("SUM(QUERY(Coletas_BD!D:M,""select L where D='""&amp;D99&amp;""'"",1))"),75.0)</f>
        <v>75</v>
      </c>
      <c r="U99" s="284">
        <f>IFERROR(__xludf.DUMMYFUNCTION("SUM(QUERY(Coletas_BD!D:M,""select M where D='""&amp;D99&amp;""'"",1))"),250.0)</f>
        <v>250</v>
      </c>
      <c r="V99" s="284">
        <f>IFERROR(__xludf.DUMMYFUNCTION("SUM(QUERY(Coletas_BD!D:S,""select P where D='""&amp;D99&amp;""'"",1))"),65.0)</f>
        <v>65</v>
      </c>
      <c r="W99" s="284">
        <f>IFERROR(__xludf.DUMMYFUNCTION("SUM(QUERY(Coletas_BD!D:S,""select Q where D='""&amp;D99&amp;""'"",1))"),21.0)</f>
        <v>21</v>
      </c>
      <c r="X99" s="284">
        <f>IFERROR(__xludf.DUMMYFUNCTION("SUM(QUERY(Coletas_BD!D:S,""select R where D='""&amp;D99&amp;""'"",1))"),2.0)</f>
        <v>2</v>
      </c>
      <c r="Y99" s="284">
        <f>IFERROR(__xludf.DUMMYFUNCTION("SUM(QUERY(Coletas_BD!D:S,""select S where D='""&amp;D99&amp;""'"",1))"),4.0)</f>
        <v>4</v>
      </c>
      <c r="Z99" s="309"/>
    </row>
    <row r="100" ht="18.75" customHeight="1">
      <c r="A100" s="329"/>
      <c r="B100" s="327"/>
      <c r="C100" s="279">
        <v>99.0</v>
      </c>
      <c r="D100" s="331"/>
      <c r="E100" s="331"/>
      <c r="F100" s="331"/>
      <c r="G100" s="328">
        <v>1.0</v>
      </c>
      <c r="H100" s="331" t="s">
        <v>1177</v>
      </c>
      <c r="I100" s="323"/>
      <c r="J100" s="331" t="s">
        <v>1136</v>
      </c>
      <c r="K100" s="305"/>
      <c r="L100" s="305"/>
      <c r="M100" s="323"/>
      <c r="N100" s="325"/>
      <c r="O100" s="331"/>
      <c r="P100" s="323"/>
      <c r="Q100" s="330"/>
      <c r="R100" s="284">
        <f>IFERROR(__xludf.DUMMYFUNCTION("SUM(QUERY(Coletas_BD!D:M,""select J where D='""&amp;D100&amp;""'"",1))"),5407.0)</f>
        <v>5407</v>
      </c>
      <c r="S100" s="284">
        <f>IFERROR(__xludf.DUMMYFUNCTION("SUM(QUERY(Coletas_BD!D:M,""select K where D='""&amp;D100&amp;""'"",1))"),25.0)</f>
        <v>25</v>
      </c>
      <c r="T100" s="284">
        <f>IFERROR(__xludf.DUMMYFUNCTION("SUM(QUERY(Coletas_BD!D:M,""select L where D='""&amp;D100&amp;""'"",1))"),75.0)</f>
        <v>75</v>
      </c>
      <c r="U100" s="284">
        <f>IFERROR(__xludf.DUMMYFUNCTION("SUM(QUERY(Coletas_BD!D:M,""select M where D='""&amp;D100&amp;""'"",1))"),250.0)</f>
        <v>250</v>
      </c>
      <c r="V100" s="284">
        <f>IFERROR(__xludf.DUMMYFUNCTION("SUM(QUERY(Coletas_BD!D:S,""select P where D='""&amp;D100&amp;""'"",1))"),65.0)</f>
        <v>65</v>
      </c>
      <c r="W100" s="284">
        <f>IFERROR(__xludf.DUMMYFUNCTION("SUM(QUERY(Coletas_BD!D:S,""select Q where D='""&amp;D100&amp;""'"",1))"),21.0)</f>
        <v>21</v>
      </c>
      <c r="X100" s="284">
        <f>IFERROR(__xludf.DUMMYFUNCTION("SUM(QUERY(Coletas_BD!D:S,""select R where D='""&amp;D100&amp;""'"",1))"),2.0)</f>
        <v>2</v>
      </c>
      <c r="Y100" s="284">
        <f>IFERROR(__xludf.DUMMYFUNCTION("SUM(QUERY(Coletas_BD!D:S,""select S where D='""&amp;D100&amp;""'"",1))"),4.0)</f>
        <v>4</v>
      </c>
      <c r="Z100" s="309"/>
    </row>
    <row r="101" ht="18.75" customHeight="1">
      <c r="A101" s="329"/>
      <c r="B101" s="327"/>
      <c r="C101" s="279">
        <v>100.0</v>
      </c>
      <c r="D101" s="331"/>
      <c r="E101" s="331"/>
      <c r="F101" s="328"/>
      <c r="G101" s="328">
        <v>1.0</v>
      </c>
      <c r="H101" s="331" t="s">
        <v>1178</v>
      </c>
      <c r="I101" s="323"/>
      <c r="J101" s="331" t="s">
        <v>1139</v>
      </c>
      <c r="K101" s="305"/>
      <c r="L101" s="305"/>
      <c r="M101" s="323"/>
      <c r="N101" s="325"/>
      <c r="O101" s="331"/>
      <c r="P101" s="323"/>
      <c r="Q101" s="330"/>
      <c r="R101" s="284">
        <f>IFERROR(__xludf.DUMMYFUNCTION("SUM(QUERY(Coletas_BD!D:M,""select J where D='""&amp;D101&amp;""'"",1))"),5407.0)</f>
        <v>5407</v>
      </c>
      <c r="S101" s="284">
        <f>IFERROR(__xludf.DUMMYFUNCTION("SUM(QUERY(Coletas_BD!D:M,""select K where D='""&amp;D101&amp;""'"",1))"),25.0)</f>
        <v>25</v>
      </c>
      <c r="T101" s="284">
        <f>IFERROR(__xludf.DUMMYFUNCTION("SUM(QUERY(Coletas_BD!D:M,""select L where D='""&amp;D101&amp;""'"",1))"),75.0)</f>
        <v>75</v>
      </c>
      <c r="U101" s="284">
        <f>IFERROR(__xludf.DUMMYFUNCTION("SUM(QUERY(Coletas_BD!D:M,""select M where D='""&amp;D101&amp;""'"",1))"),250.0)</f>
        <v>250</v>
      </c>
      <c r="V101" s="284">
        <f>IFERROR(__xludf.DUMMYFUNCTION("SUM(QUERY(Coletas_BD!D:S,""select P where D='""&amp;D101&amp;""'"",1))"),65.0)</f>
        <v>65</v>
      </c>
      <c r="W101" s="284">
        <f>IFERROR(__xludf.DUMMYFUNCTION("SUM(QUERY(Coletas_BD!D:S,""select Q where D='""&amp;D101&amp;""'"",1))"),21.0)</f>
        <v>21</v>
      </c>
      <c r="X101" s="284">
        <f>IFERROR(__xludf.DUMMYFUNCTION("SUM(QUERY(Coletas_BD!D:S,""select R where D='""&amp;D101&amp;""'"",1))"),2.0)</f>
        <v>2</v>
      </c>
      <c r="Y101" s="284">
        <f>IFERROR(__xludf.DUMMYFUNCTION("SUM(QUERY(Coletas_BD!D:S,""select S where D='""&amp;D101&amp;""'"",1))"),4.0)</f>
        <v>4</v>
      </c>
      <c r="Z101" s="309"/>
    </row>
    <row r="102" ht="18.75" customHeight="1">
      <c r="A102" s="329"/>
      <c r="B102" s="327"/>
      <c r="C102" s="279">
        <v>101.0</v>
      </c>
      <c r="D102" s="331"/>
      <c r="E102" s="331"/>
      <c r="F102" s="328"/>
      <c r="G102" s="328">
        <v>1.0</v>
      </c>
      <c r="H102" s="331" t="s">
        <v>1179</v>
      </c>
      <c r="I102" s="323"/>
      <c r="J102" s="331" t="s">
        <v>1180</v>
      </c>
      <c r="K102" s="305"/>
      <c r="L102" s="305"/>
      <c r="M102" s="323"/>
      <c r="N102" s="325"/>
      <c r="O102" s="331"/>
      <c r="P102" s="323"/>
      <c r="Q102" s="330"/>
      <c r="R102" s="284">
        <f>IFERROR(__xludf.DUMMYFUNCTION("SUM(QUERY(Coletas_BD!D:M,""select J where D='""&amp;D102&amp;""'"",1))"),5407.0)</f>
        <v>5407</v>
      </c>
      <c r="S102" s="284">
        <f>IFERROR(__xludf.DUMMYFUNCTION("SUM(QUERY(Coletas_BD!D:M,""select K where D='""&amp;D102&amp;""'"",1))"),25.0)</f>
        <v>25</v>
      </c>
      <c r="T102" s="284">
        <f>IFERROR(__xludf.DUMMYFUNCTION("SUM(QUERY(Coletas_BD!D:M,""select L where D='""&amp;D102&amp;""'"",1))"),75.0)</f>
        <v>75</v>
      </c>
      <c r="U102" s="284">
        <f>IFERROR(__xludf.DUMMYFUNCTION("SUM(QUERY(Coletas_BD!D:M,""select M where D='""&amp;D102&amp;""'"",1))"),250.0)</f>
        <v>250</v>
      </c>
      <c r="V102" s="284">
        <f>IFERROR(__xludf.DUMMYFUNCTION("SUM(QUERY(Coletas_BD!D:S,""select P where D='""&amp;D102&amp;""'"",1))"),65.0)</f>
        <v>65</v>
      </c>
      <c r="W102" s="284">
        <f>IFERROR(__xludf.DUMMYFUNCTION("SUM(QUERY(Coletas_BD!D:S,""select Q where D='""&amp;D102&amp;""'"",1))"),21.0)</f>
        <v>21</v>
      </c>
      <c r="X102" s="284">
        <f>IFERROR(__xludf.DUMMYFUNCTION("SUM(QUERY(Coletas_BD!D:S,""select R where D='""&amp;D102&amp;""'"",1))"),2.0)</f>
        <v>2</v>
      </c>
      <c r="Y102" s="284">
        <f>IFERROR(__xludf.DUMMYFUNCTION("SUM(QUERY(Coletas_BD!D:S,""select S where D='""&amp;D102&amp;""'"",1))"),4.0)</f>
        <v>4</v>
      </c>
      <c r="Z102" s="309"/>
    </row>
    <row r="103" ht="18.75" customHeight="1">
      <c r="A103" s="329"/>
      <c r="B103" s="327"/>
      <c r="C103" s="279">
        <v>102.0</v>
      </c>
      <c r="D103" s="331"/>
      <c r="E103" s="331"/>
      <c r="F103" s="331"/>
      <c r="G103" s="328">
        <v>1.0</v>
      </c>
      <c r="H103" s="331" t="s">
        <v>1181</v>
      </c>
      <c r="I103" s="323"/>
      <c r="J103" s="331"/>
      <c r="K103" s="305"/>
      <c r="L103" s="305"/>
      <c r="M103" s="323"/>
      <c r="N103" s="325"/>
      <c r="O103" s="331"/>
      <c r="P103" s="323"/>
      <c r="Q103" s="330"/>
      <c r="R103" s="284">
        <f>IFERROR(__xludf.DUMMYFUNCTION("SUM(QUERY(Coletas_BD!D:M,""select J where D='""&amp;D103&amp;""'"",1))"),5407.0)</f>
        <v>5407</v>
      </c>
      <c r="S103" s="284">
        <f>IFERROR(__xludf.DUMMYFUNCTION("SUM(QUERY(Coletas_BD!D:M,""select K where D='""&amp;D103&amp;""'"",1))"),25.0)</f>
        <v>25</v>
      </c>
      <c r="T103" s="284">
        <f>IFERROR(__xludf.DUMMYFUNCTION("SUM(QUERY(Coletas_BD!D:M,""select L where D='""&amp;D103&amp;""'"",1))"),75.0)</f>
        <v>75</v>
      </c>
      <c r="U103" s="284">
        <f>IFERROR(__xludf.DUMMYFUNCTION("SUM(QUERY(Coletas_BD!D:M,""select M where D='""&amp;D103&amp;""'"",1))"),250.0)</f>
        <v>250</v>
      </c>
      <c r="V103" s="284">
        <f>IFERROR(__xludf.DUMMYFUNCTION("SUM(QUERY(Coletas_BD!D:S,""select P where D='""&amp;D103&amp;""'"",1))"),65.0)</f>
        <v>65</v>
      </c>
      <c r="W103" s="284">
        <f>IFERROR(__xludf.DUMMYFUNCTION("SUM(QUERY(Coletas_BD!D:S,""select Q where D='""&amp;D103&amp;""'"",1))"),21.0)</f>
        <v>21</v>
      </c>
      <c r="X103" s="284">
        <f>IFERROR(__xludf.DUMMYFUNCTION("SUM(QUERY(Coletas_BD!D:S,""select R where D='""&amp;D103&amp;""'"",1))"),2.0)</f>
        <v>2</v>
      </c>
      <c r="Y103" s="284">
        <f>IFERROR(__xludf.DUMMYFUNCTION("SUM(QUERY(Coletas_BD!D:S,""select S where D='""&amp;D103&amp;""'"",1))"),4.0)</f>
        <v>4</v>
      </c>
      <c r="Z103" s="309"/>
    </row>
    <row r="104" ht="18.75" customHeight="1">
      <c r="A104" s="329"/>
      <c r="B104" s="327"/>
      <c r="C104" s="279">
        <v>103.0</v>
      </c>
      <c r="D104" s="331"/>
      <c r="E104" s="331"/>
      <c r="F104" s="331"/>
      <c r="G104" s="333" t="s">
        <v>1182</v>
      </c>
      <c r="H104" s="331" t="s">
        <v>1183</v>
      </c>
      <c r="I104" s="323"/>
      <c r="J104" s="331" t="s">
        <v>1184</v>
      </c>
      <c r="K104" s="305"/>
      <c r="L104" s="305"/>
      <c r="M104" s="323"/>
      <c r="N104" s="325"/>
      <c r="O104" s="331"/>
      <c r="P104" s="323"/>
      <c r="Q104" s="330"/>
      <c r="R104" s="284">
        <f>IFERROR(__xludf.DUMMYFUNCTION("SUM(QUERY(Coletas_BD!D:M,""select J where D='""&amp;D104&amp;""'"",1))"),5407.0)</f>
        <v>5407</v>
      </c>
      <c r="S104" s="284">
        <f>IFERROR(__xludf.DUMMYFUNCTION("SUM(QUERY(Coletas_BD!D:M,""select K where D='""&amp;D104&amp;""'"",1))"),25.0)</f>
        <v>25</v>
      </c>
      <c r="T104" s="284">
        <f>IFERROR(__xludf.DUMMYFUNCTION("SUM(QUERY(Coletas_BD!D:M,""select L where D='""&amp;D104&amp;""'"",1))"),75.0)</f>
        <v>75</v>
      </c>
      <c r="U104" s="284">
        <f>IFERROR(__xludf.DUMMYFUNCTION("SUM(QUERY(Coletas_BD!D:M,""select M where D='""&amp;D104&amp;""'"",1))"),250.0)</f>
        <v>250</v>
      </c>
      <c r="V104" s="284">
        <f>IFERROR(__xludf.DUMMYFUNCTION("SUM(QUERY(Coletas_BD!D:S,""select P where D='""&amp;D104&amp;""'"",1))"),65.0)</f>
        <v>65</v>
      </c>
      <c r="W104" s="284">
        <f>IFERROR(__xludf.DUMMYFUNCTION("SUM(QUERY(Coletas_BD!D:S,""select Q where D='""&amp;D104&amp;""'"",1))"),21.0)</f>
        <v>21</v>
      </c>
      <c r="X104" s="284">
        <f>IFERROR(__xludf.DUMMYFUNCTION("SUM(QUERY(Coletas_BD!D:S,""select R where D='""&amp;D104&amp;""'"",1))"),2.0)</f>
        <v>2</v>
      </c>
      <c r="Y104" s="284">
        <f>IFERROR(__xludf.DUMMYFUNCTION("SUM(QUERY(Coletas_BD!D:S,""select S where D='""&amp;D104&amp;""'"",1))"),4.0)</f>
        <v>4</v>
      </c>
      <c r="Z104" s="309"/>
    </row>
    <row r="105" ht="18.75" customHeight="1">
      <c r="A105" s="329"/>
      <c r="B105" s="327"/>
      <c r="C105" s="279">
        <v>104.0</v>
      </c>
      <c r="D105" s="331"/>
      <c r="E105" s="331"/>
      <c r="F105" s="328"/>
      <c r="G105" s="328">
        <v>3.0</v>
      </c>
      <c r="H105" s="331" t="s">
        <v>1185</v>
      </c>
      <c r="I105" s="323"/>
      <c r="J105" s="331" t="s">
        <v>1136</v>
      </c>
      <c r="K105" s="305"/>
      <c r="L105" s="305"/>
      <c r="M105" s="323"/>
      <c r="N105" s="325"/>
      <c r="O105" s="331"/>
      <c r="P105" s="323"/>
      <c r="Q105" s="330"/>
      <c r="R105" s="284">
        <f>IFERROR(__xludf.DUMMYFUNCTION("SUM(QUERY(Coletas_BD!D:M,""select J where D='""&amp;D105&amp;""'"",1))"),5407.0)</f>
        <v>5407</v>
      </c>
      <c r="S105" s="284">
        <f>IFERROR(__xludf.DUMMYFUNCTION("SUM(QUERY(Coletas_BD!D:M,""select K where D='""&amp;D105&amp;""'"",1))"),25.0)</f>
        <v>25</v>
      </c>
      <c r="T105" s="284">
        <f>IFERROR(__xludf.DUMMYFUNCTION("SUM(QUERY(Coletas_BD!D:M,""select L where D='""&amp;D105&amp;""'"",1))"),75.0)</f>
        <v>75</v>
      </c>
      <c r="U105" s="284">
        <f>IFERROR(__xludf.DUMMYFUNCTION("SUM(QUERY(Coletas_BD!D:M,""select M where D='""&amp;D105&amp;""'"",1))"),250.0)</f>
        <v>250</v>
      </c>
      <c r="V105" s="284">
        <f>IFERROR(__xludf.DUMMYFUNCTION("SUM(QUERY(Coletas_BD!D:S,""select P where D='""&amp;D105&amp;""'"",1))"),65.0)</f>
        <v>65</v>
      </c>
      <c r="W105" s="284">
        <f>IFERROR(__xludf.DUMMYFUNCTION("SUM(QUERY(Coletas_BD!D:S,""select Q where D='""&amp;D105&amp;""'"",1))"),21.0)</f>
        <v>21</v>
      </c>
      <c r="X105" s="284">
        <f>IFERROR(__xludf.DUMMYFUNCTION("SUM(QUERY(Coletas_BD!D:S,""select R where D='""&amp;D105&amp;""'"",1))"),2.0)</f>
        <v>2</v>
      </c>
      <c r="Y105" s="284">
        <f>IFERROR(__xludf.DUMMYFUNCTION("SUM(QUERY(Coletas_BD!D:S,""select S where D='""&amp;D105&amp;""'"",1))"),4.0)</f>
        <v>4</v>
      </c>
      <c r="Z105" s="309"/>
    </row>
    <row r="106" ht="18.75" customHeight="1">
      <c r="A106" s="329"/>
      <c r="B106" s="327"/>
      <c r="C106" s="279">
        <v>105.0</v>
      </c>
      <c r="D106" s="331"/>
      <c r="E106" s="331"/>
      <c r="F106" s="331"/>
      <c r="G106" s="328">
        <v>1.0</v>
      </c>
      <c r="H106" s="331" t="s">
        <v>1149</v>
      </c>
      <c r="I106" s="323"/>
      <c r="J106" s="331" t="s">
        <v>1136</v>
      </c>
      <c r="K106" s="305"/>
      <c r="L106" s="305"/>
      <c r="M106" s="323"/>
      <c r="N106" s="325"/>
      <c r="O106" s="331"/>
      <c r="P106" s="323"/>
      <c r="Q106" s="330"/>
      <c r="R106" s="284">
        <f>IFERROR(__xludf.DUMMYFUNCTION("SUM(QUERY(Coletas_BD!D:M,""select J where D='""&amp;D106&amp;""'"",1))"),5407.0)</f>
        <v>5407</v>
      </c>
      <c r="S106" s="284">
        <f>IFERROR(__xludf.DUMMYFUNCTION("SUM(QUERY(Coletas_BD!D:M,""select K where D='""&amp;D106&amp;""'"",1))"),25.0)</f>
        <v>25</v>
      </c>
      <c r="T106" s="284">
        <f>IFERROR(__xludf.DUMMYFUNCTION("SUM(QUERY(Coletas_BD!D:M,""select L where D='""&amp;D106&amp;""'"",1))"),75.0)</f>
        <v>75</v>
      </c>
      <c r="U106" s="284">
        <f>IFERROR(__xludf.DUMMYFUNCTION("SUM(QUERY(Coletas_BD!D:M,""select M where D='""&amp;D106&amp;""'"",1))"),250.0)</f>
        <v>250</v>
      </c>
      <c r="V106" s="284">
        <f>IFERROR(__xludf.DUMMYFUNCTION("SUM(QUERY(Coletas_BD!D:S,""select P where D='""&amp;D106&amp;""'"",1))"),65.0)</f>
        <v>65</v>
      </c>
      <c r="W106" s="284">
        <f>IFERROR(__xludf.DUMMYFUNCTION("SUM(QUERY(Coletas_BD!D:S,""select Q where D='""&amp;D106&amp;""'"",1))"),21.0)</f>
        <v>21</v>
      </c>
      <c r="X106" s="284">
        <f>IFERROR(__xludf.DUMMYFUNCTION("SUM(QUERY(Coletas_BD!D:S,""select R where D='""&amp;D106&amp;""'"",1))"),2.0)</f>
        <v>2</v>
      </c>
      <c r="Y106" s="284">
        <f>IFERROR(__xludf.DUMMYFUNCTION("SUM(QUERY(Coletas_BD!D:S,""select S where D='""&amp;D106&amp;""'"",1))"),4.0)</f>
        <v>4</v>
      </c>
      <c r="Z106" s="309"/>
    </row>
    <row r="107" ht="18.75" customHeight="1">
      <c r="A107" s="329"/>
      <c r="B107" s="327"/>
      <c r="C107" s="279">
        <v>106.0</v>
      </c>
      <c r="D107" s="331"/>
      <c r="E107" s="331"/>
      <c r="F107" s="328"/>
      <c r="G107" s="328">
        <v>1.0</v>
      </c>
      <c r="H107" s="331" t="s">
        <v>1149</v>
      </c>
      <c r="I107" s="323"/>
      <c r="J107" s="331" t="s">
        <v>1186</v>
      </c>
      <c r="K107" s="305"/>
      <c r="L107" s="305"/>
      <c r="M107" s="323"/>
      <c r="N107" s="325"/>
      <c r="O107" s="331"/>
      <c r="P107" s="323"/>
      <c r="Q107" s="330"/>
      <c r="R107" s="284">
        <f>IFERROR(__xludf.DUMMYFUNCTION("SUM(QUERY(Coletas_BD!D:M,""select J where D='""&amp;D107&amp;""'"",1))"),5407.0)</f>
        <v>5407</v>
      </c>
      <c r="S107" s="284">
        <f>IFERROR(__xludf.DUMMYFUNCTION("SUM(QUERY(Coletas_BD!D:M,""select K where D='""&amp;D107&amp;""'"",1))"),25.0)</f>
        <v>25</v>
      </c>
      <c r="T107" s="284">
        <f>IFERROR(__xludf.DUMMYFUNCTION("SUM(QUERY(Coletas_BD!D:M,""select L where D='""&amp;D107&amp;""'"",1))"),75.0)</f>
        <v>75</v>
      </c>
      <c r="U107" s="284">
        <f>IFERROR(__xludf.DUMMYFUNCTION("SUM(QUERY(Coletas_BD!D:M,""select M where D='""&amp;D107&amp;""'"",1))"),250.0)</f>
        <v>250</v>
      </c>
      <c r="V107" s="284">
        <f>IFERROR(__xludf.DUMMYFUNCTION("SUM(QUERY(Coletas_BD!D:S,""select P where D='""&amp;D107&amp;""'"",1))"),65.0)</f>
        <v>65</v>
      </c>
      <c r="W107" s="284">
        <f>IFERROR(__xludf.DUMMYFUNCTION("SUM(QUERY(Coletas_BD!D:S,""select Q where D='""&amp;D107&amp;""'"",1))"),21.0)</f>
        <v>21</v>
      </c>
      <c r="X107" s="284">
        <f>IFERROR(__xludf.DUMMYFUNCTION("SUM(QUERY(Coletas_BD!D:S,""select R where D='""&amp;D107&amp;""'"",1))"),2.0)</f>
        <v>2</v>
      </c>
      <c r="Y107" s="284">
        <f>IFERROR(__xludf.DUMMYFUNCTION("SUM(QUERY(Coletas_BD!D:S,""select S where D='""&amp;D107&amp;""'"",1))"),4.0)</f>
        <v>4</v>
      </c>
      <c r="Z107" s="309"/>
    </row>
    <row r="108" ht="18.75" customHeight="1">
      <c r="A108" s="329"/>
      <c r="B108" s="327"/>
      <c r="C108" s="279">
        <v>107.0</v>
      </c>
      <c r="D108" s="331"/>
      <c r="E108" s="331"/>
      <c r="F108" s="331"/>
      <c r="G108" s="328">
        <v>1.0</v>
      </c>
      <c r="H108" s="331" t="s">
        <v>1187</v>
      </c>
      <c r="I108" s="323"/>
      <c r="J108" s="331" t="s">
        <v>1136</v>
      </c>
      <c r="K108" s="305"/>
      <c r="L108" s="305"/>
      <c r="M108" s="323"/>
      <c r="N108" s="325"/>
      <c r="O108" s="331"/>
      <c r="P108" s="323"/>
      <c r="Q108" s="330"/>
      <c r="R108" s="284">
        <f>IFERROR(__xludf.DUMMYFUNCTION("SUM(QUERY(Coletas_BD!D:M,""select J where D='""&amp;D108&amp;""'"",1))"),5407.0)</f>
        <v>5407</v>
      </c>
      <c r="S108" s="284">
        <f>IFERROR(__xludf.DUMMYFUNCTION("SUM(QUERY(Coletas_BD!D:M,""select K where D='""&amp;D108&amp;""'"",1))"),25.0)</f>
        <v>25</v>
      </c>
      <c r="T108" s="284">
        <f>IFERROR(__xludf.DUMMYFUNCTION("SUM(QUERY(Coletas_BD!D:M,""select L where D='""&amp;D108&amp;""'"",1))"),75.0)</f>
        <v>75</v>
      </c>
      <c r="U108" s="284">
        <f>IFERROR(__xludf.DUMMYFUNCTION("SUM(QUERY(Coletas_BD!D:M,""select M where D='""&amp;D108&amp;""'"",1))"),250.0)</f>
        <v>250</v>
      </c>
      <c r="V108" s="284">
        <f>IFERROR(__xludf.DUMMYFUNCTION("SUM(QUERY(Coletas_BD!D:S,""select P where D='""&amp;D108&amp;""'"",1))"),65.0)</f>
        <v>65</v>
      </c>
      <c r="W108" s="284">
        <f>IFERROR(__xludf.DUMMYFUNCTION("SUM(QUERY(Coletas_BD!D:S,""select Q where D='""&amp;D108&amp;""'"",1))"),21.0)</f>
        <v>21</v>
      </c>
      <c r="X108" s="284">
        <f>IFERROR(__xludf.DUMMYFUNCTION("SUM(QUERY(Coletas_BD!D:S,""select R where D='""&amp;D108&amp;""'"",1))"),2.0)</f>
        <v>2</v>
      </c>
      <c r="Y108" s="284">
        <f>IFERROR(__xludf.DUMMYFUNCTION("SUM(QUERY(Coletas_BD!D:S,""select S where D='""&amp;D108&amp;""'"",1))"),4.0)</f>
        <v>4</v>
      </c>
      <c r="Z108" s="309"/>
    </row>
    <row r="109" ht="18.75" customHeight="1">
      <c r="A109" s="329"/>
      <c r="B109" s="327"/>
      <c r="C109" s="279">
        <v>108.0</v>
      </c>
      <c r="D109" s="331"/>
      <c r="E109" s="331"/>
      <c r="F109" s="331"/>
      <c r="G109" s="328">
        <v>1.0</v>
      </c>
      <c r="H109" s="331" t="s">
        <v>1188</v>
      </c>
      <c r="I109" s="323"/>
      <c r="J109" s="331" t="s">
        <v>1189</v>
      </c>
      <c r="K109" s="305"/>
      <c r="L109" s="305"/>
      <c r="M109" s="323"/>
      <c r="N109" s="325"/>
      <c r="O109" s="331"/>
      <c r="P109" s="323"/>
      <c r="Q109" s="330"/>
      <c r="R109" s="284">
        <f>IFERROR(__xludf.DUMMYFUNCTION("SUM(QUERY(Coletas_BD!D:M,""select J where D='""&amp;D109&amp;""'"",1))"),5407.0)</f>
        <v>5407</v>
      </c>
      <c r="S109" s="284">
        <f>IFERROR(__xludf.DUMMYFUNCTION("SUM(QUERY(Coletas_BD!D:M,""select K where D='""&amp;D109&amp;""'"",1))"),25.0)</f>
        <v>25</v>
      </c>
      <c r="T109" s="284">
        <f>IFERROR(__xludf.DUMMYFUNCTION("SUM(QUERY(Coletas_BD!D:M,""select L where D='""&amp;D109&amp;""'"",1))"),75.0)</f>
        <v>75</v>
      </c>
      <c r="U109" s="284">
        <f>IFERROR(__xludf.DUMMYFUNCTION("SUM(QUERY(Coletas_BD!D:M,""select M where D='""&amp;D109&amp;""'"",1))"),250.0)</f>
        <v>250</v>
      </c>
      <c r="V109" s="284">
        <f>IFERROR(__xludf.DUMMYFUNCTION("SUM(QUERY(Coletas_BD!D:S,""select P where D='""&amp;D109&amp;""'"",1))"),65.0)</f>
        <v>65</v>
      </c>
      <c r="W109" s="284">
        <f>IFERROR(__xludf.DUMMYFUNCTION("SUM(QUERY(Coletas_BD!D:S,""select Q where D='""&amp;D109&amp;""'"",1))"),21.0)</f>
        <v>21</v>
      </c>
      <c r="X109" s="284">
        <f>IFERROR(__xludf.DUMMYFUNCTION("SUM(QUERY(Coletas_BD!D:S,""select R where D='""&amp;D109&amp;""'"",1))"),2.0)</f>
        <v>2</v>
      </c>
      <c r="Y109" s="284">
        <f>IFERROR(__xludf.DUMMYFUNCTION("SUM(QUERY(Coletas_BD!D:S,""select S where D='""&amp;D109&amp;""'"",1))"),4.0)</f>
        <v>4</v>
      </c>
      <c r="Z109" s="309"/>
    </row>
    <row r="110" ht="18.75" customHeight="1">
      <c r="A110" s="329"/>
      <c r="B110" s="327"/>
      <c r="C110" s="279">
        <v>109.0</v>
      </c>
      <c r="D110" s="331"/>
      <c r="E110" s="331"/>
      <c r="F110" s="331"/>
      <c r="G110" s="328">
        <v>1.0</v>
      </c>
      <c r="H110" s="331" t="s">
        <v>1190</v>
      </c>
      <c r="I110" s="323"/>
      <c r="J110" s="331" t="s">
        <v>1191</v>
      </c>
      <c r="K110" s="305"/>
      <c r="L110" s="305"/>
      <c r="M110" s="323"/>
      <c r="N110" s="325"/>
      <c r="O110" s="331"/>
      <c r="P110" s="323"/>
      <c r="Q110" s="330"/>
      <c r="R110" s="284">
        <f>IFERROR(__xludf.DUMMYFUNCTION("SUM(QUERY(Coletas_BD!D:M,""select J where D='""&amp;D110&amp;""'"",1))"),5407.0)</f>
        <v>5407</v>
      </c>
      <c r="S110" s="284">
        <f>IFERROR(__xludf.DUMMYFUNCTION("SUM(QUERY(Coletas_BD!D:M,""select K where D='""&amp;D110&amp;""'"",1))"),25.0)</f>
        <v>25</v>
      </c>
      <c r="T110" s="284">
        <f>IFERROR(__xludf.DUMMYFUNCTION("SUM(QUERY(Coletas_BD!D:M,""select L where D='""&amp;D110&amp;""'"",1))"),75.0)</f>
        <v>75</v>
      </c>
      <c r="U110" s="284">
        <f>IFERROR(__xludf.DUMMYFUNCTION("SUM(QUERY(Coletas_BD!D:M,""select M where D='""&amp;D110&amp;""'"",1))"),250.0)</f>
        <v>250</v>
      </c>
      <c r="V110" s="284">
        <f>IFERROR(__xludf.DUMMYFUNCTION("SUM(QUERY(Coletas_BD!D:S,""select P where D='""&amp;D110&amp;""'"",1))"),65.0)</f>
        <v>65</v>
      </c>
      <c r="W110" s="284">
        <f>IFERROR(__xludf.DUMMYFUNCTION("SUM(QUERY(Coletas_BD!D:S,""select Q where D='""&amp;D110&amp;""'"",1))"),21.0)</f>
        <v>21</v>
      </c>
      <c r="X110" s="284">
        <f>IFERROR(__xludf.DUMMYFUNCTION("SUM(QUERY(Coletas_BD!D:S,""select R where D='""&amp;D110&amp;""'"",1))"),2.0)</f>
        <v>2</v>
      </c>
      <c r="Y110" s="284">
        <f>IFERROR(__xludf.DUMMYFUNCTION("SUM(QUERY(Coletas_BD!D:S,""select S where D='""&amp;D110&amp;""'"",1))"),4.0)</f>
        <v>4</v>
      </c>
      <c r="Z110" s="309"/>
    </row>
    <row r="111" ht="18.75" customHeight="1">
      <c r="A111" s="329"/>
      <c r="B111" s="327"/>
      <c r="C111" s="279">
        <v>110.0</v>
      </c>
      <c r="D111" s="331"/>
      <c r="E111" s="331"/>
      <c r="F111" s="328"/>
      <c r="G111" s="328">
        <v>1.0</v>
      </c>
      <c r="H111" s="331" t="s">
        <v>1192</v>
      </c>
      <c r="I111" s="323"/>
      <c r="J111" s="331" t="s">
        <v>1136</v>
      </c>
      <c r="K111" s="305"/>
      <c r="L111" s="305"/>
      <c r="M111" s="323"/>
      <c r="N111" s="325"/>
      <c r="O111" s="331"/>
      <c r="P111" s="323"/>
      <c r="Q111" s="330"/>
      <c r="R111" s="284">
        <f>IFERROR(__xludf.DUMMYFUNCTION("SUM(QUERY(Coletas_BD!D:M,""select J where D='""&amp;D111&amp;""'"",1))"),5407.0)</f>
        <v>5407</v>
      </c>
      <c r="S111" s="284">
        <f>IFERROR(__xludf.DUMMYFUNCTION("SUM(QUERY(Coletas_BD!D:M,""select K where D='""&amp;D111&amp;""'"",1))"),25.0)</f>
        <v>25</v>
      </c>
      <c r="T111" s="284">
        <f>IFERROR(__xludf.DUMMYFUNCTION("SUM(QUERY(Coletas_BD!D:M,""select L where D='""&amp;D111&amp;""'"",1))"),75.0)</f>
        <v>75</v>
      </c>
      <c r="U111" s="284">
        <f>IFERROR(__xludf.DUMMYFUNCTION("SUM(QUERY(Coletas_BD!D:M,""select M where D='""&amp;D111&amp;""'"",1))"),250.0)</f>
        <v>250</v>
      </c>
      <c r="V111" s="284">
        <f>IFERROR(__xludf.DUMMYFUNCTION("SUM(QUERY(Coletas_BD!D:S,""select P where D='""&amp;D111&amp;""'"",1))"),65.0)</f>
        <v>65</v>
      </c>
      <c r="W111" s="284">
        <f>IFERROR(__xludf.DUMMYFUNCTION("SUM(QUERY(Coletas_BD!D:S,""select Q where D='""&amp;D111&amp;""'"",1))"),21.0)</f>
        <v>21</v>
      </c>
      <c r="X111" s="284">
        <f>IFERROR(__xludf.DUMMYFUNCTION("SUM(QUERY(Coletas_BD!D:S,""select R where D='""&amp;D111&amp;""'"",1))"),2.0)</f>
        <v>2</v>
      </c>
      <c r="Y111" s="284">
        <f>IFERROR(__xludf.DUMMYFUNCTION("SUM(QUERY(Coletas_BD!D:S,""select S where D='""&amp;D111&amp;""'"",1))"),4.0)</f>
        <v>4</v>
      </c>
      <c r="Z111" s="309"/>
    </row>
    <row r="112" ht="18.75" customHeight="1">
      <c r="A112" s="329"/>
      <c r="B112" s="327"/>
      <c r="C112" s="279">
        <v>111.0</v>
      </c>
      <c r="D112" s="331"/>
      <c r="E112" s="331"/>
      <c r="F112" s="328"/>
      <c r="G112" s="328">
        <v>1.0</v>
      </c>
      <c r="H112" s="331" t="s">
        <v>1193</v>
      </c>
      <c r="I112" s="323"/>
      <c r="J112" s="331" t="s">
        <v>1139</v>
      </c>
      <c r="K112" s="305"/>
      <c r="L112" s="305"/>
      <c r="M112" s="323"/>
      <c r="N112" s="325"/>
      <c r="O112" s="331"/>
      <c r="P112" s="323"/>
      <c r="Q112" s="330"/>
      <c r="R112" s="284">
        <f>IFERROR(__xludf.DUMMYFUNCTION("SUM(QUERY(Coletas_BD!D:M,""select J where D='""&amp;D112&amp;""'"",1))"),5407.0)</f>
        <v>5407</v>
      </c>
      <c r="S112" s="284">
        <f>IFERROR(__xludf.DUMMYFUNCTION("SUM(QUERY(Coletas_BD!D:M,""select K where D='""&amp;D112&amp;""'"",1))"),25.0)</f>
        <v>25</v>
      </c>
      <c r="T112" s="284">
        <f>IFERROR(__xludf.DUMMYFUNCTION("SUM(QUERY(Coletas_BD!D:M,""select L where D='""&amp;D112&amp;""'"",1))"),75.0)</f>
        <v>75</v>
      </c>
      <c r="U112" s="284">
        <f>IFERROR(__xludf.DUMMYFUNCTION("SUM(QUERY(Coletas_BD!D:M,""select M where D='""&amp;D112&amp;""'"",1))"),250.0)</f>
        <v>250</v>
      </c>
      <c r="V112" s="284">
        <f>IFERROR(__xludf.DUMMYFUNCTION("SUM(QUERY(Coletas_BD!D:S,""select P where D='""&amp;D112&amp;""'"",1))"),65.0)</f>
        <v>65</v>
      </c>
      <c r="W112" s="284">
        <f>IFERROR(__xludf.DUMMYFUNCTION("SUM(QUERY(Coletas_BD!D:S,""select Q where D='""&amp;D112&amp;""'"",1))"),21.0)</f>
        <v>21</v>
      </c>
      <c r="X112" s="284">
        <f>IFERROR(__xludf.DUMMYFUNCTION("SUM(QUERY(Coletas_BD!D:S,""select R where D='""&amp;D112&amp;""'"",1))"),2.0)</f>
        <v>2</v>
      </c>
      <c r="Y112" s="284">
        <f>IFERROR(__xludf.DUMMYFUNCTION("SUM(QUERY(Coletas_BD!D:S,""select S where D='""&amp;D112&amp;""'"",1))"),4.0)</f>
        <v>4</v>
      </c>
      <c r="Z112" s="309"/>
    </row>
    <row r="113" ht="18.75" customHeight="1">
      <c r="A113" s="329"/>
      <c r="B113" s="327"/>
      <c r="C113" s="279">
        <v>112.0</v>
      </c>
      <c r="D113" s="331"/>
      <c r="E113" s="331"/>
      <c r="F113" s="328"/>
      <c r="G113" s="328">
        <v>1.0</v>
      </c>
      <c r="H113" s="331" t="s">
        <v>1194</v>
      </c>
      <c r="I113" s="323"/>
      <c r="J113" s="331" t="s">
        <v>1195</v>
      </c>
      <c r="K113" s="305"/>
      <c r="L113" s="305"/>
      <c r="M113" s="323"/>
      <c r="N113" s="325"/>
      <c r="O113" s="331"/>
      <c r="P113" s="323"/>
      <c r="Q113" s="330"/>
      <c r="R113" s="284">
        <f>IFERROR(__xludf.DUMMYFUNCTION("SUM(QUERY(Coletas_BD!D:M,""select J where D='""&amp;D113&amp;""'"",1))"),5407.0)</f>
        <v>5407</v>
      </c>
      <c r="S113" s="284">
        <f>IFERROR(__xludf.DUMMYFUNCTION("SUM(QUERY(Coletas_BD!D:M,""select K where D='""&amp;D113&amp;""'"",1))"),25.0)</f>
        <v>25</v>
      </c>
      <c r="T113" s="284">
        <f>IFERROR(__xludf.DUMMYFUNCTION("SUM(QUERY(Coletas_BD!D:M,""select L where D='""&amp;D113&amp;""'"",1))"),75.0)</f>
        <v>75</v>
      </c>
      <c r="U113" s="284">
        <f>IFERROR(__xludf.DUMMYFUNCTION("SUM(QUERY(Coletas_BD!D:M,""select M where D='""&amp;D113&amp;""'"",1))"),250.0)</f>
        <v>250</v>
      </c>
      <c r="V113" s="284">
        <f>IFERROR(__xludf.DUMMYFUNCTION("SUM(QUERY(Coletas_BD!D:S,""select P where D='""&amp;D113&amp;""'"",1))"),65.0)</f>
        <v>65</v>
      </c>
      <c r="W113" s="284">
        <f>IFERROR(__xludf.DUMMYFUNCTION("SUM(QUERY(Coletas_BD!D:S,""select Q where D='""&amp;D113&amp;""'"",1))"),21.0)</f>
        <v>21</v>
      </c>
      <c r="X113" s="284">
        <f>IFERROR(__xludf.DUMMYFUNCTION("SUM(QUERY(Coletas_BD!D:S,""select R where D='""&amp;D113&amp;""'"",1))"),2.0)</f>
        <v>2</v>
      </c>
      <c r="Y113" s="284">
        <f>IFERROR(__xludf.DUMMYFUNCTION("SUM(QUERY(Coletas_BD!D:S,""select S where D='""&amp;D113&amp;""'"",1))"),4.0)</f>
        <v>4</v>
      </c>
      <c r="Z113" s="309"/>
    </row>
    <row r="114" ht="18.75" customHeight="1">
      <c r="A114" s="329"/>
      <c r="B114" s="327"/>
      <c r="C114" s="279">
        <v>113.0</v>
      </c>
      <c r="D114" s="331"/>
      <c r="E114" s="331"/>
      <c r="F114" s="331"/>
      <c r="G114" s="328">
        <v>1.0</v>
      </c>
      <c r="H114" s="331" t="s">
        <v>1196</v>
      </c>
      <c r="I114" s="323"/>
      <c r="J114" s="331" t="s">
        <v>1136</v>
      </c>
      <c r="K114" s="305"/>
      <c r="L114" s="305"/>
      <c r="M114" s="323"/>
      <c r="N114" s="325"/>
      <c r="O114" s="331"/>
      <c r="P114" s="323"/>
      <c r="Q114" s="330"/>
      <c r="R114" s="284">
        <f>IFERROR(__xludf.DUMMYFUNCTION("SUM(QUERY(Coletas_BD!D:M,""select J where D='""&amp;D114&amp;""'"",1))"),5407.0)</f>
        <v>5407</v>
      </c>
      <c r="S114" s="284">
        <f>IFERROR(__xludf.DUMMYFUNCTION("SUM(QUERY(Coletas_BD!D:M,""select K where D='""&amp;D114&amp;""'"",1))"),25.0)</f>
        <v>25</v>
      </c>
      <c r="T114" s="284">
        <f>IFERROR(__xludf.DUMMYFUNCTION("SUM(QUERY(Coletas_BD!D:M,""select L where D='""&amp;D114&amp;""'"",1))"),75.0)</f>
        <v>75</v>
      </c>
      <c r="U114" s="284">
        <f>IFERROR(__xludf.DUMMYFUNCTION("SUM(QUERY(Coletas_BD!D:M,""select M where D='""&amp;D114&amp;""'"",1))"),250.0)</f>
        <v>250</v>
      </c>
      <c r="V114" s="284">
        <f>IFERROR(__xludf.DUMMYFUNCTION("SUM(QUERY(Coletas_BD!D:S,""select P where D='""&amp;D114&amp;""'"",1))"),65.0)</f>
        <v>65</v>
      </c>
      <c r="W114" s="284">
        <f>IFERROR(__xludf.DUMMYFUNCTION("SUM(QUERY(Coletas_BD!D:S,""select Q where D='""&amp;D114&amp;""'"",1))"),21.0)</f>
        <v>21</v>
      </c>
      <c r="X114" s="284">
        <f>IFERROR(__xludf.DUMMYFUNCTION("SUM(QUERY(Coletas_BD!D:S,""select R where D='""&amp;D114&amp;""'"",1))"),2.0)</f>
        <v>2</v>
      </c>
      <c r="Y114" s="284">
        <f>IFERROR(__xludf.DUMMYFUNCTION("SUM(QUERY(Coletas_BD!D:S,""select S where D='""&amp;D114&amp;""'"",1))"),4.0)</f>
        <v>4</v>
      </c>
      <c r="Z114" s="309"/>
    </row>
    <row r="115" ht="18.75" customHeight="1">
      <c r="A115" s="329"/>
      <c r="B115" s="327"/>
      <c r="C115" s="279">
        <v>114.0</v>
      </c>
      <c r="D115" s="331"/>
      <c r="E115" s="331"/>
      <c r="F115" s="331"/>
      <c r="G115" s="328">
        <v>2.0</v>
      </c>
      <c r="H115" s="331" t="s">
        <v>1197</v>
      </c>
      <c r="I115" s="323"/>
      <c r="J115" s="331" t="s">
        <v>1198</v>
      </c>
      <c r="K115" s="305"/>
      <c r="L115" s="305"/>
      <c r="M115" s="323"/>
      <c r="N115" s="325"/>
      <c r="O115" s="331"/>
      <c r="P115" s="323"/>
      <c r="Q115" s="330"/>
      <c r="R115" s="284">
        <f>IFERROR(__xludf.DUMMYFUNCTION("SUM(QUERY(Coletas_BD!D:M,""select J where D='""&amp;D115&amp;""'"",1))"),5407.0)</f>
        <v>5407</v>
      </c>
      <c r="S115" s="284">
        <f>IFERROR(__xludf.DUMMYFUNCTION("SUM(QUERY(Coletas_BD!D:M,""select K where D='""&amp;D115&amp;""'"",1))"),25.0)</f>
        <v>25</v>
      </c>
      <c r="T115" s="284">
        <f>IFERROR(__xludf.DUMMYFUNCTION("SUM(QUERY(Coletas_BD!D:M,""select L where D='""&amp;D115&amp;""'"",1))"),75.0)</f>
        <v>75</v>
      </c>
      <c r="U115" s="284">
        <f>IFERROR(__xludf.DUMMYFUNCTION("SUM(QUERY(Coletas_BD!D:M,""select M where D='""&amp;D115&amp;""'"",1))"),250.0)</f>
        <v>250</v>
      </c>
      <c r="V115" s="284">
        <f>IFERROR(__xludf.DUMMYFUNCTION("SUM(QUERY(Coletas_BD!D:S,""select P where D='""&amp;D115&amp;""'"",1))"),65.0)</f>
        <v>65</v>
      </c>
      <c r="W115" s="284">
        <f>IFERROR(__xludf.DUMMYFUNCTION("SUM(QUERY(Coletas_BD!D:S,""select Q where D='""&amp;D115&amp;""'"",1))"),21.0)</f>
        <v>21</v>
      </c>
      <c r="X115" s="284">
        <f>IFERROR(__xludf.DUMMYFUNCTION("SUM(QUERY(Coletas_BD!D:S,""select R where D='""&amp;D115&amp;""'"",1))"),2.0)</f>
        <v>2</v>
      </c>
      <c r="Y115" s="284">
        <f>IFERROR(__xludf.DUMMYFUNCTION("SUM(QUERY(Coletas_BD!D:S,""select S where D='""&amp;D115&amp;""'"",1))"),4.0)</f>
        <v>4</v>
      </c>
      <c r="Z115" s="309"/>
    </row>
    <row r="116" ht="18.75" customHeight="1">
      <c r="A116" s="329"/>
      <c r="B116" s="327"/>
      <c r="C116" s="279">
        <v>115.0</v>
      </c>
      <c r="D116" s="331"/>
      <c r="E116" s="331"/>
      <c r="F116" s="331"/>
      <c r="G116" s="328">
        <v>1.0</v>
      </c>
      <c r="H116" s="331" t="s">
        <v>1199</v>
      </c>
      <c r="I116" s="323"/>
      <c r="J116" s="331" t="s">
        <v>1200</v>
      </c>
      <c r="K116" s="305"/>
      <c r="L116" s="305"/>
      <c r="M116" s="323"/>
      <c r="N116" s="325"/>
      <c r="O116" s="331"/>
      <c r="P116" s="323"/>
      <c r="Q116" s="330"/>
      <c r="R116" s="284">
        <f>IFERROR(__xludf.DUMMYFUNCTION("SUM(QUERY(Coletas_BD!D:M,""select J where D='""&amp;D116&amp;""'"",1))"),5407.0)</f>
        <v>5407</v>
      </c>
      <c r="S116" s="284">
        <f>IFERROR(__xludf.DUMMYFUNCTION("SUM(QUERY(Coletas_BD!D:M,""select K where D='""&amp;D116&amp;""'"",1))"),25.0)</f>
        <v>25</v>
      </c>
      <c r="T116" s="284">
        <f>IFERROR(__xludf.DUMMYFUNCTION("SUM(QUERY(Coletas_BD!D:M,""select L where D='""&amp;D116&amp;""'"",1))"),75.0)</f>
        <v>75</v>
      </c>
      <c r="U116" s="284">
        <f>IFERROR(__xludf.DUMMYFUNCTION("SUM(QUERY(Coletas_BD!D:M,""select M where D='""&amp;D116&amp;""'"",1))"),250.0)</f>
        <v>250</v>
      </c>
      <c r="V116" s="284">
        <f>IFERROR(__xludf.DUMMYFUNCTION("SUM(QUERY(Coletas_BD!D:S,""select P where D='""&amp;D116&amp;""'"",1))"),65.0)</f>
        <v>65</v>
      </c>
      <c r="W116" s="284">
        <f>IFERROR(__xludf.DUMMYFUNCTION("SUM(QUERY(Coletas_BD!D:S,""select Q where D='""&amp;D116&amp;""'"",1))"),21.0)</f>
        <v>21</v>
      </c>
      <c r="X116" s="284">
        <f>IFERROR(__xludf.DUMMYFUNCTION("SUM(QUERY(Coletas_BD!D:S,""select R where D='""&amp;D116&amp;""'"",1))"),2.0)</f>
        <v>2</v>
      </c>
      <c r="Y116" s="284">
        <f>IFERROR(__xludf.DUMMYFUNCTION("SUM(QUERY(Coletas_BD!D:S,""select S where D='""&amp;D116&amp;""'"",1))"),4.0)</f>
        <v>4</v>
      </c>
      <c r="Z116" s="309"/>
    </row>
    <row r="117" ht="18.75" customHeight="1">
      <c r="A117" s="329"/>
      <c r="B117" s="327"/>
      <c r="C117" s="279">
        <v>116.0</v>
      </c>
      <c r="D117" s="331"/>
      <c r="E117" s="331"/>
      <c r="F117" s="331"/>
      <c r="G117" s="328">
        <v>1.0</v>
      </c>
      <c r="H117" s="331" t="s">
        <v>1201</v>
      </c>
      <c r="I117" s="323"/>
      <c r="J117" s="331" t="s">
        <v>1202</v>
      </c>
      <c r="K117" s="305"/>
      <c r="L117" s="305"/>
      <c r="M117" s="323"/>
      <c r="N117" s="325"/>
      <c r="O117" s="331"/>
      <c r="P117" s="323"/>
      <c r="Q117" s="330"/>
      <c r="R117" s="284">
        <f>IFERROR(__xludf.DUMMYFUNCTION("SUM(QUERY(Coletas_BD!D:M,""select J where D='""&amp;D117&amp;""'"",1))"),5407.0)</f>
        <v>5407</v>
      </c>
      <c r="S117" s="284">
        <f>IFERROR(__xludf.DUMMYFUNCTION("SUM(QUERY(Coletas_BD!D:M,""select K where D='""&amp;D117&amp;""'"",1))"),25.0)</f>
        <v>25</v>
      </c>
      <c r="T117" s="284">
        <f>IFERROR(__xludf.DUMMYFUNCTION("SUM(QUERY(Coletas_BD!D:M,""select L where D='""&amp;D117&amp;""'"",1))"),75.0)</f>
        <v>75</v>
      </c>
      <c r="U117" s="284">
        <f>IFERROR(__xludf.DUMMYFUNCTION("SUM(QUERY(Coletas_BD!D:M,""select M where D='""&amp;D117&amp;""'"",1))"),250.0)</f>
        <v>250</v>
      </c>
      <c r="V117" s="284">
        <f>IFERROR(__xludf.DUMMYFUNCTION("SUM(QUERY(Coletas_BD!D:S,""select P where D='""&amp;D117&amp;""'"",1))"),65.0)</f>
        <v>65</v>
      </c>
      <c r="W117" s="284">
        <f>IFERROR(__xludf.DUMMYFUNCTION("SUM(QUERY(Coletas_BD!D:S,""select Q where D='""&amp;D117&amp;""'"",1))"),21.0)</f>
        <v>21</v>
      </c>
      <c r="X117" s="284">
        <f>IFERROR(__xludf.DUMMYFUNCTION("SUM(QUERY(Coletas_BD!D:S,""select R where D='""&amp;D117&amp;""'"",1))"),2.0)</f>
        <v>2</v>
      </c>
      <c r="Y117" s="284">
        <f>IFERROR(__xludf.DUMMYFUNCTION("SUM(QUERY(Coletas_BD!D:S,""select S where D='""&amp;D117&amp;""'"",1))"),4.0)</f>
        <v>4</v>
      </c>
      <c r="Z117" s="309"/>
    </row>
    <row r="118" ht="18.75" customHeight="1">
      <c r="A118" s="329"/>
      <c r="B118" s="327"/>
      <c r="C118" s="279">
        <v>117.0</v>
      </c>
      <c r="D118" s="331"/>
      <c r="E118" s="331"/>
      <c r="F118" s="328"/>
      <c r="G118" s="328">
        <v>1.0</v>
      </c>
      <c r="H118" s="331" t="s">
        <v>1153</v>
      </c>
      <c r="I118" s="323"/>
      <c r="J118" s="331" t="s">
        <v>1151</v>
      </c>
      <c r="K118" s="305"/>
      <c r="L118" s="305"/>
      <c r="M118" s="323"/>
      <c r="N118" s="325"/>
      <c r="O118" s="331"/>
      <c r="P118" s="323"/>
      <c r="Q118" s="330"/>
      <c r="R118" s="284">
        <f>IFERROR(__xludf.DUMMYFUNCTION("SUM(QUERY(Coletas_BD!D:M,""select J where D='""&amp;D118&amp;""'"",1))"),5407.0)</f>
        <v>5407</v>
      </c>
      <c r="S118" s="284">
        <f>IFERROR(__xludf.DUMMYFUNCTION("SUM(QUERY(Coletas_BD!D:M,""select K where D='""&amp;D118&amp;""'"",1))"),25.0)</f>
        <v>25</v>
      </c>
      <c r="T118" s="284">
        <f>IFERROR(__xludf.DUMMYFUNCTION("SUM(QUERY(Coletas_BD!D:M,""select L where D='""&amp;D118&amp;""'"",1))"),75.0)</f>
        <v>75</v>
      </c>
      <c r="U118" s="284">
        <f>IFERROR(__xludf.DUMMYFUNCTION("SUM(QUERY(Coletas_BD!D:M,""select M where D='""&amp;D118&amp;""'"",1))"),250.0)</f>
        <v>250</v>
      </c>
      <c r="V118" s="284">
        <f>IFERROR(__xludf.DUMMYFUNCTION("SUM(QUERY(Coletas_BD!D:S,""select P where D='""&amp;D118&amp;""'"",1))"),65.0)</f>
        <v>65</v>
      </c>
      <c r="W118" s="284">
        <f>IFERROR(__xludf.DUMMYFUNCTION("SUM(QUERY(Coletas_BD!D:S,""select Q where D='""&amp;D118&amp;""'"",1))"),21.0)</f>
        <v>21</v>
      </c>
      <c r="X118" s="284">
        <f>IFERROR(__xludf.DUMMYFUNCTION("SUM(QUERY(Coletas_BD!D:S,""select R where D='""&amp;D118&amp;""'"",1))"),2.0)</f>
        <v>2</v>
      </c>
      <c r="Y118" s="284">
        <f>IFERROR(__xludf.DUMMYFUNCTION("SUM(QUERY(Coletas_BD!D:S,""select S where D='""&amp;D118&amp;""'"",1))"),4.0)</f>
        <v>4</v>
      </c>
      <c r="Z118" s="309"/>
    </row>
    <row r="119" ht="18.75" customHeight="1">
      <c r="A119" s="329"/>
      <c r="B119" s="327"/>
      <c r="C119" s="279">
        <v>118.0</v>
      </c>
      <c r="D119" s="331"/>
      <c r="E119" s="331"/>
      <c r="F119" s="328"/>
      <c r="G119" s="328">
        <v>1.0</v>
      </c>
      <c r="H119" s="331" t="s">
        <v>1203</v>
      </c>
      <c r="I119" s="323"/>
      <c r="J119" s="331" t="s">
        <v>1204</v>
      </c>
      <c r="K119" s="305"/>
      <c r="L119" s="305"/>
      <c r="M119" s="323"/>
      <c r="N119" s="325"/>
      <c r="O119" s="331"/>
      <c r="P119" s="323"/>
      <c r="Q119" s="330"/>
      <c r="R119" s="284">
        <f>IFERROR(__xludf.DUMMYFUNCTION("SUM(QUERY(Coletas_BD!D:M,""select J where D='""&amp;D119&amp;""'"",1))"),5407.0)</f>
        <v>5407</v>
      </c>
      <c r="S119" s="284">
        <f>IFERROR(__xludf.DUMMYFUNCTION("SUM(QUERY(Coletas_BD!D:M,""select K where D='""&amp;D119&amp;""'"",1))"),25.0)</f>
        <v>25</v>
      </c>
      <c r="T119" s="284">
        <f>IFERROR(__xludf.DUMMYFUNCTION("SUM(QUERY(Coletas_BD!D:M,""select L where D='""&amp;D119&amp;""'"",1))"),75.0)</f>
        <v>75</v>
      </c>
      <c r="U119" s="284">
        <f>IFERROR(__xludf.DUMMYFUNCTION("SUM(QUERY(Coletas_BD!D:M,""select M where D='""&amp;D119&amp;""'"",1))"),250.0)</f>
        <v>250</v>
      </c>
      <c r="V119" s="284">
        <f>IFERROR(__xludf.DUMMYFUNCTION("SUM(QUERY(Coletas_BD!D:S,""select P where D='""&amp;D119&amp;""'"",1))"),65.0)</f>
        <v>65</v>
      </c>
      <c r="W119" s="284">
        <f>IFERROR(__xludf.DUMMYFUNCTION("SUM(QUERY(Coletas_BD!D:S,""select Q where D='""&amp;D119&amp;""'"",1))"),21.0)</f>
        <v>21</v>
      </c>
      <c r="X119" s="284">
        <f>IFERROR(__xludf.DUMMYFUNCTION("SUM(QUERY(Coletas_BD!D:S,""select R where D='""&amp;D119&amp;""'"",1))"),2.0)</f>
        <v>2</v>
      </c>
      <c r="Y119" s="284">
        <f>IFERROR(__xludf.DUMMYFUNCTION("SUM(QUERY(Coletas_BD!D:S,""select S where D='""&amp;D119&amp;""'"",1))"),4.0)</f>
        <v>4</v>
      </c>
      <c r="Z119" s="309"/>
    </row>
    <row r="120" ht="18.75" customHeight="1">
      <c r="A120" s="329"/>
      <c r="B120" s="327"/>
      <c r="C120" s="279">
        <v>119.0</v>
      </c>
      <c r="D120" s="331"/>
      <c r="E120" s="331"/>
      <c r="F120" s="328"/>
      <c r="G120" s="328">
        <v>3.0</v>
      </c>
      <c r="H120" s="331" t="s">
        <v>1205</v>
      </c>
      <c r="I120" s="323"/>
      <c r="J120" s="331" t="s">
        <v>1136</v>
      </c>
      <c r="K120" s="305"/>
      <c r="L120" s="305"/>
      <c r="M120" s="323"/>
      <c r="N120" s="325"/>
      <c r="O120" s="331"/>
      <c r="P120" s="323"/>
      <c r="Q120" s="330"/>
      <c r="R120" s="284">
        <f>IFERROR(__xludf.DUMMYFUNCTION("SUM(QUERY(Coletas_BD!D:M,""select J where D='""&amp;D120&amp;""'"",1))"),5407.0)</f>
        <v>5407</v>
      </c>
      <c r="S120" s="284">
        <f>IFERROR(__xludf.DUMMYFUNCTION("SUM(QUERY(Coletas_BD!D:M,""select K where D='""&amp;D120&amp;""'"",1))"),25.0)</f>
        <v>25</v>
      </c>
      <c r="T120" s="284">
        <f>IFERROR(__xludf.DUMMYFUNCTION("SUM(QUERY(Coletas_BD!D:M,""select L where D='""&amp;D120&amp;""'"",1))"),75.0)</f>
        <v>75</v>
      </c>
      <c r="U120" s="284">
        <f>IFERROR(__xludf.DUMMYFUNCTION("SUM(QUERY(Coletas_BD!D:M,""select M where D='""&amp;D120&amp;""'"",1))"),250.0)</f>
        <v>250</v>
      </c>
      <c r="V120" s="284">
        <f>IFERROR(__xludf.DUMMYFUNCTION("SUM(QUERY(Coletas_BD!D:S,""select P where D='""&amp;D120&amp;""'"",1))"),65.0)</f>
        <v>65</v>
      </c>
      <c r="W120" s="284">
        <f>IFERROR(__xludf.DUMMYFUNCTION("SUM(QUERY(Coletas_BD!D:S,""select Q where D='""&amp;D120&amp;""'"",1))"),21.0)</f>
        <v>21</v>
      </c>
      <c r="X120" s="284">
        <f>IFERROR(__xludf.DUMMYFUNCTION("SUM(QUERY(Coletas_BD!D:S,""select R where D='""&amp;D120&amp;""'"",1))"),2.0)</f>
        <v>2</v>
      </c>
      <c r="Y120" s="284">
        <f>IFERROR(__xludf.DUMMYFUNCTION("SUM(QUERY(Coletas_BD!D:S,""select S where D='""&amp;D120&amp;""'"",1))"),4.0)</f>
        <v>4</v>
      </c>
      <c r="Z120" s="309"/>
    </row>
    <row r="121" ht="18.75" customHeight="1">
      <c r="A121" s="329"/>
      <c r="B121" s="327"/>
      <c r="C121" s="279">
        <v>120.0</v>
      </c>
      <c r="D121" s="331"/>
      <c r="E121" s="331"/>
      <c r="F121" s="331"/>
      <c r="G121" s="328">
        <v>1.0</v>
      </c>
      <c r="H121" s="331" t="s">
        <v>1206</v>
      </c>
      <c r="I121" s="323"/>
      <c r="J121" s="331" t="s">
        <v>1198</v>
      </c>
      <c r="K121" s="305"/>
      <c r="L121" s="305"/>
      <c r="M121" s="323"/>
      <c r="N121" s="325"/>
      <c r="O121" s="331"/>
      <c r="P121" s="323"/>
      <c r="Q121" s="330"/>
      <c r="R121" s="284">
        <f>IFERROR(__xludf.DUMMYFUNCTION("SUM(QUERY(Coletas_BD!D:M,""select J where D='""&amp;D121&amp;""'"",1))"),5407.0)</f>
        <v>5407</v>
      </c>
      <c r="S121" s="284">
        <f>IFERROR(__xludf.DUMMYFUNCTION("SUM(QUERY(Coletas_BD!D:M,""select K where D='""&amp;D121&amp;""'"",1))"),25.0)</f>
        <v>25</v>
      </c>
      <c r="T121" s="284">
        <f>IFERROR(__xludf.DUMMYFUNCTION("SUM(QUERY(Coletas_BD!D:M,""select L where D='""&amp;D121&amp;""'"",1))"),75.0)</f>
        <v>75</v>
      </c>
      <c r="U121" s="284">
        <f>IFERROR(__xludf.DUMMYFUNCTION("SUM(QUERY(Coletas_BD!D:M,""select M where D='""&amp;D121&amp;""'"",1))"),250.0)</f>
        <v>250</v>
      </c>
      <c r="V121" s="284">
        <f>IFERROR(__xludf.DUMMYFUNCTION("SUM(QUERY(Coletas_BD!D:S,""select P where D='""&amp;D121&amp;""'"",1))"),65.0)</f>
        <v>65</v>
      </c>
      <c r="W121" s="284">
        <f>IFERROR(__xludf.DUMMYFUNCTION("SUM(QUERY(Coletas_BD!D:S,""select Q where D='""&amp;D121&amp;""'"",1))"),21.0)</f>
        <v>21</v>
      </c>
      <c r="X121" s="284">
        <f>IFERROR(__xludf.DUMMYFUNCTION("SUM(QUERY(Coletas_BD!D:S,""select R where D='""&amp;D121&amp;""'"",1))"),2.0)</f>
        <v>2</v>
      </c>
      <c r="Y121" s="284">
        <f>IFERROR(__xludf.DUMMYFUNCTION("SUM(QUERY(Coletas_BD!D:S,""select S where D='""&amp;D121&amp;""'"",1))"),4.0)</f>
        <v>4</v>
      </c>
      <c r="Z121" s="309"/>
    </row>
    <row r="122" ht="18.75" customHeight="1">
      <c r="A122" s="329"/>
      <c r="B122" s="327"/>
      <c r="C122" s="279">
        <v>121.0</v>
      </c>
      <c r="D122" s="331"/>
      <c r="E122" s="331"/>
      <c r="F122" s="328"/>
      <c r="G122" s="328">
        <v>1.0</v>
      </c>
      <c r="H122" s="331" t="s">
        <v>1207</v>
      </c>
      <c r="I122" s="323"/>
      <c r="J122" s="331" t="s">
        <v>1198</v>
      </c>
      <c r="K122" s="305"/>
      <c r="L122" s="305"/>
      <c r="M122" s="323"/>
      <c r="N122" s="325"/>
      <c r="O122" s="331"/>
      <c r="P122" s="323"/>
      <c r="Q122" s="330"/>
      <c r="R122" s="284">
        <f>IFERROR(__xludf.DUMMYFUNCTION("SUM(QUERY(Coletas_BD!D:M,""select J where D='""&amp;D122&amp;""'"",1))"),5407.0)</f>
        <v>5407</v>
      </c>
      <c r="S122" s="284">
        <f>IFERROR(__xludf.DUMMYFUNCTION("SUM(QUERY(Coletas_BD!D:M,""select K where D='""&amp;D122&amp;""'"",1))"),25.0)</f>
        <v>25</v>
      </c>
      <c r="T122" s="284">
        <f>IFERROR(__xludf.DUMMYFUNCTION("SUM(QUERY(Coletas_BD!D:M,""select L where D='""&amp;D122&amp;""'"",1))"),75.0)</f>
        <v>75</v>
      </c>
      <c r="U122" s="284">
        <f>IFERROR(__xludf.DUMMYFUNCTION("SUM(QUERY(Coletas_BD!D:M,""select M where D='""&amp;D122&amp;""'"",1))"),250.0)</f>
        <v>250</v>
      </c>
      <c r="V122" s="284">
        <f>IFERROR(__xludf.DUMMYFUNCTION("SUM(QUERY(Coletas_BD!D:S,""select P where D='""&amp;D122&amp;""'"",1))"),65.0)</f>
        <v>65</v>
      </c>
      <c r="W122" s="284">
        <f>IFERROR(__xludf.DUMMYFUNCTION("SUM(QUERY(Coletas_BD!D:S,""select Q where D='""&amp;D122&amp;""'"",1))"),21.0)</f>
        <v>21</v>
      </c>
      <c r="X122" s="284">
        <f>IFERROR(__xludf.DUMMYFUNCTION("SUM(QUERY(Coletas_BD!D:S,""select R where D='""&amp;D122&amp;""'"",1))"),2.0)</f>
        <v>2</v>
      </c>
      <c r="Y122" s="284">
        <f>IFERROR(__xludf.DUMMYFUNCTION("SUM(QUERY(Coletas_BD!D:S,""select S where D='""&amp;D122&amp;""'"",1))"),4.0)</f>
        <v>4</v>
      </c>
      <c r="Z122" s="309"/>
    </row>
    <row r="123" ht="18.75" customHeight="1">
      <c r="A123" s="329"/>
      <c r="B123" s="327"/>
      <c r="C123" s="279">
        <v>122.0</v>
      </c>
      <c r="D123" s="331"/>
      <c r="E123" s="331"/>
      <c r="F123" s="331"/>
      <c r="G123" s="328">
        <v>3.0</v>
      </c>
      <c r="H123" s="331" t="s">
        <v>1208</v>
      </c>
      <c r="I123" s="323"/>
      <c r="J123" s="331" t="s">
        <v>1142</v>
      </c>
      <c r="K123" s="305"/>
      <c r="L123" s="305"/>
      <c r="M123" s="323"/>
      <c r="N123" s="325"/>
      <c r="O123" s="331"/>
      <c r="P123" s="323"/>
      <c r="Q123" s="330"/>
      <c r="R123" s="284">
        <f>IFERROR(__xludf.DUMMYFUNCTION("SUM(QUERY(Coletas_BD!D:M,""select J where D='""&amp;D123&amp;""'"",1))"),5407.0)</f>
        <v>5407</v>
      </c>
      <c r="S123" s="284">
        <f>IFERROR(__xludf.DUMMYFUNCTION("SUM(QUERY(Coletas_BD!D:M,""select K where D='""&amp;D123&amp;""'"",1))"),25.0)</f>
        <v>25</v>
      </c>
      <c r="T123" s="284">
        <f>IFERROR(__xludf.DUMMYFUNCTION("SUM(QUERY(Coletas_BD!D:M,""select L where D='""&amp;D123&amp;""'"",1))"),75.0)</f>
        <v>75</v>
      </c>
      <c r="U123" s="284">
        <f>IFERROR(__xludf.DUMMYFUNCTION("SUM(QUERY(Coletas_BD!D:M,""select M where D='""&amp;D123&amp;""'"",1))"),250.0)</f>
        <v>250</v>
      </c>
      <c r="V123" s="284">
        <f>IFERROR(__xludf.DUMMYFUNCTION("SUM(QUERY(Coletas_BD!D:S,""select P where D='""&amp;D123&amp;""'"",1))"),65.0)</f>
        <v>65</v>
      </c>
      <c r="W123" s="284">
        <f>IFERROR(__xludf.DUMMYFUNCTION("SUM(QUERY(Coletas_BD!D:S,""select Q where D='""&amp;D123&amp;""'"",1))"),21.0)</f>
        <v>21</v>
      </c>
      <c r="X123" s="284">
        <f>IFERROR(__xludf.DUMMYFUNCTION("SUM(QUERY(Coletas_BD!D:S,""select R where D='""&amp;D123&amp;""'"",1))"),2.0)</f>
        <v>2</v>
      </c>
      <c r="Y123" s="284">
        <f>IFERROR(__xludf.DUMMYFUNCTION("SUM(QUERY(Coletas_BD!D:S,""select S where D='""&amp;D123&amp;""'"",1))"),4.0)</f>
        <v>4</v>
      </c>
      <c r="Z123" s="309"/>
    </row>
    <row r="124" ht="18.75" customHeight="1">
      <c r="A124" s="329"/>
      <c r="B124" s="327"/>
      <c r="C124" s="279">
        <v>123.0</v>
      </c>
      <c r="D124" s="331"/>
      <c r="E124" s="331"/>
      <c r="F124" s="328"/>
      <c r="G124" s="328">
        <v>1.0</v>
      </c>
      <c r="H124" s="331" t="s">
        <v>1172</v>
      </c>
      <c r="I124" s="323"/>
      <c r="J124" s="331" t="s">
        <v>1209</v>
      </c>
      <c r="K124" s="305"/>
      <c r="L124" s="305"/>
      <c r="M124" s="323"/>
      <c r="N124" s="325"/>
      <c r="O124" s="331"/>
      <c r="P124" s="323"/>
      <c r="Q124" s="330"/>
      <c r="R124" s="284">
        <f>IFERROR(__xludf.DUMMYFUNCTION("SUM(QUERY(Coletas_BD!D:M,""select J where D='""&amp;D124&amp;""'"",1))"),5407.0)</f>
        <v>5407</v>
      </c>
      <c r="S124" s="284">
        <f>IFERROR(__xludf.DUMMYFUNCTION("SUM(QUERY(Coletas_BD!D:M,""select K where D='""&amp;D124&amp;""'"",1))"),25.0)</f>
        <v>25</v>
      </c>
      <c r="T124" s="284">
        <f>IFERROR(__xludf.DUMMYFUNCTION("SUM(QUERY(Coletas_BD!D:M,""select L where D='""&amp;D124&amp;""'"",1))"),75.0)</f>
        <v>75</v>
      </c>
      <c r="U124" s="284">
        <f>IFERROR(__xludf.DUMMYFUNCTION("SUM(QUERY(Coletas_BD!D:M,""select M where D='""&amp;D124&amp;""'"",1))"),250.0)</f>
        <v>250</v>
      </c>
      <c r="V124" s="284">
        <f>IFERROR(__xludf.DUMMYFUNCTION("SUM(QUERY(Coletas_BD!D:S,""select P where D='""&amp;D124&amp;""'"",1))"),65.0)</f>
        <v>65</v>
      </c>
      <c r="W124" s="284">
        <f>IFERROR(__xludf.DUMMYFUNCTION("SUM(QUERY(Coletas_BD!D:S,""select Q where D='""&amp;D124&amp;""'"",1))"),21.0)</f>
        <v>21</v>
      </c>
      <c r="X124" s="284">
        <f>IFERROR(__xludf.DUMMYFUNCTION("SUM(QUERY(Coletas_BD!D:S,""select R where D='""&amp;D124&amp;""'"",1))"),2.0)</f>
        <v>2</v>
      </c>
      <c r="Y124" s="284">
        <f>IFERROR(__xludf.DUMMYFUNCTION("SUM(QUERY(Coletas_BD!D:S,""select S where D='""&amp;D124&amp;""'"",1))"),4.0)</f>
        <v>4</v>
      </c>
      <c r="Z124" s="309"/>
    </row>
    <row r="125" ht="18.75" customHeight="1">
      <c r="A125" s="329"/>
      <c r="B125" s="327"/>
      <c r="C125" s="279">
        <v>124.0</v>
      </c>
      <c r="D125" s="331"/>
      <c r="E125" s="331"/>
      <c r="F125" s="331"/>
      <c r="G125" s="328">
        <v>1.0</v>
      </c>
      <c r="H125" s="331" t="s">
        <v>1210</v>
      </c>
      <c r="I125" s="323"/>
      <c r="J125" s="331" t="s">
        <v>1136</v>
      </c>
      <c r="K125" s="305"/>
      <c r="L125" s="305"/>
      <c r="M125" s="323"/>
      <c r="N125" s="325"/>
      <c r="O125" s="331"/>
      <c r="P125" s="323"/>
      <c r="Q125" s="330"/>
      <c r="R125" s="284">
        <f>IFERROR(__xludf.DUMMYFUNCTION("SUM(QUERY(Coletas_BD!D:M,""select J where D='""&amp;D125&amp;""'"",1))"),5407.0)</f>
        <v>5407</v>
      </c>
      <c r="S125" s="284">
        <f>IFERROR(__xludf.DUMMYFUNCTION("SUM(QUERY(Coletas_BD!D:M,""select K where D='""&amp;D125&amp;""'"",1))"),25.0)</f>
        <v>25</v>
      </c>
      <c r="T125" s="284">
        <f>IFERROR(__xludf.DUMMYFUNCTION("SUM(QUERY(Coletas_BD!D:M,""select L where D='""&amp;D125&amp;""'"",1))"),75.0)</f>
        <v>75</v>
      </c>
      <c r="U125" s="284">
        <f>IFERROR(__xludf.DUMMYFUNCTION("SUM(QUERY(Coletas_BD!D:M,""select M where D='""&amp;D125&amp;""'"",1))"),250.0)</f>
        <v>250</v>
      </c>
      <c r="V125" s="284">
        <f>IFERROR(__xludf.DUMMYFUNCTION("SUM(QUERY(Coletas_BD!D:S,""select P where D='""&amp;D125&amp;""'"",1))"),65.0)</f>
        <v>65</v>
      </c>
      <c r="W125" s="284">
        <f>IFERROR(__xludf.DUMMYFUNCTION("SUM(QUERY(Coletas_BD!D:S,""select Q where D='""&amp;D125&amp;""'"",1))"),21.0)</f>
        <v>21</v>
      </c>
      <c r="X125" s="284">
        <f>IFERROR(__xludf.DUMMYFUNCTION("SUM(QUERY(Coletas_BD!D:S,""select R where D='""&amp;D125&amp;""'"",1))"),2.0)</f>
        <v>2</v>
      </c>
      <c r="Y125" s="284">
        <f>IFERROR(__xludf.DUMMYFUNCTION("SUM(QUERY(Coletas_BD!D:S,""select S where D='""&amp;D125&amp;""'"",1))"),4.0)</f>
        <v>4</v>
      </c>
      <c r="Z125" s="309"/>
    </row>
    <row r="126" ht="18.75" customHeight="1">
      <c r="A126" s="329"/>
      <c r="B126" s="327"/>
      <c r="C126" s="279">
        <v>125.0</v>
      </c>
      <c r="D126" s="331"/>
      <c r="E126" s="331"/>
      <c r="F126" s="328"/>
      <c r="G126" s="328">
        <v>1.0</v>
      </c>
      <c r="H126" s="331" t="s">
        <v>1211</v>
      </c>
      <c r="I126" s="323"/>
      <c r="J126" s="331" t="s">
        <v>1139</v>
      </c>
      <c r="K126" s="305"/>
      <c r="L126" s="305"/>
      <c r="M126" s="323"/>
      <c r="N126" s="325"/>
      <c r="O126" s="331"/>
      <c r="P126" s="323"/>
      <c r="Q126" s="330"/>
      <c r="R126" s="284">
        <f>IFERROR(__xludf.DUMMYFUNCTION("SUM(QUERY(Coletas_BD!D:M,""select J where D='""&amp;D126&amp;""'"",1))"),5407.0)</f>
        <v>5407</v>
      </c>
      <c r="S126" s="284">
        <f>IFERROR(__xludf.DUMMYFUNCTION("SUM(QUERY(Coletas_BD!D:M,""select K where D='""&amp;D126&amp;""'"",1))"),25.0)</f>
        <v>25</v>
      </c>
      <c r="T126" s="284">
        <f>IFERROR(__xludf.DUMMYFUNCTION("SUM(QUERY(Coletas_BD!D:M,""select L where D='""&amp;D126&amp;""'"",1))"),75.0)</f>
        <v>75</v>
      </c>
      <c r="U126" s="284">
        <f>IFERROR(__xludf.DUMMYFUNCTION("SUM(QUERY(Coletas_BD!D:M,""select M where D='""&amp;D126&amp;""'"",1))"),250.0)</f>
        <v>250</v>
      </c>
      <c r="V126" s="284">
        <f>IFERROR(__xludf.DUMMYFUNCTION("SUM(QUERY(Coletas_BD!D:S,""select P where D='""&amp;D126&amp;""'"",1))"),65.0)</f>
        <v>65</v>
      </c>
      <c r="W126" s="284">
        <f>IFERROR(__xludf.DUMMYFUNCTION("SUM(QUERY(Coletas_BD!D:S,""select Q where D='""&amp;D126&amp;""'"",1))"),21.0)</f>
        <v>21</v>
      </c>
      <c r="X126" s="284">
        <f>IFERROR(__xludf.DUMMYFUNCTION("SUM(QUERY(Coletas_BD!D:S,""select R where D='""&amp;D126&amp;""'"",1))"),2.0)</f>
        <v>2</v>
      </c>
      <c r="Y126" s="284">
        <f>IFERROR(__xludf.DUMMYFUNCTION("SUM(QUERY(Coletas_BD!D:S,""select S where D='""&amp;D126&amp;""'"",1))"),4.0)</f>
        <v>4</v>
      </c>
      <c r="Z126" s="309"/>
    </row>
    <row r="127" ht="18.75" customHeight="1">
      <c r="A127" s="329"/>
      <c r="B127" s="327"/>
      <c r="C127" s="279">
        <v>126.0</v>
      </c>
      <c r="D127" s="331"/>
      <c r="E127" s="331"/>
      <c r="F127" s="331"/>
      <c r="G127" s="328">
        <v>1.0</v>
      </c>
      <c r="H127" s="331" t="s">
        <v>1212</v>
      </c>
      <c r="I127" s="323"/>
      <c r="J127" s="331" t="s">
        <v>1213</v>
      </c>
      <c r="K127" s="305"/>
      <c r="L127" s="305"/>
      <c r="M127" s="323"/>
      <c r="N127" s="325"/>
      <c r="O127" s="331"/>
      <c r="P127" s="323"/>
      <c r="Q127" s="330"/>
      <c r="R127" s="284">
        <f>IFERROR(__xludf.DUMMYFUNCTION("SUM(QUERY(Coletas_BD!D:M,""select J where D='""&amp;D127&amp;""'"",1))"),5407.0)</f>
        <v>5407</v>
      </c>
      <c r="S127" s="284">
        <f>IFERROR(__xludf.DUMMYFUNCTION("SUM(QUERY(Coletas_BD!D:M,""select K where D='""&amp;D127&amp;""'"",1))"),25.0)</f>
        <v>25</v>
      </c>
      <c r="T127" s="284">
        <f>IFERROR(__xludf.DUMMYFUNCTION("SUM(QUERY(Coletas_BD!D:M,""select L where D='""&amp;D127&amp;""'"",1))"),75.0)</f>
        <v>75</v>
      </c>
      <c r="U127" s="284">
        <f>IFERROR(__xludf.DUMMYFUNCTION("SUM(QUERY(Coletas_BD!D:M,""select M where D='""&amp;D127&amp;""'"",1))"),250.0)</f>
        <v>250</v>
      </c>
      <c r="V127" s="284">
        <f>IFERROR(__xludf.DUMMYFUNCTION("SUM(QUERY(Coletas_BD!D:S,""select P where D='""&amp;D127&amp;""'"",1))"),65.0)</f>
        <v>65</v>
      </c>
      <c r="W127" s="284">
        <f>IFERROR(__xludf.DUMMYFUNCTION("SUM(QUERY(Coletas_BD!D:S,""select Q where D='""&amp;D127&amp;""'"",1))"),21.0)</f>
        <v>21</v>
      </c>
      <c r="X127" s="284">
        <f>IFERROR(__xludf.DUMMYFUNCTION("SUM(QUERY(Coletas_BD!D:S,""select R where D='""&amp;D127&amp;""'"",1))"),2.0)</f>
        <v>2</v>
      </c>
      <c r="Y127" s="284">
        <f>IFERROR(__xludf.DUMMYFUNCTION("SUM(QUERY(Coletas_BD!D:S,""select S where D='""&amp;D127&amp;""'"",1))"),4.0)</f>
        <v>4</v>
      </c>
      <c r="Z127" s="309"/>
    </row>
    <row r="128" ht="18.75" customHeight="1">
      <c r="A128" s="329"/>
      <c r="B128" s="327"/>
      <c r="C128" s="279">
        <v>127.0</v>
      </c>
      <c r="D128" s="331"/>
      <c r="E128" s="331"/>
      <c r="F128" s="331"/>
      <c r="G128" s="328">
        <v>1.0</v>
      </c>
      <c r="H128" s="331" t="s">
        <v>1214</v>
      </c>
      <c r="I128" s="323"/>
      <c r="J128" s="331" t="s">
        <v>1215</v>
      </c>
      <c r="K128" s="305"/>
      <c r="L128" s="305"/>
      <c r="M128" s="323"/>
      <c r="N128" s="325"/>
      <c r="O128" s="331"/>
      <c r="P128" s="323"/>
      <c r="Q128" s="330"/>
      <c r="R128" s="284">
        <f>IFERROR(__xludf.DUMMYFUNCTION("SUM(QUERY(Coletas_BD!D:M,""select J where D='""&amp;D128&amp;""'"",1))"),5407.0)</f>
        <v>5407</v>
      </c>
      <c r="S128" s="284">
        <f>IFERROR(__xludf.DUMMYFUNCTION("SUM(QUERY(Coletas_BD!D:M,""select K where D='""&amp;D128&amp;""'"",1))"),25.0)</f>
        <v>25</v>
      </c>
      <c r="T128" s="284">
        <f>IFERROR(__xludf.DUMMYFUNCTION("SUM(QUERY(Coletas_BD!D:M,""select L where D='""&amp;D128&amp;""'"",1))"),75.0)</f>
        <v>75</v>
      </c>
      <c r="U128" s="284">
        <f>IFERROR(__xludf.DUMMYFUNCTION("SUM(QUERY(Coletas_BD!D:M,""select M where D='""&amp;D128&amp;""'"",1))"),250.0)</f>
        <v>250</v>
      </c>
      <c r="V128" s="284">
        <f>IFERROR(__xludf.DUMMYFUNCTION("SUM(QUERY(Coletas_BD!D:S,""select P where D='""&amp;D128&amp;""'"",1))"),65.0)</f>
        <v>65</v>
      </c>
      <c r="W128" s="284">
        <f>IFERROR(__xludf.DUMMYFUNCTION("SUM(QUERY(Coletas_BD!D:S,""select Q where D='""&amp;D128&amp;""'"",1))"),21.0)</f>
        <v>21</v>
      </c>
      <c r="X128" s="284">
        <f>IFERROR(__xludf.DUMMYFUNCTION("SUM(QUERY(Coletas_BD!D:S,""select R where D='""&amp;D128&amp;""'"",1))"),2.0)</f>
        <v>2</v>
      </c>
      <c r="Y128" s="284">
        <f>IFERROR(__xludf.DUMMYFUNCTION("SUM(QUERY(Coletas_BD!D:S,""select S where D='""&amp;D128&amp;""'"",1))"),4.0)</f>
        <v>4</v>
      </c>
      <c r="Z128" s="309"/>
    </row>
    <row r="129" ht="18.75" customHeight="1">
      <c r="A129" s="329"/>
      <c r="B129" s="327"/>
      <c r="C129" s="279">
        <v>128.0</v>
      </c>
      <c r="D129" s="331"/>
      <c r="E129" s="331"/>
      <c r="F129" s="331"/>
      <c r="G129" s="328">
        <v>1.0</v>
      </c>
      <c r="H129" s="331" t="s">
        <v>1149</v>
      </c>
      <c r="I129" s="323"/>
      <c r="J129" s="331" t="s">
        <v>1139</v>
      </c>
      <c r="K129" s="305"/>
      <c r="L129" s="305"/>
      <c r="M129" s="323"/>
      <c r="N129" s="325"/>
      <c r="O129" s="331"/>
      <c r="P129" s="323"/>
      <c r="Q129" s="330"/>
      <c r="R129" s="284">
        <f>IFERROR(__xludf.DUMMYFUNCTION("SUM(QUERY(Coletas_BD!D:M,""select J where D='""&amp;D129&amp;""'"",1))"),5407.0)</f>
        <v>5407</v>
      </c>
      <c r="S129" s="284">
        <f>IFERROR(__xludf.DUMMYFUNCTION("SUM(QUERY(Coletas_BD!D:M,""select K where D='""&amp;D129&amp;""'"",1))"),25.0)</f>
        <v>25</v>
      </c>
      <c r="T129" s="284">
        <f>IFERROR(__xludf.DUMMYFUNCTION("SUM(QUERY(Coletas_BD!D:M,""select L where D='""&amp;D129&amp;""'"",1))"),75.0)</f>
        <v>75</v>
      </c>
      <c r="U129" s="284">
        <f>IFERROR(__xludf.DUMMYFUNCTION("SUM(QUERY(Coletas_BD!D:M,""select M where D='""&amp;D129&amp;""'"",1))"),250.0)</f>
        <v>250</v>
      </c>
      <c r="V129" s="284">
        <f>IFERROR(__xludf.DUMMYFUNCTION("SUM(QUERY(Coletas_BD!D:S,""select P where D='""&amp;D129&amp;""'"",1))"),65.0)</f>
        <v>65</v>
      </c>
      <c r="W129" s="284">
        <f>IFERROR(__xludf.DUMMYFUNCTION("SUM(QUERY(Coletas_BD!D:S,""select Q where D='""&amp;D129&amp;""'"",1))"),21.0)</f>
        <v>21</v>
      </c>
      <c r="X129" s="284">
        <f>IFERROR(__xludf.DUMMYFUNCTION("SUM(QUERY(Coletas_BD!D:S,""select R where D='""&amp;D129&amp;""'"",1))"),2.0)</f>
        <v>2</v>
      </c>
      <c r="Y129" s="284">
        <f>IFERROR(__xludf.DUMMYFUNCTION("SUM(QUERY(Coletas_BD!D:S,""select S where D='""&amp;D129&amp;""'"",1))"),4.0)</f>
        <v>4</v>
      </c>
      <c r="Z129" s="309"/>
    </row>
    <row r="130" ht="18.75" customHeight="1">
      <c r="A130" s="329"/>
      <c r="B130" s="327"/>
      <c r="C130" s="279">
        <v>129.0</v>
      </c>
      <c r="D130" s="331"/>
      <c r="E130" s="331"/>
      <c r="F130" s="331"/>
      <c r="G130" s="328">
        <v>1.0</v>
      </c>
      <c r="H130" s="331" t="s">
        <v>1216</v>
      </c>
      <c r="I130" s="323"/>
      <c r="J130" s="331" t="s">
        <v>1217</v>
      </c>
      <c r="K130" s="305"/>
      <c r="L130" s="305"/>
      <c r="M130" s="323"/>
      <c r="N130" s="325"/>
      <c r="O130" s="331"/>
      <c r="P130" s="323"/>
      <c r="Q130" s="330"/>
      <c r="R130" s="284">
        <f>IFERROR(__xludf.DUMMYFUNCTION("SUM(QUERY(Coletas_BD!D:M,""select J where D='""&amp;D130&amp;""'"",1))"),5407.0)</f>
        <v>5407</v>
      </c>
      <c r="S130" s="284">
        <f>IFERROR(__xludf.DUMMYFUNCTION("SUM(QUERY(Coletas_BD!D:M,""select K where D='""&amp;D130&amp;""'"",1))"),25.0)</f>
        <v>25</v>
      </c>
      <c r="T130" s="284">
        <f>IFERROR(__xludf.DUMMYFUNCTION("SUM(QUERY(Coletas_BD!D:M,""select L where D='""&amp;D130&amp;""'"",1))"),75.0)</f>
        <v>75</v>
      </c>
      <c r="U130" s="284">
        <f>IFERROR(__xludf.DUMMYFUNCTION("SUM(QUERY(Coletas_BD!D:M,""select M where D='""&amp;D130&amp;""'"",1))"),250.0)</f>
        <v>250</v>
      </c>
      <c r="V130" s="284">
        <f>IFERROR(__xludf.DUMMYFUNCTION("SUM(QUERY(Coletas_BD!D:S,""select P where D='""&amp;D130&amp;""'"",1))"),65.0)</f>
        <v>65</v>
      </c>
      <c r="W130" s="284">
        <f>IFERROR(__xludf.DUMMYFUNCTION("SUM(QUERY(Coletas_BD!D:S,""select Q where D='""&amp;D130&amp;""'"",1))"),21.0)</f>
        <v>21</v>
      </c>
      <c r="X130" s="284">
        <f>IFERROR(__xludf.DUMMYFUNCTION("SUM(QUERY(Coletas_BD!D:S,""select R where D='""&amp;D130&amp;""'"",1))"),2.0)</f>
        <v>2</v>
      </c>
      <c r="Y130" s="284">
        <f>IFERROR(__xludf.DUMMYFUNCTION("SUM(QUERY(Coletas_BD!D:S,""select S where D='""&amp;D130&amp;""'"",1))"),4.0)</f>
        <v>4</v>
      </c>
      <c r="Z130" s="309"/>
    </row>
    <row r="131" ht="18.75" customHeight="1">
      <c r="A131" s="329"/>
      <c r="B131" s="327"/>
      <c r="C131" s="279">
        <v>130.0</v>
      </c>
      <c r="D131" s="331"/>
      <c r="E131" s="331"/>
      <c r="F131" s="331"/>
      <c r="G131" s="328">
        <v>1.0</v>
      </c>
      <c r="H131" s="331" t="s">
        <v>1218</v>
      </c>
      <c r="I131" s="323"/>
      <c r="J131" s="331" t="s">
        <v>1219</v>
      </c>
      <c r="K131" s="305"/>
      <c r="L131" s="305"/>
      <c r="M131" s="323"/>
      <c r="N131" s="325"/>
      <c r="O131" s="331"/>
      <c r="P131" s="323"/>
      <c r="Q131" s="330"/>
      <c r="R131" s="284">
        <f>IFERROR(__xludf.DUMMYFUNCTION("SUM(QUERY(Coletas_BD!D:M,""select J where D='""&amp;D131&amp;""'"",1))"),5407.0)</f>
        <v>5407</v>
      </c>
      <c r="S131" s="284">
        <f>IFERROR(__xludf.DUMMYFUNCTION("SUM(QUERY(Coletas_BD!D:M,""select K where D='""&amp;D131&amp;""'"",1))"),25.0)</f>
        <v>25</v>
      </c>
      <c r="T131" s="284">
        <f>IFERROR(__xludf.DUMMYFUNCTION("SUM(QUERY(Coletas_BD!D:M,""select L where D='""&amp;D131&amp;""'"",1))"),75.0)</f>
        <v>75</v>
      </c>
      <c r="U131" s="284">
        <f>IFERROR(__xludf.DUMMYFUNCTION("SUM(QUERY(Coletas_BD!D:M,""select M where D='""&amp;D131&amp;""'"",1))"),250.0)</f>
        <v>250</v>
      </c>
      <c r="V131" s="284">
        <f>IFERROR(__xludf.DUMMYFUNCTION("SUM(QUERY(Coletas_BD!D:S,""select P where D='""&amp;D131&amp;""'"",1))"),65.0)</f>
        <v>65</v>
      </c>
      <c r="W131" s="284">
        <f>IFERROR(__xludf.DUMMYFUNCTION("SUM(QUERY(Coletas_BD!D:S,""select Q where D='""&amp;D131&amp;""'"",1))"),21.0)</f>
        <v>21</v>
      </c>
      <c r="X131" s="284">
        <f>IFERROR(__xludf.DUMMYFUNCTION("SUM(QUERY(Coletas_BD!D:S,""select R where D='""&amp;D131&amp;""'"",1))"),2.0)</f>
        <v>2</v>
      </c>
      <c r="Y131" s="284">
        <f>IFERROR(__xludf.DUMMYFUNCTION("SUM(QUERY(Coletas_BD!D:S,""select S where D='""&amp;D131&amp;""'"",1))"),4.0)</f>
        <v>4</v>
      </c>
      <c r="Z131" s="309"/>
    </row>
    <row r="132" ht="18.75" customHeight="1">
      <c r="A132" s="329"/>
      <c r="B132" s="327"/>
      <c r="C132" s="279">
        <v>131.0</v>
      </c>
      <c r="D132" s="331"/>
      <c r="E132" s="331"/>
      <c r="F132" s="328"/>
      <c r="G132" s="328">
        <v>2.0</v>
      </c>
      <c r="H132" s="331" t="s">
        <v>1220</v>
      </c>
      <c r="I132" s="323"/>
      <c r="J132" s="331" t="s">
        <v>1221</v>
      </c>
      <c r="K132" s="305"/>
      <c r="L132" s="305"/>
      <c r="M132" s="323"/>
      <c r="N132" s="325"/>
      <c r="O132" s="331"/>
      <c r="P132" s="323"/>
      <c r="Q132" s="330"/>
      <c r="R132" s="284">
        <f>IFERROR(__xludf.DUMMYFUNCTION("SUM(QUERY(Coletas_BD!D:M,""select J where D='""&amp;D132&amp;""'"",1))"),5407.0)</f>
        <v>5407</v>
      </c>
      <c r="S132" s="284">
        <f>IFERROR(__xludf.DUMMYFUNCTION("SUM(QUERY(Coletas_BD!D:M,""select K where D='""&amp;D132&amp;""'"",1))"),25.0)</f>
        <v>25</v>
      </c>
      <c r="T132" s="284">
        <f>IFERROR(__xludf.DUMMYFUNCTION("SUM(QUERY(Coletas_BD!D:M,""select L where D='""&amp;D132&amp;""'"",1))"),75.0)</f>
        <v>75</v>
      </c>
      <c r="U132" s="284">
        <f>IFERROR(__xludf.DUMMYFUNCTION("SUM(QUERY(Coletas_BD!D:M,""select M where D='""&amp;D132&amp;""'"",1))"),250.0)</f>
        <v>250</v>
      </c>
      <c r="V132" s="284">
        <f>IFERROR(__xludf.DUMMYFUNCTION("SUM(QUERY(Coletas_BD!D:S,""select P where D='""&amp;D132&amp;""'"",1))"),65.0)</f>
        <v>65</v>
      </c>
      <c r="W132" s="284">
        <f>IFERROR(__xludf.DUMMYFUNCTION("SUM(QUERY(Coletas_BD!D:S,""select Q where D='""&amp;D132&amp;""'"",1))"),21.0)</f>
        <v>21</v>
      </c>
      <c r="X132" s="284">
        <f>IFERROR(__xludf.DUMMYFUNCTION("SUM(QUERY(Coletas_BD!D:S,""select R where D='""&amp;D132&amp;""'"",1))"),2.0)</f>
        <v>2</v>
      </c>
      <c r="Y132" s="284">
        <f>IFERROR(__xludf.DUMMYFUNCTION("SUM(QUERY(Coletas_BD!D:S,""select S where D='""&amp;D132&amp;""'"",1))"),4.0)</f>
        <v>4</v>
      </c>
      <c r="Z132" s="309"/>
    </row>
    <row r="133" ht="18.75" customHeight="1">
      <c r="A133" s="329"/>
      <c r="B133" s="327"/>
      <c r="C133" s="279">
        <v>132.0</v>
      </c>
      <c r="D133" s="331"/>
      <c r="E133" s="331"/>
      <c r="F133" s="331"/>
      <c r="G133" s="333" t="s">
        <v>1222</v>
      </c>
      <c r="H133" s="331" t="s">
        <v>1223</v>
      </c>
      <c r="I133" s="323"/>
      <c r="J133" s="331" t="s">
        <v>1136</v>
      </c>
      <c r="K133" s="305"/>
      <c r="L133" s="305"/>
      <c r="M133" s="323"/>
      <c r="N133" s="325"/>
      <c r="O133" s="331"/>
      <c r="P133" s="323"/>
      <c r="Q133" s="330"/>
      <c r="R133" s="284">
        <f>IFERROR(__xludf.DUMMYFUNCTION("SUM(QUERY(Coletas_BD!D:M,""select J where D='""&amp;D133&amp;""'"",1))"),5407.0)</f>
        <v>5407</v>
      </c>
      <c r="S133" s="284">
        <f>IFERROR(__xludf.DUMMYFUNCTION("SUM(QUERY(Coletas_BD!D:M,""select K where D='""&amp;D133&amp;""'"",1))"),25.0)</f>
        <v>25</v>
      </c>
      <c r="T133" s="284">
        <f>IFERROR(__xludf.DUMMYFUNCTION("SUM(QUERY(Coletas_BD!D:M,""select L where D='""&amp;D133&amp;""'"",1))"),75.0)</f>
        <v>75</v>
      </c>
      <c r="U133" s="284">
        <f>IFERROR(__xludf.DUMMYFUNCTION("SUM(QUERY(Coletas_BD!D:M,""select M where D='""&amp;D133&amp;""'"",1))"),250.0)</f>
        <v>250</v>
      </c>
      <c r="V133" s="284">
        <f>IFERROR(__xludf.DUMMYFUNCTION("SUM(QUERY(Coletas_BD!D:S,""select P where D='""&amp;D133&amp;""'"",1))"),65.0)</f>
        <v>65</v>
      </c>
      <c r="W133" s="284">
        <f>IFERROR(__xludf.DUMMYFUNCTION("SUM(QUERY(Coletas_BD!D:S,""select Q where D='""&amp;D133&amp;""'"",1))"),21.0)</f>
        <v>21</v>
      </c>
      <c r="X133" s="284">
        <f>IFERROR(__xludf.DUMMYFUNCTION("SUM(QUERY(Coletas_BD!D:S,""select R where D='""&amp;D133&amp;""'"",1))"),2.0)</f>
        <v>2</v>
      </c>
      <c r="Y133" s="284">
        <f>IFERROR(__xludf.DUMMYFUNCTION("SUM(QUERY(Coletas_BD!D:S,""select S where D='""&amp;D133&amp;""'"",1))"),4.0)</f>
        <v>4</v>
      </c>
      <c r="Z133" s="309"/>
    </row>
    <row r="134" ht="18.75" customHeight="1">
      <c r="A134" s="329"/>
      <c r="B134" s="327"/>
      <c r="C134" s="279">
        <v>133.0</v>
      </c>
      <c r="D134" s="331"/>
      <c r="E134" s="331"/>
      <c r="F134" s="328"/>
      <c r="G134" s="328">
        <v>3.0</v>
      </c>
      <c r="H134" s="331" t="s">
        <v>1224</v>
      </c>
      <c r="I134" s="323"/>
      <c r="J134" s="332" t="s">
        <v>1225</v>
      </c>
      <c r="K134" s="305"/>
      <c r="L134" s="305"/>
      <c r="M134" s="323"/>
      <c r="N134" s="325"/>
      <c r="O134" s="331"/>
      <c r="P134" s="323"/>
      <c r="Q134" s="330"/>
      <c r="R134" s="284">
        <f>IFERROR(__xludf.DUMMYFUNCTION("SUM(QUERY(Coletas_BD!D:M,""select J where D='""&amp;D134&amp;""'"",1))"),5407.0)</f>
        <v>5407</v>
      </c>
      <c r="S134" s="284">
        <f>IFERROR(__xludf.DUMMYFUNCTION("SUM(QUERY(Coletas_BD!D:M,""select K where D='""&amp;D134&amp;""'"",1))"),25.0)</f>
        <v>25</v>
      </c>
      <c r="T134" s="284">
        <f>IFERROR(__xludf.DUMMYFUNCTION("SUM(QUERY(Coletas_BD!D:M,""select L where D='""&amp;D134&amp;""'"",1))"),75.0)</f>
        <v>75</v>
      </c>
      <c r="U134" s="284">
        <f>IFERROR(__xludf.DUMMYFUNCTION("SUM(QUERY(Coletas_BD!D:M,""select M where D='""&amp;D134&amp;""'"",1))"),250.0)</f>
        <v>250</v>
      </c>
      <c r="V134" s="284">
        <f>IFERROR(__xludf.DUMMYFUNCTION("SUM(QUERY(Coletas_BD!D:S,""select P where D='""&amp;D134&amp;""'"",1))"),65.0)</f>
        <v>65</v>
      </c>
      <c r="W134" s="284">
        <f>IFERROR(__xludf.DUMMYFUNCTION("SUM(QUERY(Coletas_BD!D:S,""select Q where D='""&amp;D134&amp;""'"",1))"),21.0)</f>
        <v>21</v>
      </c>
      <c r="X134" s="284">
        <f>IFERROR(__xludf.DUMMYFUNCTION("SUM(QUERY(Coletas_BD!D:S,""select R where D='""&amp;D134&amp;""'"",1))"),2.0)</f>
        <v>2</v>
      </c>
      <c r="Y134" s="284">
        <f>IFERROR(__xludf.DUMMYFUNCTION("SUM(QUERY(Coletas_BD!D:S,""select S where D='""&amp;D134&amp;""'"",1))"),4.0)</f>
        <v>4</v>
      </c>
      <c r="Z134" s="309"/>
    </row>
    <row r="135" ht="18.75" customHeight="1">
      <c r="A135" s="329"/>
      <c r="B135" s="327"/>
      <c r="C135" s="279">
        <v>134.0</v>
      </c>
      <c r="D135" s="331"/>
      <c r="E135" s="331"/>
      <c r="F135" s="328"/>
      <c r="G135" s="328">
        <v>2.0</v>
      </c>
      <c r="H135" s="331" t="s">
        <v>1226</v>
      </c>
      <c r="I135" s="323"/>
      <c r="J135" s="331" t="s">
        <v>1227</v>
      </c>
      <c r="K135" s="305"/>
      <c r="L135" s="305"/>
      <c r="M135" s="323"/>
      <c r="N135" s="325"/>
      <c r="O135" s="331"/>
      <c r="P135" s="323"/>
      <c r="Q135" s="330"/>
      <c r="R135" s="284">
        <f>IFERROR(__xludf.DUMMYFUNCTION("SUM(QUERY(Coletas_BD!D:M,""select J where D='""&amp;D135&amp;""'"",1))"),5407.0)</f>
        <v>5407</v>
      </c>
      <c r="S135" s="284">
        <f>IFERROR(__xludf.DUMMYFUNCTION("SUM(QUERY(Coletas_BD!D:M,""select K where D='""&amp;D135&amp;""'"",1))"),25.0)</f>
        <v>25</v>
      </c>
      <c r="T135" s="284">
        <f>IFERROR(__xludf.DUMMYFUNCTION("SUM(QUERY(Coletas_BD!D:M,""select L where D='""&amp;D135&amp;""'"",1))"),75.0)</f>
        <v>75</v>
      </c>
      <c r="U135" s="284">
        <f>IFERROR(__xludf.DUMMYFUNCTION("SUM(QUERY(Coletas_BD!D:M,""select M where D='""&amp;D135&amp;""'"",1))"),250.0)</f>
        <v>250</v>
      </c>
      <c r="V135" s="284">
        <f>IFERROR(__xludf.DUMMYFUNCTION("SUM(QUERY(Coletas_BD!D:S,""select P where D='""&amp;D135&amp;""'"",1))"),65.0)</f>
        <v>65</v>
      </c>
      <c r="W135" s="284">
        <f>IFERROR(__xludf.DUMMYFUNCTION("SUM(QUERY(Coletas_BD!D:S,""select Q where D='""&amp;D135&amp;""'"",1))"),21.0)</f>
        <v>21</v>
      </c>
      <c r="X135" s="284">
        <f>IFERROR(__xludf.DUMMYFUNCTION("SUM(QUERY(Coletas_BD!D:S,""select R where D='""&amp;D135&amp;""'"",1))"),2.0)</f>
        <v>2</v>
      </c>
      <c r="Y135" s="284">
        <f>IFERROR(__xludf.DUMMYFUNCTION("SUM(QUERY(Coletas_BD!D:S,""select S where D='""&amp;D135&amp;""'"",1))"),4.0)</f>
        <v>4</v>
      </c>
      <c r="Z135" s="309"/>
    </row>
    <row r="136" ht="18.75" customHeight="1">
      <c r="A136" s="329"/>
      <c r="B136" s="327"/>
      <c r="C136" s="279">
        <v>135.0</v>
      </c>
      <c r="D136" s="331"/>
      <c r="E136" s="331"/>
      <c r="F136" s="331"/>
      <c r="G136" s="328">
        <v>1.0</v>
      </c>
      <c r="H136" s="331" t="s">
        <v>1149</v>
      </c>
      <c r="I136" s="323"/>
      <c r="J136" s="331" t="s">
        <v>1136</v>
      </c>
      <c r="K136" s="305"/>
      <c r="L136" s="305"/>
      <c r="M136" s="323"/>
      <c r="N136" s="325"/>
      <c r="O136" s="331"/>
      <c r="P136" s="323"/>
      <c r="Q136" s="330"/>
      <c r="R136" s="284">
        <f>IFERROR(__xludf.DUMMYFUNCTION("SUM(QUERY(Coletas_BD!D:M,""select J where D='""&amp;D136&amp;""'"",1))"),5407.0)</f>
        <v>5407</v>
      </c>
      <c r="S136" s="284">
        <f>IFERROR(__xludf.DUMMYFUNCTION("SUM(QUERY(Coletas_BD!D:M,""select K where D='""&amp;D136&amp;""'"",1))"),25.0)</f>
        <v>25</v>
      </c>
      <c r="T136" s="284">
        <f>IFERROR(__xludf.DUMMYFUNCTION("SUM(QUERY(Coletas_BD!D:M,""select L where D='""&amp;D136&amp;""'"",1))"),75.0)</f>
        <v>75</v>
      </c>
      <c r="U136" s="284">
        <f>IFERROR(__xludf.DUMMYFUNCTION("SUM(QUERY(Coletas_BD!D:M,""select M where D='""&amp;D136&amp;""'"",1))"),250.0)</f>
        <v>250</v>
      </c>
      <c r="V136" s="284">
        <f>IFERROR(__xludf.DUMMYFUNCTION("SUM(QUERY(Coletas_BD!D:S,""select P where D='""&amp;D136&amp;""'"",1))"),65.0)</f>
        <v>65</v>
      </c>
      <c r="W136" s="284">
        <f>IFERROR(__xludf.DUMMYFUNCTION("SUM(QUERY(Coletas_BD!D:S,""select Q where D='""&amp;D136&amp;""'"",1))"),21.0)</f>
        <v>21</v>
      </c>
      <c r="X136" s="284">
        <f>IFERROR(__xludf.DUMMYFUNCTION("SUM(QUERY(Coletas_BD!D:S,""select R where D='""&amp;D136&amp;""'"",1))"),2.0)</f>
        <v>2</v>
      </c>
      <c r="Y136" s="284">
        <f>IFERROR(__xludf.DUMMYFUNCTION("SUM(QUERY(Coletas_BD!D:S,""select S where D='""&amp;D136&amp;""'"",1))"),4.0)</f>
        <v>4</v>
      </c>
      <c r="Z136" s="309"/>
    </row>
    <row r="137" ht="18.75" customHeight="1">
      <c r="A137" s="329"/>
      <c r="B137" s="327"/>
      <c r="C137" s="279">
        <v>136.0</v>
      </c>
      <c r="D137" s="331"/>
      <c r="E137" s="331"/>
      <c r="F137" s="331"/>
      <c r="G137" s="328">
        <v>1.0</v>
      </c>
      <c r="H137" s="331" t="s">
        <v>1228</v>
      </c>
      <c r="I137" s="323"/>
      <c r="J137" s="331" t="s">
        <v>1136</v>
      </c>
      <c r="K137" s="305"/>
      <c r="L137" s="305"/>
      <c r="M137" s="323"/>
      <c r="N137" s="325"/>
      <c r="O137" s="331"/>
      <c r="P137" s="323"/>
      <c r="Q137" s="330"/>
      <c r="R137" s="284">
        <f>IFERROR(__xludf.DUMMYFUNCTION("SUM(QUERY(Coletas_BD!D:M,""select J where D='""&amp;D137&amp;""'"",1))"),5407.0)</f>
        <v>5407</v>
      </c>
      <c r="S137" s="284">
        <f>IFERROR(__xludf.DUMMYFUNCTION("SUM(QUERY(Coletas_BD!D:M,""select K where D='""&amp;D137&amp;""'"",1))"),25.0)</f>
        <v>25</v>
      </c>
      <c r="T137" s="284">
        <f>IFERROR(__xludf.DUMMYFUNCTION("SUM(QUERY(Coletas_BD!D:M,""select L where D='""&amp;D137&amp;""'"",1))"),75.0)</f>
        <v>75</v>
      </c>
      <c r="U137" s="284">
        <f>IFERROR(__xludf.DUMMYFUNCTION("SUM(QUERY(Coletas_BD!D:M,""select M where D='""&amp;D137&amp;""'"",1))"),250.0)</f>
        <v>250</v>
      </c>
      <c r="V137" s="284">
        <f>IFERROR(__xludf.DUMMYFUNCTION("SUM(QUERY(Coletas_BD!D:S,""select P where D='""&amp;D137&amp;""'"",1))"),65.0)</f>
        <v>65</v>
      </c>
      <c r="W137" s="284">
        <f>IFERROR(__xludf.DUMMYFUNCTION("SUM(QUERY(Coletas_BD!D:S,""select Q where D='""&amp;D137&amp;""'"",1))"),21.0)</f>
        <v>21</v>
      </c>
      <c r="X137" s="284">
        <f>IFERROR(__xludf.DUMMYFUNCTION("SUM(QUERY(Coletas_BD!D:S,""select R where D='""&amp;D137&amp;""'"",1))"),2.0)</f>
        <v>2</v>
      </c>
      <c r="Y137" s="284">
        <f>IFERROR(__xludf.DUMMYFUNCTION("SUM(QUERY(Coletas_BD!D:S,""select S where D='""&amp;D137&amp;""'"",1))"),4.0)</f>
        <v>4</v>
      </c>
      <c r="Z137" s="309"/>
    </row>
    <row r="138" ht="18.75" customHeight="1">
      <c r="A138" s="329"/>
      <c r="B138" s="327"/>
      <c r="C138" s="279">
        <v>137.0</v>
      </c>
      <c r="D138" s="331"/>
      <c r="E138" s="331"/>
      <c r="F138" s="328"/>
      <c r="G138" s="328">
        <v>1.0</v>
      </c>
      <c r="H138" s="331" t="s">
        <v>1214</v>
      </c>
      <c r="I138" s="323"/>
      <c r="J138" s="331" t="s">
        <v>1229</v>
      </c>
      <c r="K138" s="305"/>
      <c r="L138" s="305"/>
      <c r="M138" s="323"/>
      <c r="N138" s="325"/>
      <c r="O138" s="331"/>
      <c r="P138" s="323"/>
      <c r="Q138" s="330"/>
      <c r="R138" s="284">
        <f>IFERROR(__xludf.DUMMYFUNCTION("SUM(QUERY(Coletas_BD!D:M,""select J where D='""&amp;D138&amp;""'"",1))"),5407.0)</f>
        <v>5407</v>
      </c>
      <c r="S138" s="284">
        <f>IFERROR(__xludf.DUMMYFUNCTION("SUM(QUERY(Coletas_BD!D:M,""select K where D='""&amp;D138&amp;""'"",1))"),25.0)</f>
        <v>25</v>
      </c>
      <c r="T138" s="284">
        <f>IFERROR(__xludf.DUMMYFUNCTION("SUM(QUERY(Coletas_BD!D:M,""select L where D='""&amp;D138&amp;""'"",1))"),75.0)</f>
        <v>75</v>
      </c>
      <c r="U138" s="284">
        <f>IFERROR(__xludf.DUMMYFUNCTION("SUM(QUERY(Coletas_BD!D:M,""select M where D='""&amp;D138&amp;""'"",1))"),250.0)</f>
        <v>250</v>
      </c>
      <c r="V138" s="284">
        <f>IFERROR(__xludf.DUMMYFUNCTION("SUM(QUERY(Coletas_BD!D:S,""select P where D='""&amp;D138&amp;""'"",1))"),65.0)</f>
        <v>65</v>
      </c>
      <c r="W138" s="284">
        <f>IFERROR(__xludf.DUMMYFUNCTION("SUM(QUERY(Coletas_BD!D:S,""select Q where D='""&amp;D138&amp;""'"",1))"),21.0)</f>
        <v>21</v>
      </c>
      <c r="X138" s="284">
        <f>IFERROR(__xludf.DUMMYFUNCTION("SUM(QUERY(Coletas_BD!D:S,""select R where D='""&amp;D138&amp;""'"",1))"),2.0)</f>
        <v>2</v>
      </c>
      <c r="Y138" s="284">
        <f>IFERROR(__xludf.DUMMYFUNCTION("SUM(QUERY(Coletas_BD!D:S,""select S where D='""&amp;D138&amp;""'"",1))"),4.0)</f>
        <v>4</v>
      </c>
      <c r="Z138" s="309"/>
    </row>
    <row r="139" ht="18.75" customHeight="1">
      <c r="A139" s="329"/>
      <c r="B139" s="327"/>
      <c r="C139" s="279">
        <v>138.0</v>
      </c>
      <c r="D139" s="331"/>
      <c r="E139" s="331"/>
      <c r="F139" s="331"/>
      <c r="G139" s="328">
        <v>3.0</v>
      </c>
      <c r="H139" s="331" t="s">
        <v>1230</v>
      </c>
      <c r="I139" s="323"/>
      <c r="J139" s="331" t="s">
        <v>1231</v>
      </c>
      <c r="K139" s="305"/>
      <c r="L139" s="305"/>
      <c r="M139" s="323"/>
      <c r="N139" s="325"/>
      <c r="O139" s="331"/>
      <c r="P139" s="323"/>
      <c r="Q139" s="330"/>
      <c r="R139" s="284">
        <f>IFERROR(__xludf.DUMMYFUNCTION("SUM(QUERY(Coletas_BD!D:M,""select J where D='""&amp;D139&amp;""'"",1))"),5407.0)</f>
        <v>5407</v>
      </c>
      <c r="S139" s="284">
        <f>IFERROR(__xludf.DUMMYFUNCTION("SUM(QUERY(Coletas_BD!D:M,""select K where D='""&amp;D139&amp;""'"",1))"),25.0)</f>
        <v>25</v>
      </c>
      <c r="T139" s="284">
        <f>IFERROR(__xludf.DUMMYFUNCTION("SUM(QUERY(Coletas_BD!D:M,""select L where D='""&amp;D139&amp;""'"",1))"),75.0)</f>
        <v>75</v>
      </c>
      <c r="U139" s="284">
        <f>IFERROR(__xludf.DUMMYFUNCTION("SUM(QUERY(Coletas_BD!D:M,""select M where D='""&amp;D139&amp;""'"",1))"),250.0)</f>
        <v>250</v>
      </c>
      <c r="V139" s="284">
        <f>IFERROR(__xludf.DUMMYFUNCTION("SUM(QUERY(Coletas_BD!D:S,""select P where D='""&amp;D139&amp;""'"",1))"),65.0)</f>
        <v>65</v>
      </c>
      <c r="W139" s="284">
        <f>IFERROR(__xludf.DUMMYFUNCTION("SUM(QUERY(Coletas_BD!D:S,""select Q where D='""&amp;D139&amp;""'"",1))"),21.0)</f>
        <v>21</v>
      </c>
      <c r="X139" s="284">
        <f>IFERROR(__xludf.DUMMYFUNCTION("SUM(QUERY(Coletas_BD!D:S,""select R where D='""&amp;D139&amp;""'"",1))"),2.0)</f>
        <v>2</v>
      </c>
      <c r="Y139" s="284">
        <f>IFERROR(__xludf.DUMMYFUNCTION("SUM(QUERY(Coletas_BD!D:S,""select S where D='""&amp;D139&amp;""'"",1))"),4.0)</f>
        <v>4</v>
      </c>
      <c r="Z139" s="309"/>
    </row>
    <row r="140" ht="18.75" customHeight="1">
      <c r="A140" s="329"/>
      <c r="B140" s="327"/>
      <c r="C140" s="279">
        <v>139.0</v>
      </c>
      <c r="D140" s="331"/>
      <c r="E140" s="331"/>
      <c r="F140" s="331"/>
      <c r="G140" s="328">
        <v>1.0</v>
      </c>
      <c r="H140" s="331" t="s">
        <v>1232</v>
      </c>
      <c r="I140" s="323"/>
      <c r="J140" s="331" t="s">
        <v>1136</v>
      </c>
      <c r="K140" s="305"/>
      <c r="L140" s="305"/>
      <c r="M140" s="323"/>
      <c r="N140" s="325"/>
      <c r="O140" s="331"/>
      <c r="P140" s="323"/>
      <c r="Q140" s="330"/>
      <c r="R140" s="284">
        <f>IFERROR(__xludf.DUMMYFUNCTION("SUM(QUERY(Coletas_BD!D:M,""select J where D='""&amp;D140&amp;""'"",1))"),5407.0)</f>
        <v>5407</v>
      </c>
      <c r="S140" s="284">
        <f>IFERROR(__xludf.DUMMYFUNCTION("SUM(QUERY(Coletas_BD!D:M,""select K where D='""&amp;D140&amp;""'"",1))"),25.0)</f>
        <v>25</v>
      </c>
      <c r="T140" s="284">
        <f>IFERROR(__xludf.DUMMYFUNCTION("SUM(QUERY(Coletas_BD!D:M,""select L where D='""&amp;D140&amp;""'"",1))"),75.0)</f>
        <v>75</v>
      </c>
      <c r="U140" s="284">
        <f>IFERROR(__xludf.DUMMYFUNCTION("SUM(QUERY(Coletas_BD!D:M,""select M where D='""&amp;D140&amp;""'"",1))"),250.0)</f>
        <v>250</v>
      </c>
      <c r="V140" s="284">
        <f>IFERROR(__xludf.DUMMYFUNCTION("SUM(QUERY(Coletas_BD!D:S,""select P where D='""&amp;D140&amp;""'"",1))"),65.0)</f>
        <v>65</v>
      </c>
      <c r="W140" s="284">
        <f>IFERROR(__xludf.DUMMYFUNCTION("SUM(QUERY(Coletas_BD!D:S,""select Q where D='""&amp;D140&amp;""'"",1))"),21.0)</f>
        <v>21</v>
      </c>
      <c r="X140" s="284">
        <f>IFERROR(__xludf.DUMMYFUNCTION("SUM(QUERY(Coletas_BD!D:S,""select R where D='""&amp;D140&amp;""'"",1))"),2.0)</f>
        <v>2</v>
      </c>
      <c r="Y140" s="284">
        <f>IFERROR(__xludf.DUMMYFUNCTION("SUM(QUERY(Coletas_BD!D:S,""select S where D='""&amp;D140&amp;""'"",1))"),4.0)</f>
        <v>4</v>
      </c>
      <c r="Z140" s="309"/>
    </row>
    <row r="141" ht="18.75" customHeight="1">
      <c r="A141" s="329"/>
      <c r="B141" s="327"/>
      <c r="C141" s="279">
        <v>140.0</v>
      </c>
      <c r="D141" s="331"/>
      <c r="E141" s="331"/>
      <c r="F141" s="331"/>
      <c r="G141" s="328">
        <v>6.0</v>
      </c>
      <c r="H141" s="331" t="s">
        <v>1233</v>
      </c>
      <c r="I141" s="323"/>
      <c r="J141" s="331" t="s">
        <v>1136</v>
      </c>
      <c r="K141" s="305"/>
      <c r="L141" s="305"/>
      <c r="M141" s="323"/>
      <c r="N141" s="325"/>
      <c r="O141" s="331"/>
      <c r="P141" s="323"/>
      <c r="Q141" s="330"/>
      <c r="R141" s="284">
        <f>IFERROR(__xludf.DUMMYFUNCTION("SUM(QUERY(Coletas_BD!D:M,""select J where D='""&amp;D141&amp;""'"",1))"),5407.0)</f>
        <v>5407</v>
      </c>
      <c r="S141" s="284">
        <f>IFERROR(__xludf.DUMMYFUNCTION("SUM(QUERY(Coletas_BD!D:M,""select K where D='""&amp;D141&amp;""'"",1))"),25.0)</f>
        <v>25</v>
      </c>
      <c r="T141" s="284">
        <f>IFERROR(__xludf.DUMMYFUNCTION("SUM(QUERY(Coletas_BD!D:M,""select L where D='""&amp;D141&amp;""'"",1))"),75.0)</f>
        <v>75</v>
      </c>
      <c r="U141" s="284">
        <f>IFERROR(__xludf.DUMMYFUNCTION("SUM(QUERY(Coletas_BD!D:M,""select M where D='""&amp;D141&amp;""'"",1))"),250.0)</f>
        <v>250</v>
      </c>
      <c r="V141" s="284">
        <f>IFERROR(__xludf.DUMMYFUNCTION("SUM(QUERY(Coletas_BD!D:S,""select P where D='""&amp;D141&amp;""'"",1))"),65.0)</f>
        <v>65</v>
      </c>
      <c r="W141" s="284">
        <f>IFERROR(__xludf.DUMMYFUNCTION("SUM(QUERY(Coletas_BD!D:S,""select Q where D='""&amp;D141&amp;""'"",1))"),21.0)</f>
        <v>21</v>
      </c>
      <c r="X141" s="284">
        <f>IFERROR(__xludf.DUMMYFUNCTION("SUM(QUERY(Coletas_BD!D:S,""select R where D='""&amp;D141&amp;""'"",1))"),2.0)</f>
        <v>2</v>
      </c>
      <c r="Y141" s="284">
        <f>IFERROR(__xludf.DUMMYFUNCTION("SUM(QUERY(Coletas_BD!D:S,""select S where D='""&amp;D141&amp;""'"",1))"),4.0)</f>
        <v>4</v>
      </c>
      <c r="Z141" s="309"/>
    </row>
    <row r="142" ht="18.75" customHeight="1">
      <c r="A142" s="329"/>
      <c r="B142" s="327"/>
      <c r="C142" s="279">
        <v>141.0</v>
      </c>
      <c r="D142" s="331"/>
      <c r="E142" s="331"/>
      <c r="F142" s="331"/>
      <c r="G142" s="328">
        <v>2.0</v>
      </c>
      <c r="H142" s="331" t="s">
        <v>1234</v>
      </c>
      <c r="I142" s="323"/>
      <c r="J142" s="331" t="s">
        <v>1235</v>
      </c>
      <c r="K142" s="305"/>
      <c r="L142" s="305"/>
      <c r="M142" s="323"/>
      <c r="N142" s="325"/>
      <c r="O142" s="331"/>
      <c r="P142" s="323"/>
      <c r="Q142" s="330"/>
      <c r="R142" s="284">
        <f>IFERROR(__xludf.DUMMYFUNCTION("SUM(QUERY(Coletas_BD!D:M,""select J where D='""&amp;D142&amp;""'"",1))"),5407.0)</f>
        <v>5407</v>
      </c>
      <c r="S142" s="284">
        <f>IFERROR(__xludf.DUMMYFUNCTION("SUM(QUERY(Coletas_BD!D:M,""select K where D='""&amp;D142&amp;""'"",1))"),25.0)</f>
        <v>25</v>
      </c>
      <c r="T142" s="284">
        <f>IFERROR(__xludf.DUMMYFUNCTION("SUM(QUERY(Coletas_BD!D:M,""select L where D='""&amp;D142&amp;""'"",1))"),75.0)</f>
        <v>75</v>
      </c>
      <c r="U142" s="284">
        <f>IFERROR(__xludf.DUMMYFUNCTION("SUM(QUERY(Coletas_BD!D:M,""select M where D='""&amp;D142&amp;""'"",1))"),250.0)</f>
        <v>250</v>
      </c>
      <c r="V142" s="284">
        <f>IFERROR(__xludf.DUMMYFUNCTION("SUM(QUERY(Coletas_BD!D:S,""select P where D='""&amp;D142&amp;""'"",1))"),65.0)</f>
        <v>65</v>
      </c>
      <c r="W142" s="284">
        <f>IFERROR(__xludf.DUMMYFUNCTION("SUM(QUERY(Coletas_BD!D:S,""select Q where D='""&amp;D142&amp;""'"",1))"),21.0)</f>
        <v>21</v>
      </c>
      <c r="X142" s="284">
        <f>IFERROR(__xludf.DUMMYFUNCTION("SUM(QUERY(Coletas_BD!D:S,""select R where D='""&amp;D142&amp;""'"",1))"),2.0)</f>
        <v>2</v>
      </c>
      <c r="Y142" s="284">
        <f>IFERROR(__xludf.DUMMYFUNCTION("SUM(QUERY(Coletas_BD!D:S,""select S where D='""&amp;D142&amp;""'"",1))"),4.0)</f>
        <v>4</v>
      </c>
      <c r="Z142" s="309"/>
    </row>
    <row r="143" ht="18.75" customHeight="1">
      <c r="A143" s="329"/>
      <c r="B143" s="327"/>
      <c r="C143" s="279">
        <v>142.0</v>
      </c>
      <c r="D143" s="331"/>
      <c r="E143" s="331"/>
      <c r="F143" s="331"/>
      <c r="G143" s="328">
        <v>2.0</v>
      </c>
      <c r="H143" s="331" t="s">
        <v>1236</v>
      </c>
      <c r="I143" s="323"/>
      <c r="J143" s="331" t="s">
        <v>1237</v>
      </c>
      <c r="K143" s="305"/>
      <c r="L143" s="305"/>
      <c r="M143" s="323"/>
      <c r="N143" s="325"/>
      <c r="O143" s="331"/>
      <c r="P143" s="323"/>
      <c r="Q143" s="330"/>
      <c r="R143" s="284">
        <f>IFERROR(__xludf.DUMMYFUNCTION("SUM(QUERY(Coletas_BD!D:M,""select J where D='""&amp;D143&amp;""'"",1))"),5407.0)</f>
        <v>5407</v>
      </c>
      <c r="S143" s="284">
        <f>IFERROR(__xludf.DUMMYFUNCTION("SUM(QUERY(Coletas_BD!D:M,""select K where D='""&amp;D143&amp;""'"",1))"),25.0)</f>
        <v>25</v>
      </c>
      <c r="T143" s="284">
        <f>IFERROR(__xludf.DUMMYFUNCTION("SUM(QUERY(Coletas_BD!D:M,""select L where D='""&amp;D143&amp;""'"",1))"),75.0)</f>
        <v>75</v>
      </c>
      <c r="U143" s="284">
        <f>IFERROR(__xludf.DUMMYFUNCTION("SUM(QUERY(Coletas_BD!D:M,""select M where D='""&amp;D143&amp;""'"",1))"),250.0)</f>
        <v>250</v>
      </c>
      <c r="V143" s="284">
        <f>IFERROR(__xludf.DUMMYFUNCTION("SUM(QUERY(Coletas_BD!D:S,""select P where D='""&amp;D143&amp;""'"",1))"),65.0)</f>
        <v>65</v>
      </c>
      <c r="W143" s="284">
        <f>IFERROR(__xludf.DUMMYFUNCTION("SUM(QUERY(Coletas_BD!D:S,""select Q where D='""&amp;D143&amp;""'"",1))"),21.0)</f>
        <v>21</v>
      </c>
      <c r="X143" s="284">
        <f>IFERROR(__xludf.DUMMYFUNCTION("SUM(QUERY(Coletas_BD!D:S,""select R where D='""&amp;D143&amp;""'"",1))"),2.0)</f>
        <v>2</v>
      </c>
      <c r="Y143" s="284">
        <f>IFERROR(__xludf.DUMMYFUNCTION("SUM(QUERY(Coletas_BD!D:S,""select S where D='""&amp;D143&amp;""'"",1))"),4.0)</f>
        <v>4</v>
      </c>
      <c r="Z143" s="309"/>
    </row>
    <row r="144" ht="18.75" customHeight="1">
      <c r="A144" s="329"/>
      <c r="B144" s="327"/>
      <c r="C144" s="279">
        <v>143.0</v>
      </c>
      <c r="D144" s="331"/>
      <c r="E144" s="331"/>
      <c r="F144" s="331"/>
      <c r="G144" s="328">
        <v>1.0</v>
      </c>
      <c r="H144" s="331" t="s">
        <v>1238</v>
      </c>
      <c r="I144" s="323"/>
      <c r="J144" s="331" t="s">
        <v>1239</v>
      </c>
      <c r="K144" s="305"/>
      <c r="L144" s="305"/>
      <c r="M144" s="323"/>
      <c r="N144" s="325"/>
      <c r="O144" s="331"/>
      <c r="P144" s="323"/>
      <c r="Q144" s="330"/>
      <c r="R144" s="284">
        <f>IFERROR(__xludf.DUMMYFUNCTION("SUM(QUERY(Coletas_BD!D:M,""select J where D='""&amp;D144&amp;""'"",1))"),5407.0)</f>
        <v>5407</v>
      </c>
      <c r="S144" s="284">
        <f>IFERROR(__xludf.DUMMYFUNCTION("SUM(QUERY(Coletas_BD!D:M,""select K where D='""&amp;D144&amp;""'"",1))"),25.0)</f>
        <v>25</v>
      </c>
      <c r="T144" s="284">
        <f>IFERROR(__xludf.DUMMYFUNCTION("SUM(QUERY(Coletas_BD!D:M,""select L where D='""&amp;D144&amp;""'"",1))"),75.0)</f>
        <v>75</v>
      </c>
      <c r="U144" s="284">
        <f>IFERROR(__xludf.DUMMYFUNCTION("SUM(QUERY(Coletas_BD!D:M,""select M where D='""&amp;D144&amp;""'"",1))"),250.0)</f>
        <v>250</v>
      </c>
      <c r="V144" s="284">
        <f>IFERROR(__xludf.DUMMYFUNCTION("SUM(QUERY(Coletas_BD!D:S,""select P where D='""&amp;D144&amp;""'"",1))"),65.0)</f>
        <v>65</v>
      </c>
      <c r="W144" s="284">
        <f>IFERROR(__xludf.DUMMYFUNCTION("SUM(QUERY(Coletas_BD!D:S,""select Q where D='""&amp;D144&amp;""'"",1))"),21.0)</f>
        <v>21</v>
      </c>
      <c r="X144" s="284">
        <f>IFERROR(__xludf.DUMMYFUNCTION("SUM(QUERY(Coletas_BD!D:S,""select R where D='""&amp;D144&amp;""'"",1))"),2.0)</f>
        <v>2</v>
      </c>
      <c r="Y144" s="284">
        <f>IFERROR(__xludf.DUMMYFUNCTION("SUM(QUERY(Coletas_BD!D:S,""select S where D='""&amp;D144&amp;""'"",1))"),4.0)</f>
        <v>4</v>
      </c>
      <c r="Z144" s="309"/>
    </row>
    <row r="145" ht="18.75" customHeight="1">
      <c r="A145" s="329"/>
      <c r="B145" s="327"/>
      <c r="C145" s="279">
        <v>144.0</v>
      </c>
      <c r="D145" s="334"/>
      <c r="E145" s="331"/>
      <c r="F145" s="331"/>
      <c r="G145" s="328">
        <v>1.0</v>
      </c>
      <c r="H145" s="331" t="s">
        <v>1240</v>
      </c>
      <c r="I145" s="323"/>
      <c r="J145" s="331" t="s">
        <v>1139</v>
      </c>
      <c r="K145" s="305"/>
      <c r="L145" s="305"/>
      <c r="M145" s="323"/>
      <c r="N145" s="325"/>
      <c r="O145" s="331"/>
      <c r="P145" s="323"/>
      <c r="Q145" s="330"/>
      <c r="R145" s="284">
        <f>IFERROR(__xludf.DUMMYFUNCTION("SUM(QUERY(Coletas_BD!D:M,""select J where D='""&amp;D145&amp;""'"",1))"),5407.0)</f>
        <v>5407</v>
      </c>
      <c r="S145" s="284">
        <f>IFERROR(__xludf.DUMMYFUNCTION("SUM(QUERY(Coletas_BD!D:M,""select K where D='""&amp;D145&amp;""'"",1))"),25.0)</f>
        <v>25</v>
      </c>
      <c r="T145" s="284">
        <f>IFERROR(__xludf.DUMMYFUNCTION("SUM(QUERY(Coletas_BD!D:M,""select L where D='""&amp;D145&amp;""'"",1))"),75.0)</f>
        <v>75</v>
      </c>
      <c r="U145" s="284">
        <f>IFERROR(__xludf.DUMMYFUNCTION("SUM(QUERY(Coletas_BD!D:M,""select M where D='""&amp;D145&amp;""'"",1))"),250.0)</f>
        <v>250</v>
      </c>
      <c r="V145" s="284">
        <f>IFERROR(__xludf.DUMMYFUNCTION("SUM(QUERY(Coletas_BD!D:S,""select P where D='""&amp;D145&amp;""'"",1))"),65.0)</f>
        <v>65</v>
      </c>
      <c r="W145" s="284">
        <f>IFERROR(__xludf.DUMMYFUNCTION("SUM(QUERY(Coletas_BD!D:S,""select Q where D='""&amp;D145&amp;""'"",1))"),21.0)</f>
        <v>21</v>
      </c>
      <c r="X145" s="284">
        <f>IFERROR(__xludf.DUMMYFUNCTION("SUM(QUERY(Coletas_BD!D:S,""select R where D='""&amp;D145&amp;""'"",1))"),2.0)</f>
        <v>2</v>
      </c>
      <c r="Y145" s="284">
        <f>IFERROR(__xludf.DUMMYFUNCTION("SUM(QUERY(Coletas_BD!D:S,""select S where D='""&amp;D145&amp;""'"",1))"),4.0)</f>
        <v>4</v>
      </c>
      <c r="Z145" s="309"/>
    </row>
    <row r="146" ht="18.75" customHeight="1">
      <c r="A146" s="329"/>
      <c r="B146" s="327"/>
      <c r="C146" s="279">
        <v>145.0</v>
      </c>
      <c r="D146" s="331"/>
      <c r="E146" s="331"/>
      <c r="F146" s="331"/>
      <c r="G146" s="328">
        <v>3.0</v>
      </c>
      <c r="H146" s="331" t="s">
        <v>1241</v>
      </c>
      <c r="I146" s="323"/>
      <c r="J146" s="331" t="s">
        <v>1242</v>
      </c>
      <c r="K146" s="305"/>
      <c r="L146" s="305"/>
      <c r="M146" s="323"/>
      <c r="N146" s="325"/>
      <c r="O146" s="331"/>
      <c r="P146" s="323"/>
      <c r="Q146" s="330"/>
      <c r="R146" s="284">
        <f>IFERROR(__xludf.DUMMYFUNCTION("SUM(QUERY(Coletas_BD!D:M,""select J where D='""&amp;D146&amp;""'"",1))"),5407.0)</f>
        <v>5407</v>
      </c>
      <c r="S146" s="284">
        <f>IFERROR(__xludf.DUMMYFUNCTION("SUM(QUERY(Coletas_BD!D:M,""select K where D='""&amp;D146&amp;""'"",1))"),25.0)</f>
        <v>25</v>
      </c>
      <c r="T146" s="284">
        <f>IFERROR(__xludf.DUMMYFUNCTION("SUM(QUERY(Coletas_BD!D:M,""select L where D='""&amp;D146&amp;""'"",1))"),75.0)</f>
        <v>75</v>
      </c>
      <c r="U146" s="284">
        <f>IFERROR(__xludf.DUMMYFUNCTION("SUM(QUERY(Coletas_BD!D:M,""select M where D='""&amp;D146&amp;""'"",1))"),250.0)</f>
        <v>250</v>
      </c>
      <c r="V146" s="284">
        <f>IFERROR(__xludf.DUMMYFUNCTION("SUM(QUERY(Coletas_BD!D:S,""select P where D='""&amp;D146&amp;""'"",1))"),65.0)</f>
        <v>65</v>
      </c>
      <c r="W146" s="284">
        <f>IFERROR(__xludf.DUMMYFUNCTION("SUM(QUERY(Coletas_BD!D:S,""select Q where D='""&amp;D146&amp;""'"",1))"),21.0)</f>
        <v>21</v>
      </c>
      <c r="X146" s="284">
        <f>IFERROR(__xludf.DUMMYFUNCTION("SUM(QUERY(Coletas_BD!D:S,""select R where D='""&amp;D146&amp;""'"",1))"),2.0)</f>
        <v>2</v>
      </c>
      <c r="Y146" s="284">
        <f>IFERROR(__xludf.DUMMYFUNCTION("SUM(QUERY(Coletas_BD!D:S,""select S where D='""&amp;D146&amp;""'"",1))"),4.0)</f>
        <v>4</v>
      </c>
      <c r="Z146" s="309"/>
    </row>
    <row r="147" ht="18.75" customHeight="1">
      <c r="A147" s="329"/>
      <c r="B147" s="327"/>
      <c r="C147" s="279">
        <v>146.0</v>
      </c>
      <c r="D147" s="331"/>
      <c r="E147" s="331"/>
      <c r="F147" s="328"/>
      <c r="G147" s="328">
        <v>1.0</v>
      </c>
      <c r="H147" s="331" t="s">
        <v>1243</v>
      </c>
      <c r="I147" s="323"/>
      <c r="J147" s="331" t="s">
        <v>1244</v>
      </c>
      <c r="K147" s="305"/>
      <c r="L147" s="305"/>
      <c r="M147" s="323"/>
      <c r="N147" s="325"/>
      <c r="O147" s="331"/>
      <c r="P147" s="323"/>
      <c r="Q147" s="330"/>
      <c r="R147" s="284">
        <f>IFERROR(__xludf.DUMMYFUNCTION("SUM(QUERY(Coletas_BD!D:M,""select J where D='""&amp;D147&amp;""'"",1))"),5407.0)</f>
        <v>5407</v>
      </c>
      <c r="S147" s="284">
        <f>IFERROR(__xludf.DUMMYFUNCTION("SUM(QUERY(Coletas_BD!D:M,""select K where D='""&amp;D147&amp;""'"",1))"),25.0)</f>
        <v>25</v>
      </c>
      <c r="T147" s="284">
        <f>IFERROR(__xludf.DUMMYFUNCTION("SUM(QUERY(Coletas_BD!D:M,""select L where D='""&amp;D147&amp;""'"",1))"),75.0)</f>
        <v>75</v>
      </c>
      <c r="U147" s="284">
        <f>IFERROR(__xludf.DUMMYFUNCTION("SUM(QUERY(Coletas_BD!D:M,""select M where D='""&amp;D147&amp;""'"",1))"),250.0)</f>
        <v>250</v>
      </c>
      <c r="V147" s="284">
        <f>IFERROR(__xludf.DUMMYFUNCTION("SUM(QUERY(Coletas_BD!D:S,""select P where D='""&amp;D147&amp;""'"",1))"),65.0)</f>
        <v>65</v>
      </c>
      <c r="W147" s="284">
        <f>IFERROR(__xludf.DUMMYFUNCTION("SUM(QUERY(Coletas_BD!D:S,""select Q where D='""&amp;D147&amp;""'"",1))"),21.0)</f>
        <v>21</v>
      </c>
      <c r="X147" s="284">
        <f>IFERROR(__xludf.DUMMYFUNCTION("SUM(QUERY(Coletas_BD!D:S,""select R where D='""&amp;D147&amp;""'"",1))"),2.0)</f>
        <v>2</v>
      </c>
      <c r="Y147" s="284">
        <f>IFERROR(__xludf.DUMMYFUNCTION("SUM(QUERY(Coletas_BD!D:S,""select S where D='""&amp;D147&amp;""'"",1))"),4.0)</f>
        <v>4</v>
      </c>
      <c r="Z147" s="309"/>
    </row>
    <row r="148" ht="18.75" customHeight="1">
      <c r="A148" s="329"/>
      <c r="B148" s="327"/>
      <c r="C148" s="279">
        <v>147.0</v>
      </c>
      <c r="D148" s="331"/>
      <c r="E148" s="331"/>
      <c r="F148" s="328"/>
      <c r="G148" s="328">
        <v>2.0</v>
      </c>
      <c r="H148" s="331" t="s">
        <v>1245</v>
      </c>
      <c r="I148" s="323"/>
      <c r="J148" s="331" t="s">
        <v>1246</v>
      </c>
      <c r="K148" s="305"/>
      <c r="L148" s="305"/>
      <c r="M148" s="323"/>
      <c r="N148" s="325"/>
      <c r="O148" s="331"/>
      <c r="P148" s="323"/>
      <c r="Q148" s="330"/>
      <c r="R148" s="284">
        <f>IFERROR(__xludf.DUMMYFUNCTION("SUM(QUERY(Coletas_BD!D:M,""select J where D='""&amp;D148&amp;""'"",1))"),5407.0)</f>
        <v>5407</v>
      </c>
      <c r="S148" s="284">
        <f>IFERROR(__xludf.DUMMYFUNCTION("SUM(QUERY(Coletas_BD!D:M,""select K where D='""&amp;D148&amp;""'"",1))"),25.0)</f>
        <v>25</v>
      </c>
      <c r="T148" s="284">
        <f>IFERROR(__xludf.DUMMYFUNCTION("SUM(QUERY(Coletas_BD!D:M,""select L where D='""&amp;D148&amp;""'"",1))"),75.0)</f>
        <v>75</v>
      </c>
      <c r="U148" s="284">
        <f>IFERROR(__xludf.DUMMYFUNCTION("SUM(QUERY(Coletas_BD!D:M,""select M where D='""&amp;D148&amp;""'"",1))"),250.0)</f>
        <v>250</v>
      </c>
      <c r="V148" s="284">
        <f>IFERROR(__xludf.DUMMYFUNCTION("SUM(QUERY(Coletas_BD!D:S,""select P where D='""&amp;D148&amp;""'"",1))"),65.0)</f>
        <v>65</v>
      </c>
      <c r="W148" s="284">
        <f>IFERROR(__xludf.DUMMYFUNCTION("SUM(QUERY(Coletas_BD!D:S,""select Q where D='""&amp;D148&amp;""'"",1))"),21.0)</f>
        <v>21</v>
      </c>
      <c r="X148" s="284">
        <f>IFERROR(__xludf.DUMMYFUNCTION("SUM(QUERY(Coletas_BD!D:S,""select R where D='""&amp;D148&amp;""'"",1))"),2.0)</f>
        <v>2</v>
      </c>
      <c r="Y148" s="284">
        <f>IFERROR(__xludf.DUMMYFUNCTION("SUM(QUERY(Coletas_BD!D:S,""select S where D='""&amp;D148&amp;""'"",1))"),4.0)</f>
        <v>4</v>
      </c>
      <c r="Z148" s="309"/>
    </row>
    <row r="149" ht="18.75" customHeight="1">
      <c r="A149" s="329"/>
      <c r="B149" s="327"/>
      <c r="C149" s="279">
        <v>148.0</v>
      </c>
      <c r="D149" s="331"/>
      <c r="E149" s="331"/>
      <c r="F149" s="328"/>
      <c r="G149" s="328">
        <v>2.0</v>
      </c>
      <c r="H149" s="331" t="s">
        <v>1247</v>
      </c>
      <c r="I149" s="323"/>
      <c r="J149" s="331" t="s">
        <v>1248</v>
      </c>
      <c r="K149" s="305"/>
      <c r="L149" s="305"/>
      <c r="M149" s="323"/>
      <c r="N149" s="325"/>
      <c r="O149" s="331"/>
      <c r="P149" s="323"/>
      <c r="Q149" s="330"/>
      <c r="R149" s="284">
        <f>IFERROR(__xludf.DUMMYFUNCTION("SUM(QUERY(Coletas_BD!D:M,""select J where D='""&amp;D149&amp;""'"",1))"),5407.0)</f>
        <v>5407</v>
      </c>
      <c r="S149" s="284">
        <f>IFERROR(__xludf.DUMMYFUNCTION("SUM(QUERY(Coletas_BD!D:M,""select K where D='""&amp;D149&amp;""'"",1))"),25.0)</f>
        <v>25</v>
      </c>
      <c r="T149" s="284">
        <f>IFERROR(__xludf.DUMMYFUNCTION("SUM(QUERY(Coletas_BD!D:M,""select L where D='""&amp;D149&amp;""'"",1))"),75.0)</f>
        <v>75</v>
      </c>
      <c r="U149" s="284">
        <f>IFERROR(__xludf.DUMMYFUNCTION("SUM(QUERY(Coletas_BD!D:M,""select M where D='""&amp;D149&amp;""'"",1))"),250.0)</f>
        <v>250</v>
      </c>
      <c r="V149" s="284">
        <f>IFERROR(__xludf.DUMMYFUNCTION("SUM(QUERY(Coletas_BD!D:S,""select P where D='""&amp;D149&amp;""'"",1))"),65.0)</f>
        <v>65</v>
      </c>
      <c r="W149" s="284">
        <f>IFERROR(__xludf.DUMMYFUNCTION("SUM(QUERY(Coletas_BD!D:S,""select Q where D='""&amp;D149&amp;""'"",1))"),21.0)</f>
        <v>21</v>
      </c>
      <c r="X149" s="284">
        <f>IFERROR(__xludf.DUMMYFUNCTION("SUM(QUERY(Coletas_BD!D:S,""select R where D='""&amp;D149&amp;""'"",1))"),2.0)</f>
        <v>2</v>
      </c>
      <c r="Y149" s="284">
        <f>IFERROR(__xludf.DUMMYFUNCTION("SUM(QUERY(Coletas_BD!D:S,""select S where D='""&amp;D149&amp;""'"",1))"),4.0)</f>
        <v>4</v>
      </c>
      <c r="Z149" s="309"/>
    </row>
    <row r="150" ht="18.75" customHeight="1">
      <c r="A150" s="329"/>
      <c r="B150" s="327"/>
      <c r="C150" s="279">
        <v>149.0</v>
      </c>
      <c r="D150" s="331"/>
      <c r="E150" s="331"/>
      <c r="F150" s="331"/>
      <c r="G150" s="328">
        <v>2.0</v>
      </c>
      <c r="H150" s="331" t="s">
        <v>1249</v>
      </c>
      <c r="I150" s="323"/>
      <c r="J150" s="331" t="s">
        <v>1136</v>
      </c>
      <c r="K150" s="305"/>
      <c r="L150" s="305"/>
      <c r="M150" s="323"/>
      <c r="N150" s="325"/>
      <c r="O150" s="331"/>
      <c r="P150" s="323"/>
      <c r="Q150" s="330"/>
      <c r="R150" s="284">
        <f>IFERROR(__xludf.DUMMYFUNCTION("SUM(QUERY(Coletas_BD!D:M,""select J where D='""&amp;D150&amp;""'"",1))"),5407.0)</f>
        <v>5407</v>
      </c>
      <c r="S150" s="284">
        <f>IFERROR(__xludf.DUMMYFUNCTION("SUM(QUERY(Coletas_BD!D:M,""select K where D='""&amp;D150&amp;""'"",1))"),25.0)</f>
        <v>25</v>
      </c>
      <c r="T150" s="284">
        <f>IFERROR(__xludf.DUMMYFUNCTION("SUM(QUERY(Coletas_BD!D:M,""select L where D='""&amp;D150&amp;""'"",1))"),75.0)</f>
        <v>75</v>
      </c>
      <c r="U150" s="284">
        <f>IFERROR(__xludf.DUMMYFUNCTION("SUM(QUERY(Coletas_BD!D:M,""select M where D='""&amp;D150&amp;""'"",1))"),250.0)</f>
        <v>250</v>
      </c>
      <c r="V150" s="284">
        <f>IFERROR(__xludf.DUMMYFUNCTION("SUM(QUERY(Coletas_BD!D:S,""select P where D='""&amp;D150&amp;""'"",1))"),65.0)</f>
        <v>65</v>
      </c>
      <c r="W150" s="284">
        <f>IFERROR(__xludf.DUMMYFUNCTION("SUM(QUERY(Coletas_BD!D:S,""select Q where D='""&amp;D150&amp;""'"",1))"),21.0)</f>
        <v>21</v>
      </c>
      <c r="X150" s="284">
        <f>IFERROR(__xludf.DUMMYFUNCTION("SUM(QUERY(Coletas_BD!D:S,""select R where D='""&amp;D150&amp;""'"",1))"),2.0)</f>
        <v>2</v>
      </c>
      <c r="Y150" s="284">
        <f>IFERROR(__xludf.DUMMYFUNCTION("SUM(QUERY(Coletas_BD!D:S,""select S where D='""&amp;D150&amp;""'"",1))"),4.0)</f>
        <v>4</v>
      </c>
      <c r="Z150" s="309"/>
    </row>
    <row r="151" ht="18.75" customHeight="1">
      <c r="A151" s="329"/>
      <c r="B151" s="327"/>
      <c r="C151" s="279">
        <v>150.0</v>
      </c>
      <c r="D151" s="331"/>
      <c r="E151" s="331"/>
      <c r="F151" s="331"/>
      <c r="G151" s="328">
        <v>1.0</v>
      </c>
      <c r="H151" s="331" t="s">
        <v>1250</v>
      </c>
      <c r="I151" s="323"/>
      <c r="J151" s="331" t="s">
        <v>1251</v>
      </c>
      <c r="K151" s="305"/>
      <c r="L151" s="305"/>
      <c r="M151" s="323"/>
      <c r="N151" s="325"/>
      <c r="O151" s="331"/>
      <c r="P151" s="323"/>
      <c r="Q151" s="330"/>
      <c r="R151" s="284">
        <f>IFERROR(__xludf.DUMMYFUNCTION("SUM(QUERY(Coletas_BD!D:M,""select J where D='""&amp;D151&amp;""'"",1))"),5407.0)</f>
        <v>5407</v>
      </c>
      <c r="S151" s="284">
        <f>IFERROR(__xludf.DUMMYFUNCTION("SUM(QUERY(Coletas_BD!D:M,""select K where D='""&amp;D151&amp;""'"",1))"),25.0)</f>
        <v>25</v>
      </c>
      <c r="T151" s="284">
        <f>IFERROR(__xludf.DUMMYFUNCTION("SUM(QUERY(Coletas_BD!D:M,""select L where D='""&amp;D151&amp;""'"",1))"),75.0)</f>
        <v>75</v>
      </c>
      <c r="U151" s="284">
        <f>IFERROR(__xludf.DUMMYFUNCTION("SUM(QUERY(Coletas_BD!D:M,""select M where D='""&amp;D151&amp;""'"",1))"),250.0)</f>
        <v>250</v>
      </c>
      <c r="V151" s="284">
        <f>IFERROR(__xludf.DUMMYFUNCTION("SUM(QUERY(Coletas_BD!D:S,""select P where D='""&amp;D151&amp;""'"",1))"),65.0)</f>
        <v>65</v>
      </c>
      <c r="W151" s="284">
        <f>IFERROR(__xludf.DUMMYFUNCTION("SUM(QUERY(Coletas_BD!D:S,""select Q where D='""&amp;D151&amp;""'"",1))"),21.0)</f>
        <v>21</v>
      </c>
      <c r="X151" s="284">
        <f>IFERROR(__xludf.DUMMYFUNCTION("SUM(QUERY(Coletas_BD!D:S,""select R where D='""&amp;D151&amp;""'"",1))"),2.0)</f>
        <v>2</v>
      </c>
      <c r="Y151" s="284">
        <f>IFERROR(__xludf.DUMMYFUNCTION("SUM(QUERY(Coletas_BD!D:S,""select S where D='""&amp;D151&amp;""'"",1))"),4.0)</f>
        <v>4</v>
      </c>
      <c r="Z151" s="309"/>
    </row>
    <row r="152" ht="18.75" customHeight="1">
      <c r="A152" s="329"/>
      <c r="B152" s="327"/>
      <c r="C152" s="279">
        <v>151.0</v>
      </c>
      <c r="D152" s="331"/>
      <c r="E152" s="331"/>
      <c r="F152" s="328"/>
      <c r="G152" s="328">
        <v>1.0</v>
      </c>
      <c r="H152" s="331" t="s">
        <v>1252</v>
      </c>
      <c r="I152" s="323"/>
      <c r="J152" s="331" t="s">
        <v>1253</v>
      </c>
      <c r="K152" s="305"/>
      <c r="L152" s="305"/>
      <c r="M152" s="323"/>
      <c r="N152" s="325"/>
      <c r="O152" s="331"/>
      <c r="P152" s="323"/>
      <c r="Q152" s="330"/>
      <c r="R152" s="284">
        <f>IFERROR(__xludf.DUMMYFUNCTION("SUM(QUERY(Coletas_BD!D:M,""select J where D='""&amp;D152&amp;""'"",1))"),5407.0)</f>
        <v>5407</v>
      </c>
      <c r="S152" s="284">
        <f>IFERROR(__xludf.DUMMYFUNCTION("SUM(QUERY(Coletas_BD!D:M,""select K where D='""&amp;D152&amp;""'"",1))"),25.0)</f>
        <v>25</v>
      </c>
      <c r="T152" s="284">
        <f>IFERROR(__xludf.DUMMYFUNCTION("SUM(QUERY(Coletas_BD!D:M,""select L where D='""&amp;D152&amp;""'"",1))"),75.0)</f>
        <v>75</v>
      </c>
      <c r="U152" s="284">
        <f>IFERROR(__xludf.DUMMYFUNCTION("SUM(QUERY(Coletas_BD!D:M,""select M where D='""&amp;D152&amp;""'"",1))"),250.0)</f>
        <v>250</v>
      </c>
      <c r="V152" s="284">
        <f>IFERROR(__xludf.DUMMYFUNCTION("SUM(QUERY(Coletas_BD!D:S,""select P where D='""&amp;D152&amp;""'"",1))"),65.0)</f>
        <v>65</v>
      </c>
      <c r="W152" s="284">
        <f>IFERROR(__xludf.DUMMYFUNCTION("SUM(QUERY(Coletas_BD!D:S,""select Q where D='""&amp;D152&amp;""'"",1))"),21.0)</f>
        <v>21</v>
      </c>
      <c r="X152" s="284">
        <f>IFERROR(__xludf.DUMMYFUNCTION("SUM(QUERY(Coletas_BD!D:S,""select R where D='""&amp;D152&amp;""'"",1))"),2.0)</f>
        <v>2</v>
      </c>
      <c r="Y152" s="284">
        <f>IFERROR(__xludf.DUMMYFUNCTION("SUM(QUERY(Coletas_BD!D:S,""select S where D='""&amp;D152&amp;""'"",1))"),4.0)</f>
        <v>4</v>
      </c>
      <c r="Z152" s="309"/>
    </row>
    <row r="153" ht="18.75" customHeight="1">
      <c r="A153" s="329"/>
      <c r="B153" s="327"/>
      <c r="C153" s="279">
        <v>152.0</v>
      </c>
      <c r="D153" s="335"/>
      <c r="E153" s="335"/>
      <c r="F153" s="330"/>
      <c r="G153" s="330">
        <v>1.0</v>
      </c>
      <c r="H153" s="335" t="s">
        <v>1254</v>
      </c>
      <c r="I153" s="323" t="s">
        <v>1255</v>
      </c>
      <c r="J153" s="335" t="s">
        <v>1136</v>
      </c>
      <c r="K153" s="305"/>
      <c r="L153" s="305"/>
      <c r="M153" s="323"/>
      <c r="N153" s="325"/>
      <c r="O153" s="335"/>
      <c r="P153" s="323"/>
      <c r="Q153" s="330"/>
      <c r="R153" s="284">
        <f>IFERROR(__xludf.DUMMYFUNCTION("SUM(QUERY(Coletas_BD!D:M,""select J where D='""&amp;D153&amp;""'"",1))"),5407.0)</f>
        <v>5407</v>
      </c>
      <c r="S153" s="284">
        <f>IFERROR(__xludf.DUMMYFUNCTION("SUM(QUERY(Coletas_BD!D:M,""select K where D='""&amp;D153&amp;""'"",1))"),25.0)</f>
        <v>25</v>
      </c>
      <c r="T153" s="284">
        <f>IFERROR(__xludf.DUMMYFUNCTION("SUM(QUERY(Coletas_BD!D:M,""select L where D='""&amp;D153&amp;""'"",1))"),75.0)</f>
        <v>75</v>
      </c>
      <c r="U153" s="284">
        <f>IFERROR(__xludf.DUMMYFUNCTION("SUM(QUERY(Coletas_BD!D:M,""select M where D='""&amp;D153&amp;""'"",1))"),250.0)</f>
        <v>250</v>
      </c>
      <c r="V153" s="284">
        <f>IFERROR(__xludf.DUMMYFUNCTION("SUM(QUERY(Coletas_BD!D:S,""select P where D='""&amp;D153&amp;""'"",1))"),65.0)</f>
        <v>65</v>
      </c>
      <c r="W153" s="284">
        <f>IFERROR(__xludf.DUMMYFUNCTION("SUM(QUERY(Coletas_BD!D:S,""select Q where D='""&amp;D153&amp;""'"",1))"),21.0)</f>
        <v>21</v>
      </c>
      <c r="X153" s="284">
        <f>IFERROR(__xludf.DUMMYFUNCTION("SUM(QUERY(Coletas_BD!D:S,""select R where D='""&amp;D153&amp;""'"",1))"),2.0)</f>
        <v>2</v>
      </c>
      <c r="Y153" s="284">
        <f>IFERROR(__xludf.DUMMYFUNCTION("SUM(QUERY(Coletas_BD!D:S,""select S where D='""&amp;D153&amp;""'"",1))"),4.0)</f>
        <v>4</v>
      </c>
      <c r="Z153" s="309"/>
    </row>
    <row r="154" ht="18.75" customHeight="1">
      <c r="A154" s="329"/>
      <c r="B154" s="327"/>
      <c r="C154" s="279">
        <v>153.0</v>
      </c>
      <c r="D154" s="335"/>
      <c r="E154" s="335"/>
      <c r="F154" s="330"/>
      <c r="G154" s="330">
        <v>1.0</v>
      </c>
      <c r="H154" s="335" t="s">
        <v>1256</v>
      </c>
      <c r="I154" s="323" t="s">
        <v>1257</v>
      </c>
      <c r="J154" s="335" t="s">
        <v>1136</v>
      </c>
      <c r="K154" s="305"/>
      <c r="L154" s="305"/>
      <c r="M154" s="323"/>
      <c r="N154" s="325"/>
      <c r="O154" s="335"/>
      <c r="P154" s="323"/>
      <c r="Q154" s="330"/>
      <c r="R154" s="284">
        <f>IFERROR(__xludf.DUMMYFUNCTION("SUM(QUERY(Coletas_BD!D:M,""select J where D='""&amp;D154&amp;""'"",1))"),5407.0)</f>
        <v>5407</v>
      </c>
      <c r="S154" s="284">
        <f>IFERROR(__xludf.DUMMYFUNCTION("SUM(QUERY(Coletas_BD!D:M,""select K where D='""&amp;D154&amp;""'"",1))"),25.0)</f>
        <v>25</v>
      </c>
      <c r="T154" s="284">
        <f>IFERROR(__xludf.DUMMYFUNCTION("SUM(QUERY(Coletas_BD!D:M,""select L where D='""&amp;D154&amp;""'"",1))"),75.0)</f>
        <v>75</v>
      </c>
      <c r="U154" s="284">
        <f>IFERROR(__xludf.DUMMYFUNCTION("SUM(QUERY(Coletas_BD!D:M,""select M where D='""&amp;D154&amp;""'"",1))"),250.0)</f>
        <v>250</v>
      </c>
      <c r="V154" s="284">
        <f>IFERROR(__xludf.DUMMYFUNCTION("SUM(QUERY(Coletas_BD!D:S,""select P where D='""&amp;D154&amp;""'"",1))"),65.0)</f>
        <v>65</v>
      </c>
      <c r="W154" s="284">
        <f>IFERROR(__xludf.DUMMYFUNCTION("SUM(QUERY(Coletas_BD!D:S,""select Q where D='""&amp;D154&amp;""'"",1))"),21.0)</f>
        <v>21</v>
      </c>
      <c r="X154" s="284">
        <f>IFERROR(__xludf.DUMMYFUNCTION("SUM(QUERY(Coletas_BD!D:S,""select R where D='""&amp;D154&amp;""'"",1))"),2.0)</f>
        <v>2</v>
      </c>
      <c r="Y154" s="284">
        <f>IFERROR(__xludf.DUMMYFUNCTION("SUM(QUERY(Coletas_BD!D:S,""select S where D='""&amp;D154&amp;""'"",1))"),4.0)</f>
        <v>4</v>
      </c>
      <c r="Z154" s="309"/>
    </row>
    <row r="155" ht="18.75" customHeight="1">
      <c r="A155" s="329"/>
      <c r="B155" s="327"/>
      <c r="C155" s="279">
        <v>154.0</v>
      </c>
      <c r="D155" s="335"/>
      <c r="E155" s="335"/>
      <c r="F155" s="330"/>
      <c r="G155" s="330">
        <v>1.0</v>
      </c>
      <c r="H155" s="335" t="s">
        <v>1258</v>
      </c>
      <c r="I155" s="323" t="s">
        <v>1259</v>
      </c>
      <c r="J155" s="335" t="s">
        <v>1151</v>
      </c>
      <c r="K155" s="305"/>
      <c r="L155" s="305"/>
      <c r="M155" s="323"/>
      <c r="N155" s="325"/>
      <c r="O155" s="335"/>
      <c r="P155" s="323"/>
      <c r="Q155" s="330"/>
      <c r="R155" s="284">
        <f>IFERROR(__xludf.DUMMYFUNCTION("SUM(QUERY(Coletas_BD!D:M,""select J where D='""&amp;D155&amp;""'"",1))"),5407.0)</f>
        <v>5407</v>
      </c>
      <c r="S155" s="284">
        <f>IFERROR(__xludf.DUMMYFUNCTION("SUM(QUERY(Coletas_BD!D:M,""select K where D='""&amp;D155&amp;""'"",1))"),25.0)</f>
        <v>25</v>
      </c>
      <c r="T155" s="284">
        <f>IFERROR(__xludf.DUMMYFUNCTION("SUM(QUERY(Coletas_BD!D:M,""select L where D='""&amp;D155&amp;""'"",1))"),75.0)</f>
        <v>75</v>
      </c>
      <c r="U155" s="284">
        <f>IFERROR(__xludf.DUMMYFUNCTION("SUM(QUERY(Coletas_BD!D:M,""select M where D='""&amp;D155&amp;""'"",1))"),250.0)</f>
        <v>250</v>
      </c>
      <c r="V155" s="284">
        <f>IFERROR(__xludf.DUMMYFUNCTION("SUM(QUERY(Coletas_BD!D:S,""select P where D='""&amp;D155&amp;""'"",1))"),65.0)</f>
        <v>65</v>
      </c>
      <c r="W155" s="284">
        <f>IFERROR(__xludf.DUMMYFUNCTION("SUM(QUERY(Coletas_BD!D:S,""select Q where D='""&amp;D155&amp;""'"",1))"),21.0)</f>
        <v>21</v>
      </c>
      <c r="X155" s="284">
        <f>IFERROR(__xludf.DUMMYFUNCTION("SUM(QUERY(Coletas_BD!D:S,""select R where D='""&amp;D155&amp;""'"",1))"),2.0)</f>
        <v>2</v>
      </c>
      <c r="Y155" s="284">
        <f>IFERROR(__xludf.DUMMYFUNCTION("SUM(QUERY(Coletas_BD!D:S,""select S where D='""&amp;D155&amp;""'"",1))"),4.0)</f>
        <v>4</v>
      </c>
      <c r="Z155" s="309"/>
    </row>
    <row r="156" ht="18.75" customHeight="1">
      <c r="A156" s="329"/>
      <c r="B156" s="327"/>
      <c r="C156" s="279">
        <v>155.0</v>
      </c>
      <c r="D156" s="335"/>
      <c r="E156" s="335"/>
      <c r="F156" s="330"/>
      <c r="G156" s="330">
        <v>1.0</v>
      </c>
      <c r="H156" s="335" t="s">
        <v>1149</v>
      </c>
      <c r="I156" s="323" t="s">
        <v>1260</v>
      </c>
      <c r="J156" s="335" t="s">
        <v>1136</v>
      </c>
      <c r="K156" s="305"/>
      <c r="L156" s="305"/>
      <c r="M156" s="323"/>
      <c r="N156" s="325"/>
      <c r="O156" s="335"/>
      <c r="P156" s="323"/>
      <c r="Q156" s="330"/>
      <c r="R156" s="284">
        <f>IFERROR(__xludf.DUMMYFUNCTION("SUM(QUERY(Coletas_BD!D:M,""select J where D='""&amp;D156&amp;""'"",1))"),5407.0)</f>
        <v>5407</v>
      </c>
      <c r="S156" s="284">
        <f>IFERROR(__xludf.DUMMYFUNCTION("SUM(QUERY(Coletas_BD!D:M,""select K where D='""&amp;D156&amp;""'"",1))"),25.0)</f>
        <v>25</v>
      </c>
      <c r="T156" s="284">
        <f>IFERROR(__xludf.DUMMYFUNCTION("SUM(QUERY(Coletas_BD!D:M,""select L where D='""&amp;D156&amp;""'"",1))"),75.0)</f>
        <v>75</v>
      </c>
      <c r="U156" s="284">
        <f>IFERROR(__xludf.DUMMYFUNCTION("SUM(QUERY(Coletas_BD!D:M,""select M where D='""&amp;D156&amp;""'"",1))"),250.0)</f>
        <v>250</v>
      </c>
      <c r="V156" s="284">
        <f>IFERROR(__xludf.DUMMYFUNCTION("SUM(QUERY(Coletas_BD!D:S,""select P where D='""&amp;D156&amp;""'"",1))"),65.0)</f>
        <v>65</v>
      </c>
      <c r="W156" s="284">
        <f>IFERROR(__xludf.DUMMYFUNCTION("SUM(QUERY(Coletas_BD!D:S,""select Q where D='""&amp;D156&amp;""'"",1))"),21.0)</f>
        <v>21</v>
      </c>
      <c r="X156" s="284">
        <f>IFERROR(__xludf.DUMMYFUNCTION("SUM(QUERY(Coletas_BD!D:S,""select R where D='""&amp;D156&amp;""'"",1))"),2.0)</f>
        <v>2</v>
      </c>
      <c r="Y156" s="284">
        <f>IFERROR(__xludf.DUMMYFUNCTION("SUM(QUERY(Coletas_BD!D:S,""select S where D='""&amp;D156&amp;""'"",1))"),4.0)</f>
        <v>4</v>
      </c>
      <c r="Z156" s="309"/>
    </row>
    <row r="157" ht="18.75" customHeight="1">
      <c r="A157" s="329"/>
      <c r="B157" s="327"/>
      <c r="C157" s="279">
        <v>156.0</v>
      </c>
      <c r="D157" s="335"/>
      <c r="E157" s="335"/>
      <c r="F157" s="330"/>
      <c r="G157" s="330">
        <v>1.0</v>
      </c>
      <c r="H157" s="335" t="s">
        <v>1261</v>
      </c>
      <c r="I157" s="323" t="s">
        <v>1262</v>
      </c>
      <c r="J157" s="335" t="s">
        <v>1142</v>
      </c>
      <c r="K157" s="305"/>
      <c r="L157" s="305"/>
      <c r="M157" s="323"/>
      <c r="N157" s="325"/>
      <c r="O157" s="335"/>
      <c r="P157" s="323"/>
      <c r="Q157" s="330"/>
      <c r="R157" s="284">
        <f>IFERROR(__xludf.DUMMYFUNCTION("SUM(QUERY(Coletas_BD!D:M,""select J where D='""&amp;D157&amp;""'"",1))"),5407.0)</f>
        <v>5407</v>
      </c>
      <c r="S157" s="284">
        <f>IFERROR(__xludf.DUMMYFUNCTION("SUM(QUERY(Coletas_BD!D:M,""select K where D='""&amp;D157&amp;""'"",1))"),25.0)</f>
        <v>25</v>
      </c>
      <c r="T157" s="284">
        <f>IFERROR(__xludf.DUMMYFUNCTION("SUM(QUERY(Coletas_BD!D:M,""select L where D='""&amp;D157&amp;""'"",1))"),75.0)</f>
        <v>75</v>
      </c>
      <c r="U157" s="284">
        <f>IFERROR(__xludf.DUMMYFUNCTION("SUM(QUERY(Coletas_BD!D:M,""select M where D='""&amp;D157&amp;""'"",1))"),250.0)</f>
        <v>250</v>
      </c>
      <c r="V157" s="284">
        <f>IFERROR(__xludf.DUMMYFUNCTION("SUM(QUERY(Coletas_BD!D:S,""select P where D='""&amp;D157&amp;""'"",1))"),65.0)</f>
        <v>65</v>
      </c>
      <c r="W157" s="284">
        <f>IFERROR(__xludf.DUMMYFUNCTION("SUM(QUERY(Coletas_BD!D:S,""select Q where D='""&amp;D157&amp;""'"",1))"),21.0)</f>
        <v>21</v>
      </c>
      <c r="X157" s="284">
        <f>IFERROR(__xludf.DUMMYFUNCTION("SUM(QUERY(Coletas_BD!D:S,""select R where D='""&amp;D157&amp;""'"",1))"),2.0)</f>
        <v>2</v>
      </c>
      <c r="Y157" s="284">
        <f>IFERROR(__xludf.DUMMYFUNCTION("SUM(QUERY(Coletas_BD!D:S,""select S where D='""&amp;D157&amp;""'"",1))"),4.0)</f>
        <v>4</v>
      </c>
      <c r="Z157" s="309"/>
    </row>
    <row r="158" ht="18.75" customHeight="1">
      <c r="A158" s="329"/>
      <c r="B158" s="327"/>
      <c r="C158" s="279">
        <v>157.0</v>
      </c>
      <c r="D158" s="335"/>
      <c r="E158" s="335"/>
      <c r="F158" s="330"/>
      <c r="G158" s="330">
        <v>1.0</v>
      </c>
      <c r="H158" s="335" t="s">
        <v>1263</v>
      </c>
      <c r="I158" s="323" t="s">
        <v>1264</v>
      </c>
      <c r="J158" s="335" t="s">
        <v>1140</v>
      </c>
      <c r="K158" s="305"/>
      <c r="L158" s="305"/>
      <c r="M158" s="323"/>
      <c r="N158" s="325"/>
      <c r="O158" s="335"/>
      <c r="P158" s="323"/>
      <c r="Q158" s="330"/>
      <c r="R158" s="284">
        <f>IFERROR(__xludf.DUMMYFUNCTION("SUM(QUERY(Coletas_BD!D:M,""select J where D='""&amp;D158&amp;""'"",1))"),5407.0)</f>
        <v>5407</v>
      </c>
      <c r="S158" s="284">
        <f>IFERROR(__xludf.DUMMYFUNCTION("SUM(QUERY(Coletas_BD!D:M,""select K where D='""&amp;D158&amp;""'"",1))"),25.0)</f>
        <v>25</v>
      </c>
      <c r="T158" s="284">
        <f>IFERROR(__xludf.DUMMYFUNCTION("SUM(QUERY(Coletas_BD!D:M,""select L where D='""&amp;D158&amp;""'"",1))"),75.0)</f>
        <v>75</v>
      </c>
      <c r="U158" s="284">
        <f>IFERROR(__xludf.DUMMYFUNCTION("SUM(QUERY(Coletas_BD!D:M,""select M where D='""&amp;D158&amp;""'"",1))"),250.0)</f>
        <v>250</v>
      </c>
      <c r="V158" s="284">
        <f>IFERROR(__xludf.DUMMYFUNCTION("SUM(QUERY(Coletas_BD!D:S,""select P where D='""&amp;D158&amp;""'"",1))"),65.0)</f>
        <v>65</v>
      </c>
      <c r="W158" s="284">
        <f>IFERROR(__xludf.DUMMYFUNCTION("SUM(QUERY(Coletas_BD!D:S,""select Q where D='""&amp;D158&amp;""'"",1))"),21.0)</f>
        <v>21</v>
      </c>
      <c r="X158" s="284">
        <f>IFERROR(__xludf.DUMMYFUNCTION("SUM(QUERY(Coletas_BD!D:S,""select R where D='""&amp;D158&amp;""'"",1))"),2.0)</f>
        <v>2</v>
      </c>
      <c r="Y158" s="284">
        <f>IFERROR(__xludf.DUMMYFUNCTION("SUM(QUERY(Coletas_BD!D:S,""select S where D='""&amp;D158&amp;""'"",1))"),4.0)</f>
        <v>4</v>
      </c>
      <c r="Z158" s="309"/>
    </row>
    <row r="159" ht="18.75" customHeight="1">
      <c r="A159" s="336"/>
      <c r="B159" s="337"/>
      <c r="C159" s="279">
        <v>158.0</v>
      </c>
      <c r="D159" s="335"/>
      <c r="E159" s="335"/>
      <c r="F159" s="330"/>
      <c r="G159" s="330">
        <v>1.0</v>
      </c>
      <c r="H159" s="335" t="s">
        <v>1149</v>
      </c>
      <c r="I159" s="323"/>
      <c r="J159" s="335" t="s">
        <v>1136</v>
      </c>
      <c r="K159" s="305"/>
      <c r="L159" s="325"/>
      <c r="M159" s="323"/>
      <c r="N159" s="325"/>
      <c r="O159" s="335"/>
      <c r="P159" s="323"/>
      <c r="Q159" s="330"/>
      <c r="R159" s="284">
        <f>IFERROR(__xludf.DUMMYFUNCTION("SUM(QUERY(Coletas_BD!D:M,""select J where D='""&amp;D159&amp;""'"",1))"),5407.0)</f>
        <v>5407</v>
      </c>
      <c r="S159" s="284">
        <f>IFERROR(__xludf.DUMMYFUNCTION("SUM(QUERY(Coletas_BD!D:M,""select K where D='""&amp;D159&amp;""'"",1))"),25.0)</f>
        <v>25</v>
      </c>
      <c r="T159" s="284">
        <f>IFERROR(__xludf.DUMMYFUNCTION("SUM(QUERY(Coletas_BD!D:M,""select L where D='""&amp;D159&amp;""'"",1))"),75.0)</f>
        <v>75</v>
      </c>
      <c r="U159" s="284">
        <f>IFERROR(__xludf.DUMMYFUNCTION("SUM(QUERY(Coletas_BD!D:M,""select M where D='""&amp;D159&amp;""'"",1))"),250.0)</f>
        <v>250</v>
      </c>
      <c r="V159" s="284">
        <f>IFERROR(__xludf.DUMMYFUNCTION("SUM(QUERY(Coletas_BD!D:S,""select P where D='""&amp;D159&amp;""'"",1))"),65.0)</f>
        <v>65</v>
      </c>
      <c r="W159" s="284">
        <f>IFERROR(__xludf.DUMMYFUNCTION("SUM(QUERY(Coletas_BD!D:S,""select Q where D='""&amp;D159&amp;""'"",1))"),21.0)</f>
        <v>21</v>
      </c>
      <c r="X159" s="284">
        <f>IFERROR(__xludf.DUMMYFUNCTION("SUM(QUERY(Coletas_BD!D:S,""select R where D='""&amp;D159&amp;""'"",1))"),2.0)</f>
        <v>2</v>
      </c>
      <c r="Y159" s="284">
        <f>IFERROR(__xludf.DUMMYFUNCTION("SUM(QUERY(Coletas_BD!D:S,""select S where D='""&amp;D159&amp;""'"",1))"),4.0)</f>
        <v>4</v>
      </c>
      <c r="Z159" s="309"/>
    </row>
    <row r="160" ht="18.75" customHeight="1">
      <c r="A160" s="336"/>
      <c r="B160" s="337"/>
      <c r="C160" s="279">
        <v>159.0</v>
      </c>
      <c r="D160" s="335"/>
      <c r="E160" s="335"/>
      <c r="F160" s="330"/>
      <c r="G160" s="330">
        <v>4.0</v>
      </c>
      <c r="H160" s="335" t="s">
        <v>1265</v>
      </c>
      <c r="I160" s="323" t="s">
        <v>1266</v>
      </c>
      <c r="J160" s="335" t="s">
        <v>1151</v>
      </c>
      <c r="K160" s="305"/>
      <c r="L160" s="325"/>
      <c r="M160" s="323"/>
      <c r="N160" s="325"/>
      <c r="O160" s="335"/>
      <c r="P160" s="323"/>
      <c r="Q160" s="330"/>
      <c r="R160" s="284">
        <f>IFERROR(__xludf.DUMMYFUNCTION("SUM(QUERY(Coletas_BD!D:M,""select J where D='""&amp;D160&amp;""'"",1))"),5407.0)</f>
        <v>5407</v>
      </c>
      <c r="S160" s="284">
        <f>IFERROR(__xludf.DUMMYFUNCTION("SUM(QUERY(Coletas_BD!D:M,""select K where D='""&amp;D160&amp;""'"",1))"),25.0)</f>
        <v>25</v>
      </c>
      <c r="T160" s="284">
        <f>IFERROR(__xludf.DUMMYFUNCTION("SUM(QUERY(Coletas_BD!D:M,""select L where D='""&amp;D160&amp;""'"",1))"),75.0)</f>
        <v>75</v>
      </c>
      <c r="U160" s="284">
        <f>IFERROR(__xludf.DUMMYFUNCTION("SUM(QUERY(Coletas_BD!D:M,""select M where D='""&amp;D160&amp;""'"",1))"),250.0)</f>
        <v>250</v>
      </c>
      <c r="V160" s="284">
        <f>IFERROR(__xludf.DUMMYFUNCTION("SUM(QUERY(Coletas_BD!D:S,""select P where D='""&amp;D160&amp;""'"",1))"),65.0)</f>
        <v>65</v>
      </c>
      <c r="W160" s="284">
        <f>IFERROR(__xludf.DUMMYFUNCTION("SUM(QUERY(Coletas_BD!D:S,""select Q where D='""&amp;D160&amp;""'"",1))"),21.0)</f>
        <v>21</v>
      </c>
      <c r="X160" s="284">
        <f>IFERROR(__xludf.DUMMYFUNCTION("SUM(QUERY(Coletas_BD!D:S,""select R where D='""&amp;D160&amp;""'"",1))"),2.0)</f>
        <v>2</v>
      </c>
      <c r="Y160" s="284">
        <f>IFERROR(__xludf.DUMMYFUNCTION("SUM(QUERY(Coletas_BD!D:S,""select S where D='""&amp;D160&amp;""'"",1))"),4.0)</f>
        <v>4</v>
      </c>
      <c r="Z160" s="309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86"/>
    <col customWidth="1" min="7" max="7" width="20.57"/>
    <col customWidth="1" min="8" max="8" width="23.43"/>
    <col customWidth="1" min="14" max="14" width="24.71"/>
    <col customWidth="1" min="16" max="16" width="6.14"/>
    <col customWidth="1" min="17" max="17" width="6.57"/>
    <col customWidth="1" min="18" max="18" width="6.71"/>
    <col customWidth="1" min="19" max="19" width="9.86"/>
    <col customWidth="1" min="20" max="20" width="18.43"/>
  </cols>
  <sheetData>
    <row r="1" ht="17.25" customHeight="1">
      <c r="A1" s="338" t="s">
        <v>2</v>
      </c>
      <c r="B1" s="339" t="s">
        <v>3</v>
      </c>
      <c r="C1" s="340" t="s">
        <v>1267</v>
      </c>
      <c r="D1" s="341" t="s">
        <v>1119</v>
      </c>
      <c r="E1" s="341" t="s">
        <v>977</v>
      </c>
      <c r="F1" s="341" t="s">
        <v>8</v>
      </c>
      <c r="G1" s="341" t="s">
        <v>979</v>
      </c>
      <c r="H1" s="341" t="s">
        <v>14</v>
      </c>
      <c r="I1" s="342" t="s">
        <v>1120</v>
      </c>
      <c r="J1" s="340" t="s">
        <v>1268</v>
      </c>
      <c r="K1" s="340" t="s">
        <v>1129</v>
      </c>
      <c r="L1" s="340" t="s">
        <v>1130</v>
      </c>
      <c r="M1" s="340" t="s">
        <v>1131</v>
      </c>
      <c r="N1" s="341" t="s">
        <v>1269</v>
      </c>
      <c r="O1" s="341" t="s">
        <v>982</v>
      </c>
      <c r="P1" s="343" t="s">
        <v>1270</v>
      </c>
      <c r="Q1" s="343" t="s">
        <v>1133</v>
      </c>
      <c r="R1" s="343" t="s">
        <v>1134</v>
      </c>
      <c r="S1" s="343" t="s">
        <v>1135</v>
      </c>
      <c r="T1" s="343" t="s">
        <v>1271</v>
      </c>
      <c r="U1" s="343" t="s">
        <v>1272</v>
      </c>
      <c r="V1" s="343" t="s">
        <v>1273</v>
      </c>
    </row>
    <row r="2" ht="17.25" customHeight="1">
      <c r="A2" s="344"/>
      <c r="B2" s="345"/>
      <c r="C2" s="346">
        <f t="array" ref="C2:C137">ROW(A2:A137)-1</f>
        <v>1</v>
      </c>
      <c r="D2" s="347"/>
      <c r="E2" s="77"/>
      <c r="F2" s="77"/>
      <c r="G2" s="348"/>
      <c r="H2" s="347"/>
      <c r="I2" s="349"/>
      <c r="J2" s="349">
        <v>40.0</v>
      </c>
      <c r="K2" s="349">
        <v>0.0</v>
      </c>
      <c r="L2" s="349">
        <v>0.0</v>
      </c>
      <c r="M2" s="349">
        <v>0.0</v>
      </c>
      <c r="N2" s="348" t="s">
        <v>1139</v>
      </c>
      <c r="O2" s="350"/>
      <c r="P2" s="348">
        <v>0.0</v>
      </c>
      <c r="Q2" s="348"/>
      <c r="R2" s="348"/>
      <c r="S2" s="348"/>
      <c r="T2" s="77"/>
      <c r="U2" s="77"/>
      <c r="V2" s="77"/>
    </row>
    <row r="3" ht="17.25" customHeight="1">
      <c r="A3" s="351"/>
      <c r="B3" s="352"/>
      <c r="C3" s="353">
        <v>2.0</v>
      </c>
      <c r="D3" s="354"/>
      <c r="E3" s="355"/>
      <c r="F3" s="355"/>
      <c r="G3" s="356"/>
      <c r="H3" s="354"/>
      <c r="I3" s="357"/>
      <c r="J3" s="357">
        <v>25.0</v>
      </c>
      <c r="K3" s="357">
        <v>0.0</v>
      </c>
      <c r="L3" s="357">
        <v>0.0</v>
      </c>
      <c r="M3" s="357">
        <v>0.0</v>
      </c>
      <c r="N3" s="356" t="s">
        <v>1136</v>
      </c>
      <c r="O3" s="358"/>
      <c r="P3" s="356">
        <v>0.0</v>
      </c>
      <c r="Q3" s="356"/>
      <c r="R3" s="356"/>
      <c r="S3" s="356"/>
      <c r="T3" s="355"/>
      <c r="U3" s="355"/>
      <c r="V3" s="355"/>
    </row>
    <row r="4" ht="17.25" customHeight="1">
      <c r="A4" s="344"/>
      <c r="B4" s="345"/>
      <c r="C4" s="346">
        <v>3.0</v>
      </c>
      <c r="D4" s="347"/>
      <c r="E4" s="77"/>
      <c r="F4" s="77"/>
      <c r="G4" s="348"/>
      <c r="H4" s="347"/>
      <c r="I4" s="349"/>
      <c r="J4" s="349">
        <v>20.0</v>
      </c>
      <c r="K4" s="349">
        <v>0.0</v>
      </c>
      <c r="L4" s="349">
        <v>0.0</v>
      </c>
      <c r="M4" s="349">
        <v>0.0</v>
      </c>
      <c r="N4" s="348" t="s">
        <v>1136</v>
      </c>
      <c r="O4" s="350"/>
      <c r="P4" s="348">
        <v>0.0</v>
      </c>
      <c r="Q4" s="348"/>
      <c r="R4" s="348"/>
      <c r="S4" s="348"/>
      <c r="T4" s="77"/>
      <c r="U4" s="77"/>
      <c r="V4" s="77"/>
    </row>
    <row r="5" ht="17.25" customHeight="1">
      <c r="A5" s="351"/>
      <c r="B5" s="352"/>
      <c r="C5" s="353">
        <v>4.0</v>
      </c>
      <c r="D5" s="354"/>
      <c r="E5" s="355"/>
      <c r="F5" s="355"/>
      <c r="G5" s="356"/>
      <c r="H5" s="354"/>
      <c r="I5" s="357"/>
      <c r="J5" s="357">
        <v>20.0</v>
      </c>
      <c r="K5" s="357">
        <v>0.0</v>
      </c>
      <c r="L5" s="357">
        <v>0.0</v>
      </c>
      <c r="M5" s="357">
        <v>0.0</v>
      </c>
      <c r="N5" s="356" t="s">
        <v>1274</v>
      </c>
      <c r="O5" s="358"/>
      <c r="P5" s="356">
        <v>0.0</v>
      </c>
      <c r="Q5" s="356"/>
      <c r="R5" s="356"/>
      <c r="S5" s="356"/>
      <c r="T5" s="355"/>
      <c r="U5" s="355"/>
      <c r="V5" s="355"/>
    </row>
    <row r="6" ht="17.25" customHeight="1">
      <c r="A6" s="344"/>
      <c r="B6" s="345"/>
      <c r="C6" s="346">
        <v>5.0</v>
      </c>
      <c r="D6" s="347"/>
      <c r="E6" s="77"/>
      <c r="F6" s="77"/>
      <c r="G6" s="348"/>
      <c r="H6" s="347"/>
      <c r="I6" s="349"/>
      <c r="J6" s="349">
        <v>25.0</v>
      </c>
      <c r="K6" s="349">
        <v>0.0</v>
      </c>
      <c r="L6" s="349">
        <v>0.0</v>
      </c>
      <c r="M6" s="349">
        <v>0.0</v>
      </c>
      <c r="N6" s="348" t="s">
        <v>1136</v>
      </c>
      <c r="O6" s="350"/>
      <c r="P6" s="348">
        <v>0.0</v>
      </c>
      <c r="Q6" s="348"/>
      <c r="R6" s="348"/>
      <c r="S6" s="348"/>
      <c r="T6" s="77"/>
      <c r="U6" s="77"/>
      <c r="V6" s="77"/>
    </row>
    <row r="7" ht="17.25" customHeight="1">
      <c r="A7" s="351"/>
      <c r="B7" s="352"/>
      <c r="C7" s="353">
        <v>6.0</v>
      </c>
      <c r="D7" s="354"/>
      <c r="E7" s="355"/>
      <c r="F7" s="355"/>
      <c r="G7" s="356"/>
      <c r="H7" s="354"/>
      <c r="I7" s="357"/>
      <c r="J7" s="357">
        <v>30.0</v>
      </c>
      <c r="K7" s="357">
        <v>0.0</v>
      </c>
      <c r="L7" s="357">
        <v>0.0</v>
      </c>
      <c r="M7" s="357">
        <v>0.0</v>
      </c>
      <c r="N7" s="356"/>
      <c r="O7" s="358"/>
      <c r="P7" s="356">
        <v>0.0</v>
      </c>
      <c r="Q7" s="356"/>
      <c r="R7" s="356"/>
      <c r="S7" s="356"/>
      <c r="T7" s="355"/>
      <c r="U7" s="355"/>
      <c r="V7" s="355"/>
    </row>
    <row r="8" ht="17.25" customHeight="1">
      <c r="A8" s="344"/>
      <c r="B8" s="345"/>
      <c r="C8" s="346">
        <v>7.0</v>
      </c>
      <c r="D8" s="347"/>
      <c r="E8" s="77"/>
      <c r="F8" s="77"/>
      <c r="G8" s="348"/>
      <c r="H8" s="347"/>
      <c r="I8" s="349"/>
      <c r="J8" s="349">
        <v>25.0</v>
      </c>
      <c r="K8" s="349">
        <v>0.0</v>
      </c>
      <c r="L8" s="349">
        <v>0.0</v>
      </c>
      <c r="M8" s="349">
        <v>0.0</v>
      </c>
      <c r="N8" s="348" t="s">
        <v>1136</v>
      </c>
      <c r="O8" s="348"/>
      <c r="P8" s="348">
        <v>0.0</v>
      </c>
      <c r="Q8" s="348"/>
      <c r="R8" s="348"/>
      <c r="S8" s="348"/>
      <c r="T8" s="77"/>
      <c r="U8" s="77"/>
      <c r="V8" s="77"/>
    </row>
    <row r="9" ht="17.25" customHeight="1">
      <c r="A9" s="352"/>
      <c r="B9" s="352"/>
      <c r="C9" s="353">
        <v>8.0</v>
      </c>
      <c r="D9" s="354"/>
      <c r="E9" s="355"/>
      <c r="F9" s="355"/>
      <c r="G9" s="356"/>
      <c r="H9" s="354"/>
      <c r="I9" s="357"/>
      <c r="J9" s="357">
        <v>60.0</v>
      </c>
      <c r="K9" s="357">
        <v>0.0</v>
      </c>
      <c r="L9" s="357">
        <v>0.0</v>
      </c>
      <c r="M9" s="357">
        <v>0.0</v>
      </c>
      <c r="N9" s="356" t="s">
        <v>1136</v>
      </c>
      <c r="O9" s="358"/>
      <c r="P9" s="356">
        <v>0.0</v>
      </c>
      <c r="Q9" s="356"/>
      <c r="R9" s="356"/>
      <c r="S9" s="356"/>
      <c r="T9" s="355"/>
      <c r="U9" s="355"/>
      <c r="V9" s="355"/>
    </row>
    <row r="10" ht="17.25" customHeight="1">
      <c r="A10" s="345"/>
      <c r="B10" s="345"/>
      <c r="C10" s="346">
        <v>9.0</v>
      </c>
      <c r="D10" s="347"/>
      <c r="E10" s="77"/>
      <c r="F10" s="77"/>
      <c r="G10" s="348"/>
      <c r="H10" s="347"/>
      <c r="I10" s="349"/>
      <c r="J10" s="349">
        <v>22.0</v>
      </c>
      <c r="K10" s="349">
        <v>0.0</v>
      </c>
      <c r="L10" s="349">
        <v>0.0</v>
      </c>
      <c r="M10" s="349">
        <v>0.0</v>
      </c>
      <c r="N10" s="348" t="s">
        <v>1136</v>
      </c>
      <c r="O10" s="350"/>
      <c r="P10" s="348">
        <v>0.0</v>
      </c>
      <c r="Q10" s="348"/>
      <c r="R10" s="348"/>
      <c r="S10" s="348"/>
      <c r="T10" s="77"/>
      <c r="U10" s="77"/>
      <c r="V10" s="77"/>
    </row>
    <row r="11" ht="17.25" customHeight="1">
      <c r="A11" s="359"/>
      <c r="B11" s="352"/>
      <c r="C11" s="353">
        <v>10.0</v>
      </c>
      <c r="D11" s="354"/>
      <c r="E11" s="355"/>
      <c r="F11" s="355"/>
      <c r="G11" s="356"/>
      <c r="H11" s="354"/>
      <c r="I11" s="357"/>
      <c r="J11" s="357">
        <v>20.0</v>
      </c>
      <c r="K11" s="357">
        <v>0.0</v>
      </c>
      <c r="L11" s="357">
        <v>0.0</v>
      </c>
      <c r="M11" s="357">
        <v>0.0</v>
      </c>
      <c r="N11" s="356" t="s">
        <v>1136</v>
      </c>
      <c r="O11" s="358"/>
      <c r="P11" s="356">
        <v>0.0</v>
      </c>
      <c r="Q11" s="356"/>
      <c r="R11" s="356"/>
      <c r="S11" s="356"/>
      <c r="T11" s="355"/>
      <c r="U11" s="355"/>
      <c r="V11" s="355"/>
    </row>
    <row r="12" ht="17.25" customHeight="1">
      <c r="A12" s="360"/>
      <c r="B12" s="345"/>
      <c r="C12" s="346">
        <v>11.0</v>
      </c>
      <c r="D12" s="347"/>
      <c r="E12" s="77"/>
      <c r="F12" s="77"/>
      <c r="G12" s="348"/>
      <c r="H12" s="347"/>
      <c r="I12" s="349"/>
      <c r="J12" s="349">
        <v>20.0</v>
      </c>
      <c r="K12" s="349">
        <v>0.0</v>
      </c>
      <c r="L12" s="349">
        <v>0.0</v>
      </c>
      <c r="M12" s="349">
        <v>0.0</v>
      </c>
      <c r="N12" s="348" t="s">
        <v>1136</v>
      </c>
      <c r="O12" s="348"/>
      <c r="P12" s="348">
        <v>0.0</v>
      </c>
      <c r="Q12" s="348"/>
      <c r="R12" s="348"/>
      <c r="S12" s="348"/>
      <c r="T12" s="77"/>
      <c r="U12" s="77"/>
      <c r="V12" s="77"/>
    </row>
    <row r="13" ht="17.25" customHeight="1">
      <c r="A13" s="359"/>
      <c r="B13" s="352"/>
      <c r="C13" s="353">
        <v>12.0</v>
      </c>
      <c r="D13" s="354"/>
      <c r="E13" s="355"/>
      <c r="F13" s="355"/>
      <c r="G13" s="356"/>
      <c r="H13" s="354"/>
      <c r="I13" s="357"/>
      <c r="J13" s="357">
        <v>59.0</v>
      </c>
      <c r="K13" s="357">
        <v>0.0</v>
      </c>
      <c r="L13" s="357">
        <v>0.0</v>
      </c>
      <c r="M13" s="357">
        <v>0.0</v>
      </c>
      <c r="N13" s="356" t="s">
        <v>1136</v>
      </c>
      <c r="O13" s="358"/>
      <c r="P13" s="356">
        <v>0.0</v>
      </c>
      <c r="Q13" s="356"/>
      <c r="R13" s="356"/>
      <c r="S13" s="356"/>
      <c r="T13" s="355"/>
      <c r="U13" s="355"/>
      <c r="V13" s="355"/>
    </row>
    <row r="14" ht="17.25" customHeight="1">
      <c r="A14" s="360"/>
      <c r="B14" s="345"/>
      <c r="C14" s="346">
        <v>13.0</v>
      </c>
      <c r="D14" s="347"/>
      <c r="E14" s="77"/>
      <c r="F14" s="77"/>
      <c r="G14" s="348"/>
      <c r="H14" s="347"/>
      <c r="I14" s="349"/>
      <c r="J14" s="349">
        <v>0.0</v>
      </c>
      <c r="K14" s="349">
        <v>0.0</v>
      </c>
      <c r="L14" s="349">
        <v>0.0</v>
      </c>
      <c r="M14" s="349">
        <v>0.0</v>
      </c>
      <c r="N14" s="348" t="s">
        <v>1136</v>
      </c>
      <c r="O14" s="348"/>
      <c r="P14" s="348">
        <v>0.0</v>
      </c>
      <c r="Q14" s="348"/>
      <c r="R14" s="348"/>
      <c r="S14" s="348"/>
      <c r="T14" s="77"/>
      <c r="U14" s="77"/>
      <c r="V14" s="77"/>
    </row>
    <row r="15" ht="17.25" customHeight="1">
      <c r="A15" s="359"/>
      <c r="B15" s="352"/>
      <c r="C15" s="353">
        <v>14.0</v>
      </c>
      <c r="D15" s="354"/>
      <c r="E15" s="355"/>
      <c r="F15" s="355"/>
      <c r="G15" s="356"/>
      <c r="H15" s="354"/>
      <c r="I15" s="357"/>
      <c r="J15" s="357">
        <v>70.0</v>
      </c>
      <c r="K15" s="357">
        <v>0.0</v>
      </c>
      <c r="L15" s="357">
        <v>0.0</v>
      </c>
      <c r="M15" s="357">
        <v>0.0</v>
      </c>
      <c r="N15" s="356" t="s">
        <v>1136</v>
      </c>
      <c r="O15" s="356"/>
      <c r="P15" s="356">
        <v>0.0</v>
      </c>
      <c r="Q15" s="356"/>
      <c r="R15" s="356"/>
      <c r="S15" s="356"/>
      <c r="T15" s="355"/>
      <c r="U15" s="355"/>
      <c r="V15" s="355"/>
    </row>
    <row r="16" ht="17.25" customHeight="1">
      <c r="A16" s="360"/>
      <c r="B16" s="345"/>
      <c r="C16" s="346">
        <v>15.0</v>
      </c>
      <c r="D16" s="347"/>
      <c r="E16" s="77"/>
      <c r="F16" s="77"/>
      <c r="G16" s="348"/>
      <c r="H16" s="347"/>
      <c r="I16" s="349"/>
      <c r="J16" s="349">
        <v>23.0</v>
      </c>
      <c r="K16" s="349">
        <v>0.0</v>
      </c>
      <c r="L16" s="349">
        <v>0.0</v>
      </c>
      <c r="M16" s="349">
        <v>0.0</v>
      </c>
      <c r="N16" s="348" t="s">
        <v>1139</v>
      </c>
      <c r="O16" s="350"/>
      <c r="P16" s="348">
        <v>0.0</v>
      </c>
      <c r="Q16" s="348"/>
      <c r="R16" s="348"/>
      <c r="S16" s="348"/>
      <c r="T16" s="77"/>
      <c r="U16" s="77"/>
      <c r="V16" s="77"/>
    </row>
    <row r="17" ht="17.25" customHeight="1">
      <c r="A17" s="359"/>
      <c r="B17" s="352"/>
      <c r="C17" s="353">
        <v>16.0</v>
      </c>
      <c r="D17" s="354"/>
      <c r="E17" s="355"/>
      <c r="F17" s="355"/>
      <c r="G17" s="356"/>
      <c r="H17" s="354"/>
      <c r="I17" s="357"/>
      <c r="J17" s="357">
        <v>40.0</v>
      </c>
      <c r="K17" s="357">
        <v>0.0</v>
      </c>
      <c r="L17" s="357">
        <v>0.0</v>
      </c>
      <c r="M17" s="357">
        <v>0.0</v>
      </c>
      <c r="N17" s="356" t="s">
        <v>1139</v>
      </c>
      <c r="O17" s="358"/>
      <c r="P17" s="356">
        <v>0.0</v>
      </c>
      <c r="Q17" s="356"/>
      <c r="R17" s="356"/>
      <c r="S17" s="356"/>
      <c r="T17" s="355"/>
      <c r="U17" s="355"/>
      <c r="V17" s="355"/>
    </row>
    <row r="18" ht="17.25" customHeight="1">
      <c r="A18" s="360"/>
      <c r="B18" s="345"/>
      <c r="C18" s="346">
        <v>17.0</v>
      </c>
      <c r="D18" s="347"/>
      <c r="E18" s="77"/>
      <c r="F18" s="77"/>
      <c r="G18" s="348"/>
      <c r="H18" s="347"/>
      <c r="I18" s="349"/>
      <c r="J18" s="349">
        <v>20.0</v>
      </c>
      <c r="K18" s="349">
        <v>0.0</v>
      </c>
      <c r="L18" s="349">
        <v>0.0</v>
      </c>
      <c r="M18" s="349">
        <v>0.0</v>
      </c>
      <c r="N18" s="348" t="s">
        <v>1136</v>
      </c>
      <c r="O18" s="348"/>
      <c r="P18" s="348">
        <v>0.0</v>
      </c>
      <c r="Q18" s="348"/>
      <c r="R18" s="348"/>
      <c r="S18" s="348"/>
      <c r="T18" s="77"/>
      <c r="U18" s="77"/>
      <c r="V18" s="77"/>
    </row>
    <row r="19" ht="17.25" customHeight="1">
      <c r="A19" s="352"/>
      <c r="B19" s="352"/>
      <c r="C19" s="353">
        <v>18.0</v>
      </c>
      <c r="D19" s="354"/>
      <c r="E19" s="355"/>
      <c r="F19" s="355"/>
      <c r="G19" s="356"/>
      <c r="H19" s="354"/>
      <c r="I19" s="357"/>
      <c r="J19" s="357">
        <v>30.0</v>
      </c>
      <c r="K19" s="357">
        <v>0.0</v>
      </c>
      <c r="L19" s="357">
        <v>0.0</v>
      </c>
      <c r="M19" s="357">
        <v>0.0</v>
      </c>
      <c r="N19" s="356" t="s">
        <v>1136</v>
      </c>
      <c r="O19" s="358"/>
      <c r="P19" s="356">
        <v>0.0</v>
      </c>
      <c r="Q19" s="356"/>
      <c r="R19" s="356"/>
      <c r="S19" s="356"/>
      <c r="T19" s="355"/>
      <c r="U19" s="355"/>
      <c r="V19" s="355"/>
    </row>
    <row r="20" ht="17.25" customHeight="1">
      <c r="A20" s="345"/>
      <c r="B20" s="345"/>
      <c r="C20" s="346">
        <v>19.0</v>
      </c>
      <c r="D20" s="361"/>
      <c r="E20" s="362"/>
      <c r="F20" s="361"/>
      <c r="G20" s="361"/>
      <c r="H20" s="363"/>
      <c r="I20" s="364"/>
      <c r="J20" s="365">
        <v>40.0</v>
      </c>
      <c r="K20" s="349"/>
      <c r="L20" s="349"/>
      <c r="M20" s="349"/>
      <c r="N20" s="348" t="s">
        <v>1136</v>
      </c>
      <c r="O20" s="366"/>
      <c r="P20" s="362">
        <v>1.0</v>
      </c>
      <c r="Q20" s="367">
        <v>0.0</v>
      </c>
      <c r="R20" s="367">
        <v>0.0</v>
      </c>
      <c r="S20" s="367">
        <v>0.0</v>
      </c>
      <c r="T20" s="77"/>
      <c r="U20" s="77"/>
      <c r="V20" s="77"/>
    </row>
    <row r="21" ht="17.25" customHeight="1">
      <c r="A21" s="352"/>
      <c r="B21" s="352"/>
      <c r="C21" s="353">
        <v>20.0</v>
      </c>
      <c r="D21" s="368"/>
      <c r="E21" s="369"/>
      <c r="F21" s="368"/>
      <c r="G21" s="368"/>
      <c r="H21" s="368"/>
      <c r="I21" s="370"/>
      <c r="J21" s="371">
        <v>70.0</v>
      </c>
      <c r="K21" s="357"/>
      <c r="L21" s="357"/>
      <c r="M21" s="357"/>
      <c r="N21" s="356" t="s">
        <v>1136</v>
      </c>
      <c r="O21" s="372"/>
      <c r="P21" s="369">
        <v>2.0</v>
      </c>
      <c r="Q21" s="373">
        <v>0.0</v>
      </c>
      <c r="R21" s="373">
        <v>0.0</v>
      </c>
      <c r="S21" s="373">
        <v>0.0</v>
      </c>
      <c r="T21" s="355"/>
      <c r="U21" s="355"/>
      <c r="V21" s="355"/>
    </row>
    <row r="22" ht="17.25" customHeight="1">
      <c r="A22" s="345"/>
      <c r="B22" s="345"/>
      <c r="C22" s="346">
        <v>21.0</v>
      </c>
      <c r="D22" s="361"/>
      <c r="E22" s="362"/>
      <c r="F22" s="361"/>
      <c r="G22" s="361"/>
      <c r="H22" s="361"/>
      <c r="I22" s="364"/>
      <c r="J22" s="365">
        <v>160.0</v>
      </c>
      <c r="K22" s="349"/>
      <c r="L22" s="349"/>
      <c r="M22" s="349"/>
      <c r="N22" s="348" t="s">
        <v>1139</v>
      </c>
      <c r="O22" s="366"/>
      <c r="P22" s="362">
        <v>0.0</v>
      </c>
      <c r="Q22" s="374">
        <v>1.0</v>
      </c>
      <c r="R22" s="367">
        <v>0.0</v>
      </c>
      <c r="S22" s="367">
        <v>0.0</v>
      </c>
      <c r="T22" s="77"/>
      <c r="U22" s="77"/>
      <c r="V22" s="77"/>
    </row>
    <row r="23" ht="17.25" customHeight="1">
      <c r="A23" s="352"/>
      <c r="B23" s="352"/>
      <c r="C23" s="353">
        <v>22.0</v>
      </c>
      <c r="D23" s="368"/>
      <c r="E23" s="369"/>
      <c r="F23" s="368"/>
      <c r="G23" s="368"/>
      <c r="H23" s="368"/>
      <c r="I23" s="370"/>
      <c r="J23" s="371">
        <v>96.0</v>
      </c>
      <c r="K23" s="357"/>
      <c r="L23" s="357"/>
      <c r="M23" s="357"/>
      <c r="N23" s="356" t="s">
        <v>1139</v>
      </c>
      <c r="O23" s="372"/>
      <c r="P23" s="369">
        <v>0.0</v>
      </c>
      <c r="Q23" s="375">
        <v>4.0</v>
      </c>
      <c r="R23" s="373">
        <v>0.0</v>
      </c>
      <c r="S23" s="373">
        <v>0.0</v>
      </c>
      <c r="T23" s="355"/>
      <c r="U23" s="355"/>
      <c r="V23" s="355"/>
    </row>
    <row r="24" ht="17.25" customHeight="1">
      <c r="A24" s="345"/>
      <c r="B24" s="345"/>
      <c r="C24" s="346">
        <v>23.0</v>
      </c>
      <c r="D24" s="361"/>
      <c r="E24" s="362"/>
      <c r="F24" s="361"/>
      <c r="G24" s="361"/>
      <c r="H24" s="361"/>
      <c r="I24" s="364"/>
      <c r="J24" s="365">
        <v>95.0</v>
      </c>
      <c r="K24" s="349"/>
      <c r="L24" s="349"/>
      <c r="M24" s="349"/>
      <c r="N24" s="348" t="s">
        <v>1136</v>
      </c>
      <c r="O24" s="366"/>
      <c r="P24" s="362">
        <v>4.0</v>
      </c>
      <c r="Q24" s="376">
        <v>0.0</v>
      </c>
      <c r="R24" s="367">
        <v>0.0</v>
      </c>
      <c r="S24" s="367">
        <v>0.0</v>
      </c>
      <c r="T24" s="77"/>
      <c r="U24" s="77"/>
      <c r="V24" s="77"/>
    </row>
    <row r="25" ht="17.25" customHeight="1">
      <c r="A25" s="352"/>
      <c r="B25" s="352"/>
      <c r="C25" s="353">
        <v>24.0</v>
      </c>
      <c r="D25" s="368"/>
      <c r="E25" s="369"/>
      <c r="F25" s="368"/>
      <c r="G25" s="368"/>
      <c r="H25" s="368"/>
      <c r="I25" s="370"/>
      <c r="J25" s="371">
        <v>19.0</v>
      </c>
      <c r="K25" s="357"/>
      <c r="L25" s="357"/>
      <c r="M25" s="357"/>
      <c r="N25" s="356" t="s">
        <v>1136</v>
      </c>
      <c r="O25" s="372"/>
      <c r="P25" s="369">
        <v>1.0</v>
      </c>
      <c r="Q25" s="377">
        <v>0.0</v>
      </c>
      <c r="R25" s="373">
        <v>0.0</v>
      </c>
      <c r="S25" s="373">
        <v>0.0</v>
      </c>
      <c r="T25" s="355"/>
      <c r="U25" s="355"/>
      <c r="V25" s="355"/>
    </row>
    <row r="26" ht="17.25" customHeight="1">
      <c r="A26" s="345"/>
      <c r="B26" s="345"/>
      <c r="C26" s="346">
        <v>25.0</v>
      </c>
      <c r="D26" s="361"/>
      <c r="E26" s="362"/>
      <c r="F26" s="361"/>
      <c r="G26" s="361"/>
      <c r="H26" s="361"/>
      <c r="I26" s="364"/>
      <c r="J26" s="365">
        <v>24.0</v>
      </c>
      <c r="K26" s="349"/>
      <c r="L26" s="349"/>
      <c r="M26" s="349"/>
      <c r="N26" s="348" t="s">
        <v>1275</v>
      </c>
      <c r="O26" s="366"/>
      <c r="P26" s="362">
        <v>0.0</v>
      </c>
      <c r="Q26" s="374">
        <v>1.0</v>
      </c>
      <c r="R26" s="367">
        <v>0.0</v>
      </c>
      <c r="S26" s="367">
        <v>0.0</v>
      </c>
      <c r="T26" s="77"/>
      <c r="U26" s="77"/>
      <c r="V26" s="77"/>
    </row>
    <row r="27" ht="17.25" customHeight="1">
      <c r="A27" s="352"/>
      <c r="B27" s="352"/>
      <c r="C27" s="353">
        <v>26.0</v>
      </c>
      <c r="D27" s="368"/>
      <c r="E27" s="368"/>
      <c r="F27" s="368"/>
      <c r="G27" s="368"/>
      <c r="H27" s="368"/>
      <c r="I27" s="370"/>
      <c r="J27" s="371">
        <v>17.0</v>
      </c>
      <c r="K27" s="357"/>
      <c r="L27" s="357"/>
      <c r="M27" s="357"/>
      <c r="N27" s="356" t="s">
        <v>1136</v>
      </c>
      <c r="O27" s="372"/>
      <c r="P27" s="369">
        <v>1.0</v>
      </c>
      <c r="Q27" s="377">
        <v>0.0</v>
      </c>
      <c r="R27" s="373">
        <v>0.0</v>
      </c>
      <c r="S27" s="373">
        <v>0.0</v>
      </c>
      <c r="T27" s="355"/>
      <c r="U27" s="355"/>
      <c r="V27" s="355"/>
    </row>
    <row r="28" ht="17.25" customHeight="1">
      <c r="A28" s="345"/>
      <c r="B28" s="345"/>
      <c r="C28" s="346">
        <v>27.0</v>
      </c>
      <c r="D28" s="361"/>
      <c r="E28" s="378"/>
      <c r="F28" s="361"/>
      <c r="G28" s="361"/>
      <c r="H28" s="361"/>
      <c r="I28" s="364"/>
      <c r="J28" s="365">
        <v>22.0</v>
      </c>
      <c r="K28" s="349"/>
      <c r="L28" s="349"/>
      <c r="M28" s="349"/>
      <c r="N28" s="348" t="s">
        <v>1139</v>
      </c>
      <c r="O28" s="366"/>
      <c r="P28" s="362">
        <v>0.0</v>
      </c>
      <c r="Q28" s="374">
        <v>1.0</v>
      </c>
      <c r="R28" s="367">
        <v>0.0</v>
      </c>
      <c r="S28" s="367">
        <v>0.0</v>
      </c>
      <c r="T28" s="77"/>
      <c r="U28" s="77"/>
      <c r="V28" s="77"/>
    </row>
    <row r="29" ht="17.25" customHeight="1">
      <c r="A29" s="352"/>
      <c r="B29" s="352"/>
      <c r="C29" s="353">
        <v>28.0</v>
      </c>
      <c r="D29" s="368"/>
      <c r="E29" s="369"/>
      <c r="F29" s="368"/>
      <c r="G29" s="368"/>
      <c r="H29" s="379"/>
      <c r="I29" s="370"/>
      <c r="J29" s="371">
        <v>19.0</v>
      </c>
      <c r="K29" s="357"/>
      <c r="L29" s="357"/>
      <c r="M29" s="357"/>
      <c r="N29" s="356"/>
      <c r="O29" s="372"/>
      <c r="P29" s="369">
        <v>1.0</v>
      </c>
      <c r="Q29" s="377">
        <v>0.0</v>
      </c>
      <c r="R29" s="373">
        <v>0.0</v>
      </c>
      <c r="S29" s="373">
        <v>0.0</v>
      </c>
      <c r="T29" s="355"/>
      <c r="U29" s="355"/>
      <c r="V29" s="355"/>
    </row>
    <row r="30" ht="17.25" customHeight="1">
      <c r="A30" s="345"/>
      <c r="B30" s="345"/>
      <c r="C30" s="346">
        <v>29.0</v>
      </c>
      <c r="D30" s="361"/>
      <c r="E30" s="362"/>
      <c r="F30" s="361"/>
      <c r="G30" s="361"/>
      <c r="H30" s="361"/>
      <c r="I30" s="364"/>
      <c r="J30" s="365"/>
      <c r="K30" s="349"/>
      <c r="L30" s="349"/>
      <c r="M30" s="349"/>
      <c r="N30" s="348" t="s">
        <v>1276</v>
      </c>
      <c r="O30" s="366"/>
      <c r="P30" s="362">
        <v>0.0</v>
      </c>
      <c r="Q30" s="376">
        <v>0.0</v>
      </c>
      <c r="R30" s="376">
        <v>0.0</v>
      </c>
      <c r="S30" s="374">
        <v>4.0</v>
      </c>
      <c r="T30" s="77"/>
      <c r="U30" s="77"/>
      <c r="V30" s="77"/>
    </row>
    <row r="31" ht="17.25" customHeight="1">
      <c r="A31" s="352"/>
      <c r="B31" s="352"/>
      <c r="C31" s="353">
        <v>30.0</v>
      </c>
      <c r="D31" s="368"/>
      <c r="E31" s="369"/>
      <c r="F31" s="368"/>
      <c r="G31" s="368"/>
      <c r="H31" s="368"/>
      <c r="I31" s="370"/>
      <c r="J31" s="371">
        <v>47.0</v>
      </c>
      <c r="K31" s="357"/>
      <c r="L31" s="357"/>
      <c r="M31" s="357"/>
      <c r="N31" s="356" t="s">
        <v>1136</v>
      </c>
      <c r="O31" s="372"/>
      <c r="P31" s="369">
        <v>2.0</v>
      </c>
      <c r="Q31" s="377">
        <v>0.0</v>
      </c>
      <c r="R31" s="373">
        <v>0.0</v>
      </c>
      <c r="S31" s="373">
        <v>0.0</v>
      </c>
      <c r="T31" s="355"/>
      <c r="U31" s="355"/>
      <c r="V31" s="355"/>
    </row>
    <row r="32" ht="17.25" customHeight="1">
      <c r="A32" s="345"/>
      <c r="B32" s="345"/>
      <c r="C32" s="346">
        <v>31.0</v>
      </c>
      <c r="D32" s="361"/>
      <c r="E32" s="362"/>
      <c r="F32" s="361"/>
      <c r="G32" s="361"/>
      <c r="H32" s="361"/>
      <c r="I32" s="364"/>
      <c r="J32" s="365">
        <v>27.0</v>
      </c>
      <c r="K32" s="349"/>
      <c r="L32" s="349"/>
      <c r="M32" s="349"/>
      <c r="N32" s="348"/>
      <c r="O32" s="366"/>
      <c r="P32" s="367">
        <v>0.0</v>
      </c>
      <c r="Q32" s="374">
        <v>1.0</v>
      </c>
      <c r="R32" s="367">
        <v>0.0</v>
      </c>
      <c r="S32" s="367">
        <v>0.0</v>
      </c>
      <c r="T32" s="77"/>
      <c r="U32" s="77"/>
      <c r="V32" s="77"/>
    </row>
    <row r="33" ht="17.25" customHeight="1">
      <c r="A33" s="352"/>
      <c r="B33" s="352"/>
      <c r="C33" s="353">
        <v>32.0</v>
      </c>
      <c r="D33" s="368"/>
      <c r="E33" s="369"/>
      <c r="F33" s="368"/>
      <c r="G33" s="368"/>
      <c r="H33" s="368"/>
      <c r="I33" s="370"/>
      <c r="J33" s="380">
        <v>35.0</v>
      </c>
      <c r="K33" s="357"/>
      <c r="L33" s="357"/>
      <c r="M33" s="357"/>
      <c r="N33" s="356"/>
      <c r="O33" s="372"/>
      <c r="P33" s="373">
        <v>0.0</v>
      </c>
      <c r="Q33" s="375">
        <v>1.0</v>
      </c>
      <c r="R33" s="373">
        <v>0.0</v>
      </c>
      <c r="S33" s="373">
        <v>0.0</v>
      </c>
      <c r="T33" s="355"/>
      <c r="U33" s="355"/>
      <c r="V33" s="355"/>
    </row>
    <row r="34" ht="17.25" customHeight="1">
      <c r="A34" s="345"/>
      <c r="B34" s="345"/>
      <c r="C34" s="346">
        <v>33.0</v>
      </c>
      <c r="D34" s="361"/>
      <c r="E34" s="362"/>
      <c r="F34" s="361"/>
      <c r="G34" s="361"/>
      <c r="H34" s="366"/>
      <c r="I34" s="364"/>
      <c r="J34" s="381"/>
      <c r="K34" s="349"/>
      <c r="L34" s="349"/>
      <c r="M34" s="349"/>
      <c r="N34" s="348" t="s">
        <v>1136</v>
      </c>
      <c r="O34" s="361"/>
      <c r="P34" s="362">
        <v>2.0</v>
      </c>
      <c r="Q34" s="367">
        <v>0.0</v>
      </c>
      <c r="R34" s="367">
        <v>0.0</v>
      </c>
      <c r="S34" s="367">
        <v>0.0</v>
      </c>
      <c r="T34" s="77"/>
      <c r="U34" s="77"/>
      <c r="V34" s="77"/>
    </row>
    <row r="35" ht="17.25" customHeight="1">
      <c r="A35" s="352"/>
      <c r="B35" s="352"/>
      <c r="C35" s="353">
        <v>34.0</v>
      </c>
      <c r="D35" s="368"/>
      <c r="E35" s="369"/>
      <c r="F35" s="368"/>
      <c r="G35" s="368"/>
      <c r="H35" s="368"/>
      <c r="I35" s="370"/>
      <c r="J35" s="380">
        <v>20.0</v>
      </c>
      <c r="K35" s="357"/>
      <c r="L35" s="357"/>
      <c r="M35" s="357"/>
      <c r="N35" s="356" t="s">
        <v>1136</v>
      </c>
      <c r="O35" s="372"/>
      <c r="P35" s="369">
        <v>1.0</v>
      </c>
      <c r="Q35" s="373">
        <v>0.0</v>
      </c>
      <c r="R35" s="373">
        <v>0.0</v>
      </c>
      <c r="S35" s="373">
        <v>0.0</v>
      </c>
      <c r="T35" s="355"/>
      <c r="U35" s="355"/>
      <c r="V35" s="355"/>
    </row>
    <row r="36" ht="17.25" customHeight="1">
      <c r="A36" s="345"/>
      <c r="B36" s="345"/>
      <c r="C36" s="346">
        <v>35.0</v>
      </c>
      <c r="D36" s="361"/>
      <c r="E36" s="362"/>
      <c r="F36" s="361"/>
      <c r="G36" s="361"/>
      <c r="H36" s="361"/>
      <c r="I36" s="364"/>
      <c r="J36" s="365">
        <v>60.0</v>
      </c>
      <c r="K36" s="349"/>
      <c r="L36" s="349"/>
      <c r="M36" s="349"/>
      <c r="N36" s="348"/>
      <c r="O36" s="366"/>
      <c r="P36" s="367">
        <v>0.0</v>
      </c>
      <c r="Q36" s="374">
        <v>1.0</v>
      </c>
      <c r="R36" s="367">
        <v>0.0</v>
      </c>
      <c r="S36" s="367">
        <v>0.0</v>
      </c>
      <c r="T36" s="77"/>
      <c r="U36" s="77"/>
      <c r="V36" s="77"/>
    </row>
    <row r="37" ht="17.25" customHeight="1">
      <c r="A37" s="352"/>
      <c r="B37" s="352"/>
      <c r="C37" s="353">
        <v>36.0</v>
      </c>
      <c r="D37" s="368"/>
      <c r="E37" s="369"/>
      <c r="F37" s="368"/>
      <c r="G37" s="368"/>
      <c r="H37" s="372"/>
      <c r="I37" s="370"/>
      <c r="J37" s="371">
        <v>11.0</v>
      </c>
      <c r="K37" s="357"/>
      <c r="L37" s="357"/>
      <c r="M37" s="357"/>
      <c r="N37" s="356"/>
      <c r="O37" s="382"/>
      <c r="P37" s="373">
        <v>0.0</v>
      </c>
      <c r="Q37" s="373">
        <v>0.0</v>
      </c>
      <c r="R37" s="373">
        <v>0.0</v>
      </c>
      <c r="S37" s="373">
        <v>0.0</v>
      </c>
      <c r="T37" s="355"/>
      <c r="U37" s="355"/>
      <c r="V37" s="355"/>
    </row>
    <row r="38" ht="17.25" customHeight="1">
      <c r="A38" s="345"/>
      <c r="B38" s="345"/>
      <c r="C38" s="346">
        <v>37.0</v>
      </c>
      <c r="D38" s="361"/>
      <c r="E38" s="362"/>
      <c r="F38" s="361"/>
      <c r="G38" s="361"/>
      <c r="H38" s="361"/>
      <c r="I38" s="364"/>
      <c r="J38" s="365">
        <v>75.0</v>
      </c>
      <c r="K38" s="349"/>
      <c r="L38" s="349"/>
      <c r="M38" s="349"/>
      <c r="N38" s="348" t="s">
        <v>1136</v>
      </c>
      <c r="O38" s="366"/>
      <c r="P38" s="362">
        <v>2.0</v>
      </c>
      <c r="Q38" s="367">
        <v>0.0</v>
      </c>
      <c r="R38" s="367">
        <v>0.0</v>
      </c>
      <c r="S38" s="367">
        <v>0.0</v>
      </c>
      <c r="T38" s="77"/>
      <c r="U38" s="77"/>
      <c r="V38" s="77"/>
    </row>
    <row r="39" ht="17.25" customHeight="1">
      <c r="A39" s="352"/>
      <c r="B39" s="352"/>
      <c r="C39" s="353">
        <v>38.0</v>
      </c>
      <c r="D39" s="368"/>
      <c r="E39" s="369"/>
      <c r="F39" s="379"/>
      <c r="G39" s="368"/>
      <c r="H39" s="368"/>
      <c r="I39" s="370"/>
      <c r="J39" s="380">
        <v>21.0</v>
      </c>
      <c r="K39" s="357"/>
      <c r="L39" s="357"/>
      <c r="M39" s="357"/>
      <c r="N39" s="356" t="s">
        <v>1139</v>
      </c>
      <c r="O39" s="372"/>
      <c r="P39" s="373">
        <v>0.0</v>
      </c>
      <c r="Q39" s="375">
        <v>1.0</v>
      </c>
      <c r="R39" s="373">
        <v>0.0</v>
      </c>
      <c r="S39" s="373">
        <v>0.0</v>
      </c>
      <c r="T39" s="355"/>
      <c r="U39" s="355"/>
      <c r="V39" s="355"/>
    </row>
    <row r="40" ht="17.25" customHeight="1">
      <c r="A40" s="345"/>
      <c r="B40" s="345"/>
      <c r="C40" s="346">
        <v>39.0</v>
      </c>
      <c r="D40" s="361"/>
      <c r="E40" s="362"/>
      <c r="F40" s="361"/>
      <c r="G40" s="361"/>
      <c r="H40" s="361"/>
      <c r="I40" s="364"/>
      <c r="J40" s="365">
        <v>20.0</v>
      </c>
      <c r="K40" s="349"/>
      <c r="L40" s="349"/>
      <c r="M40" s="349"/>
      <c r="N40" s="348" t="s">
        <v>1136</v>
      </c>
      <c r="O40" s="366"/>
      <c r="P40" s="362">
        <v>1.0</v>
      </c>
      <c r="Q40" s="367">
        <v>0.0</v>
      </c>
      <c r="R40" s="367">
        <v>0.0</v>
      </c>
      <c r="S40" s="367">
        <v>0.0</v>
      </c>
      <c r="T40" s="77"/>
      <c r="U40" s="77"/>
      <c r="V40" s="77"/>
    </row>
    <row r="41" ht="17.25" customHeight="1">
      <c r="A41" s="352"/>
      <c r="B41" s="352"/>
      <c r="C41" s="353">
        <v>40.0</v>
      </c>
      <c r="D41" s="368"/>
      <c r="E41" s="369"/>
      <c r="F41" s="368"/>
      <c r="G41" s="368"/>
      <c r="H41" s="368"/>
      <c r="I41" s="370"/>
      <c r="J41" s="371">
        <v>20.0</v>
      </c>
      <c r="K41" s="357"/>
      <c r="L41" s="357"/>
      <c r="M41" s="357"/>
      <c r="N41" s="356" t="s">
        <v>1161</v>
      </c>
      <c r="O41" s="372"/>
      <c r="P41" s="373">
        <v>0.0</v>
      </c>
      <c r="Q41" s="373">
        <v>0.0</v>
      </c>
      <c r="R41" s="375">
        <v>1.0</v>
      </c>
      <c r="S41" s="373">
        <v>0.0</v>
      </c>
      <c r="T41" s="355"/>
      <c r="U41" s="355"/>
      <c r="V41" s="355"/>
    </row>
    <row r="42" ht="17.25" customHeight="1">
      <c r="A42" s="345"/>
      <c r="B42" s="345"/>
      <c r="C42" s="346">
        <v>41.0</v>
      </c>
      <c r="D42" s="383"/>
      <c r="E42" s="362"/>
      <c r="F42" s="383"/>
      <c r="G42" s="361"/>
      <c r="H42" s="361"/>
      <c r="I42" s="364"/>
      <c r="J42" s="381">
        <v>20.0</v>
      </c>
      <c r="K42" s="349"/>
      <c r="L42" s="349"/>
      <c r="M42" s="349"/>
      <c r="N42" s="348" t="s">
        <v>1136</v>
      </c>
      <c r="O42" s="366"/>
      <c r="P42" s="362">
        <v>1.0</v>
      </c>
      <c r="Q42" s="367">
        <v>0.0</v>
      </c>
      <c r="R42" s="367">
        <v>0.0</v>
      </c>
      <c r="S42" s="367">
        <v>0.0</v>
      </c>
      <c r="T42" s="77"/>
      <c r="U42" s="77"/>
      <c r="V42" s="77"/>
    </row>
    <row r="43" ht="17.25" customHeight="1">
      <c r="A43" s="352"/>
      <c r="B43" s="352"/>
      <c r="C43" s="353">
        <v>42.0</v>
      </c>
      <c r="D43" s="368"/>
      <c r="E43" s="369"/>
      <c r="F43" s="368"/>
      <c r="G43" s="368"/>
      <c r="H43" s="379"/>
      <c r="I43" s="370"/>
      <c r="J43" s="380">
        <v>50.0</v>
      </c>
      <c r="K43" s="357"/>
      <c r="L43" s="357"/>
      <c r="M43" s="357"/>
      <c r="N43" s="356" t="s">
        <v>1136</v>
      </c>
      <c r="O43" s="372"/>
      <c r="P43" s="369">
        <v>2.0</v>
      </c>
      <c r="Q43" s="373">
        <v>0.0</v>
      </c>
      <c r="R43" s="373">
        <v>0.0</v>
      </c>
      <c r="S43" s="373">
        <v>0.0</v>
      </c>
      <c r="T43" s="355"/>
      <c r="U43" s="355"/>
      <c r="V43" s="355"/>
    </row>
    <row r="44" ht="17.25" customHeight="1">
      <c r="A44" s="345"/>
      <c r="B44" s="345"/>
      <c r="C44" s="346">
        <v>43.0</v>
      </c>
      <c r="D44" s="383"/>
      <c r="E44" s="383"/>
      <c r="F44" s="383"/>
      <c r="G44" s="361"/>
      <c r="H44" s="366"/>
      <c r="I44" s="364"/>
      <c r="J44" s="381">
        <v>90.0</v>
      </c>
      <c r="K44" s="349"/>
      <c r="L44" s="349"/>
      <c r="M44" s="349"/>
      <c r="N44" s="348" t="s">
        <v>1136</v>
      </c>
      <c r="O44" s="384"/>
      <c r="P44" s="362">
        <v>2.0</v>
      </c>
      <c r="Q44" s="367">
        <v>0.0</v>
      </c>
      <c r="R44" s="367">
        <v>0.0</v>
      </c>
      <c r="S44" s="367">
        <v>0.0</v>
      </c>
      <c r="T44" s="77"/>
      <c r="U44" s="77"/>
      <c r="V44" s="77"/>
    </row>
    <row r="45" ht="17.25" customHeight="1">
      <c r="A45" s="352"/>
      <c r="B45" s="352"/>
      <c r="C45" s="353">
        <v>44.0</v>
      </c>
      <c r="D45" s="379"/>
      <c r="E45" s="385"/>
      <c r="F45" s="379"/>
      <c r="G45" s="368"/>
      <c r="H45" s="368"/>
      <c r="I45" s="370"/>
      <c r="J45" s="380">
        <v>21.0</v>
      </c>
      <c r="K45" s="357"/>
      <c r="L45" s="357"/>
      <c r="M45" s="357"/>
      <c r="N45" s="356" t="s">
        <v>1136</v>
      </c>
      <c r="O45" s="372"/>
      <c r="P45" s="369">
        <v>1.0</v>
      </c>
      <c r="Q45" s="373">
        <v>0.0</v>
      </c>
      <c r="R45" s="373">
        <v>0.0</v>
      </c>
      <c r="S45" s="373">
        <v>0.0</v>
      </c>
      <c r="T45" s="355"/>
      <c r="U45" s="355"/>
      <c r="V45" s="355"/>
    </row>
    <row r="46" ht="17.25" customHeight="1">
      <c r="A46" s="345"/>
      <c r="B46" s="345"/>
      <c r="C46" s="346">
        <v>45.0</v>
      </c>
      <c r="D46" s="361"/>
      <c r="E46" s="378"/>
      <c r="F46" s="361"/>
      <c r="G46" s="361"/>
      <c r="I46" s="364"/>
      <c r="J46" s="381">
        <v>30.0</v>
      </c>
      <c r="K46" s="349"/>
      <c r="L46" s="349"/>
      <c r="M46" s="349"/>
      <c r="N46" s="348" t="s">
        <v>1136</v>
      </c>
      <c r="O46" s="366"/>
      <c r="P46" s="362">
        <v>1.0</v>
      </c>
      <c r="Q46" s="367">
        <v>0.0</v>
      </c>
      <c r="R46" s="367">
        <v>0.0</v>
      </c>
      <c r="S46" s="367">
        <v>0.0</v>
      </c>
      <c r="T46" s="77"/>
      <c r="U46" s="77"/>
      <c r="V46" s="77"/>
    </row>
    <row r="47" ht="17.25" customHeight="1">
      <c r="A47" s="352"/>
      <c r="B47" s="352"/>
      <c r="C47" s="353">
        <v>46.0</v>
      </c>
      <c r="D47" s="368"/>
      <c r="E47" s="385"/>
      <c r="F47" s="368"/>
      <c r="G47" s="368"/>
      <c r="H47" s="368"/>
      <c r="I47" s="370"/>
      <c r="J47" s="371">
        <v>40.0</v>
      </c>
      <c r="K47" s="357"/>
      <c r="L47" s="357"/>
      <c r="M47" s="357"/>
      <c r="N47" s="356" t="s">
        <v>1136</v>
      </c>
      <c r="O47" s="372"/>
      <c r="P47" s="369">
        <v>2.0</v>
      </c>
      <c r="Q47" s="373">
        <v>0.0</v>
      </c>
      <c r="R47" s="373">
        <v>0.0</v>
      </c>
      <c r="S47" s="373">
        <v>0.0</v>
      </c>
      <c r="T47" s="355"/>
      <c r="U47" s="355"/>
      <c r="V47" s="355"/>
    </row>
    <row r="48" ht="17.25" customHeight="1">
      <c r="A48" s="345"/>
      <c r="B48" s="345"/>
      <c r="C48" s="346">
        <v>47.0</v>
      </c>
      <c r="D48" s="361"/>
      <c r="E48" s="378"/>
      <c r="F48" s="361"/>
      <c r="G48" s="361"/>
      <c r="H48" s="361"/>
      <c r="I48" s="364"/>
      <c r="J48" s="381">
        <v>50.0</v>
      </c>
      <c r="K48" s="349"/>
      <c r="L48" s="349"/>
      <c r="M48" s="349"/>
      <c r="N48" s="348" t="s">
        <v>1139</v>
      </c>
      <c r="O48" s="366"/>
      <c r="P48" s="367">
        <v>0.0</v>
      </c>
      <c r="Q48" s="374">
        <v>2.0</v>
      </c>
      <c r="R48" s="367">
        <v>0.0</v>
      </c>
      <c r="S48" s="367">
        <v>0.0</v>
      </c>
      <c r="T48" s="77"/>
      <c r="U48" s="77"/>
      <c r="V48" s="77"/>
    </row>
    <row r="49" ht="17.25" customHeight="1">
      <c r="A49" s="352"/>
      <c r="B49" s="352"/>
      <c r="C49" s="353">
        <v>48.0</v>
      </c>
      <c r="D49" s="368"/>
      <c r="E49" s="385"/>
      <c r="F49" s="368"/>
      <c r="G49" s="368"/>
      <c r="H49" s="368"/>
      <c r="I49" s="370"/>
      <c r="J49" s="380">
        <v>70.0</v>
      </c>
      <c r="K49" s="357"/>
      <c r="L49" s="357"/>
      <c r="M49" s="357"/>
      <c r="N49" s="356"/>
      <c r="O49" s="372"/>
      <c r="P49" s="373">
        <v>0.0</v>
      </c>
      <c r="Q49" s="373">
        <v>0.0</v>
      </c>
      <c r="R49" s="373">
        <v>0.0</v>
      </c>
      <c r="S49" s="373">
        <v>0.0</v>
      </c>
      <c r="T49" s="355"/>
      <c r="U49" s="355"/>
      <c r="V49" s="355"/>
    </row>
    <row r="50" ht="17.25" customHeight="1">
      <c r="A50" s="345"/>
      <c r="B50" s="345"/>
      <c r="C50" s="346">
        <v>49.0</v>
      </c>
      <c r="D50" s="361"/>
      <c r="E50" s="378"/>
      <c r="F50" s="361"/>
      <c r="G50" s="361"/>
      <c r="H50" s="361"/>
      <c r="I50" s="364"/>
      <c r="J50" s="381">
        <v>20.0</v>
      </c>
      <c r="K50" s="349"/>
      <c r="L50" s="349"/>
      <c r="M50" s="349"/>
      <c r="N50" s="348" t="s">
        <v>1136</v>
      </c>
      <c r="O50" s="366"/>
      <c r="P50" s="362">
        <v>1.0</v>
      </c>
      <c r="Q50" s="367">
        <v>0.0</v>
      </c>
      <c r="R50" s="367">
        <v>0.0</v>
      </c>
      <c r="S50" s="367">
        <v>0.0</v>
      </c>
      <c r="T50" s="77"/>
      <c r="U50" s="77"/>
      <c r="V50" s="77"/>
    </row>
    <row r="51" ht="17.25" customHeight="1">
      <c r="A51" s="352"/>
      <c r="B51" s="352"/>
      <c r="C51" s="353">
        <v>50.0</v>
      </c>
      <c r="D51" s="379"/>
      <c r="E51" s="385"/>
      <c r="F51" s="379"/>
      <c r="G51" s="379"/>
      <c r="H51" s="372"/>
      <c r="I51" s="386"/>
      <c r="J51" s="380">
        <v>550.0</v>
      </c>
      <c r="K51" s="357"/>
      <c r="L51" s="357"/>
      <c r="M51" s="357"/>
      <c r="N51" s="356" t="s">
        <v>1136</v>
      </c>
      <c r="O51" s="382"/>
      <c r="P51" s="369">
        <v>14.0</v>
      </c>
      <c r="Q51" s="373">
        <v>0.0</v>
      </c>
      <c r="R51" s="373">
        <v>0.0</v>
      </c>
      <c r="S51" s="373">
        <v>0.0</v>
      </c>
      <c r="T51" s="355"/>
      <c r="U51" s="355"/>
      <c r="V51" s="355"/>
    </row>
    <row r="52" ht="17.25" customHeight="1">
      <c r="A52" s="345"/>
      <c r="B52" s="345"/>
      <c r="C52" s="346">
        <v>51.0</v>
      </c>
      <c r="D52" s="383"/>
      <c r="E52" s="378"/>
      <c r="F52" s="383"/>
      <c r="G52" s="383"/>
      <c r="H52" s="383"/>
      <c r="I52" s="387"/>
      <c r="J52" s="381">
        <v>20.0</v>
      </c>
      <c r="K52" s="349"/>
      <c r="L52" s="349"/>
      <c r="M52" s="349"/>
      <c r="N52" s="348" t="s">
        <v>1139</v>
      </c>
      <c r="O52" s="366"/>
      <c r="P52" s="367">
        <v>0.0</v>
      </c>
      <c r="Q52" s="374">
        <v>1.0</v>
      </c>
      <c r="R52" s="367">
        <v>0.0</v>
      </c>
      <c r="S52" s="367">
        <v>0.0</v>
      </c>
      <c r="T52" s="77"/>
      <c r="U52" s="77"/>
      <c r="V52" s="77"/>
    </row>
    <row r="53" ht="17.25" customHeight="1">
      <c r="A53" s="352"/>
      <c r="B53" s="352"/>
      <c r="C53" s="353">
        <v>52.0</v>
      </c>
      <c r="D53" s="379"/>
      <c r="E53" s="385"/>
      <c r="F53" s="379"/>
      <c r="G53" s="379"/>
      <c r="H53" s="379"/>
      <c r="I53" s="386"/>
      <c r="J53" s="380">
        <v>35.0</v>
      </c>
      <c r="K53" s="357"/>
      <c r="L53" s="357"/>
      <c r="M53" s="357"/>
      <c r="N53" s="356" t="s">
        <v>1136</v>
      </c>
      <c r="O53" s="372"/>
      <c r="P53" s="385">
        <v>1.0</v>
      </c>
      <c r="Q53" s="373">
        <v>0.0</v>
      </c>
      <c r="R53" s="373">
        <v>0.0</v>
      </c>
      <c r="S53" s="373">
        <v>0.0</v>
      </c>
      <c r="T53" s="355"/>
      <c r="U53" s="355"/>
      <c r="V53" s="355"/>
    </row>
    <row r="54" ht="17.25" customHeight="1">
      <c r="A54" s="345"/>
      <c r="B54" s="345"/>
      <c r="C54" s="346">
        <v>53.0</v>
      </c>
      <c r="D54" s="383"/>
      <c r="E54" s="362"/>
      <c r="F54" s="383"/>
      <c r="G54" s="383"/>
      <c r="H54" s="383"/>
      <c r="I54" s="387"/>
      <c r="J54" s="381">
        <v>26.0</v>
      </c>
      <c r="K54" s="349"/>
      <c r="L54" s="349"/>
      <c r="M54" s="349"/>
      <c r="N54" s="348" t="s">
        <v>1136</v>
      </c>
      <c r="O54" s="366"/>
      <c r="P54" s="362">
        <v>1.0</v>
      </c>
      <c r="Q54" s="367">
        <v>0.0</v>
      </c>
      <c r="R54" s="367">
        <v>0.0</v>
      </c>
      <c r="S54" s="367">
        <v>0.0</v>
      </c>
      <c r="T54" s="77"/>
      <c r="U54" s="77"/>
      <c r="V54" s="77"/>
    </row>
    <row r="55" ht="17.25" customHeight="1">
      <c r="A55" s="352"/>
      <c r="B55" s="352"/>
      <c r="C55" s="353">
        <v>54.0</v>
      </c>
      <c r="D55" s="368"/>
      <c r="E55" s="369"/>
      <c r="F55" s="368"/>
      <c r="G55" s="368"/>
      <c r="H55" s="368"/>
      <c r="I55" s="370"/>
      <c r="J55" s="371">
        <v>33.0</v>
      </c>
      <c r="K55" s="357"/>
      <c r="L55" s="357"/>
      <c r="M55" s="357"/>
      <c r="N55" s="356" t="s">
        <v>1136</v>
      </c>
      <c r="O55" s="372"/>
      <c r="P55" s="369">
        <v>1.0</v>
      </c>
      <c r="Q55" s="373">
        <v>0.0</v>
      </c>
      <c r="R55" s="373">
        <v>0.0</v>
      </c>
      <c r="S55" s="373">
        <v>0.0</v>
      </c>
      <c r="T55" s="355"/>
      <c r="U55" s="355"/>
      <c r="V55" s="355"/>
    </row>
    <row r="56" ht="17.25" customHeight="1">
      <c r="A56" s="345"/>
      <c r="B56" s="345"/>
      <c r="C56" s="346">
        <v>55.0</v>
      </c>
      <c r="D56" s="383"/>
      <c r="E56" s="383"/>
      <c r="F56" s="366"/>
      <c r="G56" s="366"/>
      <c r="H56" s="388"/>
      <c r="I56" s="389"/>
      <c r="J56" s="381">
        <v>40.0</v>
      </c>
      <c r="K56" s="349"/>
      <c r="L56" s="349"/>
      <c r="M56" s="349"/>
      <c r="N56" s="348" t="s">
        <v>1136</v>
      </c>
      <c r="O56" s="366"/>
      <c r="P56" s="390">
        <v>2.0</v>
      </c>
      <c r="Q56" s="367">
        <v>0.0</v>
      </c>
      <c r="R56" s="367">
        <v>0.0</v>
      </c>
      <c r="S56" s="367">
        <v>0.0</v>
      </c>
      <c r="T56" s="77"/>
      <c r="U56" s="77"/>
      <c r="V56" s="77"/>
    </row>
    <row r="57" ht="17.25" customHeight="1">
      <c r="A57" s="391"/>
      <c r="B57" s="392"/>
      <c r="C57" s="353">
        <v>56.0</v>
      </c>
      <c r="D57" s="372"/>
      <c r="E57" s="372"/>
      <c r="F57" s="372"/>
      <c r="G57" s="393"/>
      <c r="H57" s="372"/>
      <c r="I57" s="394"/>
      <c r="J57" s="395">
        <v>25.0</v>
      </c>
      <c r="K57" s="357"/>
      <c r="L57" s="357"/>
      <c r="M57" s="357"/>
      <c r="N57" s="356" t="s">
        <v>1136</v>
      </c>
      <c r="O57" s="372"/>
      <c r="P57" s="396">
        <v>1.0</v>
      </c>
      <c r="Q57" s="372">
        <v>0.0</v>
      </c>
      <c r="R57" s="372">
        <v>0.0</v>
      </c>
      <c r="S57" s="372">
        <v>0.0</v>
      </c>
      <c r="T57" s="355"/>
      <c r="U57" s="355"/>
      <c r="V57" s="355"/>
    </row>
    <row r="58" ht="17.25" customHeight="1">
      <c r="A58" s="345"/>
      <c r="B58" s="345"/>
      <c r="C58" s="346">
        <v>57.0</v>
      </c>
      <c r="D58" s="366"/>
      <c r="E58" s="366"/>
      <c r="F58" s="366"/>
      <c r="G58" s="397"/>
      <c r="H58" s="366"/>
      <c r="I58" s="389"/>
      <c r="J58" s="398">
        <v>20.0</v>
      </c>
      <c r="K58" s="349"/>
      <c r="L58" s="349"/>
      <c r="M58" s="349"/>
      <c r="N58" s="348"/>
      <c r="O58" s="366"/>
      <c r="P58" s="390">
        <v>0.0</v>
      </c>
      <c r="Q58" s="366">
        <v>0.0</v>
      </c>
      <c r="R58" s="366">
        <v>1.0</v>
      </c>
      <c r="S58" s="366">
        <v>0.0</v>
      </c>
      <c r="T58" s="77"/>
      <c r="U58" s="77"/>
      <c r="V58" s="77"/>
    </row>
    <row r="59" ht="17.25" customHeight="1">
      <c r="A59" s="352"/>
      <c r="B59" s="352"/>
      <c r="C59" s="353">
        <v>58.0</v>
      </c>
      <c r="D59" s="372"/>
      <c r="E59" s="372"/>
      <c r="F59" s="372"/>
      <c r="G59" s="393"/>
      <c r="H59" s="372"/>
      <c r="I59" s="394"/>
      <c r="J59" s="395">
        <v>60.0</v>
      </c>
      <c r="K59" s="357"/>
      <c r="L59" s="357"/>
      <c r="M59" s="357"/>
      <c r="N59" s="356" t="s">
        <v>1136</v>
      </c>
      <c r="O59" s="372"/>
      <c r="P59" s="396">
        <v>3.0</v>
      </c>
      <c r="Q59" s="372">
        <v>0.0</v>
      </c>
      <c r="R59" s="372">
        <v>0.0</v>
      </c>
      <c r="S59" s="372">
        <v>0.0</v>
      </c>
      <c r="T59" s="355"/>
      <c r="U59" s="355"/>
      <c r="V59" s="355"/>
    </row>
    <row r="60" ht="17.25" customHeight="1">
      <c r="A60" s="345"/>
      <c r="B60" s="345"/>
      <c r="C60" s="346">
        <v>59.0</v>
      </c>
      <c r="D60" s="366"/>
      <c r="E60" s="366"/>
      <c r="F60" s="366"/>
      <c r="G60" s="397"/>
      <c r="H60" s="366"/>
      <c r="I60" s="389"/>
      <c r="J60" s="398">
        <v>0.0</v>
      </c>
      <c r="K60" s="349"/>
      <c r="L60" s="349"/>
      <c r="M60" s="349"/>
      <c r="N60" s="348" t="s">
        <v>1136</v>
      </c>
      <c r="O60" s="399"/>
      <c r="P60" s="390">
        <v>1.0</v>
      </c>
      <c r="Q60" s="366">
        <v>0.0</v>
      </c>
      <c r="R60" s="366">
        <v>0.0</v>
      </c>
      <c r="S60" s="366">
        <v>0.0</v>
      </c>
      <c r="T60" s="77"/>
      <c r="U60" s="77"/>
      <c r="V60" s="77"/>
    </row>
    <row r="61" ht="17.25" customHeight="1">
      <c r="A61" s="352"/>
      <c r="B61" s="352"/>
      <c r="C61" s="353">
        <v>60.0</v>
      </c>
      <c r="D61" s="372"/>
      <c r="E61" s="372"/>
      <c r="F61" s="372"/>
      <c r="G61" s="393"/>
      <c r="H61" s="372"/>
      <c r="I61" s="394"/>
      <c r="J61" s="395">
        <v>40.0</v>
      </c>
      <c r="K61" s="357"/>
      <c r="L61" s="357"/>
      <c r="M61" s="357"/>
      <c r="N61" s="356" t="s">
        <v>1139</v>
      </c>
      <c r="O61" s="372"/>
      <c r="P61" s="373">
        <v>0.0</v>
      </c>
      <c r="Q61" s="372">
        <v>2.0</v>
      </c>
      <c r="R61" s="373">
        <v>0.0</v>
      </c>
      <c r="S61" s="373">
        <v>0.0</v>
      </c>
      <c r="T61" s="355"/>
      <c r="U61" s="355"/>
      <c r="V61" s="355"/>
    </row>
    <row r="62" ht="17.25" customHeight="1">
      <c r="A62" s="345"/>
      <c r="B62" s="345"/>
      <c r="C62" s="346">
        <v>61.0</v>
      </c>
      <c r="D62" s="374"/>
      <c r="E62" s="366"/>
      <c r="F62" s="366"/>
      <c r="G62" s="397"/>
      <c r="H62" s="366"/>
      <c r="I62" s="389"/>
      <c r="J62" s="398">
        <v>40.0</v>
      </c>
      <c r="K62" s="349"/>
      <c r="L62" s="349"/>
      <c r="M62" s="349"/>
      <c r="N62" s="348" t="s">
        <v>1139</v>
      </c>
      <c r="O62" s="366"/>
      <c r="P62" s="390">
        <v>0.0</v>
      </c>
      <c r="Q62" s="366">
        <v>2.0</v>
      </c>
      <c r="R62" s="366">
        <v>0.0</v>
      </c>
      <c r="S62" s="366">
        <v>0.0</v>
      </c>
      <c r="T62" s="77"/>
      <c r="U62" s="77"/>
      <c r="V62" s="77"/>
    </row>
    <row r="63" ht="17.25" customHeight="1">
      <c r="A63" s="352"/>
      <c r="B63" s="352"/>
      <c r="C63" s="353">
        <v>62.0</v>
      </c>
      <c r="D63" s="372"/>
      <c r="E63" s="372"/>
      <c r="F63" s="372"/>
      <c r="G63" s="393"/>
      <c r="H63" s="372"/>
      <c r="I63" s="394"/>
      <c r="J63" s="395">
        <v>20.0</v>
      </c>
      <c r="K63" s="357"/>
      <c r="L63" s="357"/>
      <c r="M63" s="357"/>
      <c r="N63" s="356" t="s">
        <v>1136</v>
      </c>
      <c r="O63" s="372"/>
      <c r="P63" s="396">
        <v>1.0</v>
      </c>
      <c r="Q63" s="372">
        <v>0.0</v>
      </c>
      <c r="R63" s="372">
        <v>0.0</v>
      </c>
      <c r="S63" s="372">
        <v>0.0</v>
      </c>
      <c r="T63" s="355"/>
      <c r="U63" s="355"/>
      <c r="V63" s="355"/>
    </row>
    <row r="64" ht="17.25" customHeight="1">
      <c r="A64" s="345"/>
      <c r="B64" s="345"/>
      <c r="C64" s="346">
        <v>63.0</v>
      </c>
      <c r="D64" s="366"/>
      <c r="E64" s="366"/>
      <c r="F64" s="366"/>
      <c r="G64" s="397"/>
      <c r="H64" s="366"/>
      <c r="I64" s="389"/>
      <c r="J64" s="398">
        <v>20.0</v>
      </c>
      <c r="K64" s="349"/>
      <c r="L64" s="349"/>
      <c r="M64" s="349"/>
      <c r="N64" s="348" t="s">
        <v>1136</v>
      </c>
      <c r="O64" s="399"/>
      <c r="P64" s="390">
        <v>1.0</v>
      </c>
      <c r="Q64" s="366">
        <v>0.0</v>
      </c>
      <c r="R64" s="366">
        <v>0.0</v>
      </c>
      <c r="S64" s="366">
        <v>0.0</v>
      </c>
      <c r="T64" s="77"/>
      <c r="U64" s="77"/>
      <c r="V64" s="77"/>
    </row>
    <row r="65" ht="17.25" customHeight="1">
      <c r="A65" s="352"/>
      <c r="B65" s="352"/>
      <c r="C65" s="353">
        <v>64.0</v>
      </c>
      <c r="D65" s="372"/>
      <c r="E65" s="372"/>
      <c r="F65" s="372"/>
      <c r="G65" s="393"/>
      <c r="H65" s="372"/>
      <c r="I65" s="394"/>
      <c r="J65" s="395">
        <v>23.0</v>
      </c>
      <c r="K65" s="357"/>
      <c r="L65" s="357"/>
      <c r="M65" s="357"/>
      <c r="N65" s="356" t="s">
        <v>1139</v>
      </c>
      <c r="O65" s="372"/>
      <c r="P65" s="373">
        <v>0.0</v>
      </c>
      <c r="Q65" s="372">
        <v>1.0</v>
      </c>
      <c r="R65" s="373">
        <v>0.0</v>
      </c>
      <c r="S65" s="373">
        <v>0.0</v>
      </c>
      <c r="T65" s="355"/>
      <c r="U65" s="355"/>
      <c r="V65" s="355"/>
    </row>
    <row r="66" ht="17.25" customHeight="1">
      <c r="A66" s="345"/>
      <c r="B66" s="345"/>
      <c r="C66" s="346">
        <v>65.0</v>
      </c>
      <c r="D66" s="366"/>
      <c r="E66" s="77"/>
      <c r="F66" s="366"/>
      <c r="G66" s="397"/>
      <c r="H66" s="366"/>
      <c r="I66" s="389"/>
      <c r="J66" s="398">
        <v>25.0</v>
      </c>
      <c r="K66" s="349"/>
      <c r="L66" s="349"/>
      <c r="M66" s="349"/>
      <c r="N66" s="348" t="s">
        <v>1136</v>
      </c>
      <c r="O66" s="397"/>
      <c r="P66" s="390">
        <v>1.0</v>
      </c>
      <c r="Q66" s="366">
        <v>0.0</v>
      </c>
      <c r="R66" s="366">
        <v>0.0</v>
      </c>
      <c r="S66" s="366">
        <v>0.0</v>
      </c>
      <c r="T66" s="77"/>
      <c r="U66" s="77"/>
      <c r="V66" s="77"/>
    </row>
    <row r="67" ht="17.25" customHeight="1">
      <c r="A67" s="352"/>
      <c r="B67" s="352"/>
      <c r="C67" s="353">
        <v>66.0</v>
      </c>
      <c r="D67" s="372"/>
      <c r="E67" s="355"/>
      <c r="F67" s="372"/>
      <c r="G67" s="393"/>
      <c r="H67" s="372"/>
      <c r="I67" s="394"/>
      <c r="J67" s="395">
        <v>22.0</v>
      </c>
      <c r="K67" s="357"/>
      <c r="L67" s="357"/>
      <c r="M67" s="357"/>
      <c r="N67" s="356" t="s">
        <v>1136</v>
      </c>
      <c r="O67" s="372"/>
      <c r="P67" s="396">
        <v>1.0</v>
      </c>
      <c r="Q67" s="372">
        <v>0.0</v>
      </c>
      <c r="R67" s="372">
        <v>0.0</v>
      </c>
      <c r="S67" s="372">
        <v>0.0</v>
      </c>
      <c r="T67" s="355"/>
      <c r="U67" s="355"/>
      <c r="V67" s="355"/>
    </row>
    <row r="68" ht="17.25" customHeight="1">
      <c r="A68" s="345"/>
      <c r="B68" s="345"/>
      <c r="C68" s="346">
        <v>67.0</v>
      </c>
      <c r="D68" s="366"/>
      <c r="E68" s="77"/>
      <c r="F68" s="366"/>
      <c r="G68" s="397"/>
      <c r="H68" s="366"/>
      <c r="I68" s="389"/>
      <c r="J68" s="398">
        <v>59.0</v>
      </c>
      <c r="K68" s="349"/>
      <c r="L68" s="349"/>
      <c r="M68" s="349"/>
      <c r="N68" s="348" t="s">
        <v>1136</v>
      </c>
      <c r="O68" s="366"/>
      <c r="P68" s="390">
        <v>3.0</v>
      </c>
      <c r="Q68" s="366">
        <v>0.0</v>
      </c>
      <c r="R68" s="366">
        <v>0.0</v>
      </c>
      <c r="S68" s="366">
        <v>0.0</v>
      </c>
      <c r="T68" s="77"/>
      <c r="U68" s="77"/>
      <c r="V68" s="77"/>
    </row>
    <row r="69" ht="17.25" customHeight="1">
      <c r="A69" s="352"/>
      <c r="B69" s="352"/>
      <c r="C69" s="353">
        <v>68.0</v>
      </c>
      <c r="D69" s="372"/>
      <c r="E69" s="355"/>
      <c r="F69" s="372"/>
      <c r="G69" s="393"/>
      <c r="H69" s="372"/>
      <c r="I69" s="394"/>
      <c r="J69" s="395">
        <v>30.0</v>
      </c>
      <c r="K69" s="357"/>
      <c r="L69" s="357"/>
      <c r="M69" s="357"/>
      <c r="N69" s="356"/>
      <c r="O69" s="372"/>
      <c r="P69" s="396">
        <v>0.0</v>
      </c>
      <c r="Q69" s="372">
        <v>0.0</v>
      </c>
      <c r="R69" s="372">
        <v>0.0</v>
      </c>
      <c r="S69" s="372">
        <v>0.0</v>
      </c>
      <c r="T69" s="355"/>
      <c r="U69" s="355"/>
      <c r="V69" s="355"/>
    </row>
    <row r="70" ht="17.25" customHeight="1">
      <c r="A70" s="345"/>
      <c r="B70" s="345"/>
      <c r="C70" s="346">
        <v>69.0</v>
      </c>
      <c r="D70" s="366"/>
      <c r="E70" s="77"/>
      <c r="F70" s="366"/>
      <c r="G70" s="397"/>
      <c r="H70" s="366"/>
      <c r="I70" s="389"/>
      <c r="J70" s="398">
        <v>20.0</v>
      </c>
      <c r="K70" s="349"/>
      <c r="L70" s="349"/>
      <c r="M70" s="349"/>
      <c r="N70" s="348" t="s">
        <v>1136</v>
      </c>
      <c r="O70" s="366"/>
      <c r="P70" s="390">
        <v>1.0</v>
      </c>
      <c r="Q70" s="366">
        <v>0.0</v>
      </c>
      <c r="R70" s="366">
        <v>0.0</v>
      </c>
      <c r="S70" s="366">
        <v>0.0</v>
      </c>
      <c r="T70" s="77"/>
      <c r="U70" s="77"/>
      <c r="V70" s="77"/>
    </row>
    <row r="71" ht="17.25" customHeight="1">
      <c r="A71" s="352"/>
      <c r="B71" s="352"/>
      <c r="C71" s="353">
        <v>70.0</v>
      </c>
      <c r="D71" s="379"/>
      <c r="E71" s="355"/>
      <c r="F71" s="379"/>
      <c r="G71" s="368"/>
      <c r="H71" s="400"/>
      <c r="I71" s="370"/>
      <c r="J71" s="395">
        <v>43.0</v>
      </c>
      <c r="K71" s="357"/>
      <c r="L71" s="357"/>
      <c r="M71" s="357"/>
      <c r="N71" s="356" t="s">
        <v>1139</v>
      </c>
      <c r="O71" s="372"/>
      <c r="P71" s="396">
        <v>0.0</v>
      </c>
      <c r="Q71" s="372">
        <v>2.0</v>
      </c>
      <c r="R71" s="372">
        <v>0.0</v>
      </c>
      <c r="S71" s="372">
        <v>0.0</v>
      </c>
      <c r="T71" s="355"/>
      <c r="U71" s="355"/>
      <c r="V71" s="355"/>
    </row>
    <row r="72" ht="17.25" customHeight="1">
      <c r="A72" s="345"/>
      <c r="B72" s="345"/>
      <c r="C72" s="346">
        <v>71.0</v>
      </c>
      <c r="D72" s="366"/>
      <c r="E72" s="77"/>
      <c r="F72" s="366"/>
      <c r="G72" s="397"/>
      <c r="H72" s="366"/>
      <c r="I72" s="389"/>
      <c r="J72" s="398">
        <v>70.0</v>
      </c>
      <c r="K72" s="349"/>
      <c r="L72" s="349"/>
      <c r="M72" s="349"/>
      <c r="N72" s="348" t="s">
        <v>1136</v>
      </c>
      <c r="O72" s="399"/>
      <c r="P72" s="390">
        <v>3.0</v>
      </c>
      <c r="Q72" s="367">
        <v>0.0</v>
      </c>
      <c r="R72" s="367">
        <v>0.0</v>
      </c>
      <c r="S72" s="367">
        <v>0.0</v>
      </c>
      <c r="T72" s="77"/>
      <c r="U72" s="77"/>
      <c r="V72" s="77"/>
    </row>
    <row r="73" ht="17.25" customHeight="1">
      <c r="A73" s="352"/>
      <c r="B73" s="352"/>
      <c r="C73" s="353">
        <v>72.0</v>
      </c>
      <c r="D73" s="372"/>
      <c r="E73" s="355"/>
      <c r="F73" s="372"/>
      <c r="G73" s="393"/>
      <c r="H73" s="372"/>
      <c r="I73" s="394"/>
      <c r="J73" s="395">
        <v>20.0</v>
      </c>
      <c r="K73" s="357"/>
      <c r="L73" s="357"/>
      <c r="M73" s="357"/>
      <c r="N73" s="356" t="s">
        <v>1136</v>
      </c>
      <c r="O73" s="372"/>
      <c r="P73" s="396">
        <v>1.0</v>
      </c>
      <c r="Q73" s="372">
        <v>0.0</v>
      </c>
      <c r="R73" s="372">
        <v>0.0</v>
      </c>
      <c r="S73" s="372">
        <v>0.0</v>
      </c>
      <c r="T73" s="355"/>
      <c r="U73" s="355"/>
      <c r="V73" s="355"/>
    </row>
    <row r="74" ht="17.25" customHeight="1">
      <c r="A74" s="345"/>
      <c r="B74" s="345"/>
      <c r="C74" s="346">
        <v>73.0</v>
      </c>
      <c r="D74" s="366"/>
      <c r="E74" s="77"/>
      <c r="F74" s="366"/>
      <c r="G74" s="397"/>
      <c r="H74" s="366"/>
      <c r="I74" s="389"/>
      <c r="J74" s="398">
        <v>25.0</v>
      </c>
      <c r="K74" s="349"/>
      <c r="L74" s="349"/>
      <c r="M74" s="349"/>
      <c r="N74" s="348" t="s">
        <v>1277</v>
      </c>
      <c r="O74" s="366"/>
      <c r="P74" s="390">
        <v>1.0</v>
      </c>
      <c r="Q74" s="366">
        <v>0.0</v>
      </c>
      <c r="R74" s="366">
        <v>0.0</v>
      </c>
      <c r="S74" s="366">
        <v>0.0</v>
      </c>
      <c r="T74" s="77"/>
      <c r="U74" s="77"/>
      <c r="V74" s="77"/>
    </row>
    <row r="75" ht="17.25" customHeight="1">
      <c r="A75" s="352"/>
      <c r="B75" s="352"/>
      <c r="C75" s="353">
        <v>74.0</v>
      </c>
      <c r="D75" s="396"/>
      <c r="E75" s="355"/>
      <c r="F75" s="396"/>
      <c r="G75" s="401"/>
      <c r="H75" s="396"/>
      <c r="I75" s="402"/>
      <c r="J75" s="402">
        <v>100.0</v>
      </c>
      <c r="K75" s="357">
        <v>0.0</v>
      </c>
      <c r="L75" s="357">
        <v>0.0</v>
      </c>
      <c r="M75" s="357">
        <v>0.0</v>
      </c>
      <c r="N75" s="356" t="s">
        <v>1136</v>
      </c>
      <c r="O75" s="372"/>
      <c r="P75" s="396"/>
      <c r="Q75" s="372"/>
      <c r="R75" s="372"/>
      <c r="S75" s="372"/>
      <c r="T75" s="355"/>
      <c r="U75" s="355"/>
      <c r="V75" s="355"/>
    </row>
    <row r="76" ht="17.25" customHeight="1">
      <c r="A76" s="403"/>
      <c r="B76" s="404"/>
      <c r="C76" s="346">
        <v>75.0</v>
      </c>
      <c r="D76" s="405"/>
      <c r="E76" s="405"/>
      <c r="F76" s="405"/>
      <c r="G76" s="405"/>
      <c r="H76" s="405"/>
      <c r="I76" s="406"/>
      <c r="J76" s="406">
        <v>41.0</v>
      </c>
      <c r="K76" s="349">
        <v>0.0</v>
      </c>
      <c r="L76" s="349">
        <v>0.0</v>
      </c>
      <c r="M76" s="349">
        <v>0.0</v>
      </c>
      <c r="N76" s="45" t="s">
        <v>1161</v>
      </c>
      <c r="O76" s="405"/>
      <c r="P76" s="390"/>
      <c r="Q76" s="366"/>
      <c r="R76" s="366"/>
      <c r="S76" s="366"/>
      <c r="T76" s="77"/>
      <c r="U76" s="77"/>
      <c r="V76" s="77"/>
    </row>
    <row r="77" ht="17.25" customHeight="1">
      <c r="A77" s="391"/>
      <c r="B77" s="392"/>
      <c r="C77" s="353">
        <v>76.0</v>
      </c>
      <c r="D77" s="407"/>
      <c r="E77" s="407"/>
      <c r="F77" s="407"/>
      <c r="G77" s="407"/>
      <c r="H77" s="407"/>
      <c r="I77" s="408"/>
      <c r="J77" s="408">
        <v>20.0</v>
      </c>
      <c r="K77" s="357">
        <v>0.0</v>
      </c>
      <c r="L77" s="357">
        <v>0.0</v>
      </c>
      <c r="M77" s="357">
        <v>0.0</v>
      </c>
      <c r="N77" s="409" t="s">
        <v>1136</v>
      </c>
      <c r="O77" s="407"/>
      <c r="P77" s="396"/>
      <c r="Q77" s="372"/>
      <c r="R77" s="372"/>
      <c r="S77" s="372"/>
      <c r="T77" s="355"/>
      <c r="U77" s="355"/>
      <c r="V77" s="355"/>
    </row>
    <row r="78" ht="17.25" customHeight="1">
      <c r="A78" s="403"/>
      <c r="B78" s="404"/>
      <c r="C78" s="346">
        <v>77.0</v>
      </c>
      <c r="D78" s="405"/>
      <c r="E78" s="405"/>
      <c r="F78" s="405"/>
      <c r="G78" s="405"/>
      <c r="H78" s="405"/>
      <c r="I78" s="406"/>
      <c r="J78" s="406">
        <v>82.0</v>
      </c>
      <c r="K78" s="349">
        <v>0.0</v>
      </c>
      <c r="L78" s="349">
        <v>0.0</v>
      </c>
      <c r="M78" s="349">
        <v>0.0</v>
      </c>
      <c r="N78" s="45" t="s">
        <v>1139</v>
      </c>
      <c r="O78" s="405"/>
      <c r="P78" s="390"/>
      <c r="Q78" s="366"/>
      <c r="R78" s="366"/>
      <c r="S78" s="366"/>
      <c r="T78" s="77"/>
      <c r="U78" s="77"/>
      <c r="V78" s="77"/>
    </row>
    <row r="79" ht="17.25" customHeight="1">
      <c r="A79" s="391"/>
      <c r="B79" s="392"/>
      <c r="C79" s="353">
        <v>78.0</v>
      </c>
      <c r="D79" s="407"/>
      <c r="E79" s="407"/>
      <c r="F79" s="407"/>
      <c r="G79" s="407"/>
      <c r="H79" s="407"/>
      <c r="I79" s="408"/>
      <c r="J79" s="408">
        <v>31.0</v>
      </c>
      <c r="K79" s="357">
        <v>0.0</v>
      </c>
      <c r="L79" s="357">
        <v>0.0</v>
      </c>
      <c r="M79" s="357">
        <v>0.0</v>
      </c>
      <c r="N79" s="409" t="s">
        <v>1139</v>
      </c>
      <c r="O79" s="407"/>
      <c r="P79" s="396"/>
      <c r="Q79" s="372"/>
      <c r="R79" s="372"/>
      <c r="S79" s="372"/>
      <c r="T79" s="355"/>
      <c r="U79" s="355"/>
      <c r="V79" s="355"/>
    </row>
    <row r="80" ht="17.25" customHeight="1">
      <c r="A80" s="403"/>
      <c r="B80" s="404"/>
      <c r="C80" s="346">
        <v>79.0</v>
      </c>
      <c r="D80" s="405"/>
      <c r="E80" s="405"/>
      <c r="F80" s="405"/>
      <c r="G80" s="405"/>
      <c r="H80" s="405"/>
      <c r="I80" s="406"/>
      <c r="J80" s="406">
        <v>35.0</v>
      </c>
      <c r="K80" s="349">
        <v>0.0</v>
      </c>
      <c r="L80" s="349">
        <v>0.0</v>
      </c>
      <c r="M80" s="349">
        <v>0.0</v>
      </c>
      <c r="N80" s="45" t="s">
        <v>1136</v>
      </c>
      <c r="O80" s="405"/>
      <c r="P80" s="390"/>
      <c r="Q80" s="366"/>
      <c r="R80" s="366"/>
      <c r="S80" s="366"/>
      <c r="T80" s="77"/>
      <c r="U80" s="77"/>
      <c r="V80" s="77"/>
    </row>
    <row r="81" ht="17.25" customHeight="1">
      <c r="A81" s="391"/>
      <c r="B81" s="392"/>
      <c r="C81" s="353">
        <v>80.0</v>
      </c>
      <c r="D81" s="407"/>
      <c r="E81" s="407"/>
      <c r="F81" s="407"/>
      <c r="G81" s="407"/>
      <c r="H81" s="407"/>
      <c r="I81" s="408"/>
      <c r="J81" s="408">
        <v>60.0</v>
      </c>
      <c r="K81" s="357">
        <v>0.0</v>
      </c>
      <c r="L81" s="357">
        <v>0.0</v>
      </c>
      <c r="M81" s="357">
        <v>0.0</v>
      </c>
      <c r="N81" s="356" t="s">
        <v>1139</v>
      </c>
      <c r="O81" s="407"/>
      <c r="P81" s="396"/>
      <c r="Q81" s="372"/>
      <c r="R81" s="372"/>
      <c r="S81" s="372"/>
      <c r="T81" s="355"/>
      <c r="U81" s="355"/>
      <c r="V81" s="355"/>
    </row>
    <row r="82" ht="17.25" customHeight="1">
      <c r="A82" s="403"/>
      <c r="B82" s="404"/>
      <c r="C82" s="346">
        <v>81.0</v>
      </c>
      <c r="D82" s="405"/>
      <c r="E82" s="405"/>
      <c r="F82" s="405"/>
      <c r="G82" s="405"/>
      <c r="H82" s="405"/>
      <c r="I82" s="406"/>
      <c r="J82" s="406">
        <v>22.0</v>
      </c>
      <c r="K82" s="349">
        <v>0.0</v>
      </c>
      <c r="L82" s="349">
        <v>0.0</v>
      </c>
      <c r="M82" s="349">
        <v>0.0</v>
      </c>
      <c r="N82" s="348" t="s">
        <v>1136</v>
      </c>
      <c r="O82" s="405"/>
      <c r="P82" s="390"/>
      <c r="Q82" s="366"/>
      <c r="R82" s="366"/>
      <c r="S82" s="366"/>
      <c r="T82" s="77"/>
      <c r="U82" s="77"/>
      <c r="V82" s="77"/>
    </row>
    <row r="83" ht="17.25" customHeight="1">
      <c r="A83" s="391"/>
      <c r="B83" s="392"/>
      <c r="C83" s="353">
        <v>82.0</v>
      </c>
      <c r="D83" s="407"/>
      <c r="E83" s="407"/>
      <c r="F83" s="407"/>
      <c r="G83" s="407"/>
      <c r="H83" s="407"/>
      <c r="I83" s="408"/>
      <c r="J83" s="408">
        <v>20.0</v>
      </c>
      <c r="K83" s="357">
        <v>0.0</v>
      </c>
      <c r="L83" s="357">
        <v>0.0</v>
      </c>
      <c r="M83" s="357">
        <v>0.0</v>
      </c>
      <c r="N83" s="356" t="s">
        <v>1136</v>
      </c>
      <c r="O83" s="407"/>
      <c r="P83" s="396"/>
      <c r="Q83" s="372"/>
      <c r="R83" s="372"/>
      <c r="S83" s="372"/>
      <c r="T83" s="355"/>
      <c r="U83" s="355"/>
      <c r="V83" s="355"/>
    </row>
    <row r="84" ht="17.25" customHeight="1">
      <c r="A84" s="403"/>
      <c r="B84" s="404"/>
      <c r="C84" s="346">
        <v>83.0</v>
      </c>
      <c r="D84" s="405"/>
      <c r="E84" s="405"/>
      <c r="F84" s="405"/>
      <c r="G84" s="405"/>
      <c r="H84" s="405"/>
      <c r="I84" s="406"/>
      <c r="J84" s="406">
        <v>40.0</v>
      </c>
      <c r="K84" s="349">
        <v>0.0</v>
      </c>
      <c r="L84" s="349">
        <v>0.0</v>
      </c>
      <c r="M84" s="349">
        <v>0.0</v>
      </c>
      <c r="N84" s="348"/>
      <c r="O84" s="405"/>
      <c r="P84" s="390"/>
      <c r="Q84" s="366"/>
      <c r="R84" s="366"/>
      <c r="S84" s="366"/>
      <c r="T84" s="77"/>
      <c r="U84" s="77"/>
      <c r="V84" s="77"/>
    </row>
    <row r="85" ht="17.25" customHeight="1">
      <c r="A85" s="391"/>
      <c r="B85" s="392"/>
      <c r="C85" s="353">
        <v>84.0</v>
      </c>
      <c r="D85" s="407"/>
      <c r="E85" s="407"/>
      <c r="F85" s="407"/>
      <c r="G85" s="407"/>
      <c r="H85" s="407"/>
      <c r="I85" s="408"/>
      <c r="J85" s="408">
        <v>20.0</v>
      </c>
      <c r="K85" s="357">
        <v>0.0</v>
      </c>
      <c r="L85" s="357">
        <v>0.0</v>
      </c>
      <c r="M85" s="357">
        <v>0.0</v>
      </c>
      <c r="N85" s="356" t="s">
        <v>1136</v>
      </c>
      <c r="O85" s="407"/>
      <c r="P85" s="396"/>
      <c r="Q85" s="372"/>
      <c r="R85" s="372"/>
      <c r="S85" s="372"/>
      <c r="T85" s="355"/>
      <c r="U85" s="355"/>
      <c r="V85" s="355"/>
    </row>
    <row r="86" ht="17.25" customHeight="1">
      <c r="A86" s="403"/>
      <c r="B86" s="404"/>
      <c r="C86" s="346">
        <v>85.0</v>
      </c>
      <c r="D86" s="405"/>
      <c r="E86" s="405"/>
      <c r="F86" s="405"/>
      <c r="G86" s="405"/>
      <c r="H86" s="405"/>
      <c r="I86" s="406"/>
      <c r="J86" s="406">
        <v>112.0</v>
      </c>
      <c r="K86" s="349">
        <v>0.0</v>
      </c>
      <c r="L86" s="349">
        <v>0.0</v>
      </c>
      <c r="M86" s="349">
        <v>0.0</v>
      </c>
      <c r="N86" s="348" t="s">
        <v>1274</v>
      </c>
      <c r="O86" s="405"/>
      <c r="P86" s="390"/>
      <c r="Q86" s="366"/>
      <c r="R86" s="366"/>
      <c r="S86" s="366"/>
      <c r="T86" s="77"/>
      <c r="U86" s="77"/>
      <c r="V86" s="77"/>
    </row>
    <row r="87" ht="17.25" customHeight="1">
      <c r="A87" s="391"/>
      <c r="B87" s="392"/>
      <c r="C87" s="353">
        <v>86.0</v>
      </c>
      <c r="D87" s="407"/>
      <c r="E87" s="407"/>
      <c r="F87" s="407"/>
      <c r="G87" s="407"/>
      <c r="H87" s="407"/>
      <c r="I87" s="408"/>
      <c r="J87" s="408">
        <v>10.0</v>
      </c>
      <c r="K87" s="357">
        <v>0.0</v>
      </c>
      <c r="L87" s="357">
        <v>0.0</v>
      </c>
      <c r="M87" s="357">
        <v>0.0</v>
      </c>
      <c r="N87" s="356" t="s">
        <v>1136</v>
      </c>
      <c r="O87" s="407"/>
      <c r="P87" s="396"/>
      <c r="Q87" s="372"/>
      <c r="R87" s="372"/>
      <c r="S87" s="372"/>
      <c r="T87" s="355"/>
      <c r="U87" s="355"/>
      <c r="V87" s="355"/>
    </row>
    <row r="88" ht="17.25" customHeight="1">
      <c r="A88" s="403"/>
      <c r="B88" s="404"/>
      <c r="C88" s="346">
        <v>87.0</v>
      </c>
      <c r="D88" s="405"/>
      <c r="E88" s="405"/>
      <c r="F88" s="405"/>
      <c r="G88" s="405"/>
      <c r="H88" s="405"/>
      <c r="I88" s="406"/>
      <c r="J88" s="406">
        <v>30.0</v>
      </c>
      <c r="K88" s="349">
        <v>0.0</v>
      </c>
      <c r="L88" s="349">
        <v>0.0</v>
      </c>
      <c r="M88" s="349">
        <v>0.0</v>
      </c>
      <c r="N88" s="348" t="s">
        <v>1136</v>
      </c>
      <c r="O88" s="405"/>
      <c r="P88" s="390"/>
      <c r="Q88" s="366"/>
      <c r="R88" s="366"/>
      <c r="S88" s="366"/>
      <c r="T88" s="77"/>
      <c r="U88" s="77"/>
      <c r="V88" s="77"/>
    </row>
    <row r="89" ht="17.25" customHeight="1">
      <c r="A89" s="391"/>
      <c r="B89" s="392"/>
      <c r="C89" s="353">
        <v>88.0</v>
      </c>
      <c r="D89" s="407"/>
      <c r="E89" s="407"/>
      <c r="F89" s="407"/>
      <c r="G89" s="407"/>
      <c r="H89" s="407"/>
      <c r="I89" s="408"/>
      <c r="J89" s="408"/>
      <c r="K89" s="357">
        <v>0.0</v>
      </c>
      <c r="L89" s="357">
        <v>0.0</v>
      </c>
      <c r="M89" s="357">
        <v>0.0</v>
      </c>
      <c r="N89" s="356" t="s">
        <v>1139</v>
      </c>
      <c r="O89" s="407"/>
      <c r="P89" s="396"/>
      <c r="Q89" s="372"/>
      <c r="R89" s="372"/>
      <c r="S89" s="372"/>
      <c r="T89" s="355"/>
      <c r="U89" s="355"/>
      <c r="V89" s="355"/>
    </row>
    <row r="90" ht="17.25" customHeight="1">
      <c r="A90" s="403"/>
      <c r="B90" s="404"/>
      <c r="C90" s="346">
        <v>89.0</v>
      </c>
      <c r="D90" s="405"/>
      <c r="E90" s="405"/>
      <c r="F90" s="405"/>
      <c r="G90" s="405"/>
      <c r="H90" s="405"/>
      <c r="I90" s="406"/>
      <c r="J90" s="406">
        <v>30.0</v>
      </c>
      <c r="K90" s="349">
        <v>0.0</v>
      </c>
      <c r="L90" s="349">
        <v>0.0</v>
      </c>
      <c r="M90" s="349">
        <v>0.0</v>
      </c>
      <c r="N90" s="348" t="s">
        <v>1161</v>
      </c>
      <c r="O90" s="405"/>
      <c r="P90" s="390"/>
      <c r="Q90" s="366"/>
      <c r="R90" s="366"/>
      <c r="S90" s="366"/>
      <c r="T90" s="77"/>
      <c r="U90" s="77"/>
      <c r="V90" s="77"/>
    </row>
    <row r="91" ht="17.25" customHeight="1">
      <c r="A91" s="410"/>
      <c r="B91" s="411"/>
      <c r="C91" s="353">
        <v>90.0</v>
      </c>
      <c r="D91" s="412"/>
      <c r="E91" s="412"/>
      <c r="F91" s="412"/>
      <c r="G91" s="412"/>
      <c r="H91" s="412"/>
      <c r="I91" s="413"/>
      <c r="J91" s="413" t="s">
        <v>1278</v>
      </c>
      <c r="K91" s="357">
        <v>0.0</v>
      </c>
      <c r="L91" s="357">
        <v>0.0</v>
      </c>
      <c r="M91" s="357">
        <v>0.0</v>
      </c>
      <c r="N91" s="356" t="s">
        <v>1136</v>
      </c>
      <c r="O91" s="412"/>
      <c r="P91" s="396"/>
      <c r="Q91" s="372"/>
      <c r="R91" s="372"/>
      <c r="S91" s="372"/>
      <c r="T91" s="355"/>
      <c r="U91" s="355"/>
      <c r="V91" s="355"/>
    </row>
    <row r="92" ht="17.25" customHeight="1">
      <c r="A92" s="414"/>
      <c r="B92" s="415"/>
      <c r="C92" s="346">
        <v>91.0</v>
      </c>
      <c r="D92" s="416"/>
      <c r="E92" s="416"/>
      <c r="F92" s="416"/>
      <c r="G92" s="416"/>
      <c r="H92" s="416"/>
      <c r="I92" s="417"/>
      <c r="J92" s="417">
        <v>100.0</v>
      </c>
      <c r="K92" s="349">
        <v>0.0</v>
      </c>
      <c r="L92" s="349">
        <v>25.0</v>
      </c>
      <c r="M92" s="349">
        <v>100.0</v>
      </c>
      <c r="N92" s="348" t="s">
        <v>1136</v>
      </c>
      <c r="O92" s="416"/>
      <c r="P92" s="390"/>
      <c r="Q92" s="366"/>
      <c r="R92" s="366"/>
      <c r="S92" s="366"/>
      <c r="T92" s="77"/>
      <c r="U92" s="77"/>
      <c r="V92" s="77"/>
    </row>
    <row r="93" ht="17.25" customHeight="1">
      <c r="A93" s="410"/>
      <c r="B93" s="411"/>
      <c r="C93" s="353">
        <v>92.0</v>
      </c>
      <c r="D93" s="412"/>
      <c r="E93" s="412"/>
      <c r="F93" s="412"/>
      <c r="G93" s="412"/>
      <c r="H93" s="412"/>
      <c r="I93" s="413"/>
      <c r="J93" s="413">
        <v>25.0</v>
      </c>
      <c r="K93" s="357">
        <v>0.0</v>
      </c>
      <c r="L93" s="357">
        <v>0.0</v>
      </c>
      <c r="M93" s="357">
        <v>0.0</v>
      </c>
      <c r="N93" s="356" t="s">
        <v>1136</v>
      </c>
      <c r="O93" s="412"/>
      <c r="P93" s="396"/>
      <c r="Q93" s="372"/>
      <c r="R93" s="372"/>
      <c r="S93" s="372"/>
      <c r="T93" s="355"/>
      <c r="U93" s="355"/>
      <c r="V93" s="355"/>
    </row>
    <row r="94" ht="17.25" customHeight="1">
      <c r="A94" s="418"/>
      <c r="B94" s="419"/>
      <c r="C94" s="346">
        <v>93.0</v>
      </c>
      <c r="D94" s="416"/>
      <c r="E94" s="416"/>
      <c r="F94" s="416"/>
      <c r="G94" s="416"/>
      <c r="H94" s="416"/>
      <c r="I94" s="417"/>
      <c r="J94" s="417">
        <v>25.0</v>
      </c>
      <c r="K94" s="349">
        <v>0.0</v>
      </c>
      <c r="L94" s="349">
        <v>0.0</v>
      </c>
      <c r="M94" s="349">
        <v>0.0</v>
      </c>
      <c r="N94" s="348" t="s">
        <v>1279</v>
      </c>
      <c r="O94" s="416"/>
      <c r="P94" s="390"/>
      <c r="Q94" s="366"/>
      <c r="R94" s="366"/>
      <c r="S94" s="366"/>
      <c r="T94" s="77"/>
      <c r="U94" s="77"/>
      <c r="V94" s="77"/>
    </row>
    <row r="95" ht="17.25" customHeight="1">
      <c r="A95" s="420"/>
      <c r="B95" s="421"/>
      <c r="C95" s="353">
        <v>94.0</v>
      </c>
      <c r="D95" s="412"/>
      <c r="E95" s="412"/>
      <c r="F95" s="412"/>
      <c r="G95" s="412"/>
      <c r="H95" s="412"/>
      <c r="I95" s="413"/>
      <c r="J95" s="413">
        <v>50.0</v>
      </c>
      <c r="K95" s="357">
        <v>0.0</v>
      </c>
      <c r="L95" s="357">
        <v>0.0</v>
      </c>
      <c r="M95" s="357">
        <v>0.0</v>
      </c>
      <c r="N95" s="356" t="s">
        <v>1280</v>
      </c>
      <c r="O95" s="412"/>
      <c r="P95" s="396"/>
      <c r="Q95" s="372"/>
      <c r="R95" s="372"/>
      <c r="S95" s="372"/>
      <c r="T95" s="355"/>
      <c r="U95" s="355"/>
      <c r="V95" s="355"/>
    </row>
    <row r="96" ht="17.25" customHeight="1">
      <c r="A96" s="418"/>
      <c r="B96" s="419"/>
      <c r="C96" s="346">
        <v>95.0</v>
      </c>
      <c r="D96" s="416"/>
      <c r="E96" s="416"/>
      <c r="F96" s="416"/>
      <c r="G96" s="416"/>
      <c r="H96" s="416"/>
      <c r="I96" s="417"/>
      <c r="J96" s="417">
        <v>100.0</v>
      </c>
      <c r="K96" s="349">
        <v>0.0</v>
      </c>
      <c r="L96" s="349">
        <v>0.0</v>
      </c>
      <c r="M96" s="349">
        <v>0.0</v>
      </c>
      <c r="N96" s="348" t="s">
        <v>1136</v>
      </c>
      <c r="O96" s="416"/>
      <c r="P96" s="390"/>
      <c r="Q96" s="366"/>
      <c r="R96" s="366"/>
      <c r="S96" s="366"/>
      <c r="T96" s="77"/>
      <c r="U96" s="77"/>
      <c r="V96" s="77"/>
    </row>
    <row r="97" ht="17.25" customHeight="1">
      <c r="A97" s="420"/>
      <c r="B97" s="421"/>
      <c r="C97" s="353">
        <v>96.0</v>
      </c>
      <c r="D97" s="412"/>
      <c r="E97" s="412"/>
      <c r="F97" s="412"/>
      <c r="G97" s="412"/>
      <c r="H97" s="412"/>
      <c r="I97" s="413"/>
      <c r="J97" s="413">
        <v>25.0</v>
      </c>
      <c r="K97" s="357">
        <v>0.0</v>
      </c>
      <c r="L97" s="357">
        <v>0.0</v>
      </c>
      <c r="M97" s="357">
        <v>25.0</v>
      </c>
      <c r="N97" s="356" t="s">
        <v>1136</v>
      </c>
      <c r="O97" s="412"/>
      <c r="P97" s="396"/>
      <c r="Q97" s="372"/>
      <c r="R97" s="372"/>
      <c r="S97" s="372"/>
      <c r="T97" s="355"/>
      <c r="U97" s="355"/>
      <c r="V97" s="355"/>
    </row>
    <row r="98" ht="17.25" customHeight="1">
      <c r="A98" s="418"/>
      <c r="B98" s="419"/>
      <c r="C98" s="346">
        <v>97.0</v>
      </c>
      <c r="D98" s="416"/>
      <c r="E98" s="416"/>
      <c r="F98" s="416"/>
      <c r="G98" s="416"/>
      <c r="H98" s="416"/>
      <c r="I98" s="417"/>
      <c r="J98" s="417">
        <v>50.0</v>
      </c>
      <c r="K98" s="349">
        <v>0.0</v>
      </c>
      <c r="L98" s="349">
        <v>0.0</v>
      </c>
      <c r="M98" s="349">
        <v>0.0</v>
      </c>
      <c r="N98" s="348" t="s">
        <v>1136</v>
      </c>
      <c r="O98" s="416"/>
      <c r="P98" s="390"/>
      <c r="Q98" s="366"/>
      <c r="R98" s="366"/>
      <c r="S98" s="366"/>
      <c r="T98" s="77"/>
      <c r="U98" s="77"/>
      <c r="V98" s="77"/>
    </row>
    <row r="99" ht="17.25" customHeight="1">
      <c r="A99" s="420"/>
      <c r="B99" s="421"/>
      <c r="C99" s="353">
        <v>98.0</v>
      </c>
      <c r="D99" s="412"/>
      <c r="E99" s="412"/>
      <c r="F99" s="412"/>
      <c r="G99" s="412"/>
      <c r="H99" s="412"/>
      <c r="I99" s="413"/>
      <c r="J99" s="413" t="s">
        <v>1278</v>
      </c>
      <c r="K99" s="357">
        <v>0.0</v>
      </c>
      <c r="L99" s="357">
        <v>0.0</v>
      </c>
      <c r="M99" s="357">
        <v>0.0</v>
      </c>
      <c r="N99" s="356" t="s">
        <v>1136</v>
      </c>
      <c r="O99" s="412"/>
      <c r="P99" s="396"/>
      <c r="Q99" s="372"/>
      <c r="R99" s="372"/>
      <c r="S99" s="372"/>
      <c r="T99" s="355"/>
      <c r="U99" s="355"/>
      <c r="V99" s="355"/>
    </row>
    <row r="100" ht="17.25" customHeight="1">
      <c r="A100" s="418"/>
      <c r="B100" s="419"/>
      <c r="C100" s="346">
        <v>99.0</v>
      </c>
      <c r="D100" s="416"/>
      <c r="E100" s="416"/>
      <c r="F100" s="416"/>
      <c r="G100" s="416"/>
      <c r="H100" s="416"/>
      <c r="I100" s="417"/>
      <c r="J100" s="417">
        <v>25.0</v>
      </c>
      <c r="K100" s="349">
        <v>0.0</v>
      </c>
      <c r="L100" s="349">
        <v>0.0</v>
      </c>
      <c r="M100" s="349">
        <v>0.0</v>
      </c>
      <c r="N100" s="348" t="s">
        <v>1279</v>
      </c>
      <c r="O100" s="416"/>
      <c r="P100" s="390"/>
      <c r="Q100" s="366"/>
      <c r="R100" s="366"/>
      <c r="S100" s="366"/>
      <c r="T100" s="77"/>
      <c r="U100" s="77"/>
      <c r="V100" s="77"/>
    </row>
    <row r="101" ht="17.25" customHeight="1">
      <c r="A101" s="420"/>
      <c r="B101" s="421"/>
      <c r="C101" s="353">
        <v>100.0</v>
      </c>
      <c r="D101" s="412"/>
      <c r="E101" s="412"/>
      <c r="F101" s="412"/>
      <c r="G101" s="412"/>
      <c r="H101" s="412"/>
      <c r="I101" s="413"/>
      <c r="J101" s="413" t="s">
        <v>1278</v>
      </c>
      <c r="K101" s="357">
        <v>0.0</v>
      </c>
      <c r="L101" s="357">
        <v>0.0</v>
      </c>
      <c r="M101" s="357">
        <v>0.0</v>
      </c>
      <c r="N101" s="356" t="s">
        <v>1281</v>
      </c>
      <c r="O101" s="412"/>
      <c r="P101" s="396"/>
      <c r="Q101" s="372"/>
      <c r="R101" s="372"/>
      <c r="S101" s="372"/>
      <c r="T101" s="355"/>
      <c r="U101" s="355"/>
      <c r="V101" s="355"/>
    </row>
    <row r="102" ht="17.25" customHeight="1">
      <c r="A102" s="418"/>
      <c r="B102" s="419"/>
      <c r="C102" s="346">
        <v>101.0</v>
      </c>
      <c r="D102" s="416"/>
      <c r="E102" s="416"/>
      <c r="F102" s="416"/>
      <c r="G102" s="416"/>
      <c r="H102" s="416"/>
      <c r="I102" s="417"/>
      <c r="J102" s="417">
        <v>25.0</v>
      </c>
      <c r="K102" s="349">
        <v>0.0</v>
      </c>
      <c r="L102" s="349">
        <v>0.0</v>
      </c>
      <c r="M102" s="349">
        <v>0.0</v>
      </c>
      <c r="N102" s="348" t="s">
        <v>1282</v>
      </c>
      <c r="O102" s="416"/>
      <c r="P102" s="390"/>
      <c r="Q102" s="366"/>
      <c r="R102" s="366"/>
      <c r="S102" s="366"/>
      <c r="T102" s="77"/>
      <c r="U102" s="77"/>
      <c r="V102" s="77"/>
    </row>
    <row r="103" ht="17.25" customHeight="1">
      <c r="A103" s="420"/>
      <c r="B103" s="421"/>
      <c r="C103" s="353">
        <v>102.0</v>
      </c>
      <c r="D103" s="412"/>
      <c r="E103" s="412"/>
      <c r="F103" s="412"/>
      <c r="G103" s="412"/>
      <c r="H103" s="412"/>
      <c r="I103" s="413"/>
      <c r="J103" s="413">
        <v>25.0</v>
      </c>
      <c r="K103" s="357">
        <v>0.0</v>
      </c>
      <c r="L103" s="357">
        <v>0.0</v>
      </c>
      <c r="M103" s="357">
        <v>25.0</v>
      </c>
      <c r="N103" s="356" t="s">
        <v>1136</v>
      </c>
      <c r="O103" s="412"/>
      <c r="P103" s="396"/>
      <c r="Q103" s="372"/>
      <c r="R103" s="372"/>
      <c r="S103" s="372"/>
      <c r="T103" s="355"/>
      <c r="U103" s="355"/>
      <c r="V103" s="355"/>
    </row>
    <row r="104" ht="17.25" customHeight="1">
      <c r="A104" s="418"/>
      <c r="B104" s="419"/>
      <c r="C104" s="346">
        <v>103.0</v>
      </c>
      <c r="D104" s="416"/>
      <c r="E104" s="416"/>
      <c r="F104" s="416"/>
      <c r="G104" s="416"/>
      <c r="H104" s="416"/>
      <c r="I104" s="417"/>
      <c r="J104" s="417">
        <v>25.0</v>
      </c>
      <c r="K104" s="349">
        <v>0.0</v>
      </c>
      <c r="L104" s="349">
        <v>0.0</v>
      </c>
      <c r="M104" s="349">
        <v>0.0</v>
      </c>
      <c r="N104" s="348" t="s">
        <v>1136</v>
      </c>
      <c r="O104" s="416"/>
      <c r="P104" s="390"/>
      <c r="Q104" s="366"/>
      <c r="R104" s="366"/>
      <c r="S104" s="366"/>
      <c r="T104" s="77"/>
      <c r="U104" s="77"/>
      <c r="V104" s="77"/>
    </row>
    <row r="105" ht="17.25" customHeight="1">
      <c r="A105" s="420"/>
      <c r="B105" s="421"/>
      <c r="C105" s="353">
        <v>104.0</v>
      </c>
      <c r="D105" s="412"/>
      <c r="E105" s="412"/>
      <c r="F105" s="412"/>
      <c r="G105" s="412"/>
      <c r="H105" s="412"/>
      <c r="I105" s="413"/>
      <c r="J105" s="413">
        <v>50.0</v>
      </c>
      <c r="K105" s="357">
        <v>0.0</v>
      </c>
      <c r="L105" s="357">
        <v>0.0</v>
      </c>
      <c r="M105" s="357">
        <v>0.0</v>
      </c>
      <c r="N105" s="356" t="s">
        <v>1136</v>
      </c>
      <c r="O105" s="412"/>
      <c r="P105" s="396"/>
      <c r="Q105" s="372"/>
      <c r="R105" s="372"/>
      <c r="S105" s="372"/>
      <c r="T105" s="355"/>
      <c r="U105" s="355"/>
      <c r="V105" s="355"/>
    </row>
    <row r="106" ht="17.25" customHeight="1">
      <c r="A106" s="418"/>
      <c r="B106" s="419"/>
      <c r="C106" s="346">
        <v>105.0</v>
      </c>
      <c r="D106" s="416"/>
      <c r="E106" s="416"/>
      <c r="F106" s="416"/>
      <c r="G106" s="416"/>
      <c r="H106" s="416"/>
      <c r="I106" s="417"/>
      <c r="J106" s="417">
        <v>0.0</v>
      </c>
      <c r="K106" s="349">
        <v>0.0</v>
      </c>
      <c r="L106" s="349">
        <v>25.0</v>
      </c>
      <c r="M106" s="349">
        <v>0.0</v>
      </c>
      <c r="N106" s="348" t="s">
        <v>1151</v>
      </c>
      <c r="O106" s="416"/>
      <c r="P106" s="390"/>
      <c r="Q106" s="366"/>
      <c r="R106" s="366"/>
      <c r="S106" s="366"/>
      <c r="T106" s="77"/>
      <c r="U106" s="77"/>
      <c r="V106" s="77"/>
    </row>
    <row r="107" ht="17.25" customHeight="1">
      <c r="A107" s="420"/>
      <c r="B107" s="421"/>
      <c r="C107" s="353">
        <v>106.0</v>
      </c>
      <c r="D107" s="412"/>
      <c r="E107" s="412"/>
      <c r="F107" s="412"/>
      <c r="G107" s="412"/>
      <c r="H107" s="412"/>
      <c r="I107" s="413"/>
      <c r="J107" s="413">
        <v>25.0</v>
      </c>
      <c r="K107" s="357">
        <v>0.0</v>
      </c>
      <c r="L107" s="357">
        <v>0.0</v>
      </c>
      <c r="M107" s="357">
        <v>0.0</v>
      </c>
      <c r="N107" s="356" t="s">
        <v>1136</v>
      </c>
      <c r="O107" s="412"/>
      <c r="P107" s="396"/>
      <c r="Q107" s="372"/>
      <c r="R107" s="372"/>
      <c r="S107" s="372"/>
      <c r="T107" s="355"/>
      <c r="U107" s="355"/>
      <c r="V107" s="355"/>
    </row>
    <row r="108" ht="17.25" customHeight="1">
      <c r="A108" s="418"/>
      <c r="B108" s="419"/>
      <c r="C108" s="346">
        <v>107.0</v>
      </c>
      <c r="D108" s="416"/>
      <c r="E108" s="416"/>
      <c r="F108" s="416"/>
      <c r="G108" s="416"/>
      <c r="H108" s="416"/>
      <c r="I108" s="417"/>
      <c r="J108" s="417">
        <v>100.0</v>
      </c>
      <c r="K108" s="349">
        <v>0.0</v>
      </c>
      <c r="L108" s="349">
        <v>0.0</v>
      </c>
      <c r="M108" s="349">
        <v>0.0</v>
      </c>
      <c r="N108" s="348" t="s">
        <v>1136</v>
      </c>
      <c r="O108" s="416"/>
      <c r="P108" s="390"/>
      <c r="Q108" s="366"/>
      <c r="R108" s="366"/>
      <c r="S108" s="366"/>
      <c r="T108" s="77"/>
      <c r="U108" s="77"/>
      <c r="V108" s="77"/>
    </row>
    <row r="109" ht="17.25" customHeight="1">
      <c r="A109" s="420"/>
      <c r="B109" s="421"/>
      <c r="C109" s="353">
        <v>108.0</v>
      </c>
      <c r="D109" s="412"/>
      <c r="E109" s="412"/>
      <c r="F109" s="412"/>
      <c r="G109" s="412"/>
      <c r="H109" s="412"/>
      <c r="I109" s="413"/>
      <c r="J109" s="413"/>
      <c r="K109" s="357">
        <v>0.0</v>
      </c>
      <c r="L109" s="357">
        <v>0.0</v>
      </c>
      <c r="M109" s="357">
        <v>0.0</v>
      </c>
      <c r="N109" s="356" t="s">
        <v>1139</v>
      </c>
      <c r="O109" s="412"/>
      <c r="P109" s="396"/>
      <c r="Q109" s="372"/>
      <c r="R109" s="372"/>
      <c r="S109" s="372"/>
      <c r="T109" s="355"/>
      <c r="U109" s="355"/>
      <c r="V109" s="355"/>
    </row>
    <row r="110" ht="17.25" customHeight="1">
      <c r="A110" s="418"/>
      <c r="B110" s="419"/>
      <c r="C110" s="346">
        <v>109.0</v>
      </c>
      <c r="D110" s="416"/>
      <c r="E110" s="416"/>
      <c r="F110" s="416"/>
      <c r="G110" s="416"/>
      <c r="H110" s="416"/>
      <c r="I110" s="417"/>
      <c r="J110" s="417">
        <v>50.0</v>
      </c>
      <c r="K110" s="349">
        <v>0.0</v>
      </c>
      <c r="L110" s="349">
        <v>0.0</v>
      </c>
      <c r="M110" s="349">
        <v>0.0</v>
      </c>
      <c r="N110" s="348" t="s">
        <v>1136</v>
      </c>
      <c r="O110" s="416"/>
      <c r="P110" s="390"/>
      <c r="Q110" s="366"/>
      <c r="R110" s="366"/>
      <c r="S110" s="366"/>
      <c r="T110" s="77"/>
      <c r="U110" s="77"/>
      <c r="V110" s="77"/>
    </row>
    <row r="111" ht="17.25" customHeight="1">
      <c r="A111" s="420"/>
      <c r="B111" s="421"/>
      <c r="C111" s="353">
        <v>110.0</v>
      </c>
      <c r="D111" s="412"/>
      <c r="E111" s="412"/>
      <c r="F111" s="412"/>
      <c r="G111" s="412"/>
      <c r="H111" s="412"/>
      <c r="I111" s="413"/>
      <c r="J111" s="413">
        <v>50.0</v>
      </c>
      <c r="K111" s="357">
        <v>0.0</v>
      </c>
      <c r="L111" s="357">
        <v>0.0</v>
      </c>
      <c r="M111" s="357">
        <v>0.0</v>
      </c>
      <c r="N111" s="356" t="s">
        <v>1136</v>
      </c>
      <c r="O111" s="412"/>
      <c r="P111" s="396"/>
      <c r="Q111" s="372"/>
      <c r="R111" s="372"/>
      <c r="S111" s="372"/>
      <c r="T111" s="355"/>
      <c r="U111" s="355"/>
      <c r="V111" s="355"/>
    </row>
    <row r="112" ht="17.25" customHeight="1">
      <c r="A112" s="418"/>
      <c r="B112" s="419"/>
      <c r="C112" s="346">
        <v>111.0</v>
      </c>
      <c r="D112" s="416"/>
      <c r="E112" s="416"/>
      <c r="F112" s="416"/>
      <c r="G112" s="416"/>
      <c r="H112" s="416"/>
      <c r="I112" s="417"/>
      <c r="J112" s="417">
        <v>25.0</v>
      </c>
      <c r="K112" s="349">
        <v>0.0</v>
      </c>
      <c r="L112" s="349">
        <v>0.0</v>
      </c>
      <c r="M112" s="349">
        <v>0.0</v>
      </c>
      <c r="N112" s="348" t="s">
        <v>1136</v>
      </c>
      <c r="O112" s="416"/>
      <c r="P112" s="390"/>
      <c r="Q112" s="366"/>
      <c r="R112" s="366"/>
      <c r="S112" s="366"/>
      <c r="T112" s="77"/>
      <c r="U112" s="77"/>
      <c r="V112" s="77"/>
    </row>
    <row r="113" ht="17.25" customHeight="1">
      <c r="A113" s="410"/>
      <c r="B113" s="411"/>
      <c r="C113" s="353">
        <v>112.0</v>
      </c>
      <c r="D113" s="407"/>
      <c r="E113" s="407"/>
      <c r="F113" s="407"/>
      <c r="G113" s="407"/>
      <c r="H113" s="407"/>
      <c r="I113" s="408"/>
      <c r="J113" s="408">
        <v>25.0</v>
      </c>
      <c r="K113" s="357">
        <v>0.0</v>
      </c>
      <c r="L113" s="357">
        <v>0.0</v>
      </c>
      <c r="M113" s="357">
        <v>0.0</v>
      </c>
      <c r="N113" s="407" t="s">
        <v>1136</v>
      </c>
      <c r="O113" s="407"/>
      <c r="P113" s="396"/>
      <c r="Q113" s="372"/>
      <c r="R113" s="372"/>
      <c r="S113" s="372"/>
      <c r="T113" s="355"/>
      <c r="U113" s="355"/>
      <c r="V113" s="355"/>
    </row>
    <row r="114" ht="17.25" customHeight="1">
      <c r="A114" s="414"/>
      <c r="B114" s="415"/>
      <c r="C114" s="346">
        <v>113.0</v>
      </c>
      <c r="D114" s="405"/>
      <c r="E114" s="405"/>
      <c r="F114" s="416"/>
      <c r="G114" s="405"/>
      <c r="H114" s="405"/>
      <c r="I114" s="406"/>
      <c r="J114" s="406">
        <v>25.0</v>
      </c>
      <c r="K114" s="349">
        <v>0.0</v>
      </c>
      <c r="L114" s="349">
        <v>0.0</v>
      </c>
      <c r="M114" s="349">
        <v>0.0</v>
      </c>
      <c r="N114" s="405" t="s">
        <v>1136</v>
      </c>
      <c r="O114" s="405"/>
      <c r="P114" s="390"/>
      <c r="Q114" s="366"/>
      <c r="R114" s="366"/>
      <c r="S114" s="366"/>
      <c r="T114" s="77"/>
      <c r="U114" s="77"/>
      <c r="V114" s="77"/>
    </row>
    <row r="115" ht="17.25" customHeight="1">
      <c r="A115" s="420"/>
      <c r="B115" s="421"/>
      <c r="C115" s="353">
        <v>114.0</v>
      </c>
      <c r="D115" s="412"/>
      <c r="E115" s="412"/>
      <c r="F115" s="412"/>
      <c r="G115" s="412"/>
      <c r="H115" s="412"/>
      <c r="I115" s="413"/>
      <c r="J115" s="413">
        <v>100.0</v>
      </c>
      <c r="K115" s="357">
        <v>0.0</v>
      </c>
      <c r="L115" s="357">
        <v>0.0</v>
      </c>
      <c r="M115" s="357">
        <v>0.0</v>
      </c>
      <c r="N115" s="412" t="s">
        <v>1283</v>
      </c>
      <c r="O115" s="412"/>
      <c r="P115" s="396"/>
      <c r="Q115" s="372"/>
      <c r="R115" s="372"/>
      <c r="S115" s="372"/>
      <c r="T115" s="355"/>
      <c r="U115" s="355"/>
      <c r="V115" s="355"/>
    </row>
    <row r="116" ht="17.25" customHeight="1">
      <c r="A116" s="418"/>
      <c r="B116" s="419"/>
      <c r="C116" s="346">
        <v>115.0</v>
      </c>
      <c r="D116" s="416"/>
      <c r="E116" s="416"/>
      <c r="F116" s="416"/>
      <c r="G116" s="416"/>
      <c r="H116" s="416"/>
      <c r="I116" s="417"/>
      <c r="J116" s="417">
        <v>25.0</v>
      </c>
      <c r="K116" s="349">
        <v>0.0</v>
      </c>
      <c r="L116" s="349">
        <v>0.0</v>
      </c>
      <c r="M116" s="349">
        <v>0.0</v>
      </c>
      <c r="N116" s="416" t="s">
        <v>1136</v>
      </c>
      <c r="O116" s="416"/>
      <c r="P116" s="390"/>
      <c r="Q116" s="366"/>
      <c r="R116" s="366"/>
      <c r="S116" s="366"/>
      <c r="T116" s="77"/>
      <c r="U116" s="77"/>
      <c r="V116" s="77"/>
    </row>
    <row r="117" ht="17.25" customHeight="1">
      <c r="A117" s="420"/>
      <c r="B117" s="421"/>
      <c r="C117" s="353">
        <v>116.0</v>
      </c>
      <c r="D117" s="412"/>
      <c r="E117" s="412"/>
      <c r="F117" s="412"/>
      <c r="G117" s="412"/>
      <c r="H117" s="412"/>
      <c r="I117" s="413"/>
      <c r="J117" s="413">
        <v>0.0</v>
      </c>
      <c r="K117" s="357">
        <v>25.0</v>
      </c>
      <c r="L117" s="357">
        <v>25.0</v>
      </c>
      <c r="M117" s="357">
        <v>0.0</v>
      </c>
      <c r="N117" s="412" t="s">
        <v>1136</v>
      </c>
      <c r="O117" s="412"/>
      <c r="P117" s="396"/>
      <c r="Q117" s="372"/>
      <c r="R117" s="372"/>
      <c r="S117" s="372"/>
      <c r="T117" s="355"/>
      <c r="U117" s="355"/>
      <c r="V117" s="355"/>
    </row>
    <row r="118" ht="17.25" customHeight="1">
      <c r="A118" s="418"/>
      <c r="B118" s="419"/>
      <c r="C118" s="346">
        <v>117.0</v>
      </c>
      <c r="D118" s="416"/>
      <c r="E118" s="416"/>
      <c r="F118" s="416"/>
      <c r="G118" s="416"/>
      <c r="H118" s="416"/>
      <c r="I118" s="417"/>
      <c r="J118" s="417">
        <v>25.0</v>
      </c>
      <c r="K118" s="349">
        <v>0.0</v>
      </c>
      <c r="L118" s="349">
        <v>0.0</v>
      </c>
      <c r="M118" s="349">
        <v>0.0</v>
      </c>
      <c r="N118" s="416" t="s">
        <v>1136</v>
      </c>
      <c r="O118" s="416"/>
      <c r="P118" s="390"/>
      <c r="Q118" s="366"/>
      <c r="R118" s="366"/>
      <c r="S118" s="366"/>
      <c r="T118" s="77"/>
      <c r="U118" s="77"/>
      <c r="V118" s="77"/>
    </row>
    <row r="119" ht="17.25" customHeight="1">
      <c r="A119" s="420"/>
      <c r="B119" s="421"/>
      <c r="C119" s="353">
        <v>118.0</v>
      </c>
      <c r="D119" s="412"/>
      <c r="E119" s="412"/>
      <c r="F119" s="412"/>
      <c r="G119" s="412"/>
      <c r="H119" s="412"/>
      <c r="I119" s="413"/>
      <c r="J119" s="413">
        <v>25.0</v>
      </c>
      <c r="K119" s="357">
        <v>0.0</v>
      </c>
      <c r="L119" s="357">
        <v>0.0</v>
      </c>
      <c r="M119" s="357">
        <v>25.0</v>
      </c>
      <c r="N119" s="412" t="s">
        <v>1139</v>
      </c>
      <c r="O119" s="412"/>
      <c r="P119" s="396"/>
      <c r="Q119" s="372"/>
      <c r="R119" s="372"/>
      <c r="S119" s="372"/>
      <c r="T119" s="355"/>
      <c r="U119" s="355"/>
      <c r="V119" s="355"/>
    </row>
    <row r="120" ht="17.25" customHeight="1">
      <c r="A120" s="418"/>
      <c r="B120" s="419"/>
      <c r="C120" s="346">
        <v>119.0</v>
      </c>
      <c r="D120" s="416"/>
      <c r="E120" s="416"/>
      <c r="F120" s="416"/>
      <c r="G120" s="416"/>
      <c r="H120" s="416"/>
      <c r="I120" s="417"/>
      <c r="J120" s="417">
        <v>50.0</v>
      </c>
      <c r="K120" s="349">
        <v>0.0</v>
      </c>
      <c r="L120" s="349">
        <v>0.0</v>
      </c>
      <c r="M120" s="349">
        <v>0.0</v>
      </c>
      <c r="N120" s="416" t="s">
        <v>1136</v>
      </c>
      <c r="O120" s="416"/>
      <c r="P120" s="390"/>
      <c r="Q120" s="366"/>
      <c r="R120" s="366"/>
      <c r="S120" s="366"/>
      <c r="T120" s="77"/>
      <c r="U120" s="77"/>
      <c r="V120" s="77"/>
    </row>
    <row r="121" ht="17.25" customHeight="1">
      <c r="A121" s="420"/>
      <c r="B121" s="421"/>
      <c r="C121" s="353">
        <v>120.0</v>
      </c>
      <c r="D121" s="412"/>
      <c r="E121" s="412"/>
      <c r="F121" s="412"/>
      <c r="G121" s="412"/>
      <c r="H121" s="412"/>
      <c r="I121" s="413"/>
      <c r="J121" s="413">
        <v>25.0</v>
      </c>
      <c r="K121" s="357">
        <v>0.0</v>
      </c>
      <c r="L121" s="357">
        <v>0.0</v>
      </c>
      <c r="M121" s="357">
        <v>0.0</v>
      </c>
      <c r="N121" s="412" t="s">
        <v>1136</v>
      </c>
      <c r="O121" s="412"/>
      <c r="P121" s="396"/>
      <c r="Q121" s="372"/>
      <c r="R121" s="372"/>
      <c r="S121" s="372"/>
      <c r="T121" s="355"/>
      <c r="U121" s="355"/>
      <c r="V121" s="355"/>
    </row>
    <row r="122" ht="17.25" customHeight="1">
      <c r="A122" s="418"/>
      <c r="B122" s="419"/>
      <c r="C122" s="346">
        <v>121.0</v>
      </c>
      <c r="D122" s="416"/>
      <c r="E122" s="416"/>
      <c r="F122" s="416"/>
      <c r="G122" s="416"/>
      <c r="H122" s="416"/>
      <c r="I122" s="417"/>
      <c r="J122" s="417">
        <v>25.0</v>
      </c>
      <c r="K122" s="349">
        <v>0.0</v>
      </c>
      <c r="L122" s="349">
        <v>0.0</v>
      </c>
      <c r="M122" s="349">
        <v>0.0</v>
      </c>
      <c r="N122" s="416" t="s">
        <v>1136</v>
      </c>
      <c r="O122" s="416"/>
      <c r="P122" s="390"/>
      <c r="Q122" s="366"/>
      <c r="R122" s="366"/>
      <c r="S122" s="366"/>
      <c r="T122" s="77"/>
      <c r="U122" s="77"/>
      <c r="V122" s="77"/>
    </row>
    <row r="123" ht="17.25" customHeight="1">
      <c r="A123" s="420"/>
      <c r="B123" s="421"/>
      <c r="C123" s="353">
        <v>122.0</v>
      </c>
      <c r="D123" s="412"/>
      <c r="E123" s="412"/>
      <c r="F123" s="412"/>
      <c r="G123" s="412"/>
      <c r="H123" s="412"/>
      <c r="I123" s="413"/>
      <c r="J123" s="413">
        <v>25.0</v>
      </c>
      <c r="K123" s="357">
        <v>0.0</v>
      </c>
      <c r="L123" s="357">
        <v>0.0</v>
      </c>
      <c r="M123" s="357">
        <v>0.0</v>
      </c>
      <c r="N123" s="412" t="s">
        <v>1136</v>
      </c>
      <c r="O123" s="412"/>
      <c r="P123" s="396"/>
      <c r="Q123" s="372"/>
      <c r="R123" s="372"/>
      <c r="S123" s="372"/>
      <c r="T123" s="355"/>
      <c r="U123" s="355"/>
      <c r="V123" s="355"/>
    </row>
    <row r="124" ht="17.25" customHeight="1">
      <c r="A124" s="417"/>
      <c r="B124" s="422"/>
      <c r="C124" s="346">
        <v>123.0</v>
      </c>
      <c r="D124" s="416"/>
      <c r="E124" s="416"/>
      <c r="F124" s="416"/>
      <c r="G124" s="416"/>
      <c r="H124" s="416"/>
      <c r="I124" s="417"/>
      <c r="J124" s="417">
        <v>25.0</v>
      </c>
      <c r="K124" s="349">
        <v>0.0</v>
      </c>
      <c r="L124" s="349">
        <v>0.0</v>
      </c>
      <c r="M124" s="349">
        <v>0.0</v>
      </c>
      <c r="N124" s="416" t="s">
        <v>1136</v>
      </c>
      <c r="O124" s="416"/>
      <c r="P124" s="390"/>
      <c r="Q124" s="366"/>
      <c r="R124" s="366"/>
      <c r="S124" s="366"/>
      <c r="T124" s="77"/>
      <c r="U124" s="77"/>
      <c r="V124" s="77"/>
    </row>
    <row r="125" ht="17.25" customHeight="1">
      <c r="A125" s="413"/>
      <c r="B125" s="423"/>
      <c r="C125" s="353">
        <v>124.0</v>
      </c>
      <c r="D125" s="412"/>
      <c r="E125" s="412"/>
      <c r="F125" s="412"/>
      <c r="G125" s="412"/>
      <c r="H125" s="412"/>
      <c r="I125" s="413"/>
      <c r="J125" s="413">
        <v>50.0</v>
      </c>
      <c r="K125" s="357">
        <v>0.0</v>
      </c>
      <c r="L125" s="357">
        <v>0.0</v>
      </c>
      <c r="M125" s="357">
        <v>0.0</v>
      </c>
      <c r="N125" s="412" t="s">
        <v>1284</v>
      </c>
      <c r="O125" s="412"/>
      <c r="P125" s="396"/>
      <c r="Q125" s="372"/>
      <c r="R125" s="372"/>
      <c r="S125" s="372"/>
      <c r="T125" s="355"/>
      <c r="U125" s="355"/>
      <c r="V125" s="355"/>
    </row>
    <row r="126" ht="17.25" customHeight="1">
      <c r="A126" s="417"/>
      <c r="B126" s="422"/>
      <c r="C126" s="346">
        <v>125.0</v>
      </c>
      <c r="D126" s="416"/>
      <c r="E126" s="416"/>
      <c r="F126" s="416"/>
      <c r="G126" s="416"/>
      <c r="H126" s="416"/>
      <c r="I126" s="417"/>
      <c r="J126" s="417">
        <v>25.0</v>
      </c>
      <c r="K126" s="349">
        <v>0.0</v>
      </c>
      <c r="L126" s="349">
        <v>0.0</v>
      </c>
      <c r="M126" s="349">
        <v>0.0</v>
      </c>
      <c r="N126" s="416" t="s">
        <v>1151</v>
      </c>
      <c r="O126" s="416"/>
      <c r="P126" s="390"/>
      <c r="Q126" s="366"/>
      <c r="R126" s="366"/>
      <c r="S126" s="366"/>
      <c r="T126" s="77"/>
      <c r="U126" s="77"/>
      <c r="V126" s="77"/>
    </row>
    <row r="127" ht="17.25" customHeight="1">
      <c r="A127" s="413"/>
      <c r="B127" s="423"/>
      <c r="C127" s="353">
        <v>126.0</v>
      </c>
      <c r="D127" s="412"/>
      <c r="E127" s="412"/>
      <c r="F127" s="412"/>
      <c r="G127" s="412"/>
      <c r="H127" s="412"/>
      <c r="I127" s="413"/>
      <c r="J127" s="413">
        <v>25.0</v>
      </c>
      <c r="K127" s="357">
        <v>0.0</v>
      </c>
      <c r="L127" s="357">
        <v>0.0</v>
      </c>
      <c r="M127" s="357">
        <v>0.0</v>
      </c>
      <c r="N127" s="412" t="s">
        <v>1279</v>
      </c>
      <c r="O127" s="412"/>
      <c r="P127" s="396"/>
      <c r="Q127" s="372"/>
      <c r="R127" s="372"/>
      <c r="S127" s="372"/>
      <c r="T127" s="355"/>
      <c r="U127" s="355"/>
      <c r="V127" s="355"/>
    </row>
    <row r="128" ht="17.25" customHeight="1">
      <c r="A128" s="417"/>
      <c r="B128" s="422"/>
      <c r="C128" s="346">
        <v>127.0</v>
      </c>
      <c r="D128" s="416"/>
      <c r="E128" s="416"/>
      <c r="F128" s="416"/>
      <c r="G128" s="416"/>
      <c r="H128" s="416"/>
      <c r="I128" s="417"/>
      <c r="J128" s="417">
        <v>25.0</v>
      </c>
      <c r="K128" s="349">
        <v>0.0</v>
      </c>
      <c r="L128" s="349">
        <v>0.0</v>
      </c>
      <c r="M128" s="349">
        <v>25.0</v>
      </c>
      <c r="N128" s="416" t="s">
        <v>1139</v>
      </c>
      <c r="O128" s="416"/>
      <c r="P128" s="390"/>
      <c r="Q128" s="366"/>
      <c r="R128" s="366"/>
      <c r="S128" s="366"/>
      <c r="T128" s="77"/>
      <c r="U128" s="77"/>
      <c r="V128" s="77"/>
    </row>
    <row r="129" ht="17.25" customHeight="1">
      <c r="A129" s="413"/>
      <c r="B129" s="423"/>
      <c r="C129" s="353">
        <v>128.0</v>
      </c>
      <c r="D129" s="412"/>
      <c r="E129" s="412"/>
      <c r="F129" s="412"/>
      <c r="G129" s="412"/>
      <c r="H129" s="412"/>
      <c r="I129" s="413"/>
      <c r="J129" s="413">
        <v>25.0</v>
      </c>
      <c r="K129" s="357">
        <v>0.0</v>
      </c>
      <c r="L129" s="357">
        <v>0.0</v>
      </c>
      <c r="M129" s="357">
        <v>0.0</v>
      </c>
      <c r="N129" s="412" t="s">
        <v>1142</v>
      </c>
      <c r="O129" s="412"/>
      <c r="P129" s="396"/>
      <c r="Q129" s="372"/>
      <c r="R129" s="372"/>
      <c r="S129" s="372"/>
      <c r="T129" s="355"/>
      <c r="U129" s="355"/>
      <c r="V129" s="355"/>
    </row>
    <row r="130" ht="17.25" customHeight="1">
      <c r="A130" s="417"/>
      <c r="B130" s="422"/>
      <c r="C130" s="346">
        <v>129.0</v>
      </c>
      <c r="D130" s="416"/>
      <c r="E130" s="416"/>
      <c r="F130" s="416"/>
      <c r="G130" s="416"/>
      <c r="H130" s="416"/>
      <c r="I130" s="417"/>
      <c r="J130" s="417">
        <v>50.0</v>
      </c>
      <c r="K130" s="349">
        <v>0.0</v>
      </c>
      <c r="L130" s="349">
        <v>0.0</v>
      </c>
      <c r="M130" s="349">
        <v>0.0</v>
      </c>
      <c r="N130" s="416" t="s">
        <v>1142</v>
      </c>
      <c r="O130" s="416"/>
      <c r="P130" s="390"/>
      <c r="Q130" s="366"/>
      <c r="R130" s="366"/>
      <c r="S130" s="366"/>
      <c r="T130" s="77"/>
      <c r="U130" s="77"/>
      <c r="V130" s="77"/>
    </row>
    <row r="131" ht="17.25" customHeight="1">
      <c r="A131" s="413"/>
      <c r="B131" s="423"/>
      <c r="C131" s="353">
        <v>130.0</v>
      </c>
      <c r="D131" s="412"/>
      <c r="E131" s="412"/>
      <c r="F131" s="412"/>
      <c r="G131" s="412"/>
      <c r="H131" s="412"/>
      <c r="I131" s="413"/>
      <c r="J131" s="413">
        <v>25.0</v>
      </c>
      <c r="K131" s="357">
        <v>0.0</v>
      </c>
      <c r="L131" s="357">
        <v>0.0</v>
      </c>
      <c r="M131" s="357">
        <v>0.0</v>
      </c>
      <c r="N131" s="412" t="s">
        <v>1136</v>
      </c>
      <c r="O131" s="412"/>
      <c r="P131" s="396"/>
      <c r="Q131" s="372"/>
      <c r="R131" s="372"/>
      <c r="S131" s="372"/>
      <c r="T131" s="355"/>
      <c r="U131" s="355"/>
      <c r="V131" s="355"/>
    </row>
    <row r="132" ht="17.25" customHeight="1">
      <c r="A132" s="417"/>
      <c r="B132" s="422"/>
      <c r="C132" s="346">
        <v>131.0</v>
      </c>
      <c r="D132" s="416"/>
      <c r="E132" s="416"/>
      <c r="F132" s="416"/>
      <c r="G132" s="416"/>
      <c r="H132" s="416"/>
      <c r="I132" s="417"/>
      <c r="J132" s="417">
        <v>25.0</v>
      </c>
      <c r="K132" s="349">
        <v>0.0</v>
      </c>
      <c r="L132" s="349">
        <v>0.0</v>
      </c>
      <c r="M132" s="349">
        <v>0.0</v>
      </c>
      <c r="N132" s="416" t="s">
        <v>1136</v>
      </c>
      <c r="O132" s="416"/>
      <c r="P132" s="390"/>
      <c r="Q132" s="366"/>
      <c r="R132" s="366"/>
      <c r="S132" s="366"/>
      <c r="T132" s="77"/>
      <c r="U132" s="77"/>
      <c r="V132" s="77"/>
    </row>
    <row r="133" ht="17.25" customHeight="1">
      <c r="A133" s="413"/>
      <c r="B133" s="423"/>
      <c r="C133" s="353">
        <v>132.0</v>
      </c>
      <c r="D133" s="412"/>
      <c r="E133" s="412"/>
      <c r="F133" s="412"/>
      <c r="G133" s="412"/>
      <c r="H133" s="412"/>
      <c r="I133" s="413"/>
      <c r="J133" s="413">
        <v>100.0</v>
      </c>
      <c r="K133" s="357">
        <v>0.0</v>
      </c>
      <c r="L133" s="357">
        <v>0.0</v>
      </c>
      <c r="M133" s="357">
        <v>0.0</v>
      </c>
      <c r="N133" s="412" t="s">
        <v>1136</v>
      </c>
      <c r="O133" s="412"/>
      <c r="P133" s="396"/>
      <c r="Q133" s="372"/>
      <c r="R133" s="372"/>
      <c r="S133" s="372"/>
      <c r="T133" s="355"/>
      <c r="U133" s="355"/>
      <c r="V133" s="355"/>
    </row>
    <row r="134" ht="17.25" customHeight="1">
      <c r="A134" s="417"/>
      <c r="B134" s="422"/>
      <c r="C134" s="346">
        <v>133.0</v>
      </c>
      <c r="D134" s="416"/>
      <c r="E134" s="416"/>
      <c r="F134" s="416"/>
      <c r="G134" s="416"/>
      <c r="H134" s="416"/>
      <c r="I134" s="417"/>
      <c r="J134" s="417">
        <v>50.0</v>
      </c>
      <c r="K134" s="349">
        <v>0.0</v>
      </c>
      <c r="L134" s="349">
        <v>0.0</v>
      </c>
      <c r="M134" s="349">
        <v>0.0</v>
      </c>
      <c r="N134" s="416" t="s">
        <v>1136</v>
      </c>
      <c r="O134" s="416"/>
      <c r="P134" s="390"/>
      <c r="Q134" s="366"/>
      <c r="R134" s="366"/>
      <c r="S134" s="366"/>
      <c r="T134" s="77"/>
      <c r="U134" s="77"/>
      <c r="V134" s="77"/>
    </row>
    <row r="135" ht="17.25" customHeight="1">
      <c r="A135" s="413"/>
      <c r="B135" s="423"/>
      <c r="C135" s="353">
        <v>134.0</v>
      </c>
      <c r="D135" s="412"/>
      <c r="E135" s="412"/>
      <c r="F135" s="412"/>
      <c r="G135" s="412"/>
      <c r="H135" s="412"/>
      <c r="I135" s="413"/>
      <c r="J135" s="413">
        <v>25.0</v>
      </c>
      <c r="K135" s="357">
        <v>0.0</v>
      </c>
      <c r="L135" s="357">
        <v>0.0</v>
      </c>
      <c r="M135" s="357">
        <v>0.0</v>
      </c>
      <c r="N135" s="412" t="s">
        <v>1285</v>
      </c>
      <c r="O135" s="412"/>
      <c r="P135" s="396"/>
      <c r="Q135" s="372"/>
      <c r="R135" s="372"/>
      <c r="S135" s="372"/>
      <c r="T135" s="355"/>
      <c r="U135" s="355"/>
      <c r="V135" s="355"/>
    </row>
    <row r="136" ht="17.25" customHeight="1">
      <c r="A136" s="417"/>
      <c r="B136" s="422"/>
      <c r="C136" s="346">
        <v>135.0</v>
      </c>
      <c r="D136" s="416"/>
      <c r="E136" s="416"/>
      <c r="F136" s="416"/>
      <c r="G136" s="416"/>
      <c r="H136" s="416"/>
      <c r="I136" s="417"/>
      <c r="J136" s="417">
        <v>25.0</v>
      </c>
      <c r="K136" s="349">
        <v>0.0</v>
      </c>
      <c r="L136" s="349">
        <v>0.0</v>
      </c>
      <c r="M136" s="349">
        <v>50.0</v>
      </c>
      <c r="N136" s="416" t="s">
        <v>1142</v>
      </c>
      <c r="O136" s="416"/>
      <c r="P136" s="390"/>
      <c r="Q136" s="366"/>
      <c r="R136" s="366"/>
      <c r="S136" s="366"/>
      <c r="T136" s="77"/>
      <c r="U136" s="77"/>
      <c r="V136" s="77"/>
    </row>
    <row r="137" ht="17.25" customHeight="1">
      <c r="A137" s="413"/>
      <c r="B137" s="423"/>
      <c r="C137" s="353">
        <v>136.0</v>
      </c>
      <c r="D137" s="412"/>
      <c r="E137" s="412"/>
      <c r="F137" s="412"/>
      <c r="G137" s="412"/>
      <c r="H137" s="412"/>
      <c r="I137" s="413"/>
      <c r="J137" s="413">
        <v>50.0</v>
      </c>
      <c r="K137" s="357">
        <v>0.0</v>
      </c>
      <c r="L137" s="357">
        <v>0.0</v>
      </c>
      <c r="M137" s="357">
        <v>0.0</v>
      </c>
      <c r="N137" s="412" t="s">
        <v>1161</v>
      </c>
      <c r="O137" s="412"/>
      <c r="P137" s="396"/>
      <c r="Q137" s="372"/>
      <c r="R137" s="372"/>
      <c r="S137" s="372"/>
      <c r="T137" s="355"/>
      <c r="U137" s="355"/>
      <c r="V137" s="355"/>
    </row>
  </sheetData>
  <autoFilter ref="$A$1:$V$137"/>
  <drawing r:id="rId2"/>
  <legacyDrawing r:id="rId3"/>
</worksheet>
</file>