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급여현황" sheetId="1" r:id="rId4"/>
    <sheet name="조견표" sheetId="2" r:id="rId5"/>
    <sheet name="참조표" sheetId="3" r:id="rId6"/>
  </sheets>
</workbook>
</file>

<file path=xl/sharedStrings.xml><?xml version="1.0" encoding="utf-8"?>
<sst xmlns="http://schemas.openxmlformats.org/spreadsheetml/2006/main" uniqueCount="145">
  <si>
    <t>사번</t>
  </si>
  <si>
    <t>성명</t>
  </si>
  <si>
    <t>입사일자</t>
  </si>
  <si>
    <t>근무팀</t>
  </si>
  <si>
    <t>직급</t>
  </si>
  <si>
    <t>호봉</t>
  </si>
  <si>
    <t>직위</t>
  </si>
  <si>
    <t>주민등록번호</t>
  </si>
  <si>
    <t>성별</t>
  </si>
  <si>
    <t>지급계</t>
  </si>
  <si>
    <t>기본급</t>
  </si>
  <si>
    <t>식대</t>
  </si>
  <si>
    <t>교통비</t>
  </si>
  <si>
    <t>차량보조금</t>
  </si>
  <si>
    <t>공제계</t>
  </si>
  <si>
    <t>소득세</t>
  </si>
  <si>
    <t>주민세</t>
  </si>
  <si>
    <t>국민연금</t>
  </si>
  <si>
    <t>의료보험</t>
  </si>
  <si>
    <t>고용보험</t>
  </si>
  <si>
    <t>조용길</t>
  </si>
  <si>
    <t>R/D팀</t>
  </si>
  <si>
    <r>
      <rPr>
        <b val="1"/>
        <sz val="11"/>
        <color indexed="8"/>
        <rFont val="맑은 고딕"/>
      </rPr>
      <t>부장</t>
    </r>
  </si>
  <si>
    <t>600223-1784388</t>
  </si>
  <si>
    <t>남</t>
  </si>
  <si>
    <t>노준조</t>
  </si>
  <si>
    <t>600223-1784389</t>
  </si>
  <si>
    <t>신종갑</t>
  </si>
  <si>
    <r>
      <rPr>
        <b val="1"/>
        <sz val="11"/>
        <color indexed="8"/>
        <rFont val="맑은 고딕"/>
      </rPr>
      <t>과장</t>
    </r>
  </si>
  <si>
    <t>600223-1784396</t>
  </si>
  <si>
    <t>남동수</t>
  </si>
  <si>
    <t>600223-1784397</t>
  </si>
  <si>
    <t>박찬석</t>
  </si>
  <si>
    <t>기술팀</t>
  </si>
  <si>
    <r>
      <rPr>
        <b val="1"/>
        <sz val="11"/>
        <color indexed="8"/>
        <rFont val="맑은 고딕"/>
      </rPr>
      <t>차장</t>
    </r>
  </si>
  <si>
    <t>600223-1784398</t>
  </si>
  <si>
    <t>김인철</t>
  </si>
  <si>
    <t>600223-1784399</t>
  </si>
  <si>
    <t>강애연</t>
  </si>
  <si>
    <t>600223-1784403</t>
  </si>
  <si>
    <t>오진영</t>
  </si>
  <si>
    <t>600223-1784407</t>
  </si>
  <si>
    <t>임정호</t>
  </si>
  <si>
    <t>600223-1784424</t>
  </si>
  <si>
    <t>김병철</t>
  </si>
  <si>
    <t>600223-1784425</t>
  </si>
  <si>
    <t>이장호</t>
  </si>
  <si>
    <r>
      <rPr>
        <b val="1"/>
        <sz val="11"/>
        <color indexed="8"/>
        <rFont val="맑은 고딕"/>
      </rPr>
      <t>대리</t>
    </r>
  </si>
  <si>
    <t>600223-1784426</t>
  </si>
  <si>
    <t>김영석</t>
  </si>
  <si>
    <t>600223-1784427</t>
  </si>
  <si>
    <t>김한나</t>
  </si>
  <si>
    <t>600223-1784428</t>
  </si>
  <si>
    <t>김호진</t>
  </si>
  <si>
    <t>600223-1784429</t>
  </si>
  <si>
    <t>윤정덕</t>
  </si>
  <si>
    <t>600223-1784430</t>
  </si>
  <si>
    <t>최지원</t>
  </si>
  <si>
    <t>600223-1784431</t>
  </si>
  <si>
    <t>박정우</t>
  </si>
  <si>
    <t>영업팀</t>
  </si>
  <si>
    <t>010223-4784385</t>
  </si>
  <si>
    <t>여</t>
  </si>
  <si>
    <t>정창욱</t>
  </si>
  <si>
    <t>990223-8784386</t>
  </si>
  <si>
    <t>김동구</t>
  </si>
  <si>
    <t>970223-9784387</t>
  </si>
  <si>
    <t>정노천</t>
  </si>
  <si>
    <t>600223-1784393</t>
  </si>
  <si>
    <t>이홍기</t>
  </si>
  <si>
    <t>600223-1784394</t>
  </si>
  <si>
    <t>황채명</t>
  </si>
  <si>
    <t>600223-1784395</t>
  </si>
  <si>
    <t>김종진</t>
  </si>
  <si>
    <t>600223-1784400</t>
  </si>
  <si>
    <t>박이호</t>
  </si>
  <si>
    <t>600223-1784401</t>
  </si>
  <si>
    <t>박한식</t>
  </si>
  <si>
    <t>600223-1784402</t>
  </si>
  <si>
    <t>유상재</t>
  </si>
  <si>
    <t>600223-1784404</t>
  </si>
  <si>
    <t>오문규</t>
  </si>
  <si>
    <t>600223-1784405</t>
  </si>
  <si>
    <t>김재웅</t>
  </si>
  <si>
    <t>600223-1784406</t>
  </si>
  <si>
    <t>김규한</t>
  </si>
  <si>
    <t>600223-1784408</t>
  </si>
  <si>
    <t>박중태</t>
  </si>
  <si>
    <t>600223-1784416</t>
  </si>
  <si>
    <t>홍종현</t>
  </si>
  <si>
    <t>600223-1784419</t>
  </si>
  <si>
    <t>서지연</t>
  </si>
  <si>
    <t>600223-1784422</t>
  </si>
  <si>
    <t>김용철</t>
  </si>
  <si>
    <t>총무팀</t>
  </si>
  <si>
    <t>600223-1784382</t>
  </si>
  <si>
    <t>정용기</t>
  </si>
  <si>
    <t>600223-2784383</t>
  </si>
  <si>
    <t>허선도</t>
  </si>
  <si>
    <t>010223-3784384</t>
  </si>
  <si>
    <t>김사현</t>
  </si>
  <si>
    <t>600223-1784390</t>
  </si>
  <si>
    <t>김정우</t>
  </si>
  <si>
    <t>600223-1784391</t>
  </si>
  <si>
    <t>김지훈</t>
  </si>
  <si>
    <t>600223-1784392</t>
  </si>
  <si>
    <t>박득우</t>
  </si>
  <si>
    <t>600223-1784409</t>
  </si>
  <si>
    <t>안석준</t>
  </si>
  <si>
    <t>600223-1784410</t>
  </si>
  <si>
    <t>김용곤</t>
  </si>
  <si>
    <t>600223-1784411</t>
  </si>
  <si>
    <t>강충기</t>
  </si>
  <si>
    <t>600223-1784412</t>
  </si>
  <si>
    <t>강상일</t>
  </si>
  <si>
    <t>600223-1784413</t>
  </si>
  <si>
    <t>이수영</t>
  </si>
  <si>
    <t>600223-1784414</t>
  </si>
  <si>
    <t>김수정</t>
  </si>
  <si>
    <t>600223-1784415</t>
  </si>
  <si>
    <t>신점기</t>
  </si>
  <si>
    <t>600223-1784417</t>
  </si>
  <si>
    <t>박한얼</t>
  </si>
  <si>
    <t>600223-1784418</t>
  </si>
  <si>
    <t>이유석</t>
  </si>
  <si>
    <t>600223-1784420</t>
  </si>
  <si>
    <t>최준호</t>
  </si>
  <si>
    <t>600223-1784421</t>
  </si>
  <si>
    <t xml:space="preserve">한상수 </t>
  </si>
  <si>
    <t>600223-1784423</t>
  </si>
  <si>
    <t>급여 조견표 및 분석</t>
  </si>
  <si>
    <t xml:space="preserve">               호봉
직급</t>
  </si>
  <si>
    <t>호봉차</t>
  </si>
  <si>
    <t>비율</t>
  </si>
  <si>
    <t>사원</t>
  </si>
  <si>
    <t>대리</t>
  </si>
  <si>
    <t>과장</t>
  </si>
  <si>
    <t>차장</t>
  </si>
  <si>
    <t>부장</t>
  </si>
  <si>
    <t>구분</t>
  </si>
  <si>
    <t>급여 총액</t>
  </si>
  <si>
    <t>인상율</t>
  </si>
  <si>
    <t>인상액 총액</t>
  </si>
  <si>
    <t>기준가</t>
  </si>
  <si>
    <t>총액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</si>
</sst>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0000"/>
    <numFmt numFmtId="60" formatCode="&quot; &quot;* #,##0&quot; &quot;;&quot;-&quot;* #,##0&quot; &quot;;&quot; &quot;* &quot;- &quot;"/>
    <numFmt numFmtId="61" formatCode="0.0%"/>
    <numFmt numFmtId="62" formatCode="0&quot; &quot;"/>
  </numFmts>
  <fonts count="7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9"/>
      <name val="맑은 고딕"/>
    </font>
    <font>
      <b val="1"/>
      <sz val="11"/>
      <color indexed="8"/>
      <name val="맑은 고딕"/>
    </font>
    <font>
      <b val="1"/>
      <sz val="18"/>
      <color indexed="8"/>
      <name val="맑은 고딕"/>
    </font>
    <font>
      <b val="1"/>
      <sz val="11"/>
      <color indexed="10"/>
      <name val="맑은 고딕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1"/>
      </right>
      <top style="hair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14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3" fontId="0" fillId="2" borderId="4" applyNumberFormat="1" applyFont="1" applyFill="1" applyBorder="1" applyAlignment="1" applyProtection="0">
      <alignment vertical="center"/>
    </xf>
    <xf numFmtId="3" fontId="0" fillId="4" borderId="5" applyNumberFormat="1" applyFont="1" applyFill="1" applyBorder="1" applyAlignment="1" applyProtection="0">
      <alignment vertical="center"/>
    </xf>
    <xf numFmtId="3" fontId="0" fillId="2" borderId="5" applyNumberFormat="1" applyFont="1" applyFill="1" applyBorder="1" applyAlignment="1" applyProtection="0">
      <alignment vertical="center"/>
    </xf>
    <xf numFmtId="3" fontId="0" fillId="5" borderId="5" applyNumberFormat="1" applyFont="1" applyFill="1" applyBorder="1" applyAlignment="1" applyProtection="0">
      <alignment vertical="center"/>
    </xf>
    <xf numFmtId="3" fontId="0" fillId="5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/>
    </xf>
    <xf numFmtId="49" fontId="6" fillId="6" borderId="8" applyNumberFormat="1" applyFont="1" applyFill="1" applyBorder="1" applyAlignment="1" applyProtection="0">
      <alignment horizontal="center" vertical="center"/>
    </xf>
    <xf numFmtId="49" fontId="6" fillId="6" borderId="9" applyNumberFormat="1" applyFont="1" applyFill="1" applyBorder="1" applyAlignment="1" applyProtection="0">
      <alignment horizontal="left" vertical="top" wrapText="1"/>
    </xf>
    <xf numFmtId="0" fontId="6" fillId="6" borderId="10" applyNumberFormat="1" applyFont="1" applyFill="1" applyBorder="1" applyAlignment="1" applyProtection="0">
      <alignment horizontal="center" vertical="center"/>
    </xf>
    <xf numFmtId="0" fontId="6" fillId="6" borderId="11" applyNumberFormat="1" applyFont="1" applyFill="1" applyBorder="1" applyAlignment="1" applyProtection="0">
      <alignment horizontal="center" vertical="center"/>
    </xf>
    <xf numFmtId="49" fontId="6" fillId="6" borderId="11" applyNumberFormat="1" applyFont="1" applyFill="1" applyBorder="1" applyAlignment="1" applyProtection="0">
      <alignment horizontal="center" vertical="center"/>
    </xf>
    <xf numFmtId="49" fontId="6" fillId="6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bottom"/>
    </xf>
    <xf numFmtId="0" fontId="4" fillId="2" borderId="14" applyNumberFormat="1" applyFont="1" applyFill="1" applyBorder="1" applyAlignment="1" applyProtection="0">
      <alignment horizontal="center" vertical="bottom"/>
    </xf>
    <xf numFmtId="60" fontId="4" fillId="7" borderId="15" applyNumberFormat="1" applyFont="1" applyFill="1" applyBorder="1" applyAlignment="1" applyProtection="0">
      <alignment vertical="bottom"/>
    </xf>
    <xf numFmtId="60" fontId="4" fillId="2" borderId="16" applyNumberFormat="1" applyFont="1" applyFill="1" applyBorder="1" applyAlignment="1" applyProtection="0">
      <alignment vertical="bottom"/>
    </xf>
    <xf numFmtId="60" fontId="4" fillId="7" borderId="16" applyNumberFormat="1" applyFont="1" applyFill="1" applyBorder="1" applyAlignment="1" applyProtection="0">
      <alignment vertical="bottom"/>
    </xf>
    <xf numFmtId="60" fontId="4" fillId="2" borderId="17" applyNumberFormat="1" applyFont="1" applyFill="1" applyBorder="1" applyAlignment="1" applyProtection="0">
      <alignment vertical="bottom"/>
    </xf>
    <xf numFmtId="49" fontId="4" fillId="2" borderId="18" applyNumberFormat="1" applyFont="1" applyFill="1" applyBorder="1" applyAlignment="1" applyProtection="0">
      <alignment horizontal="center" vertical="bottom"/>
    </xf>
    <xf numFmtId="0" fontId="4" fillId="2" borderId="19" applyNumberFormat="1" applyFont="1" applyFill="1" applyBorder="1" applyAlignment="1" applyProtection="0">
      <alignment horizontal="center" vertical="bottom"/>
    </xf>
    <xf numFmtId="60" fontId="4" fillId="7" borderId="20" applyNumberFormat="1" applyFont="1" applyFill="1" applyBorder="1" applyAlignment="1" applyProtection="0">
      <alignment vertical="bottom"/>
    </xf>
    <xf numFmtId="60" fontId="4" fillId="2" borderId="21" applyNumberFormat="1" applyFont="1" applyFill="1" applyBorder="1" applyAlignment="1" applyProtection="0">
      <alignment vertical="bottom"/>
    </xf>
    <xf numFmtId="60" fontId="4" fillId="7" borderId="21" applyNumberFormat="1" applyFont="1" applyFill="1" applyBorder="1" applyAlignment="1" applyProtection="0">
      <alignment vertical="bottom"/>
    </xf>
    <xf numFmtId="9" fontId="4" fillId="2" borderId="22" applyNumberFormat="1" applyFont="1" applyFill="1" applyBorder="1" applyAlignment="1" applyProtection="0">
      <alignment vertical="bottom"/>
    </xf>
    <xf numFmtId="49" fontId="4" fillId="2" borderId="23" applyNumberFormat="1" applyFont="1" applyFill="1" applyBorder="1" applyAlignment="1" applyProtection="0">
      <alignment horizontal="center" vertical="bottom"/>
    </xf>
    <xf numFmtId="0" fontId="4" fillId="2" borderId="24" applyNumberFormat="1" applyFont="1" applyFill="1" applyBorder="1" applyAlignment="1" applyProtection="0">
      <alignment horizontal="center" vertical="bottom"/>
    </xf>
    <xf numFmtId="60" fontId="4" fillId="7" borderId="25" applyNumberFormat="1" applyFont="1" applyFill="1" applyBorder="1" applyAlignment="1" applyProtection="0">
      <alignment vertical="bottom"/>
    </xf>
    <xf numFmtId="60" fontId="4" fillId="2" borderId="26" applyNumberFormat="1" applyFont="1" applyFill="1" applyBorder="1" applyAlignment="1" applyProtection="0">
      <alignment vertical="bottom"/>
    </xf>
    <xf numFmtId="60" fontId="4" fillId="7" borderId="26" applyNumberFormat="1" applyFont="1" applyFill="1" applyBorder="1" applyAlignment="1" applyProtection="0">
      <alignment vertical="bottom"/>
    </xf>
    <xf numFmtId="9" fontId="4" fillId="2" borderId="27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center"/>
    </xf>
    <xf numFmtId="49" fontId="6" fillId="6" borderId="29" applyNumberFormat="1" applyFont="1" applyFill="1" applyBorder="1" applyAlignment="1" applyProtection="0">
      <alignment horizontal="center" vertical="center"/>
    </xf>
    <xf numFmtId="49" fontId="6" fillId="6" borderId="10" applyNumberFormat="1" applyFont="1" applyFill="1" applyBorder="1" applyAlignment="1" applyProtection="0">
      <alignment horizontal="center" vertical="center"/>
    </xf>
    <xf numFmtId="49" fontId="6" fillId="6" borderId="30" applyNumberFormat="1" applyFont="1" applyFill="1" applyBorder="1" applyAlignment="1" applyProtection="0">
      <alignment horizontal="center" vertical="center"/>
    </xf>
    <xf numFmtId="60" fontId="4" fillId="2" borderId="15" applyNumberFormat="1" applyFont="1" applyFill="1" applyBorder="1" applyAlignment="1" applyProtection="0">
      <alignment vertical="bottom"/>
    </xf>
    <xf numFmtId="10" fontId="4" fillId="2" borderId="16" applyNumberFormat="1" applyFont="1" applyFill="1" applyBorder="1" applyAlignment="1" applyProtection="0">
      <alignment vertical="bottom"/>
    </xf>
    <xf numFmtId="49" fontId="6" fillId="6" borderId="31" applyNumberFormat="1" applyFont="1" applyFill="1" applyBorder="1" applyAlignment="1" applyProtection="0">
      <alignment horizontal="center" vertical="center"/>
    </xf>
    <xf numFmtId="60" fontId="4" fillId="2" borderId="25" applyNumberFormat="1" applyFont="1" applyFill="1" applyBorder="1" applyAlignment="1" applyProtection="0">
      <alignment vertical="bottom"/>
    </xf>
    <xf numFmtId="61" fontId="4" fillId="2" borderId="26" applyNumberFormat="1" applyFont="1" applyFill="1" applyBorder="1" applyAlignment="1" applyProtection="0">
      <alignment vertical="bottom"/>
    </xf>
    <xf numFmtId="60" fontId="4" fillId="2" borderId="27" applyNumberFormat="1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center"/>
    </xf>
    <xf numFmtId="0" fontId="0" fillId="2" borderId="33" applyNumberFormat="0" applyFont="1" applyFill="1" applyBorder="1" applyAlignment="1" applyProtection="0">
      <alignment vertical="center"/>
    </xf>
    <xf numFmtId="49" fontId="6" fillId="6" borderId="34" applyNumberFormat="1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36" applyNumberFormat="0" applyFont="1" applyFill="1" applyBorder="1" applyAlignment="1" applyProtection="0">
      <alignment vertical="center"/>
    </xf>
    <xf numFmtId="62" fontId="4" fillId="2" borderId="15" applyNumberFormat="1" applyFont="1" applyFill="1" applyBorder="1" applyAlignment="1" applyProtection="0">
      <alignment vertical="bottom"/>
    </xf>
    <xf numFmtId="9" fontId="4" fillId="2" borderId="16" applyNumberFormat="1" applyFont="1" applyFill="1" applyBorder="1" applyAlignment="1" applyProtection="0">
      <alignment vertical="bottom"/>
    </xf>
    <xf numFmtId="0" fontId="4" fillId="2" borderId="14" applyNumberFormat="1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center"/>
    </xf>
    <xf numFmtId="60" fontId="4" fillId="2" borderId="20" applyNumberFormat="1" applyFont="1" applyFill="1" applyBorder="1" applyAlignment="1" applyProtection="0">
      <alignment vertical="bottom"/>
    </xf>
    <xf numFmtId="9" fontId="4" fillId="2" borderId="21" applyNumberFormat="1" applyFont="1" applyFill="1" applyBorder="1" applyAlignment="1" applyProtection="0">
      <alignment vertical="bottom"/>
    </xf>
    <xf numFmtId="60" fontId="4" fillId="2" borderId="19" applyNumberFormat="1" applyFont="1" applyFill="1" applyBorder="1" applyAlignment="1" applyProtection="0">
      <alignment vertical="bottom"/>
    </xf>
    <xf numFmtId="9" fontId="4" fillId="2" borderId="26" applyNumberFormat="1" applyFont="1" applyFill="1" applyBorder="1" applyAlignment="1" applyProtection="0">
      <alignment vertical="bottom"/>
    </xf>
    <xf numFmtId="60" fontId="4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4" fillId="4" borderId="34" applyNumberFormat="1" applyFont="1" applyFill="1" applyBorder="1" applyAlignment="1" applyProtection="0">
      <alignment horizontal="center" vertical="center"/>
    </xf>
    <xf numFmtId="0" fontId="0" borderId="37" applyNumberFormat="0" applyFont="1" applyFill="0" applyBorder="1" applyAlignment="1" applyProtection="0">
      <alignment vertical="center"/>
    </xf>
    <xf numFmtId="0" fontId="0" borderId="36" applyNumberFormat="0" applyFont="1" applyFill="0" applyBorder="1" applyAlignment="1" applyProtection="0">
      <alignment vertical="center"/>
    </xf>
    <xf numFmtId="49" fontId="0" borderId="34" applyNumberFormat="1" applyFont="1" applyFill="0" applyBorder="1" applyAlignment="1" applyProtection="0">
      <alignment horizontal="center" vertical="center"/>
    </xf>
    <xf numFmtId="0" fontId="0" borderId="32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ffffff"/>
      <rgbColor rgb="ffaaaaaa"/>
      <rgbColor rgb="ff4bacc6"/>
      <rgbColor rgb="fff2dbdb"/>
      <rgbColor rgb="ffdbe5f1"/>
      <rgbColor rgb="ffeaf1dd"/>
      <rgbColor rgb="ff3b608d"/>
      <rgbColor rgb="ffe5b8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"/>
  <sheetViews>
    <sheetView workbookViewId="0" showGridLines="0" defaultGridColor="1"/>
  </sheetViews>
  <sheetFormatPr defaultColWidth="8.83333" defaultRowHeight="16.5" customHeight="1" outlineLevelRow="0" outlineLevelCol="0"/>
  <cols>
    <col min="1" max="2" width="9" style="1" customWidth="1"/>
    <col min="3" max="3" width="10.3516" style="1" customWidth="1"/>
    <col min="4" max="7" width="9" style="1" customWidth="1"/>
    <col min="8" max="8" width="17.3516" style="1" customWidth="1"/>
    <col min="9" max="9" width="7.85156" style="1" customWidth="1"/>
    <col min="10" max="10" width="13.3516" style="1" customWidth="1"/>
    <col min="11" max="14" width="10.5" style="1" customWidth="1"/>
    <col min="15" max="15" width="13.3516" style="1" customWidth="1"/>
    <col min="16" max="20" width="10.5" style="1" customWidth="1"/>
    <col min="21" max="16384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6" customHeight="1">
      <c r="A2" s="3">
        <v>7</v>
      </c>
      <c r="B2" t="s" s="4">
        <v>20</v>
      </c>
      <c r="C2" s="5">
        <v>32264</v>
      </c>
      <c r="D2" t="s" s="4">
        <v>21</v>
      </c>
      <c r="E2" s="6">
        <v>9</v>
      </c>
      <c r="F2" s="6">
        <v>3</v>
      </c>
      <c r="G2" t="s" s="7">
        <f>INDEX('조견표'!$A$3:$A$12,E2,1)</f>
        <v>22</v>
      </c>
      <c r="H2" t="s" s="8">
        <v>23</v>
      </c>
      <c r="I2" t="s" s="9">
        <f>IF(MOD(MID(H2,8,1),2)=0,"여","남")</f>
        <v>24</v>
      </c>
      <c r="J2" s="10">
        <f>SUM(K2:N2)</f>
        <v>3596041.28272</v>
      </c>
      <c r="K2" s="11">
        <f>INDEX('조견표'!$C$3:$G$12,E2,F2)</f>
        <v>3196041.28272</v>
      </c>
      <c r="L2" s="11">
        <f t="shared" si="4" ref="L2:L51">'조견표'!$D$15</f>
        <v>100000</v>
      </c>
      <c r="M2" s="11">
        <f>IF(E2&lt;7,'조견표'!$E$15,0)</f>
        <v>0</v>
      </c>
      <c r="N2" s="11">
        <f>IF(E2&gt;7,'조견표'!$F$15,0)</f>
        <v>300000</v>
      </c>
      <c r="O2" s="12">
        <f>SUM(P2:T2)</f>
        <v>648959.026910081</v>
      </c>
      <c r="P2" s="13">
        <f>(J2*LOOKUP(J2,'조견표'!$B$19:$C$22))-VLOOKUP(J2,'조견표'!$B$19:$D$22,3)</f>
        <v>370931.146334401</v>
      </c>
      <c r="Q2" s="13">
        <f>P2*10%</f>
        <v>37093.1146334401</v>
      </c>
      <c r="R2" s="13">
        <f>J2*4.5%</f>
        <v>161821.8577224</v>
      </c>
      <c r="S2" s="13">
        <f>J2*2%</f>
        <v>71920.8256544</v>
      </c>
      <c r="T2" s="14">
        <f>J2*0.2%</f>
        <v>7192.08256544</v>
      </c>
    </row>
    <row r="3" ht="16" customHeight="1">
      <c r="A3" s="3">
        <v>8</v>
      </c>
      <c r="B3" t="s" s="4">
        <v>25</v>
      </c>
      <c r="C3" s="5">
        <v>32264</v>
      </c>
      <c r="D3" t="s" s="4">
        <v>21</v>
      </c>
      <c r="E3" s="6">
        <v>9</v>
      </c>
      <c r="F3" s="6">
        <v>3</v>
      </c>
      <c r="G3" t="s" s="7">
        <f>INDEX('조견표'!$A$3:$A$12,E3,1)</f>
        <v>22</v>
      </c>
      <c r="H3" t="s" s="8">
        <v>26</v>
      </c>
      <c r="I3" t="s" s="9">
        <f>IF(MOD(MID(H3,8,1),2)=0,"여","남")</f>
        <v>24</v>
      </c>
      <c r="J3" s="10">
        <f>SUM(K3:N3)</f>
        <v>3596041.28272</v>
      </c>
      <c r="K3" s="11">
        <f>INDEX('조견표'!$C$3:$G$12,E3,F3)</f>
        <v>3196041.28272</v>
      </c>
      <c r="L3" s="11">
        <f t="shared" si="4"/>
        <v>100000</v>
      </c>
      <c r="M3" s="11">
        <f>IF(E3&lt;7,'조견표'!$E$15,0)</f>
        <v>0</v>
      </c>
      <c r="N3" s="11">
        <f>IF(E3&gt;7,'조견표'!$F$15,0)</f>
        <v>300000</v>
      </c>
      <c r="O3" s="12">
        <f>SUM(P3:T3)</f>
        <v>648959.026910081</v>
      </c>
      <c r="P3" s="13">
        <f>(J3*LOOKUP(J3,'조견표'!$B$19:$C$22))-VLOOKUP(J3,'조견표'!$B$19:$D$22,3)</f>
        <v>370931.146334401</v>
      </c>
      <c r="Q3" s="13">
        <f>P3*10%</f>
        <v>37093.1146334401</v>
      </c>
      <c r="R3" s="13">
        <f>J3*4.5%</f>
        <v>161821.8577224</v>
      </c>
      <c r="S3" s="13">
        <f>J3*2%</f>
        <v>71920.8256544</v>
      </c>
      <c r="T3" s="14">
        <f>J3*0.2%</f>
        <v>7192.08256544</v>
      </c>
    </row>
    <row r="4" ht="16" customHeight="1">
      <c r="A4" s="3">
        <v>15</v>
      </c>
      <c r="B4" t="s" s="4">
        <v>27</v>
      </c>
      <c r="C4" s="5">
        <v>33635</v>
      </c>
      <c r="D4" t="s" s="4">
        <v>21</v>
      </c>
      <c r="E4" s="6">
        <v>6</v>
      </c>
      <c r="F4" s="6">
        <v>4</v>
      </c>
      <c r="G4" t="s" s="7">
        <f>INDEX('조견표'!$A$3:$A$12,E4,1)</f>
        <v>28</v>
      </c>
      <c r="H4" t="s" s="8">
        <v>29</v>
      </c>
      <c r="I4" t="s" s="9">
        <f>IF(MOD(MID(H4,8,1),2)=0,"여","남")</f>
        <v>24</v>
      </c>
      <c r="J4" s="10">
        <f>SUM(K4:N4)</f>
        <v>2063986.38</v>
      </c>
      <c r="K4" s="11">
        <f>INDEX('조견표'!$C$3:$G$12,E4,F4)</f>
        <v>1893986.38</v>
      </c>
      <c r="L4" s="11">
        <f t="shared" si="4"/>
        <v>100000</v>
      </c>
      <c r="M4" s="11">
        <f>IF(E4&lt;7,'조견표'!$E$15,0)</f>
        <v>70000</v>
      </c>
      <c r="N4" s="11">
        <f>IF(E4&gt;7,'조견표'!$F$15,0)</f>
        <v>0</v>
      </c>
      <c r="O4" s="12">
        <f>SUM(P4:T4)</f>
        <v>464456.3907</v>
      </c>
      <c r="P4" s="13">
        <f>(J4*LOOKUP(J4,'조견표'!$B$19:$C$22))-VLOOKUP(J4,'조견표'!$B$19:$D$22,3)</f>
        <v>296517.5484</v>
      </c>
      <c r="Q4" s="13">
        <f>P4*10%</f>
        <v>29651.75484</v>
      </c>
      <c r="R4" s="13">
        <f>J4*4.5%</f>
        <v>92879.387100000007</v>
      </c>
      <c r="S4" s="13">
        <f>J4*2%</f>
        <v>41279.7276</v>
      </c>
      <c r="T4" s="14">
        <f>J4*0.2%</f>
        <v>4127.97276</v>
      </c>
    </row>
    <row r="5" ht="16" customHeight="1">
      <c r="A5" s="3">
        <v>16</v>
      </c>
      <c r="B5" t="s" s="4">
        <v>30</v>
      </c>
      <c r="C5" s="5">
        <v>33635</v>
      </c>
      <c r="D5" t="s" s="4">
        <v>21</v>
      </c>
      <c r="E5" s="6">
        <v>6</v>
      </c>
      <c r="F5" s="6">
        <v>4</v>
      </c>
      <c r="G5" t="s" s="7">
        <f>INDEX('조견표'!$A$3:$A$12,E5,1)</f>
        <v>28</v>
      </c>
      <c r="H5" t="s" s="8">
        <v>31</v>
      </c>
      <c r="I5" t="s" s="9">
        <f>IF(MOD(MID(H5,8,1),2)=0,"여","남")</f>
        <v>24</v>
      </c>
      <c r="J5" s="10">
        <f>SUM(K5:N5)</f>
        <v>2063986.38</v>
      </c>
      <c r="K5" s="11">
        <f>INDEX('조견표'!$C$3:$G$12,E5,F5)</f>
        <v>1893986.38</v>
      </c>
      <c r="L5" s="11">
        <f t="shared" si="4"/>
        <v>100000</v>
      </c>
      <c r="M5" s="11">
        <f>IF(E5&lt;7,'조견표'!$E$15,0)</f>
        <v>70000</v>
      </c>
      <c r="N5" s="11">
        <f>IF(E5&gt;7,'조견표'!$F$15,0)</f>
        <v>0</v>
      </c>
      <c r="O5" s="12">
        <f>SUM(P5:T5)</f>
        <v>464456.3907</v>
      </c>
      <c r="P5" s="13">
        <f>(J5*LOOKUP(J5,'조견표'!$B$19:$C$22))-VLOOKUP(J5,'조견표'!$B$19:$D$22,3)</f>
        <v>296517.5484</v>
      </c>
      <c r="Q5" s="13">
        <f>P5*10%</f>
        <v>29651.75484</v>
      </c>
      <c r="R5" s="13">
        <f>J5*4.5%</f>
        <v>92879.387100000007</v>
      </c>
      <c r="S5" s="13">
        <f>J5*2%</f>
        <v>41279.7276</v>
      </c>
      <c r="T5" s="14">
        <f>J5*0.2%</f>
        <v>4127.97276</v>
      </c>
    </row>
    <row r="6" ht="16" customHeight="1">
      <c r="A6" s="3">
        <v>17</v>
      </c>
      <c r="B6" t="s" s="4">
        <v>32</v>
      </c>
      <c r="C6" s="5">
        <v>33989</v>
      </c>
      <c r="D6" t="s" s="4">
        <v>33</v>
      </c>
      <c r="E6" s="6">
        <v>7</v>
      </c>
      <c r="F6" s="6">
        <v>3</v>
      </c>
      <c r="G6" t="s" s="7">
        <f>INDEX('조견표'!$A$3:$A$12,E6,1)</f>
        <v>34</v>
      </c>
      <c r="H6" t="s" s="8">
        <v>35</v>
      </c>
      <c r="I6" t="s" s="9">
        <f>IF(MOD(MID(H6,8,1),2)=0,"여","남")</f>
        <v>24</v>
      </c>
      <c r="J6" s="10">
        <f>SUM(K6:N6)</f>
        <v>2334993.904</v>
      </c>
      <c r="K6" s="11">
        <f>INDEX('조견표'!$C$3:$G$12,E6,F6)</f>
        <v>2234993.904</v>
      </c>
      <c r="L6" s="11">
        <f t="shared" si="4"/>
        <v>100000</v>
      </c>
      <c r="M6" s="11">
        <f>IF(E6&lt;7,'조견표'!$E$15,0)</f>
        <v>0</v>
      </c>
      <c r="N6" s="11">
        <f>IF(E6&gt;7,'조견표'!$F$15,0)</f>
        <v>0</v>
      </c>
      <c r="O6" s="12">
        <f>SUM(P6:T6)</f>
        <v>536273.38456</v>
      </c>
      <c r="P6" s="13">
        <f>(J6*LOOKUP(J6,'조견표'!$B$19:$C$22))-VLOOKUP(J6,'조견표'!$B$19:$D$22,3)</f>
        <v>345298.90272</v>
      </c>
      <c r="Q6" s="13">
        <f>P6*10%</f>
        <v>34529.890272</v>
      </c>
      <c r="R6" s="13">
        <f>J6*4.5%</f>
        <v>105074.72568</v>
      </c>
      <c r="S6" s="13">
        <f>J6*2%</f>
        <v>46699.87808</v>
      </c>
      <c r="T6" s="14">
        <f>J6*0.2%</f>
        <v>4669.987808</v>
      </c>
    </row>
    <row r="7" ht="16" customHeight="1">
      <c r="A7" s="3">
        <v>18</v>
      </c>
      <c r="B7" t="s" s="4">
        <v>36</v>
      </c>
      <c r="C7" s="5">
        <v>33989</v>
      </c>
      <c r="D7" t="s" s="4">
        <v>33</v>
      </c>
      <c r="E7" s="6">
        <v>7</v>
      </c>
      <c r="F7" s="6">
        <v>2</v>
      </c>
      <c r="G7" t="s" s="7">
        <f>INDEX('조견표'!$A$3:$A$12,E7,1)</f>
        <v>34</v>
      </c>
      <c r="H7" t="s" s="8">
        <v>37</v>
      </c>
      <c r="I7" t="s" s="9">
        <f>IF(MOD(MID(H7,8,1),2)=0,"여","남")</f>
        <v>24</v>
      </c>
      <c r="J7" s="10">
        <f>SUM(K7:N7)</f>
        <v>2297204.152</v>
      </c>
      <c r="K7" s="11">
        <f>INDEX('조견표'!$C$3:$G$12,E7,F7)</f>
        <v>2197204.152</v>
      </c>
      <c r="L7" s="11">
        <f t="shared" si="4"/>
        <v>100000</v>
      </c>
      <c r="M7" s="11">
        <f>IF(E7&lt;7,'조견표'!$E$15,0)</f>
        <v>0</v>
      </c>
      <c r="N7" s="11">
        <f>IF(E7&gt;7,'조견표'!$F$15,0)</f>
        <v>0</v>
      </c>
      <c r="O7" s="12">
        <f>SUM(P7:T7)</f>
        <v>526259.10028</v>
      </c>
      <c r="P7" s="13">
        <f>(J7*LOOKUP(J7,'조견표'!$B$19:$C$22))-VLOOKUP(J7,'조견표'!$B$19:$D$22,3)</f>
        <v>338496.74736</v>
      </c>
      <c r="Q7" s="13">
        <f>P7*10%</f>
        <v>33849.674736</v>
      </c>
      <c r="R7" s="13">
        <f>J7*4.5%</f>
        <v>103374.18684</v>
      </c>
      <c r="S7" s="13">
        <f>J7*2%</f>
        <v>45944.08304</v>
      </c>
      <c r="T7" s="14">
        <f>J7*0.2%</f>
        <v>4594.408304</v>
      </c>
    </row>
    <row r="8" ht="16" customHeight="1">
      <c r="A8" s="3">
        <v>22</v>
      </c>
      <c r="B8" t="s" s="4">
        <v>38</v>
      </c>
      <c r="C8" s="5">
        <v>34394</v>
      </c>
      <c r="D8" t="s" s="4">
        <v>33</v>
      </c>
      <c r="E8" s="6">
        <v>6</v>
      </c>
      <c r="F8" s="6">
        <v>1</v>
      </c>
      <c r="G8" t="s" s="7">
        <f>INDEX('조견표'!$A$3:$A$12,E8,1)</f>
        <v>28</v>
      </c>
      <c r="H8" t="s" s="8">
        <v>39</v>
      </c>
      <c r="I8" t="s" s="9">
        <f>IF(MOD(MID(H8,8,1),2)=0,"여","남")</f>
        <v>24</v>
      </c>
      <c r="J8" s="10">
        <f>SUM(K8:N8)</f>
        <v>1969512</v>
      </c>
      <c r="K8" s="11">
        <f>INDEX('조견표'!$C$3:$G$12,E8,F8)</f>
        <v>1799512</v>
      </c>
      <c r="L8" s="11">
        <f t="shared" si="4"/>
        <v>100000</v>
      </c>
      <c r="M8" s="11">
        <f>IF(E8&lt;7,'조견표'!$E$15,0)</f>
        <v>70000</v>
      </c>
      <c r="N8" s="11">
        <f>IF(E8&gt;7,'조견표'!$F$15,0)</f>
        <v>0</v>
      </c>
      <c r="O8" s="12">
        <f>SUM(P8:T8)</f>
        <v>439420.68</v>
      </c>
      <c r="P8" s="13">
        <f>(J8*LOOKUP(J8,'조견표'!$B$19:$C$22))-VLOOKUP(J8,'조견표'!$B$19:$D$22,3)</f>
        <v>279512.16</v>
      </c>
      <c r="Q8" s="13">
        <f>P8*10%</f>
        <v>27951.216</v>
      </c>
      <c r="R8" s="13">
        <f>J8*4.5%</f>
        <v>88628.039999999994</v>
      </c>
      <c r="S8" s="13">
        <f>J8*2%</f>
        <v>39390.24</v>
      </c>
      <c r="T8" s="14">
        <f>J8*0.2%</f>
        <v>3939.024</v>
      </c>
    </row>
    <row r="9" ht="16" customHeight="1">
      <c r="A9" s="3">
        <v>26</v>
      </c>
      <c r="B9" t="s" s="4">
        <v>40</v>
      </c>
      <c r="C9" s="5">
        <v>34394</v>
      </c>
      <c r="D9" t="s" s="4">
        <v>33</v>
      </c>
      <c r="E9" s="6">
        <v>6</v>
      </c>
      <c r="F9" s="6">
        <v>1</v>
      </c>
      <c r="G9" t="s" s="7">
        <f>INDEX('조견표'!$A$3:$A$12,E9,1)</f>
        <v>28</v>
      </c>
      <c r="H9" t="s" s="8">
        <v>41</v>
      </c>
      <c r="I9" t="s" s="9">
        <f>IF(MOD(MID(H9,8,1),2)=0,"여","남")</f>
        <v>24</v>
      </c>
      <c r="J9" s="10">
        <f>SUM(K9:N9)</f>
        <v>1969512</v>
      </c>
      <c r="K9" s="11">
        <f>INDEX('조견표'!$C$3:$G$12,E9,F9)</f>
        <v>1799512</v>
      </c>
      <c r="L9" s="11">
        <f t="shared" si="4"/>
        <v>100000</v>
      </c>
      <c r="M9" s="11">
        <f>IF(E9&lt;7,'조견표'!$E$15,0)</f>
        <v>70000</v>
      </c>
      <c r="N9" s="11">
        <f>IF(E9&gt;7,'조견표'!$F$15,0)</f>
        <v>0</v>
      </c>
      <c r="O9" s="12">
        <f>SUM(P9:T9)</f>
        <v>439420.68</v>
      </c>
      <c r="P9" s="13">
        <f>(J9*LOOKUP(J9,'조견표'!$B$19:$C$22))-VLOOKUP(J9,'조견표'!$B$19:$D$22,3)</f>
        <v>279512.16</v>
      </c>
      <c r="Q9" s="13">
        <f>P9*10%</f>
        <v>27951.216</v>
      </c>
      <c r="R9" s="13">
        <f>J9*4.5%</f>
        <v>88628.039999999994</v>
      </c>
      <c r="S9" s="13">
        <f>J9*2%</f>
        <v>39390.24</v>
      </c>
      <c r="T9" s="14">
        <f>J9*0.2%</f>
        <v>3939.024</v>
      </c>
    </row>
    <row r="10" ht="16" customHeight="1">
      <c r="A10" s="3">
        <v>43</v>
      </c>
      <c r="B10" t="s" s="4">
        <v>42</v>
      </c>
      <c r="C10" s="5">
        <v>35125</v>
      </c>
      <c r="D10" t="s" s="4">
        <v>33</v>
      </c>
      <c r="E10" s="6">
        <v>5</v>
      </c>
      <c r="F10" s="6">
        <v>1</v>
      </c>
      <c r="G10" t="s" s="7">
        <f>INDEX('조견표'!$A$3:$A$12,E10,1)</f>
        <v>28</v>
      </c>
      <c r="H10" t="s" s="8">
        <v>43</v>
      </c>
      <c r="I10" t="s" s="9">
        <f>IF(MOD(MID(H10,8,1),2)=0,"여","남")</f>
        <v>24</v>
      </c>
      <c r="J10" s="10">
        <f>SUM(K10:N10)</f>
        <v>1805920</v>
      </c>
      <c r="K10" s="11">
        <f>INDEX('조견표'!$C$3:$G$12,E10,F10)</f>
        <v>1635920</v>
      </c>
      <c r="L10" s="11">
        <f t="shared" si="4"/>
        <v>100000</v>
      </c>
      <c r="M10" s="11">
        <f>IF(E10&lt;7,'조견표'!$E$15,0)</f>
        <v>70000</v>
      </c>
      <c r="N10" s="11">
        <f>IF(E10&gt;7,'조견표'!$F$15,0)</f>
        <v>0</v>
      </c>
      <c r="O10" s="12">
        <f>SUM(P10:T10)</f>
        <v>396068.8</v>
      </c>
      <c r="P10" s="13">
        <f>(J10*LOOKUP(J10,'조견표'!$B$19:$C$22))-VLOOKUP(J10,'조견표'!$B$19:$D$22,3)</f>
        <v>250065.6</v>
      </c>
      <c r="Q10" s="13">
        <f>P10*10%</f>
        <v>25006.56</v>
      </c>
      <c r="R10" s="13">
        <f>J10*4.5%</f>
        <v>81266.399999999994</v>
      </c>
      <c r="S10" s="13">
        <f>J10*2%</f>
        <v>36118.4</v>
      </c>
      <c r="T10" s="14">
        <f>J10*0.2%</f>
        <v>3611.84</v>
      </c>
    </row>
    <row r="11" ht="16" customHeight="1">
      <c r="A11" s="3">
        <v>44</v>
      </c>
      <c r="B11" t="s" s="4">
        <v>44</v>
      </c>
      <c r="C11" s="5">
        <v>35125</v>
      </c>
      <c r="D11" t="s" s="4">
        <v>33</v>
      </c>
      <c r="E11" s="6">
        <v>5</v>
      </c>
      <c r="F11" s="6">
        <v>1</v>
      </c>
      <c r="G11" t="s" s="7">
        <f>INDEX('조견표'!$A$3:$A$12,E11,1)</f>
        <v>28</v>
      </c>
      <c r="H11" t="s" s="8">
        <v>45</v>
      </c>
      <c r="I11" t="s" s="9">
        <f>IF(MOD(MID(H11,8,1),2)=0,"여","남")</f>
        <v>24</v>
      </c>
      <c r="J11" s="10">
        <f>SUM(K11:N11)</f>
        <v>1805920</v>
      </c>
      <c r="K11" s="11">
        <f>INDEX('조견표'!$C$3:$G$12,E11,F11)</f>
        <v>1635920</v>
      </c>
      <c r="L11" s="11">
        <f t="shared" si="4"/>
        <v>100000</v>
      </c>
      <c r="M11" s="11">
        <f>IF(E11&lt;7,'조견표'!$E$15,0)</f>
        <v>70000</v>
      </c>
      <c r="N11" s="11">
        <f>IF(E11&gt;7,'조견표'!$F$15,0)</f>
        <v>0</v>
      </c>
      <c r="O11" s="12">
        <f>SUM(P11:T11)</f>
        <v>396068.8</v>
      </c>
      <c r="P11" s="13">
        <f>(J11*LOOKUP(J11,'조견표'!$B$19:$C$22))-VLOOKUP(J11,'조견표'!$B$19:$D$22,3)</f>
        <v>250065.6</v>
      </c>
      <c r="Q11" s="13">
        <f>P11*10%</f>
        <v>25006.56</v>
      </c>
      <c r="R11" s="13">
        <f>J11*4.5%</f>
        <v>81266.399999999994</v>
      </c>
      <c r="S11" s="13">
        <f>J11*2%</f>
        <v>36118.4</v>
      </c>
      <c r="T11" s="14">
        <f>J11*0.2%</f>
        <v>3611.84</v>
      </c>
    </row>
    <row r="12" ht="16" customHeight="1">
      <c r="A12" s="3">
        <v>45</v>
      </c>
      <c r="B12" t="s" s="4">
        <v>46</v>
      </c>
      <c r="C12" s="5">
        <v>35125</v>
      </c>
      <c r="D12" t="s" s="4">
        <v>33</v>
      </c>
      <c r="E12" s="6">
        <v>4</v>
      </c>
      <c r="F12" s="6">
        <v>1</v>
      </c>
      <c r="G12" t="s" s="7">
        <f>INDEX('조견표'!$A$3:$A$12,E12,1)</f>
        <v>47</v>
      </c>
      <c r="H12" t="s" s="8">
        <v>48</v>
      </c>
      <c r="I12" t="s" s="9">
        <f>IF(MOD(MID(H12,8,1),2)=0,"여","남")</f>
        <v>24</v>
      </c>
      <c r="J12" s="10">
        <f>SUM(K12:N12)</f>
        <v>1428400</v>
      </c>
      <c r="K12" s="11">
        <f>INDEX('조견표'!$C$3:$G$12,E12,F12)</f>
        <v>1258400</v>
      </c>
      <c r="L12" s="11">
        <f t="shared" si="4"/>
        <v>100000</v>
      </c>
      <c r="M12" s="11">
        <f>IF(E12&lt;7,'조견표'!$E$15,0)</f>
        <v>70000</v>
      </c>
      <c r="N12" s="11">
        <f>IF(E12&gt;7,'조견표'!$F$15,0)</f>
        <v>0</v>
      </c>
      <c r="O12" s="12">
        <f>SUM(P12:T12)</f>
        <v>296026</v>
      </c>
      <c r="P12" s="13">
        <f>(J12*LOOKUP(J12,'조견표'!$B$19:$C$22))-VLOOKUP(J12,'조견표'!$B$19:$D$22,3)</f>
        <v>182112</v>
      </c>
      <c r="Q12" s="13">
        <f>P12*10%</f>
        <v>18211.2</v>
      </c>
      <c r="R12" s="13">
        <f>J12*4.5%</f>
        <v>64278</v>
      </c>
      <c r="S12" s="13">
        <f>J12*2%</f>
        <v>28568</v>
      </c>
      <c r="T12" s="14">
        <f>J12*0.2%</f>
        <v>2856.8</v>
      </c>
    </row>
    <row r="13" ht="16" customHeight="1">
      <c r="A13" s="3">
        <v>46</v>
      </c>
      <c r="B13" t="s" s="4">
        <v>49</v>
      </c>
      <c r="C13" s="5">
        <v>35125</v>
      </c>
      <c r="D13" t="s" s="4">
        <v>33</v>
      </c>
      <c r="E13" s="6">
        <v>4</v>
      </c>
      <c r="F13" s="6">
        <v>1</v>
      </c>
      <c r="G13" t="s" s="7">
        <f>INDEX('조견표'!$A$3:$A$12,E13,1)</f>
        <v>47</v>
      </c>
      <c r="H13" t="s" s="8">
        <v>50</v>
      </c>
      <c r="I13" t="s" s="9">
        <f>IF(MOD(MID(H13,8,1),2)=0,"여","남")</f>
        <v>24</v>
      </c>
      <c r="J13" s="10">
        <f>SUM(K13:N13)</f>
        <v>1428400</v>
      </c>
      <c r="K13" s="11">
        <f>INDEX('조견표'!$C$3:$G$12,E13,F13)</f>
        <v>1258400</v>
      </c>
      <c r="L13" s="11">
        <f t="shared" si="4"/>
        <v>100000</v>
      </c>
      <c r="M13" s="11">
        <f>IF(E13&lt;7,'조견표'!$E$15,0)</f>
        <v>70000</v>
      </c>
      <c r="N13" s="11">
        <f>IF(E13&gt;7,'조견표'!$F$15,0)</f>
        <v>0</v>
      </c>
      <c r="O13" s="12">
        <f>SUM(P13:T13)</f>
        <v>296026</v>
      </c>
      <c r="P13" s="13">
        <f>(J13*LOOKUP(J13,'조견표'!$B$19:$C$22))-VLOOKUP(J13,'조견표'!$B$19:$D$22,3)</f>
        <v>182112</v>
      </c>
      <c r="Q13" s="13">
        <f>P13*10%</f>
        <v>18211.2</v>
      </c>
      <c r="R13" s="13">
        <f>J13*4.5%</f>
        <v>64278</v>
      </c>
      <c r="S13" s="13">
        <f>J13*2%</f>
        <v>28568</v>
      </c>
      <c r="T13" s="14">
        <f>J13*0.2%</f>
        <v>2856.8</v>
      </c>
    </row>
    <row r="14" ht="16" customHeight="1">
      <c r="A14" s="3">
        <v>47</v>
      </c>
      <c r="B14" t="s" s="4">
        <v>51</v>
      </c>
      <c r="C14" s="5">
        <v>35217</v>
      </c>
      <c r="D14" t="s" s="4">
        <v>33</v>
      </c>
      <c r="E14" s="6">
        <v>8</v>
      </c>
      <c r="F14" s="6">
        <v>3</v>
      </c>
      <c r="G14" t="s" s="7">
        <f>INDEX('조견표'!$A$3:$A$12,E14,1)</f>
        <v>34</v>
      </c>
      <c r="H14" t="s" s="8">
        <v>52</v>
      </c>
      <c r="I14" t="s" s="9">
        <f>IF(MOD(MID(H14,8,1),2)=0,"여","남")</f>
        <v>24</v>
      </c>
      <c r="J14" s="10">
        <f>SUM(K14:N14)</f>
        <v>2858493.2944</v>
      </c>
      <c r="K14" s="11">
        <f>INDEX('조견표'!$C$3:$G$12,E14,F14)</f>
        <v>2458493.2944</v>
      </c>
      <c r="L14" s="11">
        <f t="shared" si="4"/>
        <v>100000</v>
      </c>
      <c r="M14" s="11">
        <f>IF(E14&lt;7,'조견표'!$E$15,0)</f>
        <v>0</v>
      </c>
      <c r="N14" s="11">
        <f>IF(E14&gt;7,'조견표'!$F$15,0)</f>
        <v>300000</v>
      </c>
      <c r="O14" s="12">
        <f>SUM(P14:T14)</f>
        <v>675000.723016</v>
      </c>
      <c r="P14" s="13">
        <f>(J14*LOOKUP(J14,'조견표'!$B$19:$C$22))-VLOOKUP(J14,'조견표'!$B$19:$D$22,3)</f>
        <v>439528.792992</v>
      </c>
      <c r="Q14" s="13">
        <f>P14*10%</f>
        <v>43952.8792992</v>
      </c>
      <c r="R14" s="13">
        <f>J14*4.5%</f>
        <v>128632.198248</v>
      </c>
      <c r="S14" s="13">
        <f>J14*2%</f>
        <v>57169.865888</v>
      </c>
      <c r="T14" s="14">
        <f>J14*0.2%</f>
        <v>5716.9865888</v>
      </c>
    </row>
    <row r="15" ht="16" customHeight="1">
      <c r="A15" s="3">
        <v>48</v>
      </c>
      <c r="B15" t="s" s="4">
        <v>53</v>
      </c>
      <c r="C15" s="5">
        <v>35217</v>
      </c>
      <c r="D15" t="s" s="4">
        <v>33</v>
      </c>
      <c r="E15" s="6">
        <v>8</v>
      </c>
      <c r="F15" s="6">
        <v>3</v>
      </c>
      <c r="G15" t="s" s="7">
        <f>INDEX('조견표'!$A$3:$A$12,E15,1)</f>
        <v>34</v>
      </c>
      <c r="H15" t="s" s="8">
        <v>54</v>
      </c>
      <c r="I15" t="s" s="9">
        <f>IF(MOD(MID(H15,8,1),2)=0,"여","남")</f>
        <v>24</v>
      </c>
      <c r="J15" s="10">
        <f>SUM(K15:N15)</f>
        <v>2858493.2944</v>
      </c>
      <c r="K15" s="11">
        <f>INDEX('조견표'!$C$3:$G$12,E15,F15)</f>
        <v>2458493.2944</v>
      </c>
      <c r="L15" s="11">
        <f t="shared" si="4"/>
        <v>100000</v>
      </c>
      <c r="M15" s="11">
        <f>IF(E15&lt;7,'조견표'!$E$15,0)</f>
        <v>0</v>
      </c>
      <c r="N15" s="11">
        <f>IF(E15&gt;7,'조견표'!$F$15,0)</f>
        <v>300000</v>
      </c>
      <c r="O15" s="12">
        <f>SUM(P15:T15)</f>
        <v>675000.723016</v>
      </c>
      <c r="P15" s="13">
        <f>(J15*LOOKUP(J15,'조견표'!$B$19:$C$22))-VLOOKUP(J15,'조견표'!$B$19:$D$22,3)</f>
        <v>439528.792992</v>
      </c>
      <c r="Q15" s="13">
        <f>P15*10%</f>
        <v>43952.8792992</v>
      </c>
      <c r="R15" s="13">
        <f>J15*4.5%</f>
        <v>128632.198248</v>
      </c>
      <c r="S15" s="13">
        <f>J15*2%</f>
        <v>57169.865888</v>
      </c>
      <c r="T15" s="14">
        <f>J15*0.2%</f>
        <v>5716.9865888</v>
      </c>
    </row>
    <row r="16" ht="16" customHeight="1">
      <c r="A16" s="3">
        <v>49</v>
      </c>
      <c r="B16" t="s" s="4">
        <v>55</v>
      </c>
      <c r="C16" s="5">
        <v>35431</v>
      </c>
      <c r="D16" t="s" s="4">
        <v>33</v>
      </c>
      <c r="E16" s="6">
        <v>4</v>
      </c>
      <c r="F16" s="6">
        <v>1</v>
      </c>
      <c r="G16" t="s" s="7">
        <f>INDEX('조견표'!$A$3:$A$12,E16,1)</f>
        <v>47</v>
      </c>
      <c r="H16" t="s" s="8">
        <v>56</v>
      </c>
      <c r="I16" t="s" s="9">
        <f>IF(MOD(MID(H16,8,1),2)=0,"여","남")</f>
        <v>24</v>
      </c>
      <c r="J16" s="10">
        <f>SUM(K16:N16)</f>
        <v>1428400</v>
      </c>
      <c r="K16" s="11">
        <f>INDEX('조견표'!$C$3:$G$12,E16,F16)</f>
        <v>1258400</v>
      </c>
      <c r="L16" s="11">
        <f t="shared" si="4"/>
        <v>100000</v>
      </c>
      <c r="M16" s="11">
        <f>IF(E16&lt;7,'조견표'!$E$15,0)</f>
        <v>70000</v>
      </c>
      <c r="N16" s="11">
        <f>IF(E16&gt;7,'조견표'!$F$15,0)</f>
        <v>0</v>
      </c>
      <c r="O16" s="12">
        <f>SUM(P16:T16)</f>
        <v>296026</v>
      </c>
      <c r="P16" s="13">
        <f>(J16*LOOKUP(J16,'조견표'!$B$19:$C$22))-VLOOKUP(J16,'조견표'!$B$19:$D$22,3)</f>
        <v>182112</v>
      </c>
      <c r="Q16" s="13">
        <f>P16*10%</f>
        <v>18211.2</v>
      </c>
      <c r="R16" s="13">
        <f>J16*4.5%</f>
        <v>64278</v>
      </c>
      <c r="S16" s="13">
        <f>J16*2%</f>
        <v>28568</v>
      </c>
      <c r="T16" s="14">
        <f>J16*0.2%</f>
        <v>2856.8</v>
      </c>
    </row>
    <row r="17" ht="16" customHeight="1">
      <c r="A17" s="3">
        <v>50</v>
      </c>
      <c r="B17" t="s" s="4">
        <v>57</v>
      </c>
      <c r="C17" s="5">
        <v>35431</v>
      </c>
      <c r="D17" t="s" s="4">
        <v>33</v>
      </c>
      <c r="E17" s="6">
        <v>4</v>
      </c>
      <c r="F17" s="6">
        <v>1</v>
      </c>
      <c r="G17" t="s" s="7">
        <f>INDEX('조견표'!$A$3:$A$12,E17,1)</f>
        <v>47</v>
      </c>
      <c r="H17" t="s" s="8">
        <v>58</v>
      </c>
      <c r="I17" t="s" s="9">
        <f>IF(MOD(MID(H17,8,1),2)=0,"여","남")</f>
        <v>24</v>
      </c>
      <c r="J17" s="10">
        <f>SUM(K17:N17)</f>
        <v>1428400</v>
      </c>
      <c r="K17" s="11">
        <f>INDEX('조견표'!$C$3:$G$12,E17,F17)</f>
        <v>1258400</v>
      </c>
      <c r="L17" s="11">
        <f t="shared" si="4"/>
        <v>100000</v>
      </c>
      <c r="M17" s="11">
        <f>IF(E17&lt;7,'조견표'!$E$15,0)</f>
        <v>70000</v>
      </c>
      <c r="N17" s="11">
        <f>IF(E17&gt;7,'조견표'!$F$15,0)</f>
        <v>0</v>
      </c>
      <c r="O17" s="12">
        <f>SUM(P17:T17)</f>
        <v>296026</v>
      </c>
      <c r="P17" s="13">
        <f>(J17*LOOKUP(J17,'조견표'!$B$19:$C$22))-VLOOKUP(J17,'조견표'!$B$19:$D$22,3)</f>
        <v>182112</v>
      </c>
      <c r="Q17" s="13">
        <f>P17*10%</f>
        <v>18211.2</v>
      </c>
      <c r="R17" s="13">
        <f>J17*4.5%</f>
        <v>64278</v>
      </c>
      <c r="S17" s="13">
        <f>J17*2%</f>
        <v>28568</v>
      </c>
      <c r="T17" s="14">
        <f>J17*0.2%</f>
        <v>2856.8</v>
      </c>
    </row>
    <row r="18" ht="16" customHeight="1">
      <c r="A18" s="3">
        <v>4</v>
      </c>
      <c r="B18" t="s" s="4">
        <v>59</v>
      </c>
      <c r="C18" s="5">
        <v>31868</v>
      </c>
      <c r="D18" t="s" s="4">
        <v>60</v>
      </c>
      <c r="E18" s="6">
        <v>7</v>
      </c>
      <c r="F18" s="6">
        <v>3</v>
      </c>
      <c r="G18" t="s" s="7">
        <f>INDEX('조견표'!$A$3:$A$12,E18,1)</f>
        <v>34</v>
      </c>
      <c r="H18" t="s" s="8">
        <v>61</v>
      </c>
      <c r="I18" t="s" s="9">
        <f>IF(MOD(MID(H18,8,1),2)=0,"여","남")</f>
        <v>62</v>
      </c>
      <c r="J18" s="10">
        <f>SUM(K18:N18)</f>
        <v>2334993.904</v>
      </c>
      <c r="K18" s="11">
        <f>INDEX('조견표'!$C$3:$G$12,E18,F18)</f>
        <v>2234993.904</v>
      </c>
      <c r="L18" s="11">
        <f t="shared" si="4"/>
        <v>100000</v>
      </c>
      <c r="M18" s="11">
        <f>IF(E18&lt;7,'조견표'!$E$15,0)</f>
        <v>0</v>
      </c>
      <c r="N18" s="11">
        <f>IF(E18&gt;7,'조견표'!$F$15,0)</f>
        <v>0</v>
      </c>
      <c r="O18" s="12">
        <f>SUM(P18:T18)</f>
        <v>536273.38456</v>
      </c>
      <c r="P18" s="13">
        <f>(J18*LOOKUP(J18,'조견표'!$B$19:$C$22))-VLOOKUP(J18,'조견표'!$B$19:$D$22,3)</f>
        <v>345298.90272</v>
      </c>
      <c r="Q18" s="13">
        <f>P18*10%</f>
        <v>34529.890272</v>
      </c>
      <c r="R18" s="13">
        <f>J18*4.5%</f>
        <v>105074.72568</v>
      </c>
      <c r="S18" s="13">
        <f>J18*2%</f>
        <v>46699.87808</v>
      </c>
      <c r="T18" s="14">
        <f>J18*0.2%</f>
        <v>4669.987808</v>
      </c>
    </row>
    <row r="19" ht="16" customHeight="1">
      <c r="A19" s="3">
        <v>5</v>
      </c>
      <c r="B19" t="s" s="4">
        <v>63</v>
      </c>
      <c r="C19" s="5">
        <v>31868</v>
      </c>
      <c r="D19" t="s" s="4">
        <v>60</v>
      </c>
      <c r="E19" s="6">
        <v>7</v>
      </c>
      <c r="F19" s="6">
        <v>3</v>
      </c>
      <c r="G19" t="s" s="7">
        <f>INDEX('조견표'!$A$3:$A$12,E19,1)</f>
        <v>34</v>
      </c>
      <c r="H19" t="s" s="8">
        <v>64</v>
      </c>
      <c r="I19" t="s" s="9">
        <f>IF(MOD(MID(H19,8,1),2)=0,"여","남")</f>
        <v>62</v>
      </c>
      <c r="J19" s="10">
        <f>SUM(K19:N19)</f>
        <v>2334993.904</v>
      </c>
      <c r="K19" s="11">
        <f>INDEX('조견표'!$C$3:$G$12,E19,F19)</f>
        <v>2234993.904</v>
      </c>
      <c r="L19" s="11">
        <f t="shared" si="4"/>
        <v>100000</v>
      </c>
      <c r="M19" s="11">
        <f>IF(E19&lt;7,'조견표'!$E$15,0)</f>
        <v>0</v>
      </c>
      <c r="N19" s="11">
        <f>IF(E19&gt;7,'조견표'!$F$15,0)</f>
        <v>0</v>
      </c>
      <c r="O19" s="12">
        <f>SUM(P19:T19)</f>
        <v>536273.38456</v>
      </c>
      <c r="P19" s="13">
        <f>(J19*LOOKUP(J19,'조견표'!$B$19:$C$22))-VLOOKUP(J19,'조견표'!$B$19:$D$22,3)</f>
        <v>345298.90272</v>
      </c>
      <c r="Q19" s="13">
        <f>P19*10%</f>
        <v>34529.890272</v>
      </c>
      <c r="R19" s="13">
        <f>J19*4.5%</f>
        <v>105074.72568</v>
      </c>
      <c r="S19" s="13">
        <f>J19*2%</f>
        <v>46699.87808</v>
      </c>
      <c r="T19" s="14">
        <f>J19*0.2%</f>
        <v>4669.987808</v>
      </c>
    </row>
    <row r="20" ht="16" customHeight="1">
      <c r="A20" s="3">
        <v>6</v>
      </c>
      <c r="B20" t="s" s="4">
        <v>65</v>
      </c>
      <c r="C20" s="5">
        <v>31868</v>
      </c>
      <c r="D20" t="s" s="4">
        <v>60</v>
      </c>
      <c r="E20" s="6">
        <v>7</v>
      </c>
      <c r="F20" s="6">
        <v>3</v>
      </c>
      <c r="G20" t="s" s="7">
        <f>INDEX('조견표'!$A$3:$A$12,E20,1)</f>
        <v>34</v>
      </c>
      <c r="H20" t="s" s="8">
        <v>66</v>
      </c>
      <c r="I20" t="s" s="9">
        <f>IF(MOD(MID(H20,8,1),2)=0,"여","남")</f>
        <v>24</v>
      </c>
      <c r="J20" s="10">
        <f>SUM(K20:N20)</f>
        <v>2334993.904</v>
      </c>
      <c r="K20" s="11">
        <f>INDEX('조견표'!$C$3:$G$12,E20,F20)</f>
        <v>2234993.904</v>
      </c>
      <c r="L20" s="11">
        <f t="shared" si="4"/>
        <v>100000</v>
      </c>
      <c r="M20" s="11">
        <f>IF(E20&lt;7,'조견표'!$E$15,0)</f>
        <v>0</v>
      </c>
      <c r="N20" s="11">
        <f>IF(E20&gt;7,'조견표'!$F$15,0)</f>
        <v>0</v>
      </c>
      <c r="O20" s="12">
        <f>SUM(P20:T20)</f>
        <v>536273.38456</v>
      </c>
      <c r="P20" s="13">
        <f>(J20*LOOKUP(J20,'조견표'!$B$19:$C$22))-VLOOKUP(J20,'조견표'!$B$19:$D$22,3)</f>
        <v>345298.90272</v>
      </c>
      <c r="Q20" s="13">
        <f>P20*10%</f>
        <v>34529.890272</v>
      </c>
      <c r="R20" s="13">
        <f>J20*4.5%</f>
        <v>105074.72568</v>
      </c>
      <c r="S20" s="13">
        <f>J20*2%</f>
        <v>46699.87808</v>
      </c>
      <c r="T20" s="14">
        <f>J20*0.2%</f>
        <v>4669.987808</v>
      </c>
    </row>
    <row r="21" ht="16" customHeight="1">
      <c r="A21" s="3">
        <v>12</v>
      </c>
      <c r="B21" t="s" s="4">
        <v>67</v>
      </c>
      <c r="C21" s="5">
        <v>33609</v>
      </c>
      <c r="D21" t="s" s="4">
        <v>60</v>
      </c>
      <c r="E21" s="6">
        <v>9</v>
      </c>
      <c r="F21" s="6">
        <v>3</v>
      </c>
      <c r="G21" t="s" s="7">
        <f>INDEX('조견표'!$A$3:$A$12,E21,1)</f>
        <v>22</v>
      </c>
      <c r="H21" t="s" s="8">
        <v>68</v>
      </c>
      <c r="I21" t="s" s="9">
        <f>IF(MOD(MID(H21,8,1),2)=0,"여","남")</f>
        <v>24</v>
      </c>
      <c r="J21" s="10">
        <f>SUM(K21:N21)</f>
        <v>3596041.28272</v>
      </c>
      <c r="K21" s="11">
        <f>INDEX('조견표'!$C$3:$G$12,E21,F21)</f>
        <v>3196041.28272</v>
      </c>
      <c r="L21" s="11">
        <f t="shared" si="4"/>
        <v>100000</v>
      </c>
      <c r="M21" s="11">
        <f>IF(E21&lt;7,'조견표'!$E$15,0)</f>
        <v>0</v>
      </c>
      <c r="N21" s="11">
        <f>IF(E21&gt;7,'조견표'!$F$15,0)</f>
        <v>300000</v>
      </c>
      <c r="O21" s="12">
        <f>SUM(P21:T21)</f>
        <v>648959.026910081</v>
      </c>
      <c r="P21" s="13">
        <f>(J21*LOOKUP(J21,'조견표'!$B$19:$C$22))-VLOOKUP(J21,'조견표'!$B$19:$D$22,3)</f>
        <v>370931.146334401</v>
      </c>
      <c r="Q21" s="13">
        <f>P21*10%</f>
        <v>37093.1146334401</v>
      </c>
      <c r="R21" s="13">
        <f>J21*4.5%</f>
        <v>161821.8577224</v>
      </c>
      <c r="S21" s="13">
        <f>J21*2%</f>
        <v>71920.8256544</v>
      </c>
      <c r="T21" s="14">
        <f>J21*0.2%</f>
        <v>7192.08256544</v>
      </c>
    </row>
    <row r="22" ht="16" customHeight="1">
      <c r="A22" s="3">
        <v>13</v>
      </c>
      <c r="B22" t="s" s="4">
        <v>69</v>
      </c>
      <c r="C22" s="5">
        <v>33609</v>
      </c>
      <c r="D22" t="s" s="4">
        <v>60</v>
      </c>
      <c r="E22" s="6">
        <v>9</v>
      </c>
      <c r="F22" s="6">
        <v>3</v>
      </c>
      <c r="G22" t="s" s="7">
        <f>INDEX('조견표'!$A$3:$A$12,E22,1)</f>
        <v>22</v>
      </c>
      <c r="H22" t="s" s="8">
        <v>70</v>
      </c>
      <c r="I22" t="s" s="9">
        <f>IF(MOD(MID(H22,8,1),2)=0,"여","남")</f>
        <v>24</v>
      </c>
      <c r="J22" s="10">
        <f>SUM(K22:N22)</f>
        <v>3596041.28272</v>
      </c>
      <c r="K22" s="11">
        <f>INDEX('조견표'!$C$3:$G$12,E22,F22)</f>
        <v>3196041.28272</v>
      </c>
      <c r="L22" s="11">
        <f t="shared" si="4"/>
        <v>100000</v>
      </c>
      <c r="M22" s="11">
        <f>IF(E22&lt;7,'조견표'!$E$15,0)</f>
        <v>0</v>
      </c>
      <c r="N22" s="11">
        <f>IF(E22&gt;7,'조견표'!$F$15,0)</f>
        <v>300000</v>
      </c>
      <c r="O22" s="12">
        <f>SUM(P22:T22)</f>
        <v>648959.026910081</v>
      </c>
      <c r="P22" s="13">
        <f>(J22*LOOKUP(J22,'조견표'!$B$19:$C$22))-VLOOKUP(J22,'조견표'!$B$19:$D$22,3)</f>
        <v>370931.146334401</v>
      </c>
      <c r="Q22" s="13">
        <f>P22*10%</f>
        <v>37093.1146334401</v>
      </c>
      <c r="R22" s="13">
        <f>J22*4.5%</f>
        <v>161821.8577224</v>
      </c>
      <c r="S22" s="13">
        <f>J22*2%</f>
        <v>71920.8256544</v>
      </c>
      <c r="T22" s="14">
        <f>J22*0.2%</f>
        <v>7192.08256544</v>
      </c>
    </row>
    <row r="23" ht="16" customHeight="1">
      <c r="A23" s="3">
        <v>14</v>
      </c>
      <c r="B23" t="s" s="4">
        <v>71</v>
      </c>
      <c r="C23" s="5">
        <v>33609</v>
      </c>
      <c r="D23" t="s" s="4">
        <v>60</v>
      </c>
      <c r="E23" s="6">
        <v>9</v>
      </c>
      <c r="F23" s="6">
        <v>3</v>
      </c>
      <c r="G23" t="s" s="7">
        <f>INDEX('조견표'!$A$3:$A$12,E23,1)</f>
        <v>22</v>
      </c>
      <c r="H23" t="s" s="8">
        <v>72</v>
      </c>
      <c r="I23" t="s" s="9">
        <f>IF(MOD(MID(H23,8,1),2)=0,"여","남")</f>
        <v>24</v>
      </c>
      <c r="J23" s="10">
        <f>SUM(K23:N23)</f>
        <v>3596041.28272</v>
      </c>
      <c r="K23" s="11">
        <f>INDEX('조견표'!$C$3:$G$12,E23,F23)</f>
        <v>3196041.28272</v>
      </c>
      <c r="L23" s="11">
        <f t="shared" si="4"/>
        <v>100000</v>
      </c>
      <c r="M23" s="11">
        <f>IF(E23&lt;7,'조견표'!$E$15,0)</f>
        <v>0</v>
      </c>
      <c r="N23" s="11">
        <f>IF(E23&gt;7,'조견표'!$F$15,0)</f>
        <v>300000</v>
      </c>
      <c r="O23" s="12">
        <f>SUM(P23:T23)</f>
        <v>648959.026910081</v>
      </c>
      <c r="P23" s="13">
        <f>(J23*LOOKUP(J23,'조견표'!$B$19:$C$22))-VLOOKUP(J23,'조견표'!$B$19:$D$22,3)</f>
        <v>370931.146334401</v>
      </c>
      <c r="Q23" s="13">
        <f>P23*10%</f>
        <v>37093.1146334401</v>
      </c>
      <c r="R23" s="13">
        <f>J23*4.5%</f>
        <v>161821.8577224</v>
      </c>
      <c r="S23" s="13">
        <f>J23*2%</f>
        <v>71920.8256544</v>
      </c>
      <c r="T23" s="14">
        <f>J23*0.2%</f>
        <v>7192.08256544</v>
      </c>
    </row>
    <row r="24" ht="16" customHeight="1">
      <c r="A24" s="3">
        <v>19</v>
      </c>
      <c r="B24" t="s" s="4">
        <v>73</v>
      </c>
      <c r="C24" s="5">
        <v>34394</v>
      </c>
      <c r="D24" t="s" s="4">
        <v>60</v>
      </c>
      <c r="E24" s="6">
        <v>6</v>
      </c>
      <c r="F24" s="6">
        <v>1</v>
      </c>
      <c r="G24" t="s" s="7">
        <f>INDEX('조견표'!$A$3:$A$12,E24,1)</f>
        <v>28</v>
      </c>
      <c r="H24" t="s" s="8">
        <v>74</v>
      </c>
      <c r="I24" t="s" s="9">
        <f>IF(MOD(MID(H24,8,1),2)=0,"여","남")</f>
        <v>24</v>
      </c>
      <c r="J24" s="10">
        <f>SUM(K24:N24)</f>
        <v>1969512</v>
      </c>
      <c r="K24" s="11">
        <f>INDEX('조견표'!$C$3:$G$12,E24,F24)</f>
        <v>1799512</v>
      </c>
      <c r="L24" s="11">
        <f t="shared" si="4"/>
        <v>100000</v>
      </c>
      <c r="M24" s="11">
        <f>IF(E24&lt;7,'조견표'!$E$15,0)</f>
        <v>70000</v>
      </c>
      <c r="N24" s="11">
        <f>IF(E24&gt;7,'조견표'!$F$15,0)</f>
        <v>0</v>
      </c>
      <c r="O24" s="12">
        <f>SUM(P24:T24)</f>
        <v>439420.68</v>
      </c>
      <c r="P24" s="13">
        <f>(J24*LOOKUP(J24,'조견표'!$B$19:$C$22))-VLOOKUP(J24,'조견표'!$B$19:$D$22,3)</f>
        <v>279512.16</v>
      </c>
      <c r="Q24" s="13">
        <f>P24*10%</f>
        <v>27951.216</v>
      </c>
      <c r="R24" s="13">
        <f>J24*4.5%</f>
        <v>88628.039999999994</v>
      </c>
      <c r="S24" s="13">
        <f>J24*2%</f>
        <v>39390.24</v>
      </c>
      <c r="T24" s="14">
        <f>J24*0.2%</f>
        <v>3939.024</v>
      </c>
    </row>
    <row r="25" ht="16" customHeight="1">
      <c r="A25" s="3">
        <v>20</v>
      </c>
      <c r="B25" t="s" s="4">
        <v>75</v>
      </c>
      <c r="C25" s="5">
        <v>34394</v>
      </c>
      <c r="D25" t="s" s="4">
        <v>60</v>
      </c>
      <c r="E25" s="6">
        <v>6</v>
      </c>
      <c r="F25" s="6">
        <v>1</v>
      </c>
      <c r="G25" t="s" s="7">
        <f>INDEX('조견표'!$A$3:$A$12,E25,1)</f>
        <v>28</v>
      </c>
      <c r="H25" t="s" s="8">
        <v>76</v>
      </c>
      <c r="I25" t="s" s="9">
        <f>IF(MOD(MID(H25,8,1),2)=0,"여","남")</f>
        <v>24</v>
      </c>
      <c r="J25" s="10">
        <f>SUM(K25:N25)</f>
        <v>1969512</v>
      </c>
      <c r="K25" s="11">
        <f>INDEX('조견표'!$C$3:$G$12,E25,F25)</f>
        <v>1799512</v>
      </c>
      <c r="L25" s="11">
        <f t="shared" si="4"/>
        <v>100000</v>
      </c>
      <c r="M25" s="11">
        <f>IF(E25&lt;7,'조견표'!$E$15,0)</f>
        <v>70000</v>
      </c>
      <c r="N25" s="11">
        <f>IF(E25&gt;7,'조견표'!$F$15,0)</f>
        <v>0</v>
      </c>
      <c r="O25" s="12">
        <f>SUM(P25:T25)</f>
        <v>439420.68</v>
      </c>
      <c r="P25" s="13">
        <f>(J25*LOOKUP(J25,'조견표'!$B$19:$C$22))-VLOOKUP(J25,'조견표'!$B$19:$D$22,3)</f>
        <v>279512.16</v>
      </c>
      <c r="Q25" s="13">
        <f>P25*10%</f>
        <v>27951.216</v>
      </c>
      <c r="R25" s="13">
        <f>J25*4.5%</f>
        <v>88628.039999999994</v>
      </c>
      <c r="S25" s="13">
        <f>J25*2%</f>
        <v>39390.24</v>
      </c>
      <c r="T25" s="14">
        <f>J25*0.2%</f>
        <v>3939.024</v>
      </c>
    </row>
    <row r="26" ht="16" customHeight="1">
      <c r="A26" s="3">
        <v>21</v>
      </c>
      <c r="B26" t="s" s="4">
        <v>77</v>
      </c>
      <c r="C26" s="5">
        <v>34394</v>
      </c>
      <c r="D26" t="s" s="4">
        <v>60</v>
      </c>
      <c r="E26" s="6">
        <v>6</v>
      </c>
      <c r="F26" s="6">
        <v>1</v>
      </c>
      <c r="G26" t="s" s="7">
        <f>INDEX('조견표'!$A$3:$A$12,E26,1)</f>
        <v>28</v>
      </c>
      <c r="H26" t="s" s="8">
        <v>78</v>
      </c>
      <c r="I26" t="s" s="9">
        <f>IF(MOD(MID(H26,8,1),2)=0,"여","남")</f>
        <v>24</v>
      </c>
      <c r="J26" s="10">
        <f>SUM(K26:N26)</f>
        <v>1969512</v>
      </c>
      <c r="K26" s="11">
        <f>INDEX('조견표'!$C$3:$G$12,E26,F26)</f>
        <v>1799512</v>
      </c>
      <c r="L26" s="11">
        <f t="shared" si="4"/>
        <v>100000</v>
      </c>
      <c r="M26" s="11">
        <f>IF(E26&lt;7,'조견표'!$E$15,0)</f>
        <v>70000</v>
      </c>
      <c r="N26" s="11">
        <f>IF(E26&gt;7,'조견표'!$F$15,0)</f>
        <v>0</v>
      </c>
      <c r="O26" s="12">
        <f>SUM(P26:T26)</f>
        <v>439420.68</v>
      </c>
      <c r="P26" s="13">
        <f>(J26*LOOKUP(J26,'조견표'!$B$19:$C$22))-VLOOKUP(J26,'조견표'!$B$19:$D$22,3)</f>
        <v>279512.16</v>
      </c>
      <c r="Q26" s="13">
        <f>P26*10%</f>
        <v>27951.216</v>
      </c>
      <c r="R26" s="13">
        <f>J26*4.5%</f>
        <v>88628.039999999994</v>
      </c>
      <c r="S26" s="13">
        <f>J26*2%</f>
        <v>39390.24</v>
      </c>
      <c r="T26" s="14">
        <f>J26*0.2%</f>
        <v>3939.024</v>
      </c>
    </row>
    <row r="27" ht="16" customHeight="1">
      <c r="A27" s="3">
        <v>23</v>
      </c>
      <c r="B27" t="s" s="4">
        <v>79</v>
      </c>
      <c r="C27" s="5">
        <v>34394</v>
      </c>
      <c r="D27" t="s" s="4">
        <v>60</v>
      </c>
      <c r="E27" s="6">
        <v>6</v>
      </c>
      <c r="F27" s="6">
        <v>1</v>
      </c>
      <c r="G27" t="s" s="7">
        <f>INDEX('조견표'!$A$3:$A$12,E27,1)</f>
        <v>28</v>
      </c>
      <c r="H27" t="s" s="8">
        <v>80</v>
      </c>
      <c r="I27" t="s" s="9">
        <f>IF(MOD(MID(H27,8,1),2)=0,"여","남")</f>
        <v>24</v>
      </c>
      <c r="J27" s="10">
        <f>SUM(K27:N27)</f>
        <v>1969512</v>
      </c>
      <c r="K27" s="11">
        <f>INDEX('조견표'!$C$3:$G$12,E27,F27)</f>
        <v>1799512</v>
      </c>
      <c r="L27" s="11">
        <f t="shared" si="4"/>
        <v>100000</v>
      </c>
      <c r="M27" s="11">
        <f>IF(E27&lt;7,'조견표'!$E$15,0)</f>
        <v>70000</v>
      </c>
      <c r="N27" s="11">
        <f>IF(E27&gt;7,'조견표'!$F$15,0)</f>
        <v>0</v>
      </c>
      <c r="O27" s="12">
        <f>SUM(P27:T27)</f>
        <v>439420.68</v>
      </c>
      <c r="P27" s="13">
        <f>(J27*LOOKUP(J27,'조견표'!$B$19:$C$22))-VLOOKUP(J27,'조견표'!$B$19:$D$22,3)</f>
        <v>279512.16</v>
      </c>
      <c r="Q27" s="13">
        <f>P27*10%</f>
        <v>27951.216</v>
      </c>
      <c r="R27" s="13">
        <f>J27*4.5%</f>
        <v>88628.039999999994</v>
      </c>
      <c r="S27" s="13">
        <f>J27*2%</f>
        <v>39390.24</v>
      </c>
      <c r="T27" s="14">
        <f>J27*0.2%</f>
        <v>3939.024</v>
      </c>
    </row>
    <row r="28" ht="16" customHeight="1">
      <c r="A28" s="3">
        <v>24</v>
      </c>
      <c r="B28" t="s" s="4">
        <v>81</v>
      </c>
      <c r="C28" s="5">
        <v>34394</v>
      </c>
      <c r="D28" t="s" s="4">
        <v>60</v>
      </c>
      <c r="E28" s="6">
        <v>6</v>
      </c>
      <c r="F28" s="6">
        <v>1</v>
      </c>
      <c r="G28" t="s" s="7">
        <f>INDEX('조견표'!$A$3:$A$12,E28,1)</f>
        <v>28</v>
      </c>
      <c r="H28" t="s" s="8">
        <v>82</v>
      </c>
      <c r="I28" t="s" s="9">
        <f>IF(MOD(MID(H28,8,1),2)=0,"여","남")</f>
        <v>24</v>
      </c>
      <c r="J28" s="10">
        <f>SUM(K28:N28)</f>
        <v>1969512</v>
      </c>
      <c r="K28" s="11">
        <f>INDEX('조견표'!$C$3:$G$12,E28,F28)</f>
        <v>1799512</v>
      </c>
      <c r="L28" s="11">
        <f t="shared" si="4"/>
        <v>100000</v>
      </c>
      <c r="M28" s="11">
        <f>IF(E28&lt;7,'조견표'!$E$15,0)</f>
        <v>70000</v>
      </c>
      <c r="N28" s="11">
        <f>IF(E28&gt;7,'조견표'!$F$15,0)</f>
        <v>0</v>
      </c>
      <c r="O28" s="12">
        <f>SUM(P28:T28)</f>
        <v>439420.68</v>
      </c>
      <c r="P28" s="13">
        <f>(J28*LOOKUP(J28,'조견표'!$B$19:$C$22))-VLOOKUP(J28,'조견표'!$B$19:$D$22,3)</f>
        <v>279512.16</v>
      </c>
      <c r="Q28" s="13">
        <f>P28*10%</f>
        <v>27951.216</v>
      </c>
      <c r="R28" s="13">
        <f>J28*4.5%</f>
        <v>88628.039999999994</v>
      </c>
      <c r="S28" s="13">
        <f>J28*2%</f>
        <v>39390.24</v>
      </c>
      <c r="T28" s="14">
        <f>J28*0.2%</f>
        <v>3939.024</v>
      </c>
    </row>
    <row r="29" ht="16" customHeight="1">
      <c r="A29" s="3">
        <v>25</v>
      </c>
      <c r="B29" t="s" s="4">
        <v>83</v>
      </c>
      <c r="C29" s="5">
        <v>34394</v>
      </c>
      <c r="D29" t="s" s="4">
        <v>60</v>
      </c>
      <c r="E29" s="6">
        <v>6</v>
      </c>
      <c r="F29" s="6">
        <v>1</v>
      </c>
      <c r="G29" t="s" s="7">
        <f>INDEX('조견표'!$A$3:$A$12,E29,1)</f>
        <v>28</v>
      </c>
      <c r="H29" t="s" s="8">
        <v>84</v>
      </c>
      <c r="I29" t="s" s="9">
        <f>IF(MOD(MID(H29,8,1),2)=0,"여","남")</f>
        <v>24</v>
      </c>
      <c r="J29" s="10">
        <f>SUM(K29:N29)</f>
        <v>1969512</v>
      </c>
      <c r="K29" s="11">
        <f>INDEX('조견표'!$C$3:$G$12,E29,F29)</f>
        <v>1799512</v>
      </c>
      <c r="L29" s="11">
        <f t="shared" si="4"/>
        <v>100000</v>
      </c>
      <c r="M29" s="11">
        <f>IF(E29&lt;7,'조견표'!$E$15,0)</f>
        <v>70000</v>
      </c>
      <c r="N29" s="11">
        <f>IF(E29&gt;7,'조견표'!$F$15,0)</f>
        <v>0</v>
      </c>
      <c r="O29" s="12">
        <f>SUM(P29:T29)</f>
        <v>439420.68</v>
      </c>
      <c r="P29" s="13">
        <f>(J29*LOOKUP(J29,'조견표'!$B$19:$C$22))-VLOOKUP(J29,'조견표'!$B$19:$D$22,3)</f>
        <v>279512.16</v>
      </c>
      <c r="Q29" s="13">
        <f>P29*10%</f>
        <v>27951.216</v>
      </c>
      <c r="R29" s="13">
        <f>J29*4.5%</f>
        <v>88628.039999999994</v>
      </c>
      <c r="S29" s="13">
        <f>J29*2%</f>
        <v>39390.24</v>
      </c>
      <c r="T29" s="14">
        <f>J29*0.2%</f>
        <v>3939.024</v>
      </c>
    </row>
    <row r="30" ht="16" customHeight="1">
      <c r="A30" s="3">
        <v>27</v>
      </c>
      <c r="B30" t="s" s="4">
        <v>85</v>
      </c>
      <c r="C30" s="5">
        <v>34394</v>
      </c>
      <c r="D30" t="s" s="4">
        <v>60</v>
      </c>
      <c r="E30" s="6">
        <v>6</v>
      </c>
      <c r="F30" s="6">
        <v>1</v>
      </c>
      <c r="G30" t="s" s="7">
        <f>INDEX('조견표'!$A$3:$A$12,E30,1)</f>
        <v>28</v>
      </c>
      <c r="H30" t="s" s="8">
        <v>86</v>
      </c>
      <c r="I30" t="s" s="9">
        <f>IF(MOD(MID(H30,8,1),2)=0,"여","남")</f>
        <v>24</v>
      </c>
      <c r="J30" s="10">
        <f>SUM(K30:N30)</f>
        <v>1969512</v>
      </c>
      <c r="K30" s="11">
        <f>INDEX('조견표'!$C$3:$G$12,E30,F30)</f>
        <v>1799512</v>
      </c>
      <c r="L30" s="11">
        <f t="shared" si="4"/>
        <v>100000</v>
      </c>
      <c r="M30" s="11">
        <f>IF(E30&lt;7,'조견표'!$E$15,0)</f>
        <v>70000</v>
      </c>
      <c r="N30" s="11">
        <f>IF(E30&gt;7,'조견표'!$F$15,0)</f>
        <v>0</v>
      </c>
      <c r="O30" s="12">
        <f>SUM(P30:T30)</f>
        <v>439420.68</v>
      </c>
      <c r="P30" s="13">
        <f>(J30*LOOKUP(J30,'조견표'!$B$19:$C$22))-VLOOKUP(J30,'조견표'!$B$19:$D$22,3)</f>
        <v>279512.16</v>
      </c>
      <c r="Q30" s="13">
        <f>P30*10%</f>
        <v>27951.216</v>
      </c>
      <c r="R30" s="13">
        <f>J30*4.5%</f>
        <v>88628.039999999994</v>
      </c>
      <c r="S30" s="13">
        <f>J30*2%</f>
        <v>39390.24</v>
      </c>
      <c r="T30" s="14">
        <f>J30*0.2%</f>
        <v>3939.024</v>
      </c>
    </row>
    <row r="31" ht="16" customHeight="1">
      <c r="A31" s="3">
        <v>35</v>
      </c>
      <c r="B31" t="s" s="4">
        <v>87</v>
      </c>
      <c r="C31" s="5">
        <v>34790</v>
      </c>
      <c r="D31" t="s" s="4">
        <v>60</v>
      </c>
      <c r="E31" s="6">
        <v>5</v>
      </c>
      <c r="F31" s="6">
        <v>2</v>
      </c>
      <c r="G31" t="s" s="7">
        <f>INDEX('조견표'!$A$3:$A$12,E31,1)</f>
        <v>28</v>
      </c>
      <c r="H31" t="s" s="8">
        <v>88</v>
      </c>
      <c r="I31" t="s" s="9">
        <f>IF(MOD(MID(H31,8,1),2)=0,"여","남")</f>
        <v>24</v>
      </c>
      <c r="J31" s="10">
        <f>SUM(K31:N31)</f>
        <v>1834548.6</v>
      </c>
      <c r="K31" s="11">
        <f>INDEX('조견표'!$C$3:$G$12,E31,F31)</f>
        <v>1664548.6</v>
      </c>
      <c r="L31" s="11">
        <f t="shared" si="4"/>
        <v>100000</v>
      </c>
      <c r="M31" s="11">
        <f>IF(E31&lt;7,'조견표'!$E$15,0)</f>
        <v>70000</v>
      </c>
      <c r="N31" s="11">
        <f>IF(E31&gt;7,'조견표'!$F$15,0)</f>
        <v>0</v>
      </c>
      <c r="O31" s="12">
        <f>SUM(P31:T31)</f>
        <v>403655.379</v>
      </c>
      <c r="P31" s="13">
        <f>(J31*LOOKUP(J31,'조견표'!$B$19:$C$22))-VLOOKUP(J31,'조견표'!$B$19:$D$22,3)</f>
        <v>255218.748</v>
      </c>
      <c r="Q31" s="13">
        <f>P31*10%</f>
        <v>25521.8748</v>
      </c>
      <c r="R31" s="13">
        <f>J31*4.5%</f>
        <v>82554.687000000005</v>
      </c>
      <c r="S31" s="13">
        <f>J31*2%</f>
        <v>36690.972</v>
      </c>
      <c r="T31" s="14">
        <f>J31*0.2%</f>
        <v>3669.0972</v>
      </c>
    </row>
    <row r="32" ht="16" customHeight="1">
      <c r="A32" s="3">
        <v>38</v>
      </c>
      <c r="B32" t="s" s="4">
        <v>89</v>
      </c>
      <c r="C32" s="5">
        <v>34790</v>
      </c>
      <c r="D32" t="s" s="4">
        <v>60</v>
      </c>
      <c r="E32" s="6">
        <v>5</v>
      </c>
      <c r="F32" s="6">
        <v>2</v>
      </c>
      <c r="G32" t="s" s="7">
        <f>INDEX('조견표'!$A$3:$A$12,E32,1)</f>
        <v>28</v>
      </c>
      <c r="H32" t="s" s="8">
        <v>90</v>
      </c>
      <c r="I32" t="s" s="9">
        <f>IF(MOD(MID(H32,8,1),2)=0,"여","남")</f>
        <v>24</v>
      </c>
      <c r="J32" s="10">
        <f>SUM(K32:N32)</f>
        <v>1834548.6</v>
      </c>
      <c r="K32" s="11">
        <f>INDEX('조견표'!$C$3:$G$12,E32,F32)</f>
        <v>1664548.6</v>
      </c>
      <c r="L32" s="11">
        <f t="shared" si="4"/>
        <v>100000</v>
      </c>
      <c r="M32" s="11">
        <f>IF(E32&lt;7,'조견표'!$E$15,0)</f>
        <v>70000</v>
      </c>
      <c r="N32" s="11">
        <f>IF(E32&gt;7,'조견표'!$F$15,0)</f>
        <v>0</v>
      </c>
      <c r="O32" s="12">
        <f>SUM(P32:T32)</f>
        <v>403655.379</v>
      </c>
      <c r="P32" s="13">
        <f>(J32*LOOKUP(J32,'조견표'!$B$19:$C$22))-VLOOKUP(J32,'조견표'!$B$19:$D$22,3)</f>
        <v>255218.748</v>
      </c>
      <c r="Q32" s="13">
        <f>P32*10%</f>
        <v>25521.8748</v>
      </c>
      <c r="R32" s="13">
        <f>J32*4.5%</f>
        <v>82554.687000000005</v>
      </c>
      <c r="S32" s="13">
        <f>J32*2%</f>
        <v>36690.972</v>
      </c>
      <c r="T32" s="14">
        <f>J32*0.2%</f>
        <v>3669.0972</v>
      </c>
    </row>
    <row r="33" ht="16" customHeight="1">
      <c r="A33" s="3">
        <v>41</v>
      </c>
      <c r="B33" t="s" s="4">
        <v>91</v>
      </c>
      <c r="C33" s="5">
        <v>34790</v>
      </c>
      <c r="D33" t="s" s="4">
        <v>60</v>
      </c>
      <c r="E33" s="6">
        <v>5</v>
      </c>
      <c r="F33" s="6">
        <v>2</v>
      </c>
      <c r="G33" t="s" s="7">
        <f>INDEX('조견표'!$A$3:$A$12,E33,1)</f>
        <v>28</v>
      </c>
      <c r="H33" t="s" s="8">
        <v>92</v>
      </c>
      <c r="I33" t="s" s="9">
        <f>IF(MOD(MID(H33,8,1),2)=0,"여","남")</f>
        <v>24</v>
      </c>
      <c r="J33" s="10">
        <f>SUM(K33:N33)</f>
        <v>1834548.6</v>
      </c>
      <c r="K33" s="11">
        <f>INDEX('조견표'!$C$3:$G$12,E33,F33)</f>
        <v>1664548.6</v>
      </c>
      <c r="L33" s="11">
        <f t="shared" si="4"/>
        <v>100000</v>
      </c>
      <c r="M33" s="11">
        <f>IF(E33&lt;7,'조견표'!$E$15,0)</f>
        <v>70000</v>
      </c>
      <c r="N33" s="11">
        <f>IF(E33&gt;7,'조견표'!$F$15,0)</f>
        <v>0</v>
      </c>
      <c r="O33" s="12">
        <f>SUM(P33:T33)</f>
        <v>403655.379</v>
      </c>
      <c r="P33" s="13">
        <f>(J33*LOOKUP(J33,'조견표'!$B$19:$C$22))-VLOOKUP(J33,'조견표'!$B$19:$D$22,3)</f>
        <v>255218.748</v>
      </c>
      <c r="Q33" s="13">
        <f>P33*10%</f>
        <v>25521.8748</v>
      </c>
      <c r="R33" s="13">
        <f>J33*4.5%</f>
        <v>82554.687000000005</v>
      </c>
      <c r="S33" s="13">
        <f>J33*2%</f>
        <v>36690.972</v>
      </c>
      <c r="T33" s="14">
        <f>J33*0.2%</f>
        <v>3669.0972</v>
      </c>
    </row>
    <row r="34" ht="16" customHeight="1">
      <c r="A34" s="3">
        <v>1</v>
      </c>
      <c r="B34" t="s" s="4">
        <v>93</v>
      </c>
      <c r="C34" s="5">
        <v>31837</v>
      </c>
      <c r="D34" t="s" s="4">
        <v>94</v>
      </c>
      <c r="E34" s="6">
        <v>8</v>
      </c>
      <c r="F34" s="6">
        <v>2</v>
      </c>
      <c r="G34" t="s" s="7">
        <f>INDEX('조견표'!$A$3:$A$12,E34,1)</f>
        <v>34</v>
      </c>
      <c r="H34" t="s" s="8">
        <v>95</v>
      </c>
      <c r="I34" t="s" s="9">
        <f>IF(MOD(MID(H34,8,1),2)=0,"여","남")</f>
        <v>24</v>
      </c>
      <c r="J34" s="10">
        <f>SUM(K34:N34)</f>
        <v>2816924.5672</v>
      </c>
      <c r="K34" s="11">
        <f>INDEX('조견표'!$C$3:$G$12,E34,F34)</f>
        <v>2416924.5672</v>
      </c>
      <c r="L34" s="11">
        <f t="shared" si="4"/>
        <v>100000</v>
      </c>
      <c r="M34" s="11">
        <f>IF(E34&lt;7,'조견표'!$E$15,0)</f>
        <v>0</v>
      </c>
      <c r="N34" s="11">
        <f>IF(E34&gt;7,'조견표'!$F$15,0)</f>
        <v>300000</v>
      </c>
      <c r="O34" s="12">
        <f>SUM(P34:T34)</f>
        <v>663985.010308</v>
      </c>
      <c r="P34" s="13">
        <f>(J34*LOOKUP(J34,'조견표'!$B$19:$C$22))-VLOOKUP(J34,'조견표'!$B$19:$D$22,3)</f>
        <v>432046.422096</v>
      </c>
      <c r="Q34" s="13">
        <f>P34*10%</f>
        <v>43204.6422096</v>
      </c>
      <c r="R34" s="13">
        <f>J34*4.5%</f>
        <v>126761.605524</v>
      </c>
      <c r="S34" s="13">
        <f>J34*2%</f>
        <v>56338.491344</v>
      </c>
      <c r="T34" s="14">
        <f>J34*0.2%</f>
        <v>5633.8491344</v>
      </c>
    </row>
    <row r="35" ht="16" customHeight="1">
      <c r="A35" s="3">
        <v>2</v>
      </c>
      <c r="B35" t="s" s="4">
        <v>96</v>
      </c>
      <c r="C35" s="5">
        <v>31837</v>
      </c>
      <c r="D35" t="s" s="4">
        <v>94</v>
      </c>
      <c r="E35" s="6">
        <v>8</v>
      </c>
      <c r="F35" s="6">
        <v>2</v>
      </c>
      <c r="G35" t="s" s="7">
        <f>INDEX('조견표'!$A$3:$A$12,E35,1)</f>
        <v>34</v>
      </c>
      <c r="H35" t="s" s="8">
        <v>97</v>
      </c>
      <c r="I35" t="s" s="9">
        <f>IF(MOD(MID(H35,8,1),2)=0,"여","남")</f>
        <v>62</v>
      </c>
      <c r="J35" s="10">
        <f>SUM(K35:N35)</f>
        <v>2816924.5672</v>
      </c>
      <c r="K35" s="11">
        <f>INDEX('조견표'!$C$3:$G$12,E35,F35)</f>
        <v>2416924.5672</v>
      </c>
      <c r="L35" s="11">
        <f t="shared" si="4"/>
        <v>100000</v>
      </c>
      <c r="M35" s="11">
        <f>IF(E35&lt;7,'조견표'!$E$15,0)</f>
        <v>0</v>
      </c>
      <c r="N35" s="11">
        <f>IF(E35&gt;7,'조견표'!$F$15,0)</f>
        <v>300000</v>
      </c>
      <c r="O35" s="12">
        <f>SUM(P35:T35)</f>
        <v>663985.010308</v>
      </c>
      <c r="P35" s="13">
        <f>(J35*LOOKUP(J35,'조견표'!$B$19:$C$22))-VLOOKUP(J35,'조견표'!$B$19:$D$22,3)</f>
        <v>432046.422096</v>
      </c>
      <c r="Q35" s="13">
        <f>P35*10%</f>
        <v>43204.6422096</v>
      </c>
      <c r="R35" s="13">
        <f>J35*4.5%</f>
        <v>126761.605524</v>
      </c>
      <c r="S35" s="13">
        <f>J35*2%</f>
        <v>56338.491344</v>
      </c>
      <c r="T35" s="14">
        <f>J35*0.2%</f>
        <v>5633.8491344</v>
      </c>
    </row>
    <row r="36" ht="16" customHeight="1">
      <c r="A36" s="3">
        <v>3</v>
      </c>
      <c r="B36" t="s" s="4">
        <v>98</v>
      </c>
      <c r="C36" s="5">
        <v>31837</v>
      </c>
      <c r="D36" t="s" s="4">
        <v>94</v>
      </c>
      <c r="E36" s="6">
        <v>8</v>
      </c>
      <c r="F36" s="6">
        <v>2</v>
      </c>
      <c r="G36" t="s" s="7">
        <f>INDEX('조견표'!$A$3:$A$12,E36,1)</f>
        <v>34</v>
      </c>
      <c r="H36" t="s" s="8">
        <v>99</v>
      </c>
      <c r="I36" t="s" s="9">
        <f>IF(MOD(MID(H36,8,1),2)=0,"여","남")</f>
        <v>24</v>
      </c>
      <c r="J36" s="10">
        <f>SUM(K36:N36)</f>
        <v>2816924.5672</v>
      </c>
      <c r="K36" s="11">
        <f>INDEX('조견표'!$C$3:$G$12,E36,F36)</f>
        <v>2416924.5672</v>
      </c>
      <c r="L36" s="11">
        <f t="shared" si="4"/>
        <v>100000</v>
      </c>
      <c r="M36" s="11">
        <f>IF(E36&lt;7,'조견표'!$E$15,0)</f>
        <v>0</v>
      </c>
      <c r="N36" s="11">
        <f>IF(E36&gt;7,'조견표'!$F$15,0)</f>
        <v>300000</v>
      </c>
      <c r="O36" s="12">
        <f>SUM(P36:T36)</f>
        <v>663985.010308</v>
      </c>
      <c r="P36" s="13">
        <f>(J36*LOOKUP(J36,'조견표'!$B$19:$C$22))-VLOOKUP(J36,'조견표'!$B$19:$D$22,3)</f>
        <v>432046.422096</v>
      </c>
      <c r="Q36" s="13">
        <f>P36*10%</f>
        <v>43204.6422096</v>
      </c>
      <c r="R36" s="13">
        <f>J36*4.5%</f>
        <v>126761.605524</v>
      </c>
      <c r="S36" s="13">
        <f>J36*2%</f>
        <v>56338.491344</v>
      </c>
      <c r="T36" s="14">
        <f>J36*0.2%</f>
        <v>5633.8491344</v>
      </c>
    </row>
    <row r="37" ht="16" customHeight="1">
      <c r="A37" s="3">
        <v>9</v>
      </c>
      <c r="B37" t="s" s="4">
        <v>100</v>
      </c>
      <c r="C37" s="5">
        <v>32264</v>
      </c>
      <c r="D37" t="s" s="4">
        <v>94</v>
      </c>
      <c r="E37" s="6">
        <v>9</v>
      </c>
      <c r="F37" s="6">
        <v>2</v>
      </c>
      <c r="G37" t="s" s="7">
        <f>INDEX('조견표'!$A$3:$A$12,E37,1)</f>
        <v>22</v>
      </c>
      <c r="H37" t="s" s="8">
        <v>101</v>
      </c>
      <c r="I37" t="s" s="9">
        <f>IF(MOD(MID(H37,8,1),2)=0,"여","남")</f>
        <v>24</v>
      </c>
      <c r="J37" s="10">
        <f>SUM(K37:N37)</f>
        <v>3542001.93736</v>
      </c>
      <c r="K37" s="11">
        <f>INDEX('조견표'!$C$3:$G$12,E37,F37)</f>
        <v>3142001.93736</v>
      </c>
      <c r="L37" s="11">
        <f t="shared" si="4"/>
        <v>100000</v>
      </c>
      <c r="M37" s="11">
        <f>IF(E37&lt;7,'조견표'!$E$15,0)</f>
        <v>0</v>
      </c>
      <c r="N37" s="11">
        <f>IF(E37&gt;7,'조견표'!$F$15,0)</f>
        <v>300000</v>
      </c>
      <c r="O37" s="12">
        <f>SUM(P37:T37)</f>
        <v>629288.7051990411</v>
      </c>
      <c r="P37" s="13">
        <f>(J37*LOOKUP(J37,'조견표'!$B$19:$C$22))-VLOOKUP(J37,'조견표'!$B$19:$D$22,3)</f>
        <v>356340.523087201</v>
      </c>
      <c r="Q37" s="13">
        <f>P37*10%</f>
        <v>35634.0523087201</v>
      </c>
      <c r="R37" s="13">
        <f>J37*4.5%</f>
        <v>159390.0871812</v>
      </c>
      <c r="S37" s="13">
        <f>J37*2%</f>
        <v>70840.0387472</v>
      </c>
      <c r="T37" s="14">
        <f>J37*0.2%</f>
        <v>7084.00387472</v>
      </c>
    </row>
    <row r="38" ht="16" customHeight="1">
      <c r="A38" s="3">
        <v>10</v>
      </c>
      <c r="B38" t="s" s="4">
        <v>102</v>
      </c>
      <c r="C38" s="5">
        <v>32264</v>
      </c>
      <c r="D38" t="s" s="4">
        <v>94</v>
      </c>
      <c r="E38" s="6">
        <v>9</v>
      </c>
      <c r="F38" s="6">
        <v>2</v>
      </c>
      <c r="G38" t="s" s="7">
        <f>INDEX('조견표'!$A$3:$A$12,E38,1)</f>
        <v>22</v>
      </c>
      <c r="H38" t="s" s="8">
        <v>103</v>
      </c>
      <c r="I38" t="s" s="9">
        <f>IF(MOD(MID(H38,8,1),2)=0,"여","남")</f>
        <v>24</v>
      </c>
      <c r="J38" s="10">
        <f>SUM(K38:N38)</f>
        <v>3542001.93736</v>
      </c>
      <c r="K38" s="11">
        <f>INDEX('조견표'!$C$3:$G$12,E38,F38)</f>
        <v>3142001.93736</v>
      </c>
      <c r="L38" s="11">
        <f t="shared" si="4"/>
        <v>100000</v>
      </c>
      <c r="M38" s="11">
        <f>IF(E38&lt;7,'조견표'!$E$15,0)</f>
        <v>0</v>
      </c>
      <c r="N38" s="11">
        <f>IF(E38&gt;7,'조견표'!$F$15,0)</f>
        <v>300000</v>
      </c>
      <c r="O38" s="12">
        <f>SUM(P38:T38)</f>
        <v>629288.7051990411</v>
      </c>
      <c r="P38" s="13">
        <f>(J38*LOOKUP(J38,'조견표'!$B$19:$C$22))-VLOOKUP(J38,'조견표'!$B$19:$D$22,3)</f>
        <v>356340.523087201</v>
      </c>
      <c r="Q38" s="13">
        <f>P38*10%</f>
        <v>35634.0523087201</v>
      </c>
      <c r="R38" s="13">
        <f>J38*4.5%</f>
        <v>159390.0871812</v>
      </c>
      <c r="S38" s="13">
        <f>J38*2%</f>
        <v>70840.0387472</v>
      </c>
      <c r="T38" s="14">
        <f>J38*0.2%</f>
        <v>7084.00387472</v>
      </c>
    </row>
    <row r="39" ht="16" customHeight="1">
      <c r="A39" s="3">
        <v>11</v>
      </c>
      <c r="B39" t="s" s="4">
        <v>104</v>
      </c>
      <c r="C39" s="5">
        <v>32264</v>
      </c>
      <c r="D39" t="s" s="4">
        <v>94</v>
      </c>
      <c r="E39" s="6">
        <v>9</v>
      </c>
      <c r="F39" s="6">
        <v>2</v>
      </c>
      <c r="G39" t="s" s="7">
        <f>INDEX('조견표'!$A$3:$A$12,E39,1)</f>
        <v>22</v>
      </c>
      <c r="H39" t="s" s="8">
        <v>105</v>
      </c>
      <c r="I39" t="s" s="9">
        <f>IF(MOD(MID(H39,8,1),2)=0,"여","남")</f>
        <v>24</v>
      </c>
      <c r="J39" s="10">
        <f>SUM(K39:N39)</f>
        <v>3542001.93736</v>
      </c>
      <c r="K39" s="11">
        <f>INDEX('조견표'!$C$3:$G$12,E39,F39)</f>
        <v>3142001.93736</v>
      </c>
      <c r="L39" s="11">
        <f t="shared" si="4"/>
        <v>100000</v>
      </c>
      <c r="M39" s="11">
        <f>IF(E39&lt;7,'조견표'!$E$15,0)</f>
        <v>0</v>
      </c>
      <c r="N39" s="11">
        <f>IF(E39&gt;7,'조견표'!$F$15,0)</f>
        <v>300000</v>
      </c>
      <c r="O39" s="12">
        <f>SUM(P39:T39)</f>
        <v>629288.7051990411</v>
      </c>
      <c r="P39" s="13">
        <f>(J39*LOOKUP(J39,'조견표'!$B$19:$C$22))-VLOOKUP(J39,'조견표'!$B$19:$D$22,3)</f>
        <v>356340.523087201</v>
      </c>
      <c r="Q39" s="13">
        <f>P39*10%</f>
        <v>35634.0523087201</v>
      </c>
      <c r="R39" s="13">
        <f>J39*4.5%</f>
        <v>159390.0871812</v>
      </c>
      <c r="S39" s="13">
        <f>J39*2%</f>
        <v>70840.0387472</v>
      </c>
      <c r="T39" s="14">
        <f>J39*0.2%</f>
        <v>7084.00387472</v>
      </c>
    </row>
    <row r="40" ht="16" customHeight="1">
      <c r="A40" s="3">
        <v>28</v>
      </c>
      <c r="B40" t="s" s="4">
        <v>106</v>
      </c>
      <c r="C40" s="5">
        <v>34486</v>
      </c>
      <c r="D40" t="s" s="4">
        <v>94</v>
      </c>
      <c r="E40" s="6">
        <v>5</v>
      </c>
      <c r="F40" s="6">
        <v>3</v>
      </c>
      <c r="G40" t="s" s="7">
        <f>INDEX('조견표'!$A$3:$A$12,E40,1)</f>
        <v>28</v>
      </c>
      <c r="H40" t="s" s="8">
        <v>107</v>
      </c>
      <c r="I40" t="s" s="9">
        <f>IF(MOD(MID(H40,8,1),2)=0,"여","남")</f>
        <v>24</v>
      </c>
      <c r="J40" s="10">
        <f>SUM(K40:N40)</f>
        <v>1863177.2</v>
      </c>
      <c r="K40" s="11">
        <f>INDEX('조견표'!$C$3:$G$12,E40,F40)</f>
        <v>1693177.2</v>
      </c>
      <c r="L40" s="11">
        <f t="shared" si="4"/>
        <v>100000</v>
      </c>
      <c r="M40" s="11">
        <f>IF(E40&lt;7,'조견표'!$E$15,0)</f>
        <v>70000</v>
      </c>
      <c r="N40" s="11">
        <f>IF(E40&gt;7,'조견표'!$F$15,0)</f>
        <v>0</v>
      </c>
      <c r="O40" s="12">
        <f>SUM(P40:T40)</f>
        <v>411241.958</v>
      </c>
      <c r="P40" s="13">
        <f>(J40*LOOKUP(J40,'조견표'!$B$19:$C$22))-VLOOKUP(J40,'조견표'!$B$19:$D$22,3)</f>
        <v>260371.896</v>
      </c>
      <c r="Q40" s="13">
        <f>P40*10%</f>
        <v>26037.1896</v>
      </c>
      <c r="R40" s="13">
        <f>J40*4.5%</f>
        <v>83842.974</v>
      </c>
      <c r="S40" s="13">
        <f>J40*2%</f>
        <v>37263.544</v>
      </c>
      <c r="T40" s="14">
        <f>J40*0.2%</f>
        <v>3726.3544</v>
      </c>
    </row>
    <row r="41" ht="16" customHeight="1">
      <c r="A41" s="3">
        <v>29</v>
      </c>
      <c r="B41" t="s" s="4">
        <v>108</v>
      </c>
      <c r="C41" s="5">
        <v>34486</v>
      </c>
      <c r="D41" t="s" s="4">
        <v>94</v>
      </c>
      <c r="E41" s="6">
        <v>5</v>
      </c>
      <c r="F41" s="6">
        <v>3</v>
      </c>
      <c r="G41" t="s" s="7">
        <f>INDEX('조견표'!$A$3:$A$12,E41,1)</f>
        <v>28</v>
      </c>
      <c r="H41" t="s" s="8">
        <v>109</v>
      </c>
      <c r="I41" t="s" s="9">
        <f>IF(MOD(MID(H41,8,1),2)=0,"여","남")</f>
        <v>24</v>
      </c>
      <c r="J41" s="10">
        <f>SUM(K41:N41)</f>
        <v>1863177.2</v>
      </c>
      <c r="K41" s="11">
        <f>INDEX('조견표'!$C$3:$G$12,E41,F41)</f>
        <v>1693177.2</v>
      </c>
      <c r="L41" s="11">
        <f t="shared" si="4"/>
        <v>100000</v>
      </c>
      <c r="M41" s="11">
        <f>IF(E41&lt;7,'조견표'!$E$15,0)</f>
        <v>70000</v>
      </c>
      <c r="N41" s="11">
        <f>IF(E41&gt;7,'조견표'!$F$15,0)</f>
        <v>0</v>
      </c>
      <c r="O41" s="12">
        <f>SUM(P41:T41)</f>
        <v>411241.958</v>
      </c>
      <c r="P41" s="13">
        <f>(J41*LOOKUP(J41,'조견표'!$B$19:$C$22))-VLOOKUP(J41,'조견표'!$B$19:$D$22,3)</f>
        <v>260371.896</v>
      </c>
      <c r="Q41" s="13">
        <f>P41*10%</f>
        <v>26037.1896</v>
      </c>
      <c r="R41" s="13">
        <f>J41*4.5%</f>
        <v>83842.974</v>
      </c>
      <c r="S41" s="13">
        <f>J41*2%</f>
        <v>37263.544</v>
      </c>
      <c r="T41" s="14">
        <f>J41*0.2%</f>
        <v>3726.3544</v>
      </c>
    </row>
    <row r="42" ht="16" customHeight="1">
      <c r="A42" s="3">
        <v>30</v>
      </c>
      <c r="B42" t="s" s="4">
        <v>110</v>
      </c>
      <c r="C42" s="5">
        <v>34731</v>
      </c>
      <c r="D42" t="s" s="4">
        <v>94</v>
      </c>
      <c r="E42" s="6">
        <v>4</v>
      </c>
      <c r="F42" s="6">
        <v>2</v>
      </c>
      <c r="G42" t="s" s="7">
        <f>INDEX('조견표'!$A$3:$A$12,E42,1)</f>
        <v>47</v>
      </c>
      <c r="H42" t="s" s="8">
        <v>111</v>
      </c>
      <c r="I42" t="s" s="9">
        <f>IF(MOD(MID(H42,8,1),2)=0,"여","남")</f>
        <v>24</v>
      </c>
      <c r="J42" s="10">
        <f>SUM(K42:N42)</f>
        <v>1450422</v>
      </c>
      <c r="K42" s="11">
        <f>INDEX('조견표'!$C$3:$G$12,E42,F42)</f>
        <v>1280422</v>
      </c>
      <c r="L42" s="11">
        <f t="shared" si="4"/>
        <v>100000</v>
      </c>
      <c r="M42" s="11">
        <f>IF(E42&lt;7,'조견표'!$E$15,0)</f>
        <v>70000</v>
      </c>
      <c r="N42" s="11">
        <f>IF(E42&gt;7,'조견표'!$F$15,0)</f>
        <v>0</v>
      </c>
      <c r="O42" s="12">
        <f>SUM(P42:T42)</f>
        <v>301861.83</v>
      </c>
      <c r="P42" s="13">
        <f>(J42*LOOKUP(J42,'조견표'!$B$19:$C$22))-VLOOKUP(J42,'조견표'!$B$19:$D$22,3)</f>
        <v>186075.96</v>
      </c>
      <c r="Q42" s="13">
        <f>P42*10%</f>
        <v>18607.596</v>
      </c>
      <c r="R42" s="13">
        <f>J42*4.5%</f>
        <v>65268.99</v>
      </c>
      <c r="S42" s="13">
        <f>J42*2%</f>
        <v>29008.44</v>
      </c>
      <c r="T42" s="14">
        <f>J42*0.2%</f>
        <v>2900.844</v>
      </c>
    </row>
    <row r="43" ht="16" customHeight="1">
      <c r="A43" s="3">
        <v>31</v>
      </c>
      <c r="B43" t="s" s="4">
        <v>112</v>
      </c>
      <c r="C43" s="5">
        <v>34731</v>
      </c>
      <c r="D43" t="s" s="4">
        <v>94</v>
      </c>
      <c r="E43" s="6">
        <v>4</v>
      </c>
      <c r="F43" s="6">
        <v>2</v>
      </c>
      <c r="G43" t="s" s="7">
        <f>INDEX('조견표'!$A$3:$A$12,E43,1)</f>
        <v>47</v>
      </c>
      <c r="H43" t="s" s="8">
        <v>113</v>
      </c>
      <c r="I43" t="s" s="9">
        <f>IF(MOD(MID(H43,8,1),2)=0,"여","남")</f>
        <v>24</v>
      </c>
      <c r="J43" s="10">
        <f>SUM(K43:N43)</f>
        <v>1450422</v>
      </c>
      <c r="K43" s="11">
        <f>INDEX('조견표'!$C$3:$G$12,E43,F43)</f>
        <v>1280422</v>
      </c>
      <c r="L43" s="11">
        <f t="shared" si="4"/>
        <v>100000</v>
      </c>
      <c r="M43" s="11">
        <f>IF(E43&lt;7,'조견표'!$E$15,0)</f>
        <v>70000</v>
      </c>
      <c r="N43" s="11">
        <f>IF(E43&gt;7,'조견표'!$F$15,0)</f>
        <v>0</v>
      </c>
      <c r="O43" s="12">
        <f>SUM(P43:T43)</f>
        <v>301861.83</v>
      </c>
      <c r="P43" s="13">
        <f>(J43*LOOKUP(J43,'조견표'!$B$19:$C$22))-VLOOKUP(J43,'조견표'!$B$19:$D$22,3)</f>
        <v>186075.96</v>
      </c>
      <c r="Q43" s="13">
        <f>P43*10%</f>
        <v>18607.596</v>
      </c>
      <c r="R43" s="13">
        <f>J43*4.5%</f>
        <v>65268.99</v>
      </c>
      <c r="S43" s="13">
        <f>J43*2%</f>
        <v>29008.44</v>
      </c>
      <c r="T43" s="14">
        <f>J43*0.2%</f>
        <v>2900.844</v>
      </c>
    </row>
    <row r="44" ht="16" customHeight="1">
      <c r="A44" s="3">
        <v>32</v>
      </c>
      <c r="B44" t="s" s="4">
        <v>114</v>
      </c>
      <c r="C44" s="5">
        <v>34731</v>
      </c>
      <c r="D44" t="s" s="4">
        <v>94</v>
      </c>
      <c r="E44" s="6">
        <v>4</v>
      </c>
      <c r="F44" s="6">
        <v>2</v>
      </c>
      <c r="G44" t="s" s="7">
        <f>INDEX('조견표'!$A$3:$A$12,E44,1)</f>
        <v>47</v>
      </c>
      <c r="H44" t="s" s="8">
        <v>115</v>
      </c>
      <c r="I44" t="s" s="9">
        <f>IF(MOD(MID(H44,8,1),2)=0,"여","남")</f>
        <v>24</v>
      </c>
      <c r="J44" s="10">
        <f>SUM(K44:N44)</f>
        <v>1450422</v>
      </c>
      <c r="K44" s="11">
        <f>INDEX('조견표'!$C$3:$G$12,E44,F44)</f>
        <v>1280422</v>
      </c>
      <c r="L44" s="11">
        <f t="shared" si="4"/>
        <v>100000</v>
      </c>
      <c r="M44" s="11">
        <f>IF(E44&lt;7,'조견표'!$E$15,0)</f>
        <v>70000</v>
      </c>
      <c r="N44" s="11">
        <f>IF(E44&gt;7,'조견표'!$F$15,0)</f>
        <v>0</v>
      </c>
      <c r="O44" s="12">
        <f>SUM(P44:T44)</f>
        <v>301861.83</v>
      </c>
      <c r="P44" s="13">
        <f>(J44*LOOKUP(J44,'조견표'!$B$19:$C$22))-VLOOKUP(J44,'조견표'!$B$19:$D$22,3)</f>
        <v>186075.96</v>
      </c>
      <c r="Q44" s="13">
        <f>P44*10%</f>
        <v>18607.596</v>
      </c>
      <c r="R44" s="13">
        <f>J44*4.5%</f>
        <v>65268.99</v>
      </c>
      <c r="S44" s="13">
        <f>J44*2%</f>
        <v>29008.44</v>
      </c>
      <c r="T44" s="14">
        <f>J44*0.2%</f>
        <v>2900.844</v>
      </c>
    </row>
    <row r="45" ht="16" customHeight="1">
      <c r="A45" s="3">
        <v>33</v>
      </c>
      <c r="B45" t="s" s="4">
        <v>116</v>
      </c>
      <c r="C45" s="5">
        <v>34759</v>
      </c>
      <c r="D45" t="s" s="4">
        <v>94</v>
      </c>
      <c r="E45" s="6">
        <v>5</v>
      </c>
      <c r="F45" s="6">
        <v>2</v>
      </c>
      <c r="G45" t="s" s="7">
        <f>INDEX('조견표'!$A$3:$A$12,E45,1)</f>
        <v>28</v>
      </c>
      <c r="H45" t="s" s="8">
        <v>117</v>
      </c>
      <c r="I45" t="s" s="9">
        <f>IF(MOD(MID(H45,8,1),2)=0,"여","남")</f>
        <v>24</v>
      </c>
      <c r="J45" s="10">
        <f>SUM(K45:N45)</f>
        <v>1834548.6</v>
      </c>
      <c r="K45" s="11">
        <f>INDEX('조견표'!$C$3:$G$12,E45,F45)</f>
        <v>1664548.6</v>
      </c>
      <c r="L45" s="11">
        <f t="shared" si="4"/>
        <v>100000</v>
      </c>
      <c r="M45" s="11">
        <f>IF(E45&lt;7,'조견표'!$E$15,0)</f>
        <v>70000</v>
      </c>
      <c r="N45" s="11">
        <f>IF(E45&gt;7,'조견표'!$F$15,0)</f>
        <v>0</v>
      </c>
      <c r="O45" s="12">
        <f>SUM(P45:T45)</f>
        <v>403655.379</v>
      </c>
      <c r="P45" s="13">
        <f>(J45*LOOKUP(J45,'조견표'!$B$19:$C$22))-VLOOKUP(J45,'조견표'!$B$19:$D$22,3)</f>
        <v>255218.748</v>
      </c>
      <c r="Q45" s="13">
        <f>P45*10%</f>
        <v>25521.8748</v>
      </c>
      <c r="R45" s="13">
        <f>J45*4.5%</f>
        <v>82554.687000000005</v>
      </c>
      <c r="S45" s="13">
        <f>J45*2%</f>
        <v>36690.972</v>
      </c>
      <c r="T45" s="14">
        <f>J45*0.2%</f>
        <v>3669.0972</v>
      </c>
    </row>
    <row r="46" ht="16" customHeight="1">
      <c r="A46" s="3">
        <v>34</v>
      </c>
      <c r="B46" t="s" s="4">
        <v>118</v>
      </c>
      <c r="C46" s="5">
        <v>34759</v>
      </c>
      <c r="D46" t="s" s="4">
        <v>94</v>
      </c>
      <c r="E46" s="6">
        <v>5</v>
      </c>
      <c r="F46" s="6">
        <v>2</v>
      </c>
      <c r="G46" t="s" s="7">
        <f>INDEX('조견표'!$A$3:$A$12,E46,1)</f>
        <v>28</v>
      </c>
      <c r="H46" t="s" s="8">
        <v>119</v>
      </c>
      <c r="I46" t="s" s="9">
        <f>IF(MOD(MID(H46,8,1),2)=0,"여","남")</f>
        <v>24</v>
      </c>
      <c r="J46" s="10">
        <f>SUM(K46:N46)</f>
        <v>1834548.6</v>
      </c>
      <c r="K46" s="11">
        <f>INDEX('조견표'!$C$3:$G$12,E46,F46)</f>
        <v>1664548.6</v>
      </c>
      <c r="L46" s="11">
        <f t="shared" si="4"/>
        <v>100000</v>
      </c>
      <c r="M46" s="11">
        <f>IF(E46&lt;7,'조견표'!$E$15,0)</f>
        <v>70000</v>
      </c>
      <c r="N46" s="11">
        <f>IF(E46&gt;7,'조견표'!$F$15,0)</f>
        <v>0</v>
      </c>
      <c r="O46" s="12">
        <f>SUM(P46:T46)</f>
        <v>403655.379</v>
      </c>
      <c r="P46" s="13">
        <f>(J46*LOOKUP(J46,'조견표'!$B$19:$C$22))-VLOOKUP(J46,'조견표'!$B$19:$D$22,3)</f>
        <v>255218.748</v>
      </c>
      <c r="Q46" s="13">
        <f>P46*10%</f>
        <v>25521.8748</v>
      </c>
      <c r="R46" s="13">
        <f>J46*4.5%</f>
        <v>82554.687000000005</v>
      </c>
      <c r="S46" s="13">
        <f>J46*2%</f>
        <v>36690.972</v>
      </c>
      <c r="T46" s="14">
        <f>J46*0.2%</f>
        <v>3669.0972</v>
      </c>
    </row>
    <row r="47" ht="16" customHeight="1">
      <c r="A47" s="3">
        <v>36</v>
      </c>
      <c r="B47" t="s" s="4">
        <v>120</v>
      </c>
      <c r="C47" s="5">
        <v>34790</v>
      </c>
      <c r="D47" t="s" s="4">
        <v>94</v>
      </c>
      <c r="E47" s="6">
        <v>5</v>
      </c>
      <c r="F47" s="6">
        <v>2</v>
      </c>
      <c r="G47" t="s" s="7">
        <f>INDEX('조견표'!$A$3:$A$12,E47,1)</f>
        <v>28</v>
      </c>
      <c r="H47" t="s" s="8">
        <v>121</v>
      </c>
      <c r="I47" t="s" s="9">
        <f>IF(MOD(MID(H47,8,1),2)=0,"여","남")</f>
        <v>24</v>
      </c>
      <c r="J47" s="10">
        <f>SUM(K47:N47)</f>
        <v>1834548.6</v>
      </c>
      <c r="K47" s="11">
        <f>INDEX('조견표'!$C$3:$G$12,E47,F47)</f>
        <v>1664548.6</v>
      </c>
      <c r="L47" s="11">
        <f t="shared" si="4"/>
        <v>100000</v>
      </c>
      <c r="M47" s="11">
        <f>IF(E47&lt;7,'조견표'!$E$15,0)</f>
        <v>70000</v>
      </c>
      <c r="N47" s="11">
        <f>IF(E47&gt;7,'조견표'!$F$15,0)</f>
        <v>0</v>
      </c>
      <c r="O47" s="12">
        <f>SUM(P47:T47)</f>
        <v>403655.379</v>
      </c>
      <c r="P47" s="13">
        <f>(J47*LOOKUP(J47,'조견표'!$B$19:$C$22))-VLOOKUP(J47,'조견표'!$B$19:$D$22,3)</f>
        <v>255218.748</v>
      </c>
      <c r="Q47" s="13">
        <f>P47*10%</f>
        <v>25521.8748</v>
      </c>
      <c r="R47" s="13">
        <f>J47*4.5%</f>
        <v>82554.687000000005</v>
      </c>
      <c r="S47" s="13">
        <f>J47*2%</f>
        <v>36690.972</v>
      </c>
      <c r="T47" s="14">
        <f>J47*0.2%</f>
        <v>3669.0972</v>
      </c>
    </row>
    <row r="48" ht="16" customHeight="1">
      <c r="A48" s="3">
        <v>37</v>
      </c>
      <c r="B48" t="s" s="4">
        <v>122</v>
      </c>
      <c r="C48" s="5">
        <v>34790</v>
      </c>
      <c r="D48" t="s" s="4">
        <v>94</v>
      </c>
      <c r="E48" s="6">
        <v>5</v>
      </c>
      <c r="F48" s="6">
        <v>2</v>
      </c>
      <c r="G48" t="s" s="7">
        <f>INDEX('조견표'!$A$3:$A$12,E48,1)</f>
        <v>28</v>
      </c>
      <c r="H48" t="s" s="8">
        <v>123</v>
      </c>
      <c r="I48" t="s" s="9">
        <f>IF(MOD(MID(H48,8,1),2)=0,"여","남")</f>
        <v>24</v>
      </c>
      <c r="J48" s="10">
        <f>SUM(K48:N48)</f>
        <v>1834548.6</v>
      </c>
      <c r="K48" s="11">
        <f>INDEX('조견표'!$C$3:$G$12,E48,F48)</f>
        <v>1664548.6</v>
      </c>
      <c r="L48" s="11">
        <f t="shared" si="4"/>
        <v>100000</v>
      </c>
      <c r="M48" s="11">
        <f>IF(E48&lt;7,'조견표'!$E$15,0)</f>
        <v>70000</v>
      </c>
      <c r="N48" s="11">
        <f>IF(E48&gt;7,'조견표'!$F$15,0)</f>
        <v>0</v>
      </c>
      <c r="O48" s="12">
        <f>SUM(P48:T48)</f>
        <v>403655.379</v>
      </c>
      <c r="P48" s="13">
        <f>(J48*LOOKUP(J48,'조견표'!$B$19:$C$22))-VLOOKUP(J48,'조견표'!$B$19:$D$22,3)</f>
        <v>255218.748</v>
      </c>
      <c r="Q48" s="13">
        <f>P48*10%</f>
        <v>25521.8748</v>
      </c>
      <c r="R48" s="13">
        <f>J48*4.5%</f>
        <v>82554.687000000005</v>
      </c>
      <c r="S48" s="13">
        <f>J48*2%</f>
        <v>36690.972</v>
      </c>
      <c r="T48" s="14">
        <f>J48*0.2%</f>
        <v>3669.0972</v>
      </c>
    </row>
    <row r="49" ht="16" customHeight="1">
      <c r="A49" s="3">
        <v>39</v>
      </c>
      <c r="B49" t="s" s="4">
        <v>124</v>
      </c>
      <c r="C49" s="5">
        <v>34790</v>
      </c>
      <c r="D49" t="s" s="4">
        <v>94</v>
      </c>
      <c r="E49" s="6">
        <v>5</v>
      </c>
      <c r="F49" s="6">
        <v>2</v>
      </c>
      <c r="G49" t="s" s="7">
        <f>INDEX('조견표'!$A$3:$A$12,E49,1)</f>
        <v>28</v>
      </c>
      <c r="H49" t="s" s="8">
        <v>125</v>
      </c>
      <c r="I49" t="s" s="9">
        <f>IF(MOD(MID(H49,8,1),2)=0,"여","남")</f>
        <v>24</v>
      </c>
      <c r="J49" s="10">
        <f>SUM(K49:N49)</f>
        <v>1834548.6</v>
      </c>
      <c r="K49" s="11">
        <f>INDEX('조견표'!$C$3:$G$12,E49,F49)</f>
        <v>1664548.6</v>
      </c>
      <c r="L49" s="11">
        <f t="shared" si="4"/>
        <v>100000</v>
      </c>
      <c r="M49" s="11">
        <f>IF(E49&lt;7,'조견표'!$E$15,0)</f>
        <v>70000</v>
      </c>
      <c r="N49" s="11">
        <f>IF(E49&gt;7,'조견표'!$F$15,0)</f>
        <v>0</v>
      </c>
      <c r="O49" s="12">
        <f>SUM(P49:T49)</f>
        <v>403655.379</v>
      </c>
      <c r="P49" s="13">
        <f>(J49*LOOKUP(J49,'조견표'!$B$19:$C$22))-VLOOKUP(J49,'조견표'!$B$19:$D$22,3)</f>
        <v>255218.748</v>
      </c>
      <c r="Q49" s="13">
        <f>P49*10%</f>
        <v>25521.8748</v>
      </c>
      <c r="R49" s="13">
        <f>J49*4.5%</f>
        <v>82554.687000000005</v>
      </c>
      <c r="S49" s="13">
        <f>J49*2%</f>
        <v>36690.972</v>
      </c>
      <c r="T49" s="14">
        <f>J49*0.2%</f>
        <v>3669.0972</v>
      </c>
    </row>
    <row r="50" ht="16" customHeight="1">
      <c r="A50" s="3">
        <v>40</v>
      </c>
      <c r="B50" t="s" s="4">
        <v>126</v>
      </c>
      <c r="C50" s="5">
        <v>34790</v>
      </c>
      <c r="D50" t="s" s="4">
        <v>94</v>
      </c>
      <c r="E50" s="6">
        <v>5</v>
      </c>
      <c r="F50" s="6">
        <v>2</v>
      </c>
      <c r="G50" t="s" s="7">
        <f>INDEX('조견표'!$A$3:$A$12,E50,1)</f>
        <v>28</v>
      </c>
      <c r="H50" t="s" s="8">
        <v>127</v>
      </c>
      <c r="I50" t="s" s="9">
        <f>IF(MOD(MID(H50,8,1),2)=0,"여","남")</f>
        <v>24</v>
      </c>
      <c r="J50" s="10">
        <f>SUM(K50:N50)</f>
        <v>1834548.6</v>
      </c>
      <c r="K50" s="11">
        <f>INDEX('조견표'!$C$3:$G$12,E50,F50)</f>
        <v>1664548.6</v>
      </c>
      <c r="L50" s="11">
        <f t="shared" si="4"/>
        <v>100000</v>
      </c>
      <c r="M50" s="11">
        <f>IF(E50&lt;7,'조견표'!$E$15,0)</f>
        <v>70000</v>
      </c>
      <c r="N50" s="11">
        <f>IF(E50&gt;7,'조견표'!$F$15,0)</f>
        <v>0</v>
      </c>
      <c r="O50" s="12">
        <f>SUM(P50:T50)</f>
        <v>403655.379</v>
      </c>
      <c r="P50" s="13">
        <f>(J50*LOOKUP(J50,'조견표'!$B$19:$C$22))-VLOOKUP(J50,'조견표'!$B$19:$D$22,3)</f>
        <v>255218.748</v>
      </c>
      <c r="Q50" s="13">
        <f>P50*10%</f>
        <v>25521.8748</v>
      </c>
      <c r="R50" s="13">
        <f>J50*4.5%</f>
        <v>82554.687000000005</v>
      </c>
      <c r="S50" s="13">
        <f>J50*2%</f>
        <v>36690.972</v>
      </c>
      <c r="T50" s="14">
        <f>J50*0.2%</f>
        <v>3669.0972</v>
      </c>
    </row>
    <row r="51" ht="16" customHeight="1">
      <c r="A51" s="3">
        <v>42</v>
      </c>
      <c r="B51" t="s" s="4">
        <v>128</v>
      </c>
      <c r="C51" s="5">
        <v>34790</v>
      </c>
      <c r="D51" t="s" s="4">
        <v>94</v>
      </c>
      <c r="E51" s="6">
        <v>5</v>
      </c>
      <c r="F51" s="6">
        <v>2</v>
      </c>
      <c r="G51" t="s" s="7">
        <f>INDEX('조견표'!$A$3:$A$12,E51,1)</f>
        <v>28</v>
      </c>
      <c r="H51" t="s" s="8">
        <v>129</v>
      </c>
      <c r="I51" t="s" s="9">
        <f>IF(MOD(MID(H51,8,1),2)=0,"여","남")</f>
        <v>24</v>
      </c>
      <c r="J51" s="10">
        <f>SUM(K51:N51)</f>
        <v>1834548.6</v>
      </c>
      <c r="K51" s="11">
        <f>INDEX('조견표'!$C$3:$G$12,E51,F51)</f>
        <v>1664548.6</v>
      </c>
      <c r="L51" s="11">
        <f t="shared" si="4"/>
        <v>100000</v>
      </c>
      <c r="M51" s="11">
        <f>IF(E51&lt;7,'조견표'!$E$15,0)</f>
        <v>70000</v>
      </c>
      <c r="N51" s="11">
        <f>IF(E51&gt;7,'조견표'!$F$15,0)</f>
        <v>0</v>
      </c>
      <c r="O51" s="12">
        <f>SUM(P51:T51)</f>
        <v>403655.379</v>
      </c>
      <c r="P51" s="13">
        <f>(J51*LOOKUP(J51,'조견표'!$B$19:$C$22))-VLOOKUP(J51,'조견표'!$B$19:$D$22,3)</f>
        <v>255218.748</v>
      </c>
      <c r="Q51" s="13">
        <f>P51*10%</f>
        <v>25521.8748</v>
      </c>
      <c r="R51" s="13">
        <f>J51*4.5%</f>
        <v>82554.687000000005</v>
      </c>
      <c r="S51" s="13">
        <f>J51*2%</f>
        <v>36690.972</v>
      </c>
      <c r="T51" s="14">
        <f>J51*0.2%</f>
        <v>3669.0972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8.83333" defaultRowHeight="16.5" customHeight="1" outlineLevelRow="0" outlineLevelCol="0"/>
  <cols>
    <col min="1" max="1" width="9" style="15" customWidth="1"/>
    <col min="2" max="2" width="14.8516" style="15" customWidth="1"/>
    <col min="3" max="6" width="12.3516" style="15" customWidth="1"/>
    <col min="7" max="7" width="14.8516" style="15" customWidth="1"/>
    <col min="8" max="8" width="9.35156" style="15" customWidth="1"/>
    <col min="9" max="9" width="14.8516" style="15" customWidth="1"/>
    <col min="10" max="16384" width="8.85156" style="15" customWidth="1"/>
  </cols>
  <sheetData>
    <row r="1" ht="35.25" customHeight="1">
      <c r="A1" t="s" s="16">
        <v>130</v>
      </c>
      <c r="B1" s="17"/>
      <c r="C1" s="17"/>
      <c r="D1" s="17"/>
      <c r="E1" s="17"/>
      <c r="F1" s="17"/>
      <c r="G1" s="17"/>
      <c r="H1" s="17"/>
      <c r="I1" s="17"/>
    </row>
    <row r="2" ht="33" customHeight="1">
      <c r="A2" t="s" s="18">
        <v>6</v>
      </c>
      <c r="B2" t="s" s="19">
        <v>131</v>
      </c>
      <c r="C2" s="20">
        <v>1</v>
      </c>
      <c r="D2" s="21">
        <v>2</v>
      </c>
      <c r="E2" s="21">
        <v>3</v>
      </c>
      <c r="F2" s="21">
        <v>4</v>
      </c>
      <c r="G2" s="21">
        <v>5</v>
      </c>
      <c r="H2" t="s" s="22">
        <v>132</v>
      </c>
      <c r="I2" t="s" s="23">
        <v>133</v>
      </c>
    </row>
    <row r="3" ht="16" customHeight="1">
      <c r="A3" t="s" s="24">
        <v>134</v>
      </c>
      <c r="B3" s="25">
        <v>1</v>
      </c>
      <c r="C3" s="26">
        <v>800000</v>
      </c>
      <c r="D3" s="27">
        <f>C3+$H3</f>
        <v>814000</v>
      </c>
      <c r="E3" s="27">
        <f>D3+$H3</f>
        <v>828000</v>
      </c>
      <c r="F3" s="27">
        <f>E3+$H3</f>
        <v>842000</v>
      </c>
      <c r="G3" s="27">
        <f>F3+$H3</f>
        <v>856000</v>
      </c>
      <c r="H3" s="28">
        <v>14000</v>
      </c>
      <c r="I3" s="29"/>
    </row>
    <row r="4" ht="16" customHeight="1">
      <c r="A4" t="s" s="30">
        <v>134</v>
      </c>
      <c r="B4" s="31">
        <v>2</v>
      </c>
      <c r="C4" s="32">
        <f>C3+(C3*I4)</f>
        <v>880000</v>
      </c>
      <c r="D4" s="33">
        <f>C4+$H4</f>
        <v>895400</v>
      </c>
      <c r="E4" s="33">
        <f>D4+$H4</f>
        <v>910800</v>
      </c>
      <c r="F4" s="33">
        <f>E4+$H4</f>
        <v>926200</v>
      </c>
      <c r="G4" s="33">
        <f>F4+$H4</f>
        <v>941600</v>
      </c>
      <c r="H4" s="34">
        <f>H3+(H3*I4)</f>
        <v>15400</v>
      </c>
      <c r="I4" s="35">
        <v>0.1</v>
      </c>
    </row>
    <row r="5" ht="16" customHeight="1">
      <c r="A5" t="s" s="30">
        <v>135</v>
      </c>
      <c r="B5" s="31">
        <v>3</v>
      </c>
      <c r="C5" s="32">
        <f>C4+(C4*I5)</f>
        <v>1144000</v>
      </c>
      <c r="D5" s="33">
        <f>C5+$H5</f>
        <v>1164020</v>
      </c>
      <c r="E5" s="33">
        <f>D5+$H5</f>
        <v>1184040</v>
      </c>
      <c r="F5" s="33">
        <f>E5+$H5</f>
        <v>1204060</v>
      </c>
      <c r="G5" s="33">
        <f>F5+$H5</f>
        <v>1224080</v>
      </c>
      <c r="H5" s="34">
        <f>H4+(H4*I5)</f>
        <v>20020</v>
      </c>
      <c r="I5" s="35">
        <v>0.3</v>
      </c>
    </row>
    <row r="6" ht="16" customHeight="1">
      <c r="A6" t="s" s="30">
        <v>135</v>
      </c>
      <c r="B6" s="31">
        <v>4</v>
      </c>
      <c r="C6" s="32">
        <f>C5+(C5*I6)</f>
        <v>1258400</v>
      </c>
      <c r="D6" s="33">
        <f>C6+$H6</f>
        <v>1280422</v>
      </c>
      <c r="E6" s="33">
        <f>D6+$H6</f>
        <v>1302444</v>
      </c>
      <c r="F6" s="33">
        <f>E6+$H6</f>
        <v>1324466</v>
      </c>
      <c r="G6" s="33">
        <f>F6+$H6</f>
        <v>1346488</v>
      </c>
      <c r="H6" s="34">
        <f>H5+(H5*I6)</f>
        <v>22022</v>
      </c>
      <c r="I6" s="35">
        <v>0.1</v>
      </c>
    </row>
    <row r="7" ht="16" customHeight="1">
      <c r="A7" t="s" s="30">
        <v>136</v>
      </c>
      <c r="B7" s="31">
        <v>5</v>
      </c>
      <c r="C7" s="32">
        <f>C6+(C6*I7)</f>
        <v>1635920</v>
      </c>
      <c r="D7" s="33">
        <f>C7+$H7</f>
        <v>1664548.6</v>
      </c>
      <c r="E7" s="33">
        <f>D7+$H7</f>
        <v>1693177.2</v>
      </c>
      <c r="F7" s="33">
        <f>E7+$H7</f>
        <v>1721805.8</v>
      </c>
      <c r="G7" s="33">
        <f>F7+$H7</f>
        <v>1750434.4</v>
      </c>
      <c r="H7" s="34">
        <f>H6+(H6*I7)</f>
        <v>28628.6</v>
      </c>
      <c r="I7" s="35">
        <v>0.3</v>
      </c>
    </row>
    <row r="8" ht="16" customHeight="1">
      <c r="A8" t="s" s="30">
        <v>136</v>
      </c>
      <c r="B8" s="31">
        <v>6</v>
      </c>
      <c r="C8" s="32">
        <f>C7+(C7*I8)</f>
        <v>1799512</v>
      </c>
      <c r="D8" s="33">
        <f>C8+$H8</f>
        <v>1831003.46</v>
      </c>
      <c r="E8" s="33">
        <f>D8+$H8</f>
        <v>1862494.92</v>
      </c>
      <c r="F8" s="33">
        <f>E8+$H8</f>
        <v>1893986.38</v>
      </c>
      <c r="G8" s="33">
        <f>F8+$H8</f>
        <v>1925477.84</v>
      </c>
      <c r="H8" s="34">
        <f>H7+(H7*I8)</f>
        <v>31491.46</v>
      </c>
      <c r="I8" s="35">
        <v>0.1</v>
      </c>
    </row>
    <row r="9" ht="16" customHeight="1">
      <c r="A9" t="s" s="30">
        <v>137</v>
      </c>
      <c r="B9" s="31">
        <v>7</v>
      </c>
      <c r="C9" s="32">
        <f>C8+(C8*I9)</f>
        <v>2159414.4</v>
      </c>
      <c r="D9" s="33">
        <f>C9+$H9</f>
        <v>2197204.152</v>
      </c>
      <c r="E9" s="33">
        <f>D9+$H9</f>
        <v>2234993.904</v>
      </c>
      <c r="F9" s="33">
        <f>E9+$H9</f>
        <v>2272783.656</v>
      </c>
      <c r="G9" s="33">
        <f>F9+$H9</f>
        <v>2310573.408</v>
      </c>
      <c r="H9" s="34">
        <f>H8+(H8*I9)</f>
        <v>37789.752</v>
      </c>
      <c r="I9" s="35">
        <v>0.2</v>
      </c>
    </row>
    <row r="10" ht="16" customHeight="1">
      <c r="A10" t="s" s="30">
        <v>137</v>
      </c>
      <c r="B10" s="31">
        <v>8</v>
      </c>
      <c r="C10" s="32">
        <f>C9+(C9*I10)</f>
        <v>2375355.84</v>
      </c>
      <c r="D10" s="33">
        <f>C10+$H10</f>
        <v>2416924.5672</v>
      </c>
      <c r="E10" s="33">
        <f>D10+$H10</f>
        <v>2458493.2944</v>
      </c>
      <c r="F10" s="33">
        <f>E10+$H10</f>
        <v>2500062.0216</v>
      </c>
      <c r="G10" s="33">
        <f>F10+$H10</f>
        <v>2541630.7488</v>
      </c>
      <c r="H10" s="34">
        <f>H9+(H9*I10)</f>
        <v>41568.7272</v>
      </c>
      <c r="I10" s="35">
        <v>0.1</v>
      </c>
    </row>
    <row r="11" ht="16" customHeight="1">
      <c r="A11" t="s" s="30">
        <v>138</v>
      </c>
      <c r="B11" s="31">
        <v>9</v>
      </c>
      <c r="C11" s="32">
        <f>C10+(C10*I11)</f>
        <v>3087962.592</v>
      </c>
      <c r="D11" s="33">
        <f>C11+$H11</f>
        <v>3142001.93736</v>
      </c>
      <c r="E11" s="33">
        <f>D11+$H11</f>
        <v>3196041.28272</v>
      </c>
      <c r="F11" s="33">
        <f>E11+$H11</f>
        <v>3250080.62808</v>
      </c>
      <c r="G11" s="33">
        <f>F11+$H11</f>
        <v>3304119.97344</v>
      </c>
      <c r="H11" s="34">
        <f>H10+(H10*I11)</f>
        <v>54039.34536</v>
      </c>
      <c r="I11" s="35">
        <v>0.3</v>
      </c>
    </row>
    <row r="12" ht="16" customHeight="1">
      <c r="A12" t="s" s="36">
        <v>138</v>
      </c>
      <c r="B12" s="37">
        <v>10</v>
      </c>
      <c r="C12" s="38">
        <f>C11+(C11*I12)</f>
        <v>3396758.8512</v>
      </c>
      <c r="D12" s="39">
        <f>C12+$H12</f>
        <v>3456202.131096</v>
      </c>
      <c r="E12" s="39">
        <f>D12+$H12</f>
        <v>3515645.410992</v>
      </c>
      <c r="F12" s="39">
        <f>E12+$H12</f>
        <v>3575088.690888</v>
      </c>
      <c r="G12" s="39">
        <f>F12+$H12</f>
        <v>3634531.970784</v>
      </c>
      <c r="H12" s="40">
        <f>H11+(H11*I12)</f>
        <v>59443.279896</v>
      </c>
      <c r="I12" s="41">
        <v>0.1</v>
      </c>
    </row>
    <row r="13" ht="16" customHeight="1">
      <c r="A13" s="42"/>
      <c r="B13" s="42"/>
      <c r="C13" s="42"/>
      <c r="D13" s="42"/>
      <c r="E13" s="42"/>
      <c r="F13" s="42"/>
      <c r="G13" s="42"/>
      <c r="H13" s="42"/>
      <c r="I13" s="42"/>
    </row>
    <row r="14" ht="16" customHeight="1">
      <c r="A14" t="s" s="43">
        <v>139</v>
      </c>
      <c r="B14" t="s" s="44">
        <v>10</v>
      </c>
      <c r="C14" t="s" s="22">
        <v>132</v>
      </c>
      <c r="D14" t="s" s="22">
        <v>11</v>
      </c>
      <c r="E14" t="s" s="22">
        <v>12</v>
      </c>
      <c r="F14" t="s" s="22">
        <v>13</v>
      </c>
      <c r="G14" t="s" s="22">
        <v>140</v>
      </c>
      <c r="H14" t="s" s="22">
        <v>141</v>
      </c>
      <c r="I14" t="s" s="23">
        <v>142</v>
      </c>
    </row>
    <row r="15" ht="16" customHeight="1">
      <c r="A15" t="s" s="45">
        <v>143</v>
      </c>
      <c r="B15" s="46">
        <v>893740.030736819</v>
      </c>
      <c r="C15" s="27">
        <v>14000</v>
      </c>
      <c r="D15" s="27">
        <v>100000</v>
      </c>
      <c r="E15" s="27">
        <v>70000</v>
      </c>
      <c r="F15" s="27">
        <v>300000</v>
      </c>
      <c r="G15" s="27"/>
      <c r="H15" s="47">
        <f>IF(G15&lt;&gt;0,(G16/G15)-1,0)</f>
        <v>0</v>
      </c>
      <c r="I15" s="29"/>
    </row>
    <row r="16" ht="16" customHeight="1">
      <c r="A16" t="s" s="48">
        <v>144</v>
      </c>
      <c r="B16" s="49">
        <f>SUM('급여현황'!$K$2:$K$51)</f>
        <v>100873279.44408</v>
      </c>
      <c r="C16" s="39"/>
      <c r="D16" s="39">
        <f>SUM('급여현황'!$L$2:$L$51)</f>
        <v>5000000</v>
      </c>
      <c r="E16" s="39">
        <f>SUM('급여현황'!$M$2:$M$51)</f>
        <v>2240000</v>
      </c>
      <c r="F16" s="39">
        <f>SUM('급여현황'!$N$2:$N$51)</f>
        <v>3900000</v>
      </c>
      <c r="G16" s="39">
        <f>SUM('급여현황'!$J$2:$J$51)</f>
        <v>112013279.44408</v>
      </c>
      <c r="H16" s="50">
        <v>0.03</v>
      </c>
      <c r="I16" s="51">
        <f>G16*(1+H16)</f>
        <v>115373677.827402</v>
      </c>
    </row>
    <row r="17" ht="16" customHeight="1">
      <c r="A17" s="52"/>
      <c r="B17" s="42"/>
      <c r="C17" s="52"/>
      <c r="D17" s="52"/>
      <c r="E17" s="52"/>
      <c r="F17" s="52"/>
      <c r="G17" s="52"/>
      <c r="H17" s="52"/>
      <c r="I17" s="52"/>
    </row>
    <row r="18" ht="16" customHeight="1">
      <c r="A18" s="53"/>
      <c r="B18" t="s" s="54">
        <v>15</v>
      </c>
      <c r="C18" s="55"/>
      <c r="D18" s="56"/>
      <c r="E18" s="57"/>
      <c r="F18" s="57"/>
      <c r="G18" s="57"/>
      <c r="H18" s="57"/>
      <c r="I18" s="57"/>
    </row>
    <row r="19" ht="16" customHeight="1">
      <c r="A19" s="53"/>
      <c r="B19" s="58">
        <v>0</v>
      </c>
      <c r="C19" s="59">
        <v>0.09</v>
      </c>
      <c r="D19" s="60">
        <v>0</v>
      </c>
      <c r="E19" s="61"/>
      <c r="F19" s="57"/>
      <c r="G19" s="57"/>
      <c r="H19" s="57"/>
      <c r="I19" s="57"/>
    </row>
    <row r="20" ht="16" customHeight="1">
      <c r="A20" s="53"/>
      <c r="B20" s="62">
        <f>10000000/12</f>
        <v>833333.333333333</v>
      </c>
      <c r="C20" s="63">
        <v>0.18</v>
      </c>
      <c r="D20" s="64">
        <f>B20*C19</f>
        <v>75000</v>
      </c>
      <c r="E20" s="61"/>
      <c r="F20" s="57"/>
      <c r="G20" s="57"/>
      <c r="H20" s="57"/>
      <c r="I20" s="57"/>
    </row>
    <row r="21" ht="16" customHeight="1">
      <c r="A21" s="53"/>
      <c r="B21" s="62">
        <f>40000000/12</f>
        <v>3333333.33333333</v>
      </c>
      <c r="C21" s="63">
        <v>0.27</v>
      </c>
      <c r="D21" s="64">
        <f>B21*C20</f>
        <v>599999.999999999</v>
      </c>
      <c r="E21" s="61"/>
      <c r="F21" s="57"/>
      <c r="G21" s="57"/>
      <c r="H21" s="57"/>
      <c r="I21" s="57"/>
    </row>
    <row r="22" ht="16" customHeight="1">
      <c r="A22" s="53"/>
      <c r="B22" s="49">
        <f>80000000/12</f>
        <v>6666666.66666667</v>
      </c>
      <c r="C22" s="65">
        <v>0.36</v>
      </c>
      <c r="D22" s="66">
        <f>B22*C21</f>
        <v>1800000</v>
      </c>
      <c r="E22" s="61"/>
      <c r="F22" s="57"/>
      <c r="G22" s="57"/>
      <c r="H22" s="57"/>
      <c r="I22" s="57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5" width="8.85156" style="67" customWidth="1"/>
    <col min="6" max="16384" width="8.85156" style="67" customWidth="1"/>
  </cols>
  <sheetData>
    <row r="1" ht="16" customHeight="1">
      <c r="A1" t="s" s="68">
        <v>3</v>
      </c>
      <c r="B1" s="69"/>
      <c r="C1" s="70"/>
      <c r="D1" s="70"/>
      <c r="E1" s="70"/>
    </row>
    <row r="2" ht="16" customHeight="1">
      <c r="A2" t="s" s="71">
        <v>21</v>
      </c>
      <c r="B2" s="69"/>
      <c r="C2" s="70"/>
      <c r="D2" s="70"/>
      <c r="E2" s="70"/>
    </row>
    <row r="3" ht="16" customHeight="1">
      <c r="A3" t="s" s="71">
        <v>33</v>
      </c>
      <c r="B3" s="69"/>
      <c r="C3" s="70"/>
      <c r="D3" s="70"/>
      <c r="E3" s="70"/>
    </row>
    <row r="4" ht="16" customHeight="1">
      <c r="A4" t="s" s="71">
        <v>60</v>
      </c>
      <c r="B4" s="69"/>
      <c r="C4" s="70"/>
      <c r="D4" s="70"/>
      <c r="E4" s="70"/>
    </row>
    <row r="5" ht="16" customHeight="1">
      <c r="A5" t="s" s="71">
        <v>94</v>
      </c>
      <c r="B5" s="69"/>
      <c r="C5" s="70"/>
      <c r="D5" s="70"/>
      <c r="E5" s="70"/>
    </row>
    <row r="6" ht="16" customHeight="1">
      <c r="A6" s="72"/>
      <c r="B6" s="70"/>
      <c r="C6" s="70"/>
      <c r="D6" s="70"/>
      <c r="E6" s="70"/>
    </row>
    <row r="7" ht="16" customHeight="1">
      <c r="A7" s="70"/>
      <c r="B7" s="70"/>
      <c r="C7" s="70"/>
      <c r="D7" s="70"/>
      <c r="E7" s="70"/>
    </row>
    <row r="8" ht="16" customHeight="1">
      <c r="A8" s="70"/>
      <c r="B8" s="70"/>
      <c r="C8" s="70"/>
      <c r="D8" s="70"/>
      <c r="E8" s="70"/>
    </row>
    <row r="9" ht="16" customHeight="1">
      <c r="A9" s="70"/>
      <c r="B9" s="70"/>
      <c r="C9" s="70"/>
      <c r="D9" s="70"/>
      <c r="E9" s="70"/>
    </row>
    <row r="10" ht="16" customHeight="1">
      <c r="A10" s="70"/>
      <c r="B10" s="70"/>
      <c r="C10" s="70"/>
      <c r="D10" s="70"/>
      <c r="E10" s="7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