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705" yWindow="-15" windowWidth="9540" windowHeight="11970"/>
  </bookViews>
  <sheets>
    <sheet name="급여현황" sheetId="1" r:id="rId1"/>
    <sheet name="조견표" sheetId="2" r:id="rId2"/>
    <sheet name="참조표" sheetId="3" r:id="rId3"/>
  </sheets>
  <definedNames>
    <definedName name="교통비">조견표!$E$15</definedName>
    <definedName name="급여">조견표!$C$3:$G$12</definedName>
    <definedName name="식대">조견표!$D$15</definedName>
    <definedName name="직급">조견표!$A$3:$A$12</definedName>
    <definedName name="차량보조금">조견표!$F$15</definedName>
  </definedNames>
  <calcPr calcId="145621"/>
</workbook>
</file>

<file path=xl/calcChain.xml><?xml version="1.0" encoding="utf-8"?>
<calcChain xmlns="http://schemas.openxmlformats.org/spreadsheetml/2006/main">
  <c r="B22" i="2" l="1"/>
  <c r="D22" i="2" s="1"/>
  <c r="D21" i="2"/>
  <c r="B21" i="2"/>
  <c r="B20" i="2"/>
  <c r="D20" i="2" s="1"/>
  <c r="N37" i="1"/>
  <c r="N38" i="1"/>
  <c r="N39" i="1"/>
  <c r="N21" i="1"/>
  <c r="N22" i="1"/>
  <c r="N23" i="1"/>
  <c r="N5" i="1"/>
  <c r="N6" i="1"/>
  <c r="N40" i="1"/>
  <c r="N41" i="1"/>
  <c r="N42" i="1"/>
  <c r="N24" i="1"/>
  <c r="N25" i="1"/>
  <c r="N26" i="1"/>
  <c r="N7" i="1"/>
  <c r="N8" i="1"/>
  <c r="N9" i="1"/>
  <c r="N10" i="1"/>
  <c r="N27" i="1"/>
  <c r="N28" i="1"/>
  <c r="N29" i="1"/>
  <c r="N11" i="1"/>
  <c r="N30" i="1"/>
  <c r="N31" i="1"/>
  <c r="N32" i="1"/>
  <c r="N12" i="1"/>
  <c r="N33" i="1"/>
  <c r="N43" i="1"/>
  <c r="N44" i="1"/>
  <c r="N45" i="1"/>
  <c r="N46" i="1"/>
  <c r="N47" i="1"/>
  <c r="N48" i="1"/>
  <c r="N49" i="1"/>
  <c r="N34" i="1"/>
  <c r="N50" i="1"/>
  <c r="N51" i="1"/>
  <c r="N35" i="1"/>
  <c r="N52" i="1"/>
  <c r="N53" i="1"/>
  <c r="N36" i="1"/>
  <c r="N54" i="1"/>
  <c r="N13" i="1"/>
  <c r="N14" i="1"/>
  <c r="N15" i="1"/>
  <c r="N16" i="1"/>
  <c r="N17" i="1"/>
  <c r="N18" i="1"/>
  <c r="N19" i="1"/>
  <c r="N20" i="1"/>
  <c r="M37" i="1"/>
  <c r="M38" i="1"/>
  <c r="M39" i="1"/>
  <c r="M21" i="1"/>
  <c r="M22" i="1"/>
  <c r="M23" i="1"/>
  <c r="M5" i="1"/>
  <c r="M6" i="1"/>
  <c r="M40" i="1"/>
  <c r="M41" i="1"/>
  <c r="M42" i="1"/>
  <c r="M24" i="1"/>
  <c r="M25" i="1"/>
  <c r="M26" i="1"/>
  <c r="M7" i="1"/>
  <c r="M8" i="1"/>
  <c r="M9" i="1"/>
  <c r="M10" i="1"/>
  <c r="M27" i="1"/>
  <c r="M28" i="1"/>
  <c r="M29" i="1"/>
  <c r="M11" i="1"/>
  <c r="M30" i="1"/>
  <c r="M31" i="1"/>
  <c r="M32" i="1"/>
  <c r="M12" i="1"/>
  <c r="M33" i="1"/>
  <c r="M43" i="1"/>
  <c r="M44" i="1"/>
  <c r="M45" i="1"/>
  <c r="M46" i="1"/>
  <c r="M47" i="1"/>
  <c r="M48" i="1"/>
  <c r="M49" i="1"/>
  <c r="M34" i="1"/>
  <c r="M50" i="1"/>
  <c r="M51" i="1"/>
  <c r="M35" i="1"/>
  <c r="M52" i="1"/>
  <c r="M53" i="1"/>
  <c r="M36" i="1"/>
  <c r="M54" i="1"/>
  <c r="M13" i="1"/>
  <c r="M14" i="1"/>
  <c r="M15" i="1"/>
  <c r="M16" i="1"/>
  <c r="M17" i="1"/>
  <c r="M18" i="1"/>
  <c r="M19" i="1"/>
  <c r="M20" i="1"/>
  <c r="L37" i="1"/>
  <c r="L38" i="1"/>
  <c r="L39" i="1"/>
  <c r="L21" i="1"/>
  <c r="L22" i="1"/>
  <c r="L23" i="1"/>
  <c r="L5" i="1"/>
  <c r="L6" i="1"/>
  <c r="L40" i="1"/>
  <c r="L41" i="1"/>
  <c r="L42" i="1"/>
  <c r="L24" i="1"/>
  <c r="L25" i="1"/>
  <c r="L26" i="1"/>
  <c r="L7" i="1"/>
  <c r="L8" i="1"/>
  <c r="L9" i="1"/>
  <c r="L10" i="1"/>
  <c r="L27" i="1"/>
  <c r="L28" i="1"/>
  <c r="L29" i="1"/>
  <c r="L11" i="1"/>
  <c r="L30" i="1"/>
  <c r="L31" i="1"/>
  <c r="L32" i="1"/>
  <c r="L12" i="1"/>
  <c r="L33" i="1"/>
  <c r="L43" i="1"/>
  <c r="L44" i="1"/>
  <c r="L45" i="1"/>
  <c r="L46" i="1"/>
  <c r="L47" i="1"/>
  <c r="L48" i="1"/>
  <c r="L49" i="1"/>
  <c r="L34" i="1"/>
  <c r="L50" i="1"/>
  <c r="L51" i="1"/>
  <c r="L35" i="1"/>
  <c r="L52" i="1"/>
  <c r="L53" i="1"/>
  <c r="L36" i="1"/>
  <c r="L54" i="1"/>
  <c r="L13" i="1"/>
  <c r="L14" i="1"/>
  <c r="L15" i="1"/>
  <c r="L16" i="1"/>
  <c r="L17" i="1"/>
  <c r="L18" i="1"/>
  <c r="L19" i="1"/>
  <c r="L20" i="1"/>
  <c r="H15" i="2"/>
  <c r="D16" i="2" l="1"/>
  <c r="E16" i="2"/>
  <c r="F16" i="2"/>
  <c r="I20" i="1" l="1"/>
  <c r="I19" i="1"/>
  <c r="I18" i="1"/>
  <c r="I17" i="1"/>
  <c r="I16" i="1"/>
  <c r="I15" i="1"/>
  <c r="I14" i="1"/>
  <c r="I13" i="1"/>
  <c r="I54" i="1"/>
  <c r="I36" i="1"/>
  <c r="I53" i="1"/>
  <c r="I52" i="1"/>
  <c r="I35" i="1"/>
  <c r="I51" i="1"/>
  <c r="I50" i="1"/>
  <c r="I34" i="1"/>
  <c r="I49" i="1"/>
  <c r="I48" i="1"/>
  <c r="I47" i="1"/>
  <c r="I46" i="1"/>
  <c r="I45" i="1"/>
  <c r="I44" i="1"/>
  <c r="I43" i="1"/>
  <c r="I33" i="1"/>
  <c r="I12" i="1"/>
  <c r="I32" i="1"/>
  <c r="I31" i="1"/>
  <c r="I30" i="1"/>
  <c r="I11" i="1"/>
  <c r="I29" i="1"/>
  <c r="I28" i="1"/>
  <c r="I27" i="1"/>
  <c r="I10" i="1"/>
  <c r="I9" i="1"/>
  <c r="I8" i="1"/>
  <c r="I7" i="1"/>
  <c r="I26" i="1"/>
  <c r="I25" i="1"/>
  <c r="I24" i="1"/>
  <c r="I42" i="1"/>
  <c r="I41" i="1"/>
  <c r="I40" i="1"/>
  <c r="I6" i="1"/>
  <c r="I5" i="1"/>
  <c r="I23" i="1"/>
  <c r="I22" i="1"/>
  <c r="I21" i="1"/>
  <c r="I39" i="1"/>
  <c r="I38" i="1"/>
  <c r="I37" i="1"/>
  <c r="G37" i="1" l="1"/>
  <c r="G38" i="1"/>
  <c r="G39" i="1"/>
  <c r="G21" i="1"/>
  <c r="G22" i="1"/>
  <c r="G23" i="1"/>
  <c r="G5" i="1"/>
  <c r="G6" i="1"/>
  <c r="G40" i="1"/>
  <c r="G41" i="1"/>
  <c r="G42" i="1"/>
  <c r="G24" i="1"/>
  <c r="G25" i="1"/>
  <c r="G26" i="1"/>
  <c r="G7" i="1"/>
  <c r="G8" i="1"/>
  <c r="G9" i="1"/>
  <c r="G10" i="1"/>
  <c r="G27" i="1"/>
  <c r="G28" i="1"/>
  <c r="G29" i="1"/>
  <c r="G11" i="1"/>
  <c r="G30" i="1"/>
  <c r="G31" i="1"/>
  <c r="G32" i="1"/>
  <c r="G12" i="1"/>
  <c r="G33" i="1"/>
  <c r="G43" i="1"/>
  <c r="G44" i="1"/>
  <c r="G45" i="1"/>
  <c r="G46" i="1"/>
  <c r="G47" i="1"/>
  <c r="G48" i="1"/>
  <c r="G49" i="1"/>
  <c r="G34" i="1"/>
  <c r="G50" i="1"/>
  <c r="G51" i="1"/>
  <c r="G35" i="1"/>
  <c r="G52" i="1"/>
  <c r="G53" i="1"/>
  <c r="G36" i="1"/>
  <c r="G54" i="1"/>
  <c r="G13" i="1"/>
  <c r="G14" i="1"/>
  <c r="G15" i="1"/>
  <c r="G16" i="1"/>
  <c r="G17" i="1"/>
  <c r="G18" i="1"/>
  <c r="G19" i="1"/>
  <c r="G20" i="1"/>
  <c r="H4" i="2" l="1"/>
  <c r="H5" i="2" s="1"/>
  <c r="H6" i="2" s="1"/>
  <c r="H7" i="2" s="1"/>
  <c r="H8" i="2" s="1"/>
  <c r="H9" i="2" s="1"/>
  <c r="H10" i="2" s="1"/>
  <c r="H11" i="2" s="1"/>
  <c r="H12" i="2" s="1"/>
  <c r="C4" i="2"/>
  <c r="C5" i="2" s="1"/>
  <c r="D3" i="2"/>
  <c r="E3" i="2" s="1"/>
  <c r="F3" i="2" s="1"/>
  <c r="G3" i="2" s="1"/>
  <c r="D4" i="2" l="1"/>
  <c r="E4" i="2" s="1"/>
  <c r="F4" i="2" s="1"/>
  <c r="G4" i="2" s="1"/>
  <c r="C6" i="2"/>
  <c r="D5" i="2"/>
  <c r="E5" i="2" s="1"/>
  <c r="F5" i="2" s="1"/>
  <c r="G5" i="2" s="1"/>
  <c r="K15" i="1" l="1"/>
  <c r="J15" i="1" s="1"/>
  <c r="K19" i="1"/>
  <c r="J19" i="1" s="1"/>
  <c r="K16" i="1"/>
  <c r="J16" i="1" s="1"/>
  <c r="K20" i="1"/>
  <c r="J20" i="1" s="1"/>
  <c r="C7" i="2"/>
  <c r="D6" i="2"/>
  <c r="R16" i="1" l="1"/>
  <c r="P16" i="1"/>
  <c r="T16" i="1"/>
  <c r="S16" i="1"/>
  <c r="E6" i="2"/>
  <c r="F6" i="2" s="1"/>
  <c r="G6" i="2" s="1"/>
  <c r="K45" i="1"/>
  <c r="J45" i="1" s="1"/>
  <c r="K46" i="1"/>
  <c r="J46" i="1" s="1"/>
  <c r="K47" i="1"/>
  <c r="J47" i="1" s="1"/>
  <c r="P19" i="1"/>
  <c r="Q19" i="1" s="1"/>
  <c r="T19" i="1"/>
  <c r="R19" i="1"/>
  <c r="S19" i="1"/>
  <c r="K13" i="1"/>
  <c r="J13" i="1" s="1"/>
  <c r="K14" i="1"/>
  <c r="J14" i="1" s="1"/>
  <c r="T15" i="1"/>
  <c r="R15" i="1"/>
  <c r="P15" i="1"/>
  <c r="Q15" i="1" s="1"/>
  <c r="S15" i="1"/>
  <c r="R20" i="1"/>
  <c r="P20" i="1"/>
  <c r="T20" i="1"/>
  <c r="S20" i="1"/>
  <c r="C8" i="2"/>
  <c r="D7" i="2"/>
  <c r="K29" i="1" l="1"/>
  <c r="J29" i="1" s="1"/>
  <c r="K32" i="1"/>
  <c r="J32" i="1" s="1"/>
  <c r="K11" i="1"/>
  <c r="J11" i="1" s="1"/>
  <c r="K12" i="1"/>
  <c r="J12" i="1" s="1"/>
  <c r="K27" i="1"/>
  <c r="J27" i="1" s="1"/>
  <c r="K30" i="1"/>
  <c r="J30" i="1" s="1"/>
  <c r="K33" i="1"/>
  <c r="J33" i="1" s="1"/>
  <c r="K28" i="1"/>
  <c r="J28" i="1" s="1"/>
  <c r="K31" i="1"/>
  <c r="J31" i="1" s="1"/>
  <c r="R46" i="1"/>
  <c r="S46" i="1"/>
  <c r="P46" i="1"/>
  <c r="Q46" i="1" s="1"/>
  <c r="T46" i="1"/>
  <c r="R14" i="1"/>
  <c r="P14" i="1"/>
  <c r="T14" i="1"/>
  <c r="S14" i="1"/>
  <c r="Q16" i="1"/>
  <c r="O16" i="1"/>
  <c r="O15" i="1"/>
  <c r="R13" i="1"/>
  <c r="S13" i="1"/>
  <c r="P13" i="1"/>
  <c r="Q13" i="1" s="1"/>
  <c r="O13" i="1" s="1"/>
  <c r="T13" i="1"/>
  <c r="O19" i="1"/>
  <c r="E7" i="2"/>
  <c r="K48" i="1"/>
  <c r="J48" i="1" s="1"/>
  <c r="K51" i="1"/>
  <c r="J51" i="1" s="1"/>
  <c r="K36" i="1"/>
  <c r="J36" i="1" s="1"/>
  <c r="K49" i="1"/>
  <c r="J49" i="1" s="1"/>
  <c r="K35" i="1"/>
  <c r="J35" i="1" s="1"/>
  <c r="K54" i="1"/>
  <c r="J54" i="1" s="1"/>
  <c r="K34" i="1"/>
  <c r="J34" i="1" s="1"/>
  <c r="K52" i="1"/>
  <c r="J52" i="1" s="1"/>
  <c r="K50" i="1"/>
  <c r="J50" i="1" s="1"/>
  <c r="K53" i="1"/>
  <c r="J53" i="1" s="1"/>
  <c r="Q20" i="1"/>
  <c r="O20" i="1" s="1"/>
  <c r="R47" i="1"/>
  <c r="P47" i="1"/>
  <c r="T47" i="1"/>
  <c r="S47" i="1"/>
  <c r="R45" i="1"/>
  <c r="S45" i="1"/>
  <c r="P45" i="1"/>
  <c r="T45" i="1"/>
  <c r="C9" i="2"/>
  <c r="D8" i="2"/>
  <c r="E8" i="2" s="1"/>
  <c r="F8" i="2" s="1"/>
  <c r="R50" i="1" l="1"/>
  <c r="T50" i="1"/>
  <c r="S50" i="1"/>
  <c r="P50" i="1"/>
  <c r="R35" i="1"/>
  <c r="P35" i="1"/>
  <c r="T35" i="1"/>
  <c r="S35" i="1"/>
  <c r="T48" i="1"/>
  <c r="R48" i="1"/>
  <c r="P48" i="1"/>
  <c r="Q48" i="1" s="1"/>
  <c r="S48" i="1"/>
  <c r="Q14" i="1"/>
  <c r="O14" i="1" s="1"/>
  <c r="R11" i="1"/>
  <c r="S11" i="1"/>
  <c r="P11" i="1"/>
  <c r="T11" i="1"/>
  <c r="R52" i="1"/>
  <c r="S52" i="1"/>
  <c r="P52" i="1"/>
  <c r="Q52" i="1" s="1"/>
  <c r="T52" i="1"/>
  <c r="R49" i="1"/>
  <c r="P49" i="1"/>
  <c r="S49" i="1"/>
  <c r="T49" i="1"/>
  <c r="F7" i="2"/>
  <c r="G7" i="2" s="1"/>
  <c r="K44" i="1"/>
  <c r="J44" i="1" s="1"/>
  <c r="K43" i="1"/>
  <c r="J43" i="1" s="1"/>
  <c r="R30" i="1"/>
  <c r="S30" i="1"/>
  <c r="P30" i="1"/>
  <c r="Q30" i="1" s="1"/>
  <c r="T30" i="1"/>
  <c r="T32" i="1"/>
  <c r="R32" i="1"/>
  <c r="P32" i="1"/>
  <c r="Q32" i="1" s="1"/>
  <c r="S32" i="1"/>
  <c r="Q45" i="1"/>
  <c r="O45" i="1" s="1"/>
  <c r="R34" i="1"/>
  <c r="S34" i="1"/>
  <c r="P34" i="1"/>
  <c r="Q34" i="1" s="1"/>
  <c r="T34" i="1"/>
  <c r="T36" i="1"/>
  <c r="R36" i="1"/>
  <c r="P36" i="1"/>
  <c r="Q36" i="1" s="1"/>
  <c r="S36" i="1"/>
  <c r="R31" i="1"/>
  <c r="T31" i="1"/>
  <c r="S31" i="1"/>
  <c r="P31" i="1"/>
  <c r="R27" i="1"/>
  <c r="S27" i="1"/>
  <c r="P27" i="1"/>
  <c r="Q27" i="1" s="1"/>
  <c r="T27" i="1"/>
  <c r="T29" i="1"/>
  <c r="R29" i="1"/>
  <c r="P29" i="1"/>
  <c r="Q29" i="1" s="1"/>
  <c r="S29" i="1"/>
  <c r="G8" i="2"/>
  <c r="K7" i="1"/>
  <c r="J7" i="1" s="1"/>
  <c r="K8" i="1"/>
  <c r="J8" i="1" s="1"/>
  <c r="Q47" i="1"/>
  <c r="O47" i="1" s="1"/>
  <c r="R53" i="1"/>
  <c r="P53" i="1"/>
  <c r="T53" i="1"/>
  <c r="S53" i="1"/>
  <c r="R54" i="1"/>
  <c r="P54" i="1"/>
  <c r="T54" i="1"/>
  <c r="S54" i="1"/>
  <c r="T51" i="1"/>
  <c r="R51" i="1"/>
  <c r="P51" i="1"/>
  <c r="Q51" i="1" s="1"/>
  <c r="S51" i="1"/>
  <c r="O46" i="1"/>
  <c r="R28" i="1"/>
  <c r="P28" i="1"/>
  <c r="T28" i="1"/>
  <c r="S28" i="1"/>
  <c r="R12" i="1"/>
  <c r="T12" i="1"/>
  <c r="S12" i="1"/>
  <c r="P12" i="1"/>
  <c r="R33" i="1"/>
  <c r="S33" i="1"/>
  <c r="P33" i="1"/>
  <c r="Q33" i="1" s="1"/>
  <c r="T33" i="1"/>
  <c r="C10" i="2"/>
  <c r="D9" i="2"/>
  <c r="O29" i="1" l="1"/>
  <c r="O27" i="1"/>
  <c r="O36" i="1"/>
  <c r="O34" i="1"/>
  <c r="Q54" i="1"/>
  <c r="O54" i="1" s="1"/>
  <c r="Q53" i="1"/>
  <c r="O53" i="1" s="1"/>
  <c r="O33" i="1"/>
  <c r="O32" i="1"/>
  <c r="O30" i="1"/>
  <c r="T44" i="1"/>
  <c r="R44" i="1"/>
  <c r="P44" i="1"/>
  <c r="Q44" i="1" s="1"/>
  <c r="S44" i="1"/>
  <c r="Q49" i="1"/>
  <c r="O49" i="1" s="1"/>
  <c r="Q50" i="1"/>
  <c r="O50" i="1" s="1"/>
  <c r="Q28" i="1"/>
  <c r="O28" i="1" s="1"/>
  <c r="O51" i="1"/>
  <c r="Q31" i="1"/>
  <c r="O31" i="1" s="1"/>
  <c r="O48" i="1"/>
  <c r="E9" i="2"/>
  <c r="K10" i="1"/>
  <c r="J10" i="1" s="1"/>
  <c r="R8" i="1"/>
  <c r="T8" i="1"/>
  <c r="S8" i="1"/>
  <c r="P8" i="1"/>
  <c r="Q8" i="1" s="1"/>
  <c r="Q35" i="1"/>
  <c r="O35" i="1"/>
  <c r="Q12" i="1"/>
  <c r="O12" i="1" s="1"/>
  <c r="R7" i="1"/>
  <c r="S7" i="1"/>
  <c r="P7" i="1"/>
  <c r="Q7" i="1" s="1"/>
  <c r="T7" i="1"/>
  <c r="R43" i="1"/>
  <c r="P43" i="1"/>
  <c r="T43" i="1"/>
  <c r="S43" i="1"/>
  <c r="O52" i="1"/>
  <c r="Q11" i="1"/>
  <c r="O11" i="1"/>
  <c r="C11" i="2"/>
  <c r="D10" i="2"/>
  <c r="O8" i="1" l="1"/>
  <c r="R10" i="1"/>
  <c r="T10" i="1"/>
  <c r="S10" i="1"/>
  <c r="P10" i="1"/>
  <c r="O7" i="1"/>
  <c r="F9" i="2"/>
  <c r="G9" i="2" s="1"/>
  <c r="K22" i="1"/>
  <c r="J22" i="1" s="1"/>
  <c r="K9" i="1"/>
  <c r="J9" i="1" s="1"/>
  <c r="K23" i="1"/>
  <c r="J23" i="1" s="1"/>
  <c r="K21" i="1"/>
  <c r="J21" i="1" s="1"/>
  <c r="O44" i="1"/>
  <c r="Q43" i="1"/>
  <c r="O43" i="1" s="1"/>
  <c r="E10" i="2"/>
  <c r="K37" i="1"/>
  <c r="K38" i="1"/>
  <c r="J38" i="1" s="1"/>
  <c r="K39" i="1"/>
  <c r="J39" i="1" s="1"/>
  <c r="C12" i="2"/>
  <c r="D12" i="2" s="1"/>
  <c r="E12" i="2" s="1"/>
  <c r="F12" i="2" s="1"/>
  <c r="G12" i="2" s="1"/>
  <c r="D11" i="2"/>
  <c r="R38" i="1" l="1"/>
  <c r="T38" i="1"/>
  <c r="S38" i="1"/>
  <c r="P38" i="1"/>
  <c r="Q38" i="1" s="1"/>
  <c r="T9" i="1"/>
  <c r="R9" i="1"/>
  <c r="P9" i="1"/>
  <c r="Q9" i="1" s="1"/>
  <c r="O9" i="1" s="1"/>
  <c r="S9" i="1"/>
  <c r="Q10" i="1"/>
  <c r="O10" i="1" s="1"/>
  <c r="E11" i="2"/>
  <c r="K40" i="1"/>
  <c r="J40" i="1" s="1"/>
  <c r="K41" i="1"/>
  <c r="J41" i="1" s="1"/>
  <c r="K42" i="1"/>
  <c r="J42" i="1" s="1"/>
  <c r="J37" i="1"/>
  <c r="S22" i="1"/>
  <c r="R22" i="1"/>
  <c r="P22" i="1"/>
  <c r="Q22" i="1" s="1"/>
  <c r="T22" i="1"/>
  <c r="F10" i="2"/>
  <c r="G10" i="2" s="1"/>
  <c r="K17" i="1"/>
  <c r="J17" i="1" s="1"/>
  <c r="K18" i="1"/>
  <c r="J18" i="1" s="1"/>
  <c r="R21" i="1"/>
  <c r="P21" i="1"/>
  <c r="Q21" i="1" s="1"/>
  <c r="T21" i="1"/>
  <c r="S21" i="1"/>
  <c r="R39" i="1"/>
  <c r="S39" i="1"/>
  <c r="P39" i="1"/>
  <c r="Q39" i="1" s="1"/>
  <c r="T39" i="1"/>
  <c r="R23" i="1"/>
  <c r="S23" i="1"/>
  <c r="P23" i="1"/>
  <c r="Q23" i="1" s="1"/>
  <c r="T23" i="1"/>
  <c r="O22" i="1" l="1"/>
  <c r="R18" i="1"/>
  <c r="P18" i="1"/>
  <c r="T18" i="1"/>
  <c r="S18" i="1"/>
  <c r="S37" i="1"/>
  <c r="R37" i="1"/>
  <c r="P37" i="1"/>
  <c r="Q37" i="1" s="1"/>
  <c r="T37" i="1"/>
  <c r="F11" i="2"/>
  <c r="G11" i="2" s="1"/>
  <c r="K25" i="1"/>
  <c r="J25" i="1" s="1"/>
  <c r="K26" i="1"/>
  <c r="J26" i="1" s="1"/>
  <c r="K5" i="1"/>
  <c r="K6" i="1"/>
  <c r="J6" i="1" s="1"/>
  <c r="K24" i="1"/>
  <c r="J24" i="1" s="1"/>
  <c r="O23" i="1"/>
  <c r="O39" i="1"/>
  <c r="R17" i="1"/>
  <c r="S17" i="1"/>
  <c r="P17" i="1"/>
  <c r="Q17" i="1" s="1"/>
  <c r="T17" i="1"/>
  <c r="R42" i="1"/>
  <c r="S42" i="1"/>
  <c r="P42" i="1"/>
  <c r="Q42" i="1" s="1"/>
  <c r="T42" i="1"/>
  <c r="O21" i="1"/>
  <c r="R41" i="1"/>
  <c r="T41" i="1"/>
  <c r="S41" i="1"/>
  <c r="P41" i="1"/>
  <c r="S40" i="1"/>
  <c r="R40" i="1"/>
  <c r="P40" i="1"/>
  <c r="Q40" i="1" s="1"/>
  <c r="T40" i="1"/>
  <c r="O38" i="1"/>
  <c r="R24" i="1" l="1"/>
  <c r="P24" i="1"/>
  <c r="Q24" i="1" s="1"/>
  <c r="T24" i="1"/>
  <c r="S24" i="1"/>
  <c r="T25" i="1"/>
  <c r="R25" i="1"/>
  <c r="P25" i="1"/>
  <c r="Q25" i="1" s="1"/>
  <c r="O25" i="1" s="1"/>
  <c r="S25" i="1"/>
  <c r="Q41" i="1"/>
  <c r="O41" i="1" s="1"/>
  <c r="R6" i="1"/>
  <c r="T6" i="1"/>
  <c r="S6" i="1"/>
  <c r="P6" i="1"/>
  <c r="Q6" i="1" s="1"/>
  <c r="Q18" i="1"/>
  <c r="O18" i="1" s="1"/>
  <c r="O40" i="1"/>
  <c r="J5" i="1"/>
  <c r="B16" i="2"/>
  <c r="O42" i="1"/>
  <c r="O17" i="1"/>
  <c r="R26" i="1"/>
  <c r="S26" i="1"/>
  <c r="P26" i="1"/>
  <c r="T26" i="1"/>
  <c r="O37" i="1"/>
  <c r="O6" i="1" l="1"/>
  <c r="Q26" i="1"/>
  <c r="O26" i="1" s="1"/>
  <c r="O24" i="1"/>
  <c r="R5" i="1"/>
  <c r="S5" i="1"/>
  <c r="P5" i="1"/>
  <c r="Q5" i="1" s="1"/>
  <c r="T5" i="1"/>
  <c r="G16" i="2"/>
  <c r="I16" i="2" s="1"/>
  <c r="O5" i="1" l="1"/>
</calcChain>
</file>

<file path=xl/sharedStrings.xml><?xml version="1.0" encoding="utf-8"?>
<sst xmlns="http://schemas.openxmlformats.org/spreadsheetml/2006/main" count="203" uniqueCount="147">
  <si>
    <t>사번</t>
  </si>
  <si>
    <t>입사일자</t>
  </si>
  <si>
    <t>성명</t>
  </si>
  <si>
    <t>근무팀</t>
  </si>
  <si>
    <t>직급</t>
  </si>
  <si>
    <t>호봉</t>
  </si>
  <si>
    <t>직위</t>
  </si>
  <si>
    <t>기본급</t>
  </si>
  <si>
    <t>식대</t>
  </si>
  <si>
    <t>교통비</t>
  </si>
  <si>
    <t>총무팀</t>
  </si>
  <si>
    <t>김용철</t>
  </si>
  <si>
    <t>정용기</t>
  </si>
  <si>
    <t>허선도</t>
  </si>
  <si>
    <t>박정우</t>
  </si>
  <si>
    <t>영업팀</t>
  </si>
  <si>
    <t>정창욱</t>
  </si>
  <si>
    <t>김동구</t>
  </si>
  <si>
    <t>조용길</t>
  </si>
  <si>
    <t>R/D팀</t>
  </si>
  <si>
    <t>노준조</t>
  </si>
  <si>
    <t>김사현</t>
  </si>
  <si>
    <t>김정우</t>
  </si>
  <si>
    <t>김지훈</t>
  </si>
  <si>
    <t>정노천</t>
  </si>
  <si>
    <t>이홍기</t>
  </si>
  <si>
    <t>황채명</t>
  </si>
  <si>
    <t>신종갑</t>
  </si>
  <si>
    <t>남동수</t>
  </si>
  <si>
    <t>박찬석</t>
  </si>
  <si>
    <t>기술팀</t>
  </si>
  <si>
    <t>김인철</t>
  </si>
  <si>
    <t>김종진</t>
  </si>
  <si>
    <t>박이호</t>
  </si>
  <si>
    <t>박한식</t>
  </si>
  <si>
    <t>강애연</t>
  </si>
  <si>
    <t>유상재</t>
  </si>
  <si>
    <t>오문규</t>
  </si>
  <si>
    <t>김재웅</t>
  </si>
  <si>
    <t>오진영</t>
  </si>
  <si>
    <t>김규한</t>
  </si>
  <si>
    <t>박득우</t>
  </si>
  <si>
    <t>안석준</t>
  </si>
  <si>
    <t>김용곤</t>
  </si>
  <si>
    <t>강충기</t>
  </si>
  <si>
    <t>강상일</t>
  </si>
  <si>
    <t>이수영</t>
  </si>
  <si>
    <t>김수정</t>
  </si>
  <si>
    <t>박중태</t>
  </si>
  <si>
    <t>신점기</t>
  </si>
  <si>
    <t>박한얼</t>
  </si>
  <si>
    <t>홍종현</t>
  </si>
  <si>
    <t>이유석</t>
  </si>
  <si>
    <t>최준호</t>
  </si>
  <si>
    <t>서지연</t>
  </si>
  <si>
    <t xml:space="preserve">한상수 </t>
  </si>
  <si>
    <t>임정호</t>
  </si>
  <si>
    <t>김병철</t>
  </si>
  <si>
    <t>이장호</t>
  </si>
  <si>
    <t>김영석</t>
  </si>
  <si>
    <t>김한나</t>
  </si>
  <si>
    <t>김호진</t>
  </si>
  <si>
    <t>윤정덕</t>
  </si>
  <si>
    <t>최지원</t>
  </si>
  <si>
    <t>임직원 급여 테이블</t>
    <phoneticPr fontId="5" type="noConversion"/>
  </si>
  <si>
    <t>급여 조견표 및 분석</t>
    <phoneticPr fontId="7" type="noConversion"/>
  </si>
  <si>
    <t>직위</t>
    <phoneticPr fontId="7" type="noConversion"/>
  </si>
  <si>
    <t>호봉차</t>
    <phoneticPr fontId="7" type="noConversion"/>
  </si>
  <si>
    <t>비율</t>
    <phoneticPr fontId="7" type="noConversion"/>
  </si>
  <si>
    <t>사원</t>
    <phoneticPr fontId="7" type="noConversion"/>
  </si>
  <si>
    <t>대리</t>
    <phoneticPr fontId="7" type="noConversion"/>
  </si>
  <si>
    <t>과장</t>
    <phoneticPr fontId="7" type="noConversion"/>
  </si>
  <si>
    <t>차장</t>
    <phoneticPr fontId="7" type="noConversion"/>
  </si>
  <si>
    <t>부장</t>
    <phoneticPr fontId="7" type="noConversion"/>
  </si>
  <si>
    <t>600223-1784388</t>
  </si>
  <si>
    <t>600223-1784389</t>
  </si>
  <si>
    <t>600223-1784390</t>
  </si>
  <si>
    <t>600223-1784391</t>
  </si>
  <si>
    <t>600223-1784392</t>
  </si>
  <si>
    <t>600223-1784393</t>
  </si>
  <si>
    <t>600223-1784394</t>
  </si>
  <si>
    <t>600223-1784395</t>
  </si>
  <si>
    <t>600223-1784396</t>
  </si>
  <si>
    <t>600223-1784397</t>
  </si>
  <si>
    <t>600223-1784398</t>
  </si>
  <si>
    <t>600223-1784399</t>
  </si>
  <si>
    <t>600223-1784400</t>
  </si>
  <si>
    <t>600223-1784401</t>
  </si>
  <si>
    <t>600223-1784402</t>
  </si>
  <si>
    <t>600223-1784403</t>
  </si>
  <si>
    <t>600223-1784404</t>
  </si>
  <si>
    <t>600223-1784405</t>
  </si>
  <si>
    <t>600223-1784406</t>
  </si>
  <si>
    <t>600223-1784407</t>
  </si>
  <si>
    <t>600223-1784408</t>
  </si>
  <si>
    <t>600223-1784409</t>
  </si>
  <si>
    <t>600223-1784410</t>
  </si>
  <si>
    <t>600223-1784411</t>
  </si>
  <si>
    <t>600223-1784412</t>
  </si>
  <si>
    <t>600223-1784413</t>
  </si>
  <si>
    <t>600223-1784414</t>
  </si>
  <si>
    <t>600223-1784415</t>
  </si>
  <si>
    <t>600223-1784416</t>
  </si>
  <si>
    <t>600223-1784417</t>
  </si>
  <si>
    <t>600223-1784418</t>
  </si>
  <si>
    <t>600223-1784419</t>
  </si>
  <si>
    <t>600223-1784420</t>
  </si>
  <si>
    <t>600223-1784421</t>
  </si>
  <si>
    <t>600223-1784422</t>
  </si>
  <si>
    <t>600223-1784423</t>
  </si>
  <si>
    <t>600223-1784424</t>
  </si>
  <si>
    <t>600223-1784425</t>
  </si>
  <si>
    <t>600223-1784426</t>
  </si>
  <si>
    <t>600223-1784427</t>
  </si>
  <si>
    <t>600223-1784428</t>
  </si>
  <si>
    <t>600223-1784429</t>
  </si>
  <si>
    <t>600223-1784430</t>
  </si>
  <si>
    <t>600223-1784431</t>
  </si>
  <si>
    <t>구분</t>
    <phoneticPr fontId="7" type="noConversion"/>
  </si>
  <si>
    <t>기본급</t>
    <phoneticPr fontId="7" type="noConversion"/>
  </si>
  <si>
    <t>식대</t>
    <phoneticPr fontId="7" type="noConversion"/>
  </si>
  <si>
    <t>교통비</t>
    <phoneticPr fontId="7" type="noConversion"/>
  </si>
  <si>
    <t>차량보조금</t>
    <phoneticPr fontId="7" type="noConversion"/>
  </si>
  <si>
    <t>급여 총액</t>
    <phoneticPr fontId="7" type="noConversion"/>
  </si>
  <si>
    <t>인상율</t>
    <phoneticPr fontId="7" type="noConversion"/>
  </si>
  <si>
    <t>인상액 총액</t>
    <phoneticPr fontId="7" type="noConversion"/>
  </si>
  <si>
    <t>기준가</t>
    <phoneticPr fontId="7" type="noConversion"/>
  </si>
  <si>
    <t>총액</t>
    <phoneticPr fontId="7" type="noConversion"/>
  </si>
  <si>
    <t>소득세</t>
    <phoneticPr fontId="5" type="noConversion"/>
  </si>
  <si>
    <t>주민등록번호</t>
    <phoneticPr fontId="5" type="noConversion"/>
  </si>
  <si>
    <t>성별</t>
    <phoneticPr fontId="5" type="noConversion"/>
  </si>
  <si>
    <t>지급계</t>
    <phoneticPr fontId="5" type="noConversion"/>
  </si>
  <si>
    <t>차량보조금</t>
    <phoneticPr fontId="5" type="noConversion"/>
  </si>
  <si>
    <t>공제계</t>
    <phoneticPr fontId="5" type="noConversion"/>
  </si>
  <si>
    <t>소득세</t>
    <phoneticPr fontId="5" type="noConversion"/>
  </si>
  <si>
    <t>주민세</t>
    <phoneticPr fontId="5" type="noConversion"/>
  </si>
  <si>
    <t>국민연금</t>
    <phoneticPr fontId="5" type="noConversion"/>
  </si>
  <si>
    <t>의료보험</t>
    <phoneticPr fontId="5" type="noConversion"/>
  </si>
  <si>
    <t>고용보험</t>
    <phoneticPr fontId="5" type="noConversion"/>
  </si>
  <si>
    <t>010223-4784385</t>
    <phoneticPr fontId="7" type="noConversion"/>
  </si>
  <si>
    <t>990223-8784386</t>
    <phoneticPr fontId="7" type="noConversion"/>
  </si>
  <si>
    <t>970223-9784387</t>
    <phoneticPr fontId="7" type="noConversion"/>
  </si>
  <si>
    <t>600223-1784382</t>
    <phoneticPr fontId="7" type="noConversion"/>
  </si>
  <si>
    <t>600223-2784383</t>
    <phoneticPr fontId="7" type="noConversion"/>
  </si>
  <si>
    <t>010223-3784384</t>
    <phoneticPr fontId="7" type="noConversion"/>
  </si>
  <si>
    <t xml:space="preserve">               호봉
직급</t>
    <phoneticPr fontId="7" type="noConversion"/>
  </si>
  <si>
    <t>근무팀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</si>
</sst>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0000"/>
    <numFmt numFmtId="177" formatCode="0.0%"/>
    <numFmt numFmtId="178" formatCode="0_-"/>
  </numFmts>
  <fonts count="15">
    <font>
      <sz val="11"/>
      <color theme="1"/>
      <name val="맑은 고딕"/>
      <family val="2"/>
      <charset val="129"/>
      <scheme val="minor"/>
    </font>
    <font>
      <sz val="11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체"/>
      <family val="3"/>
      <charset val="129"/>
    </font>
    <font>
      <b/>
      <sz val="11"/>
      <color theme="3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 applyFont="1" applyFill="1" applyAlignment="1">
      <alignment horizontal="centerContinuous" vertical="center"/>
    </xf>
    <xf numFmtId="0" fontId="3" fillId="0" borderId="0" xfId="1" applyFont="1" applyFill="1" applyAlignment="1">
      <alignment horizontal="centerContinuous" vertical="center"/>
    </xf>
    <xf numFmtId="0" fontId="3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6" fillId="0" borderId="11" xfId="4" applyNumberFormat="1" applyFill="1" applyBorder="1" applyAlignment="1">
      <alignment horizontal="center" vertical="center"/>
    </xf>
    <xf numFmtId="0" fontId="6" fillId="0" borderId="12" xfId="4" applyNumberFormat="1" applyFill="1" applyBorder="1" applyAlignment="1">
      <alignment horizontal="center" vertical="center"/>
    </xf>
    <xf numFmtId="14" fontId="2" fillId="0" borderId="12" xfId="4" applyNumberFormat="1" applyFont="1" applyFill="1" applyBorder="1" applyAlignment="1">
      <alignment horizontal="center" vertical="center"/>
    </xf>
    <xf numFmtId="0" fontId="2" fillId="0" borderId="12" xfId="4" applyNumberFormat="1" applyFont="1" applyFill="1" applyBorder="1" applyAlignment="1">
      <alignment horizontal="center" vertical="center"/>
    </xf>
    <xf numFmtId="3" fontId="2" fillId="0" borderId="12" xfId="4" applyNumberFormat="1" applyFont="1" applyFill="1" applyBorder="1" applyAlignment="1">
      <alignment vertical="center"/>
    </xf>
    <xf numFmtId="176" fontId="2" fillId="0" borderId="11" xfId="4" applyNumberFormat="1" applyFont="1" applyFill="1" applyBorder="1" applyAlignment="1">
      <alignment horizontal="center" vertical="center"/>
    </xf>
    <xf numFmtId="176" fontId="2" fillId="0" borderId="13" xfId="4" applyNumberFormat="1" applyFont="1" applyFill="1" applyBorder="1" applyAlignment="1">
      <alignment horizontal="center" vertical="center"/>
    </xf>
    <xf numFmtId="0" fontId="2" fillId="0" borderId="14" xfId="4" applyNumberFormat="1" applyFont="1" applyFill="1" applyBorder="1" applyAlignment="1">
      <alignment horizontal="center" vertical="center"/>
    </xf>
    <xf numFmtId="14" fontId="2" fillId="0" borderId="14" xfId="4" applyNumberFormat="1" applyFont="1" applyFill="1" applyBorder="1" applyAlignment="1">
      <alignment horizontal="center" vertical="center"/>
    </xf>
    <xf numFmtId="3" fontId="2" fillId="0" borderId="14" xfId="4" applyNumberFormat="1" applyFont="1" applyFill="1" applyBorder="1" applyAlignment="1">
      <alignment vertical="center"/>
    </xf>
    <xf numFmtId="0" fontId="8" fillId="0" borderId="15" xfId="5" applyAlignment="1">
      <alignment horizontal="center" vertical="center"/>
    </xf>
    <xf numFmtId="0" fontId="6" fillId="4" borderId="12" xfId="8" applyNumberFormat="1" applyBorder="1" applyAlignment="1">
      <alignment horizontal="center" vertical="center"/>
    </xf>
    <xf numFmtId="0" fontId="6" fillId="4" borderId="14" xfId="8" applyNumberFormat="1" applyBorder="1" applyAlignment="1">
      <alignment horizontal="center" vertical="center"/>
    </xf>
    <xf numFmtId="3" fontId="6" fillId="3" borderId="12" xfId="7" applyNumberFormat="1" applyBorder="1" applyAlignment="1">
      <alignment vertical="center"/>
    </xf>
    <xf numFmtId="3" fontId="6" fillId="3" borderId="14" xfId="7" applyNumberFormat="1" applyBorder="1" applyAlignment="1">
      <alignment vertical="center"/>
    </xf>
    <xf numFmtId="3" fontId="6" fillId="5" borderId="12" xfId="9" applyNumberFormat="1" applyBorder="1" applyAlignment="1">
      <alignment vertical="center"/>
    </xf>
    <xf numFmtId="3" fontId="6" fillId="5" borderId="14" xfId="9" applyNumberFormat="1" applyBorder="1" applyAlignment="1">
      <alignment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left" vertical="top" wrapText="1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41" fontId="11" fillId="6" borderId="21" xfId="2" applyFont="1" applyFill="1" applyBorder="1" applyAlignment="1"/>
    <xf numFmtId="41" fontId="11" fillId="0" borderId="22" xfId="2" applyFont="1" applyFill="1" applyBorder="1" applyAlignment="1"/>
    <xf numFmtId="41" fontId="11" fillId="6" borderId="22" xfId="2" applyFont="1" applyFill="1" applyBorder="1" applyAlignment="1"/>
    <xf numFmtId="41" fontId="11" fillId="0" borderId="23" xfId="2" applyFont="1" applyFill="1" applyBorder="1" applyAlignment="1"/>
    <xf numFmtId="0" fontId="11" fillId="0" borderId="1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41" fontId="11" fillId="6" borderId="17" xfId="2" applyFont="1" applyFill="1" applyBorder="1" applyAlignment="1"/>
    <xf numFmtId="41" fontId="11" fillId="0" borderId="1" xfId="2" applyFont="1" applyFill="1" applyBorder="1" applyAlignment="1"/>
    <xf numFmtId="41" fontId="11" fillId="6" borderId="1" xfId="2" applyFont="1" applyFill="1" applyBorder="1" applyAlignment="1"/>
    <xf numFmtId="9" fontId="11" fillId="0" borderId="18" xfId="3" applyFont="1" applyFill="1" applyBorder="1" applyAlignment="1"/>
    <xf numFmtId="0" fontId="11" fillId="0" borderId="19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41" fontId="11" fillId="6" borderId="19" xfId="2" applyFont="1" applyFill="1" applyBorder="1" applyAlignment="1"/>
    <xf numFmtId="41" fontId="11" fillId="0" borderId="7" xfId="2" applyFont="1" applyFill="1" applyBorder="1" applyAlignment="1"/>
    <xf numFmtId="41" fontId="11" fillId="6" borderId="7" xfId="2" applyFont="1" applyFill="1" applyBorder="1" applyAlignment="1"/>
    <xf numFmtId="9" fontId="11" fillId="0" borderId="20" xfId="3" applyFont="1" applyFill="1" applyBorder="1" applyAlignment="1"/>
    <xf numFmtId="0" fontId="10" fillId="7" borderId="29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41" fontId="11" fillId="0" borderId="21" xfId="2" applyFont="1" applyFill="1" applyBorder="1" applyAlignment="1"/>
    <xf numFmtId="10" fontId="11" fillId="0" borderId="22" xfId="3" applyNumberFormat="1" applyFont="1" applyFill="1" applyBorder="1" applyAlignment="1"/>
    <xf numFmtId="0" fontId="10" fillId="7" borderId="32" xfId="0" applyFont="1" applyFill="1" applyBorder="1" applyAlignment="1">
      <alignment horizontal="center" vertical="center"/>
    </xf>
    <xf numFmtId="41" fontId="11" fillId="0" borderId="19" xfId="2" applyFont="1" applyFill="1" applyBorder="1" applyAlignment="1"/>
    <xf numFmtId="177" fontId="11" fillId="0" borderId="7" xfId="3" applyNumberFormat="1" applyFont="1" applyFill="1" applyBorder="1" applyAlignment="1"/>
    <xf numFmtId="41" fontId="11" fillId="0" borderId="20" xfId="2" applyFont="1" applyFill="1" applyBorder="1" applyAlignment="1"/>
    <xf numFmtId="178" fontId="13" fillId="0" borderId="10" xfId="0" applyNumberFormat="1" applyFont="1" applyBorder="1" applyAlignment="1"/>
    <xf numFmtId="9" fontId="13" fillId="0" borderId="2" xfId="0" applyNumberFormat="1" applyFont="1" applyBorder="1" applyAlignment="1"/>
    <xf numFmtId="0" fontId="13" fillId="0" borderId="3" xfId="0" applyFont="1" applyBorder="1" applyAlignment="1"/>
    <xf numFmtId="41" fontId="13" fillId="0" borderId="4" xfId="0" applyNumberFormat="1" applyFont="1" applyBorder="1" applyAlignment="1"/>
    <xf numFmtId="9" fontId="13" fillId="0" borderId="1" xfId="0" applyNumberFormat="1" applyFont="1" applyBorder="1" applyAlignment="1"/>
    <xf numFmtId="41" fontId="13" fillId="0" borderId="5" xfId="0" applyNumberFormat="1" applyFont="1" applyBorder="1" applyAlignment="1"/>
    <xf numFmtId="41" fontId="13" fillId="0" borderId="6" xfId="0" applyNumberFormat="1" applyFont="1" applyBorder="1" applyAlignment="1"/>
    <xf numFmtId="9" fontId="13" fillId="0" borderId="7" xfId="0" applyNumberFormat="1" applyFont="1" applyBorder="1" applyAlignment="1"/>
    <xf numFmtId="41" fontId="13" fillId="0" borderId="8" xfId="0" applyNumberFormat="1" applyFont="1" applyBorder="1" applyAlignment="1"/>
    <xf numFmtId="0" fontId="12" fillId="7" borderId="27" xfId="0" applyFont="1" applyFill="1" applyBorder="1" applyAlignment="1">
      <alignment horizontal="center" vertical="center"/>
    </xf>
    <xf numFmtId="0" fontId="9" fillId="0" borderId="0" xfId="6" applyNumberFormat="1" applyFill="1" applyBorder="1" applyAlignment="1">
      <alignment horizontal="left" vertical="center"/>
    </xf>
    <xf numFmtId="0" fontId="3" fillId="0" borderId="27" xfId="4" applyNumberFormat="1" applyFont="1" applyFill="1" applyBorder="1" applyAlignment="1">
      <alignment horizontal="center" vertical="center"/>
    </xf>
    <xf numFmtId="0" fontId="3" fillId="0" borderId="27" xfId="5" applyFont="1" applyBorder="1" applyAlignment="1">
      <alignment horizontal="center" vertical="center"/>
    </xf>
    <xf numFmtId="0" fontId="13" fillId="3" borderId="27" xfId="7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</cellXfs>
  <cellStyles count="10">
    <cellStyle name="20% - 강조색1" xfId="7" builtinId="30"/>
    <cellStyle name="20% - 강조색2" xfId="8" builtinId="34"/>
    <cellStyle name="20% - 강조색3" xfId="9" builtinId="38"/>
    <cellStyle name="40% - 강조색1" xfId="4" builtinId="31"/>
    <cellStyle name="백분율" xfId="3" builtinId="5"/>
    <cellStyle name="쉼표 [0] 2" xfId="2"/>
    <cellStyle name="제목 1" xfId="6" builtinId="16"/>
    <cellStyle name="제목 3" xfId="5" builtinId="18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workbookViewId="0">
      <selection activeCell="G6" sqref="G6"/>
    </sheetView>
  </sheetViews>
  <sheetFormatPr defaultRowHeight="16.5"/>
  <cols>
    <col min="1" max="2" width="9" style="1"/>
    <col min="3" max="3" width="10.25" style="1" customWidth="1"/>
    <col min="4" max="6" width="9" style="1"/>
    <col min="7" max="7" width="9" style="5"/>
    <col min="8" max="8" width="17.25" style="5" bestFit="1" customWidth="1"/>
    <col min="9" max="9" width="7.875" style="5" customWidth="1"/>
    <col min="10" max="10" width="13.375" style="5" customWidth="1"/>
    <col min="11" max="14" width="10.5" style="1" customWidth="1"/>
    <col min="15" max="15" width="13.375" style="1" customWidth="1"/>
    <col min="16" max="20" width="10.5" style="1" customWidth="1"/>
  </cols>
  <sheetData>
    <row r="1" spans="1:20" s="1" customFormat="1">
      <c r="G1" s="5"/>
      <c r="H1" s="5"/>
      <c r="I1" s="5"/>
      <c r="J1" s="5"/>
    </row>
    <row r="2" spans="1:20" s="1" customFormat="1" ht="24">
      <c r="A2" s="63" t="s">
        <v>64</v>
      </c>
      <c r="B2" s="3"/>
      <c r="C2" s="3"/>
      <c r="E2" s="3"/>
      <c r="F2" s="3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s="1" customFormat="1" ht="16.5" customHeight="1">
      <c r="A3" s="2"/>
      <c r="B3" s="3"/>
      <c r="C3" s="3"/>
      <c r="D3" s="3"/>
      <c r="E3" s="3"/>
      <c r="F3" s="3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7.25" thickBot="1">
      <c r="A4" s="16" t="s">
        <v>0</v>
      </c>
      <c r="B4" s="16" t="s">
        <v>2</v>
      </c>
      <c r="C4" s="16" t="s">
        <v>1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129</v>
      </c>
      <c r="I4" s="16" t="s">
        <v>130</v>
      </c>
      <c r="J4" s="16" t="s">
        <v>131</v>
      </c>
      <c r="K4" s="16" t="s">
        <v>7</v>
      </c>
      <c r="L4" s="16" t="s">
        <v>8</v>
      </c>
      <c r="M4" s="16" t="s">
        <v>9</v>
      </c>
      <c r="N4" s="16" t="s">
        <v>132</v>
      </c>
      <c r="O4" s="16" t="s">
        <v>133</v>
      </c>
      <c r="P4" s="16" t="s">
        <v>134</v>
      </c>
      <c r="Q4" s="16" t="s">
        <v>135</v>
      </c>
      <c r="R4" s="16" t="s">
        <v>136</v>
      </c>
      <c r="S4" s="16" t="s">
        <v>137</v>
      </c>
      <c r="T4" s="16" t="s">
        <v>138</v>
      </c>
    </row>
    <row r="5" spans="1:20">
      <c r="A5" s="11">
        <v>7</v>
      </c>
      <c r="B5" s="9" t="s">
        <v>18</v>
      </c>
      <c r="C5" s="8">
        <v>32264</v>
      </c>
      <c r="D5" s="9" t="s">
        <v>19</v>
      </c>
      <c r="E5" s="9">
        <v>9</v>
      </c>
      <c r="F5" s="9">
        <v>3</v>
      </c>
      <c r="G5" s="9" t="str">
        <f t="shared" ref="G5:G36" si="0">INDEX(직급,E5,1)</f>
        <v>부장</v>
      </c>
      <c r="H5" s="17" t="s">
        <v>74</v>
      </c>
      <c r="I5" s="9" t="str">
        <f t="shared" ref="I5:I36" si="1">IF(MOD(MID(H5,8,1),2)=0,"여","남")</f>
        <v>남</v>
      </c>
      <c r="J5" s="10">
        <f t="shared" ref="J5:J36" si="2">SUM(K5:N5)</f>
        <v>3596041.28272</v>
      </c>
      <c r="K5" s="19">
        <f t="shared" ref="K5:K36" si="3">INDEX(급여,E5,F5)</f>
        <v>3196041.28272</v>
      </c>
      <c r="L5" s="19">
        <f t="shared" ref="L5:L36" si="4">식대</f>
        <v>100000</v>
      </c>
      <c r="M5" s="19">
        <f t="shared" ref="M5:M36" si="5">IF(E5&lt;7,교통비,0)</f>
        <v>0</v>
      </c>
      <c r="N5" s="19">
        <f t="shared" ref="N5:N36" si="6">IF(E5&gt;7,차량보조금,0)</f>
        <v>300000</v>
      </c>
      <c r="O5" s="10">
        <f t="shared" ref="O5:O36" si="7">SUM(P5:T5)</f>
        <v>648959.02691007999</v>
      </c>
      <c r="P5" s="21">
        <f>(J5*LOOKUP(J5,조견표!$B$19:$C$22))-VLOOKUP(J5,조견표!$B$19:$D$22,3)</f>
        <v>370931.14633440005</v>
      </c>
      <c r="Q5" s="21">
        <f t="shared" ref="Q5:Q36" si="8">P5*10%</f>
        <v>37093.114633440004</v>
      </c>
      <c r="R5" s="21">
        <f t="shared" ref="R5:R36" si="9">J5*4.5%</f>
        <v>161821.85772239999</v>
      </c>
      <c r="S5" s="21">
        <f t="shared" ref="S5:S36" si="10">J5*2%</f>
        <v>71920.825654400003</v>
      </c>
      <c r="T5" s="21">
        <f t="shared" ref="T5:T36" si="11">J5*0.2%</f>
        <v>7192.0825654400005</v>
      </c>
    </row>
    <row r="6" spans="1:20">
      <c r="A6" s="11">
        <v>8</v>
      </c>
      <c r="B6" s="9" t="s">
        <v>20</v>
      </c>
      <c r="C6" s="8">
        <v>32264</v>
      </c>
      <c r="D6" s="9" t="s">
        <v>19</v>
      </c>
      <c r="E6" s="9">
        <v>9</v>
      </c>
      <c r="F6" s="9">
        <v>3</v>
      </c>
      <c r="G6" s="9" t="str">
        <f t="shared" si="0"/>
        <v>부장</v>
      </c>
      <c r="H6" s="17" t="s">
        <v>75</v>
      </c>
      <c r="I6" s="9" t="str">
        <f t="shared" si="1"/>
        <v>남</v>
      </c>
      <c r="J6" s="10">
        <f t="shared" si="2"/>
        <v>3596041.28272</v>
      </c>
      <c r="K6" s="19">
        <f t="shared" si="3"/>
        <v>3196041.28272</v>
      </c>
      <c r="L6" s="19">
        <f t="shared" si="4"/>
        <v>100000</v>
      </c>
      <c r="M6" s="19">
        <f t="shared" si="5"/>
        <v>0</v>
      </c>
      <c r="N6" s="19">
        <f t="shared" si="6"/>
        <v>300000</v>
      </c>
      <c r="O6" s="10">
        <f t="shared" si="7"/>
        <v>648959.02691007999</v>
      </c>
      <c r="P6" s="21">
        <f>(J6*LOOKUP(J6,조견표!$B$19:$C$22))-VLOOKUP(J6,조견표!$B$19:$D$22,3)</f>
        <v>370931.14633440005</v>
      </c>
      <c r="Q6" s="21">
        <f t="shared" si="8"/>
        <v>37093.114633440004</v>
      </c>
      <c r="R6" s="21">
        <f t="shared" si="9"/>
        <v>161821.85772239999</v>
      </c>
      <c r="S6" s="21">
        <f t="shared" si="10"/>
        <v>71920.825654400003</v>
      </c>
      <c r="T6" s="21">
        <f t="shared" si="11"/>
        <v>7192.0825654400005</v>
      </c>
    </row>
    <row r="7" spans="1:20">
      <c r="A7" s="11">
        <v>15</v>
      </c>
      <c r="B7" s="9" t="s">
        <v>27</v>
      </c>
      <c r="C7" s="8">
        <v>33635</v>
      </c>
      <c r="D7" s="9" t="s">
        <v>19</v>
      </c>
      <c r="E7" s="9">
        <v>6</v>
      </c>
      <c r="F7" s="9">
        <v>4</v>
      </c>
      <c r="G7" s="9" t="str">
        <f t="shared" si="0"/>
        <v>과장</v>
      </c>
      <c r="H7" s="17" t="s">
        <v>82</v>
      </c>
      <c r="I7" s="9" t="str">
        <f t="shared" si="1"/>
        <v>남</v>
      </c>
      <c r="J7" s="10">
        <f t="shared" si="2"/>
        <v>2063986.38</v>
      </c>
      <c r="K7" s="19">
        <f t="shared" si="3"/>
        <v>1893986.38</v>
      </c>
      <c r="L7" s="19">
        <f t="shared" si="4"/>
        <v>100000</v>
      </c>
      <c r="M7" s="19">
        <f t="shared" si="5"/>
        <v>70000</v>
      </c>
      <c r="N7" s="19">
        <f t="shared" si="6"/>
        <v>0</v>
      </c>
      <c r="O7" s="10">
        <f t="shared" si="7"/>
        <v>464456.39069999993</v>
      </c>
      <c r="P7" s="21">
        <f>(J7*LOOKUP(J7,조견표!$B$19:$C$22))-VLOOKUP(J7,조견표!$B$19:$D$22,3)</f>
        <v>296517.54839999997</v>
      </c>
      <c r="Q7" s="21">
        <f t="shared" si="8"/>
        <v>29651.754839999998</v>
      </c>
      <c r="R7" s="21">
        <f t="shared" si="9"/>
        <v>92879.387099999993</v>
      </c>
      <c r="S7" s="21">
        <f t="shared" si="10"/>
        <v>41279.727599999998</v>
      </c>
      <c r="T7" s="21">
        <f t="shared" si="11"/>
        <v>4127.9727599999997</v>
      </c>
    </row>
    <row r="8" spans="1:20">
      <c r="A8" s="11">
        <v>16</v>
      </c>
      <c r="B8" s="9" t="s">
        <v>28</v>
      </c>
      <c r="C8" s="8">
        <v>33635</v>
      </c>
      <c r="D8" s="9" t="s">
        <v>19</v>
      </c>
      <c r="E8" s="9">
        <v>6</v>
      </c>
      <c r="F8" s="9">
        <v>4</v>
      </c>
      <c r="G8" s="9" t="str">
        <f t="shared" si="0"/>
        <v>과장</v>
      </c>
      <c r="H8" s="17" t="s">
        <v>83</v>
      </c>
      <c r="I8" s="9" t="str">
        <f t="shared" si="1"/>
        <v>남</v>
      </c>
      <c r="J8" s="10">
        <f t="shared" si="2"/>
        <v>2063986.38</v>
      </c>
      <c r="K8" s="19">
        <f t="shared" si="3"/>
        <v>1893986.38</v>
      </c>
      <c r="L8" s="19">
        <f t="shared" si="4"/>
        <v>100000</v>
      </c>
      <c r="M8" s="19">
        <f t="shared" si="5"/>
        <v>70000</v>
      </c>
      <c r="N8" s="19">
        <f t="shared" si="6"/>
        <v>0</v>
      </c>
      <c r="O8" s="10">
        <f t="shared" si="7"/>
        <v>464456.39069999993</v>
      </c>
      <c r="P8" s="21">
        <f>(J8*LOOKUP(J8,조견표!$B$19:$C$22))-VLOOKUP(J8,조견표!$B$19:$D$22,3)</f>
        <v>296517.54839999997</v>
      </c>
      <c r="Q8" s="21">
        <f t="shared" si="8"/>
        <v>29651.754839999998</v>
      </c>
      <c r="R8" s="21">
        <f t="shared" si="9"/>
        <v>92879.387099999993</v>
      </c>
      <c r="S8" s="21">
        <f t="shared" si="10"/>
        <v>41279.727599999998</v>
      </c>
      <c r="T8" s="21">
        <f t="shared" si="11"/>
        <v>4127.9727599999997</v>
      </c>
    </row>
    <row r="9" spans="1:20">
      <c r="A9" s="11">
        <v>17</v>
      </c>
      <c r="B9" s="9" t="s">
        <v>29</v>
      </c>
      <c r="C9" s="8">
        <v>33989</v>
      </c>
      <c r="D9" s="9" t="s">
        <v>30</v>
      </c>
      <c r="E9" s="9">
        <v>7</v>
      </c>
      <c r="F9" s="9">
        <v>3</v>
      </c>
      <c r="G9" s="9" t="str">
        <f t="shared" si="0"/>
        <v>차장</v>
      </c>
      <c r="H9" s="17" t="s">
        <v>84</v>
      </c>
      <c r="I9" s="9" t="str">
        <f t="shared" si="1"/>
        <v>남</v>
      </c>
      <c r="J9" s="10">
        <f t="shared" si="2"/>
        <v>2334993.9039999996</v>
      </c>
      <c r="K9" s="19">
        <f t="shared" si="3"/>
        <v>2234993.9039999996</v>
      </c>
      <c r="L9" s="19">
        <f t="shared" si="4"/>
        <v>100000</v>
      </c>
      <c r="M9" s="19">
        <f t="shared" si="5"/>
        <v>0</v>
      </c>
      <c r="N9" s="19">
        <f t="shared" si="6"/>
        <v>0</v>
      </c>
      <c r="O9" s="10">
        <f t="shared" si="7"/>
        <v>536273.3845599998</v>
      </c>
      <c r="P9" s="21">
        <f>(J9*LOOKUP(J9,조견표!$B$19:$C$22))-VLOOKUP(J9,조견표!$B$19:$D$22,3)</f>
        <v>345298.9027199999</v>
      </c>
      <c r="Q9" s="21">
        <f t="shared" si="8"/>
        <v>34529.89027199999</v>
      </c>
      <c r="R9" s="21">
        <f t="shared" si="9"/>
        <v>105074.72567999997</v>
      </c>
      <c r="S9" s="21">
        <f t="shared" si="10"/>
        <v>46699.878079999995</v>
      </c>
      <c r="T9" s="21">
        <f t="shared" si="11"/>
        <v>4669.9878079999989</v>
      </c>
    </row>
    <row r="10" spans="1:20">
      <c r="A10" s="11">
        <v>18</v>
      </c>
      <c r="B10" s="9" t="s">
        <v>31</v>
      </c>
      <c r="C10" s="8">
        <v>33989</v>
      </c>
      <c r="D10" s="9" t="s">
        <v>30</v>
      </c>
      <c r="E10" s="9">
        <v>7</v>
      </c>
      <c r="F10" s="9">
        <v>2</v>
      </c>
      <c r="G10" s="9" t="str">
        <f t="shared" si="0"/>
        <v>차장</v>
      </c>
      <c r="H10" s="17" t="s">
        <v>85</v>
      </c>
      <c r="I10" s="9" t="str">
        <f t="shared" si="1"/>
        <v>남</v>
      </c>
      <c r="J10" s="10">
        <f t="shared" si="2"/>
        <v>2297204.1519999998</v>
      </c>
      <c r="K10" s="19">
        <f t="shared" si="3"/>
        <v>2197204.1519999998</v>
      </c>
      <c r="L10" s="19">
        <f t="shared" si="4"/>
        <v>100000</v>
      </c>
      <c r="M10" s="19">
        <f t="shared" si="5"/>
        <v>0</v>
      </c>
      <c r="N10" s="19">
        <f t="shared" si="6"/>
        <v>0</v>
      </c>
      <c r="O10" s="10">
        <f t="shared" si="7"/>
        <v>526259.1002799999</v>
      </c>
      <c r="P10" s="21">
        <f>(J10*LOOKUP(J10,조견표!$B$19:$C$22))-VLOOKUP(J10,조견표!$B$19:$D$22,3)</f>
        <v>338496.74735999992</v>
      </c>
      <c r="Q10" s="21">
        <f t="shared" si="8"/>
        <v>33849.674735999994</v>
      </c>
      <c r="R10" s="21">
        <f t="shared" si="9"/>
        <v>103374.18683999998</v>
      </c>
      <c r="S10" s="21">
        <f t="shared" si="10"/>
        <v>45944.083039999998</v>
      </c>
      <c r="T10" s="21">
        <f t="shared" si="11"/>
        <v>4594.4083039999996</v>
      </c>
    </row>
    <row r="11" spans="1:20">
      <c r="A11" s="11">
        <v>22</v>
      </c>
      <c r="B11" s="9" t="s">
        <v>35</v>
      </c>
      <c r="C11" s="8">
        <v>34394</v>
      </c>
      <c r="D11" s="9" t="s">
        <v>30</v>
      </c>
      <c r="E11" s="9">
        <v>6</v>
      </c>
      <c r="F11" s="9">
        <v>1</v>
      </c>
      <c r="G11" s="9" t="str">
        <f t="shared" si="0"/>
        <v>과장</v>
      </c>
      <c r="H11" s="17" t="s">
        <v>89</v>
      </c>
      <c r="I11" s="9" t="str">
        <f t="shared" si="1"/>
        <v>남</v>
      </c>
      <c r="J11" s="10">
        <f t="shared" si="2"/>
        <v>1969512</v>
      </c>
      <c r="K11" s="19">
        <f t="shared" si="3"/>
        <v>1799512</v>
      </c>
      <c r="L11" s="19">
        <f t="shared" si="4"/>
        <v>100000</v>
      </c>
      <c r="M11" s="19">
        <f t="shared" si="5"/>
        <v>70000</v>
      </c>
      <c r="N11" s="19">
        <f t="shared" si="6"/>
        <v>0</v>
      </c>
      <c r="O11" s="10">
        <f t="shared" si="7"/>
        <v>439420.67999999993</v>
      </c>
      <c r="P11" s="21">
        <f>(J11*LOOKUP(J11,조견표!$B$19:$C$22))-VLOOKUP(J11,조견표!$B$19:$D$22,3)</f>
        <v>279512.15999999997</v>
      </c>
      <c r="Q11" s="21">
        <f t="shared" si="8"/>
        <v>27951.216</v>
      </c>
      <c r="R11" s="21">
        <f t="shared" si="9"/>
        <v>88628.04</v>
      </c>
      <c r="S11" s="21">
        <f t="shared" si="10"/>
        <v>39390.239999999998</v>
      </c>
      <c r="T11" s="21">
        <f t="shared" si="11"/>
        <v>3939.0239999999999</v>
      </c>
    </row>
    <row r="12" spans="1:20">
      <c r="A12" s="11">
        <v>26</v>
      </c>
      <c r="B12" s="9" t="s">
        <v>39</v>
      </c>
      <c r="C12" s="8">
        <v>34394</v>
      </c>
      <c r="D12" s="9" t="s">
        <v>30</v>
      </c>
      <c r="E12" s="9">
        <v>6</v>
      </c>
      <c r="F12" s="9">
        <v>1</v>
      </c>
      <c r="G12" s="9" t="str">
        <f t="shared" si="0"/>
        <v>과장</v>
      </c>
      <c r="H12" s="17" t="s">
        <v>93</v>
      </c>
      <c r="I12" s="9" t="str">
        <f t="shared" si="1"/>
        <v>남</v>
      </c>
      <c r="J12" s="10">
        <f t="shared" si="2"/>
        <v>1969512</v>
      </c>
      <c r="K12" s="19">
        <f t="shared" si="3"/>
        <v>1799512</v>
      </c>
      <c r="L12" s="19">
        <f t="shared" si="4"/>
        <v>100000</v>
      </c>
      <c r="M12" s="19">
        <f t="shared" si="5"/>
        <v>70000</v>
      </c>
      <c r="N12" s="19">
        <f t="shared" si="6"/>
        <v>0</v>
      </c>
      <c r="O12" s="10">
        <f t="shared" si="7"/>
        <v>439420.67999999993</v>
      </c>
      <c r="P12" s="21">
        <f>(J12*LOOKUP(J12,조견표!$B$19:$C$22))-VLOOKUP(J12,조견표!$B$19:$D$22,3)</f>
        <v>279512.15999999997</v>
      </c>
      <c r="Q12" s="21">
        <f t="shared" si="8"/>
        <v>27951.216</v>
      </c>
      <c r="R12" s="21">
        <f t="shared" si="9"/>
        <v>88628.04</v>
      </c>
      <c r="S12" s="21">
        <f t="shared" si="10"/>
        <v>39390.239999999998</v>
      </c>
      <c r="T12" s="21">
        <f t="shared" si="11"/>
        <v>3939.0239999999999</v>
      </c>
    </row>
    <row r="13" spans="1:20">
      <c r="A13" s="11">
        <v>43</v>
      </c>
      <c r="B13" s="9" t="s">
        <v>56</v>
      </c>
      <c r="C13" s="8">
        <v>35125</v>
      </c>
      <c r="D13" s="9" t="s">
        <v>30</v>
      </c>
      <c r="E13" s="9">
        <v>5</v>
      </c>
      <c r="F13" s="9">
        <v>1</v>
      </c>
      <c r="G13" s="9" t="str">
        <f t="shared" si="0"/>
        <v>과장</v>
      </c>
      <c r="H13" s="17" t="s">
        <v>110</v>
      </c>
      <c r="I13" s="9" t="str">
        <f t="shared" si="1"/>
        <v>남</v>
      </c>
      <c r="J13" s="10">
        <f t="shared" si="2"/>
        <v>1805920</v>
      </c>
      <c r="K13" s="19">
        <f t="shared" si="3"/>
        <v>1635920</v>
      </c>
      <c r="L13" s="19">
        <f t="shared" si="4"/>
        <v>100000</v>
      </c>
      <c r="M13" s="19">
        <f t="shared" si="5"/>
        <v>70000</v>
      </c>
      <c r="N13" s="19">
        <f t="shared" si="6"/>
        <v>0</v>
      </c>
      <c r="O13" s="10">
        <f t="shared" si="7"/>
        <v>396068.8</v>
      </c>
      <c r="P13" s="21">
        <f>(J13*LOOKUP(J13,조견표!$B$19:$C$22))-VLOOKUP(J13,조견표!$B$19:$D$22,3)</f>
        <v>250065.59999999998</v>
      </c>
      <c r="Q13" s="21">
        <f t="shared" si="8"/>
        <v>25006.559999999998</v>
      </c>
      <c r="R13" s="21">
        <f t="shared" si="9"/>
        <v>81266.399999999994</v>
      </c>
      <c r="S13" s="21">
        <f t="shared" si="10"/>
        <v>36118.400000000001</v>
      </c>
      <c r="T13" s="21">
        <f t="shared" si="11"/>
        <v>3611.84</v>
      </c>
    </row>
    <row r="14" spans="1:20">
      <c r="A14" s="11">
        <v>44</v>
      </c>
      <c r="B14" s="9" t="s">
        <v>57</v>
      </c>
      <c r="C14" s="8">
        <v>35125</v>
      </c>
      <c r="D14" s="9" t="s">
        <v>30</v>
      </c>
      <c r="E14" s="9">
        <v>5</v>
      </c>
      <c r="F14" s="9">
        <v>1</v>
      </c>
      <c r="G14" s="9" t="str">
        <f t="shared" si="0"/>
        <v>과장</v>
      </c>
      <c r="H14" s="17" t="s">
        <v>111</v>
      </c>
      <c r="I14" s="9" t="str">
        <f t="shared" si="1"/>
        <v>남</v>
      </c>
      <c r="J14" s="10">
        <f t="shared" si="2"/>
        <v>1805920</v>
      </c>
      <c r="K14" s="19">
        <f t="shared" si="3"/>
        <v>1635920</v>
      </c>
      <c r="L14" s="19">
        <f t="shared" si="4"/>
        <v>100000</v>
      </c>
      <c r="M14" s="19">
        <f t="shared" si="5"/>
        <v>70000</v>
      </c>
      <c r="N14" s="19">
        <f t="shared" si="6"/>
        <v>0</v>
      </c>
      <c r="O14" s="10">
        <f t="shared" si="7"/>
        <v>396068.8</v>
      </c>
      <c r="P14" s="21">
        <f>(J14*LOOKUP(J14,조견표!$B$19:$C$22))-VLOOKUP(J14,조견표!$B$19:$D$22,3)</f>
        <v>250065.59999999998</v>
      </c>
      <c r="Q14" s="21">
        <f t="shared" si="8"/>
        <v>25006.559999999998</v>
      </c>
      <c r="R14" s="21">
        <f t="shared" si="9"/>
        <v>81266.399999999994</v>
      </c>
      <c r="S14" s="21">
        <f t="shared" si="10"/>
        <v>36118.400000000001</v>
      </c>
      <c r="T14" s="21">
        <f t="shared" si="11"/>
        <v>3611.84</v>
      </c>
    </row>
    <row r="15" spans="1:20">
      <c r="A15" s="11">
        <v>45</v>
      </c>
      <c r="B15" s="9" t="s">
        <v>58</v>
      </c>
      <c r="C15" s="8">
        <v>35125</v>
      </c>
      <c r="D15" s="9" t="s">
        <v>30</v>
      </c>
      <c r="E15" s="9">
        <v>4</v>
      </c>
      <c r="F15" s="9">
        <v>1</v>
      </c>
      <c r="G15" s="9" t="str">
        <f t="shared" si="0"/>
        <v>대리</v>
      </c>
      <c r="H15" s="17" t="s">
        <v>112</v>
      </c>
      <c r="I15" s="9" t="str">
        <f t="shared" si="1"/>
        <v>남</v>
      </c>
      <c r="J15" s="10">
        <f t="shared" si="2"/>
        <v>1428400</v>
      </c>
      <c r="K15" s="19">
        <f t="shared" si="3"/>
        <v>1258400</v>
      </c>
      <c r="L15" s="19">
        <f t="shared" si="4"/>
        <v>100000</v>
      </c>
      <c r="M15" s="19">
        <f t="shared" si="5"/>
        <v>70000</v>
      </c>
      <c r="N15" s="19">
        <f t="shared" si="6"/>
        <v>0</v>
      </c>
      <c r="O15" s="10">
        <f t="shared" si="7"/>
        <v>296026</v>
      </c>
      <c r="P15" s="21">
        <f>(J15*LOOKUP(J15,조견표!$B$19:$C$22))-VLOOKUP(J15,조견표!$B$19:$D$22,3)</f>
        <v>182112</v>
      </c>
      <c r="Q15" s="21">
        <f t="shared" si="8"/>
        <v>18211.2</v>
      </c>
      <c r="R15" s="21">
        <f t="shared" si="9"/>
        <v>64278</v>
      </c>
      <c r="S15" s="21">
        <f t="shared" si="10"/>
        <v>28568</v>
      </c>
      <c r="T15" s="21">
        <f t="shared" si="11"/>
        <v>2856.8</v>
      </c>
    </row>
    <row r="16" spans="1:20">
      <c r="A16" s="11">
        <v>46</v>
      </c>
      <c r="B16" s="9" t="s">
        <v>59</v>
      </c>
      <c r="C16" s="8">
        <v>35125</v>
      </c>
      <c r="D16" s="9" t="s">
        <v>30</v>
      </c>
      <c r="E16" s="9">
        <v>4</v>
      </c>
      <c r="F16" s="9">
        <v>1</v>
      </c>
      <c r="G16" s="9" t="str">
        <f t="shared" si="0"/>
        <v>대리</v>
      </c>
      <c r="H16" s="17" t="s">
        <v>113</v>
      </c>
      <c r="I16" s="9" t="str">
        <f t="shared" si="1"/>
        <v>남</v>
      </c>
      <c r="J16" s="10">
        <f t="shared" si="2"/>
        <v>1428400</v>
      </c>
      <c r="K16" s="19">
        <f t="shared" si="3"/>
        <v>1258400</v>
      </c>
      <c r="L16" s="19">
        <f t="shared" si="4"/>
        <v>100000</v>
      </c>
      <c r="M16" s="19">
        <f t="shared" si="5"/>
        <v>70000</v>
      </c>
      <c r="N16" s="19">
        <f t="shared" si="6"/>
        <v>0</v>
      </c>
      <c r="O16" s="10">
        <f t="shared" si="7"/>
        <v>296026</v>
      </c>
      <c r="P16" s="21">
        <f>(J16*LOOKUP(J16,조견표!$B$19:$C$22))-VLOOKUP(J16,조견표!$B$19:$D$22,3)</f>
        <v>182112</v>
      </c>
      <c r="Q16" s="21">
        <f t="shared" si="8"/>
        <v>18211.2</v>
      </c>
      <c r="R16" s="21">
        <f t="shared" si="9"/>
        <v>64278</v>
      </c>
      <c r="S16" s="21">
        <f t="shared" si="10"/>
        <v>28568</v>
      </c>
      <c r="T16" s="21">
        <f t="shared" si="11"/>
        <v>2856.8</v>
      </c>
    </row>
    <row r="17" spans="1:20">
      <c r="A17" s="11">
        <v>47</v>
      </c>
      <c r="B17" s="9" t="s">
        <v>60</v>
      </c>
      <c r="C17" s="8">
        <v>35217</v>
      </c>
      <c r="D17" s="9" t="s">
        <v>30</v>
      </c>
      <c r="E17" s="9">
        <v>8</v>
      </c>
      <c r="F17" s="9">
        <v>3</v>
      </c>
      <c r="G17" s="9" t="str">
        <f t="shared" si="0"/>
        <v>차장</v>
      </c>
      <c r="H17" s="17" t="s">
        <v>114</v>
      </c>
      <c r="I17" s="9" t="str">
        <f t="shared" si="1"/>
        <v>남</v>
      </c>
      <c r="J17" s="10">
        <f t="shared" si="2"/>
        <v>2858493.2944</v>
      </c>
      <c r="K17" s="19">
        <f t="shared" si="3"/>
        <v>2458493.2944</v>
      </c>
      <c r="L17" s="19">
        <f t="shared" si="4"/>
        <v>100000</v>
      </c>
      <c r="M17" s="19">
        <f t="shared" si="5"/>
        <v>0</v>
      </c>
      <c r="N17" s="19">
        <f t="shared" si="6"/>
        <v>300000</v>
      </c>
      <c r="O17" s="10">
        <f t="shared" si="7"/>
        <v>675000.723016</v>
      </c>
      <c r="P17" s="21">
        <f>(J17*LOOKUP(J17,조견표!$B$19:$C$22))-VLOOKUP(J17,조견표!$B$19:$D$22,3)</f>
        <v>439528.792992</v>
      </c>
      <c r="Q17" s="21">
        <f t="shared" si="8"/>
        <v>43952.879299200002</v>
      </c>
      <c r="R17" s="21">
        <f t="shared" si="9"/>
        <v>128632.198248</v>
      </c>
      <c r="S17" s="21">
        <f t="shared" si="10"/>
        <v>57169.865888</v>
      </c>
      <c r="T17" s="21">
        <f t="shared" si="11"/>
        <v>5716.9865888000004</v>
      </c>
    </row>
    <row r="18" spans="1:20">
      <c r="A18" s="11">
        <v>48</v>
      </c>
      <c r="B18" s="9" t="s">
        <v>61</v>
      </c>
      <c r="C18" s="8">
        <v>35217</v>
      </c>
      <c r="D18" s="9" t="s">
        <v>30</v>
      </c>
      <c r="E18" s="9">
        <v>8</v>
      </c>
      <c r="F18" s="9">
        <v>3</v>
      </c>
      <c r="G18" s="9" t="str">
        <f t="shared" si="0"/>
        <v>차장</v>
      </c>
      <c r="H18" s="17" t="s">
        <v>115</v>
      </c>
      <c r="I18" s="9" t="str">
        <f t="shared" si="1"/>
        <v>남</v>
      </c>
      <c r="J18" s="10">
        <f t="shared" si="2"/>
        <v>2858493.2944</v>
      </c>
      <c r="K18" s="19">
        <f t="shared" si="3"/>
        <v>2458493.2944</v>
      </c>
      <c r="L18" s="19">
        <f t="shared" si="4"/>
        <v>100000</v>
      </c>
      <c r="M18" s="19">
        <f t="shared" si="5"/>
        <v>0</v>
      </c>
      <c r="N18" s="19">
        <f t="shared" si="6"/>
        <v>300000</v>
      </c>
      <c r="O18" s="10">
        <f t="shared" si="7"/>
        <v>675000.723016</v>
      </c>
      <c r="P18" s="21">
        <f>(J18*LOOKUP(J18,조견표!$B$19:$C$22))-VLOOKUP(J18,조견표!$B$19:$D$22,3)</f>
        <v>439528.792992</v>
      </c>
      <c r="Q18" s="21">
        <f t="shared" si="8"/>
        <v>43952.879299200002</v>
      </c>
      <c r="R18" s="21">
        <f t="shared" si="9"/>
        <v>128632.198248</v>
      </c>
      <c r="S18" s="21">
        <f t="shared" si="10"/>
        <v>57169.865888</v>
      </c>
      <c r="T18" s="21">
        <f t="shared" si="11"/>
        <v>5716.9865888000004</v>
      </c>
    </row>
    <row r="19" spans="1:20">
      <c r="A19" s="11">
        <v>49</v>
      </c>
      <c r="B19" s="9" t="s">
        <v>62</v>
      </c>
      <c r="C19" s="8">
        <v>35431</v>
      </c>
      <c r="D19" s="9" t="s">
        <v>30</v>
      </c>
      <c r="E19" s="9">
        <v>4</v>
      </c>
      <c r="F19" s="9">
        <v>1</v>
      </c>
      <c r="G19" s="9" t="str">
        <f t="shared" si="0"/>
        <v>대리</v>
      </c>
      <c r="H19" s="17" t="s">
        <v>116</v>
      </c>
      <c r="I19" s="9" t="str">
        <f t="shared" si="1"/>
        <v>남</v>
      </c>
      <c r="J19" s="10">
        <f t="shared" si="2"/>
        <v>1428400</v>
      </c>
      <c r="K19" s="19">
        <f t="shared" si="3"/>
        <v>1258400</v>
      </c>
      <c r="L19" s="19">
        <f t="shared" si="4"/>
        <v>100000</v>
      </c>
      <c r="M19" s="19">
        <f t="shared" si="5"/>
        <v>70000</v>
      </c>
      <c r="N19" s="19">
        <f t="shared" si="6"/>
        <v>0</v>
      </c>
      <c r="O19" s="10">
        <f t="shared" si="7"/>
        <v>296026</v>
      </c>
      <c r="P19" s="21">
        <f>(J19*LOOKUP(J19,조견표!$B$19:$C$22))-VLOOKUP(J19,조견표!$B$19:$D$22,3)</f>
        <v>182112</v>
      </c>
      <c r="Q19" s="21">
        <f t="shared" si="8"/>
        <v>18211.2</v>
      </c>
      <c r="R19" s="21">
        <f t="shared" si="9"/>
        <v>64278</v>
      </c>
      <c r="S19" s="21">
        <f t="shared" si="10"/>
        <v>28568</v>
      </c>
      <c r="T19" s="21">
        <f t="shared" si="11"/>
        <v>2856.8</v>
      </c>
    </row>
    <row r="20" spans="1:20">
      <c r="A20" s="11">
        <v>50</v>
      </c>
      <c r="B20" s="9" t="s">
        <v>63</v>
      </c>
      <c r="C20" s="8">
        <v>35431</v>
      </c>
      <c r="D20" s="9" t="s">
        <v>30</v>
      </c>
      <c r="E20" s="9">
        <v>4</v>
      </c>
      <c r="F20" s="9">
        <v>1</v>
      </c>
      <c r="G20" s="9" t="str">
        <f t="shared" si="0"/>
        <v>대리</v>
      </c>
      <c r="H20" s="17" t="s">
        <v>117</v>
      </c>
      <c r="I20" s="9" t="str">
        <f t="shared" si="1"/>
        <v>남</v>
      </c>
      <c r="J20" s="10">
        <f t="shared" si="2"/>
        <v>1428400</v>
      </c>
      <c r="K20" s="19">
        <f t="shared" si="3"/>
        <v>1258400</v>
      </c>
      <c r="L20" s="19">
        <f t="shared" si="4"/>
        <v>100000</v>
      </c>
      <c r="M20" s="19">
        <f t="shared" si="5"/>
        <v>70000</v>
      </c>
      <c r="N20" s="19">
        <f t="shared" si="6"/>
        <v>0</v>
      </c>
      <c r="O20" s="10">
        <f t="shared" si="7"/>
        <v>296026</v>
      </c>
      <c r="P20" s="21">
        <f>(J20*LOOKUP(J20,조견표!$B$19:$C$22))-VLOOKUP(J20,조견표!$B$19:$D$22,3)</f>
        <v>182112</v>
      </c>
      <c r="Q20" s="21">
        <f t="shared" si="8"/>
        <v>18211.2</v>
      </c>
      <c r="R20" s="21">
        <f t="shared" si="9"/>
        <v>64278</v>
      </c>
      <c r="S20" s="21">
        <f t="shared" si="10"/>
        <v>28568</v>
      </c>
      <c r="T20" s="21">
        <f t="shared" si="11"/>
        <v>2856.8</v>
      </c>
    </row>
    <row r="21" spans="1:20">
      <c r="A21" s="11">
        <v>4</v>
      </c>
      <c r="B21" s="9" t="s">
        <v>14</v>
      </c>
      <c r="C21" s="8">
        <v>31868</v>
      </c>
      <c r="D21" s="9" t="s">
        <v>15</v>
      </c>
      <c r="E21" s="9">
        <v>7</v>
      </c>
      <c r="F21" s="9">
        <v>3</v>
      </c>
      <c r="G21" s="9" t="str">
        <f t="shared" si="0"/>
        <v>차장</v>
      </c>
      <c r="H21" s="17" t="s">
        <v>139</v>
      </c>
      <c r="I21" s="9" t="str">
        <f t="shared" si="1"/>
        <v>여</v>
      </c>
      <c r="J21" s="10">
        <f t="shared" si="2"/>
        <v>2334993.9039999996</v>
      </c>
      <c r="K21" s="19">
        <f t="shared" si="3"/>
        <v>2234993.9039999996</v>
      </c>
      <c r="L21" s="19">
        <f t="shared" si="4"/>
        <v>100000</v>
      </c>
      <c r="M21" s="19">
        <f t="shared" si="5"/>
        <v>0</v>
      </c>
      <c r="N21" s="19">
        <f t="shared" si="6"/>
        <v>0</v>
      </c>
      <c r="O21" s="10">
        <f t="shared" si="7"/>
        <v>536273.3845599998</v>
      </c>
      <c r="P21" s="21">
        <f>(J21*LOOKUP(J21,조견표!$B$19:$C$22))-VLOOKUP(J21,조견표!$B$19:$D$22,3)</f>
        <v>345298.9027199999</v>
      </c>
      <c r="Q21" s="21">
        <f t="shared" si="8"/>
        <v>34529.89027199999</v>
      </c>
      <c r="R21" s="21">
        <f t="shared" si="9"/>
        <v>105074.72567999997</v>
      </c>
      <c r="S21" s="21">
        <f t="shared" si="10"/>
        <v>46699.878079999995</v>
      </c>
      <c r="T21" s="21">
        <f t="shared" si="11"/>
        <v>4669.9878079999989</v>
      </c>
    </row>
    <row r="22" spans="1:20">
      <c r="A22" s="11">
        <v>5</v>
      </c>
      <c r="B22" s="9" t="s">
        <v>16</v>
      </c>
      <c r="C22" s="8">
        <v>31868</v>
      </c>
      <c r="D22" s="9" t="s">
        <v>15</v>
      </c>
      <c r="E22" s="9">
        <v>7</v>
      </c>
      <c r="F22" s="9">
        <v>3</v>
      </c>
      <c r="G22" s="9" t="str">
        <f t="shared" si="0"/>
        <v>차장</v>
      </c>
      <c r="H22" s="17" t="s">
        <v>140</v>
      </c>
      <c r="I22" s="9" t="str">
        <f t="shared" si="1"/>
        <v>여</v>
      </c>
      <c r="J22" s="10">
        <f t="shared" si="2"/>
        <v>2334993.9039999996</v>
      </c>
      <c r="K22" s="19">
        <f t="shared" si="3"/>
        <v>2234993.9039999996</v>
      </c>
      <c r="L22" s="19">
        <f t="shared" si="4"/>
        <v>100000</v>
      </c>
      <c r="M22" s="19">
        <f t="shared" si="5"/>
        <v>0</v>
      </c>
      <c r="N22" s="19">
        <f t="shared" si="6"/>
        <v>0</v>
      </c>
      <c r="O22" s="10">
        <f t="shared" si="7"/>
        <v>536273.3845599998</v>
      </c>
      <c r="P22" s="21">
        <f>(J22*LOOKUP(J22,조견표!$B$19:$C$22))-VLOOKUP(J22,조견표!$B$19:$D$22,3)</f>
        <v>345298.9027199999</v>
      </c>
      <c r="Q22" s="21">
        <f t="shared" si="8"/>
        <v>34529.89027199999</v>
      </c>
      <c r="R22" s="21">
        <f t="shared" si="9"/>
        <v>105074.72567999997</v>
      </c>
      <c r="S22" s="21">
        <f t="shared" si="10"/>
        <v>46699.878079999995</v>
      </c>
      <c r="T22" s="21">
        <f t="shared" si="11"/>
        <v>4669.9878079999989</v>
      </c>
    </row>
    <row r="23" spans="1:20">
      <c r="A23" s="11">
        <v>6</v>
      </c>
      <c r="B23" s="9" t="s">
        <v>17</v>
      </c>
      <c r="C23" s="8">
        <v>31868</v>
      </c>
      <c r="D23" s="9" t="s">
        <v>15</v>
      </c>
      <c r="E23" s="9">
        <v>7</v>
      </c>
      <c r="F23" s="9">
        <v>3</v>
      </c>
      <c r="G23" s="9" t="str">
        <f t="shared" si="0"/>
        <v>차장</v>
      </c>
      <c r="H23" s="17" t="s">
        <v>141</v>
      </c>
      <c r="I23" s="9" t="str">
        <f t="shared" si="1"/>
        <v>남</v>
      </c>
      <c r="J23" s="10">
        <f t="shared" si="2"/>
        <v>2334993.9039999996</v>
      </c>
      <c r="K23" s="19">
        <f t="shared" si="3"/>
        <v>2234993.9039999996</v>
      </c>
      <c r="L23" s="19">
        <f t="shared" si="4"/>
        <v>100000</v>
      </c>
      <c r="M23" s="19">
        <f t="shared" si="5"/>
        <v>0</v>
      </c>
      <c r="N23" s="19">
        <f t="shared" si="6"/>
        <v>0</v>
      </c>
      <c r="O23" s="10">
        <f t="shared" si="7"/>
        <v>536273.3845599998</v>
      </c>
      <c r="P23" s="21">
        <f>(J23*LOOKUP(J23,조견표!$B$19:$C$22))-VLOOKUP(J23,조견표!$B$19:$D$22,3)</f>
        <v>345298.9027199999</v>
      </c>
      <c r="Q23" s="21">
        <f t="shared" si="8"/>
        <v>34529.89027199999</v>
      </c>
      <c r="R23" s="21">
        <f t="shared" si="9"/>
        <v>105074.72567999997</v>
      </c>
      <c r="S23" s="21">
        <f t="shared" si="10"/>
        <v>46699.878079999995</v>
      </c>
      <c r="T23" s="21">
        <f t="shared" si="11"/>
        <v>4669.9878079999989</v>
      </c>
    </row>
    <row r="24" spans="1:20">
      <c r="A24" s="11">
        <v>12</v>
      </c>
      <c r="B24" s="9" t="s">
        <v>24</v>
      </c>
      <c r="C24" s="8">
        <v>33609</v>
      </c>
      <c r="D24" s="9" t="s">
        <v>15</v>
      </c>
      <c r="E24" s="9">
        <v>9</v>
      </c>
      <c r="F24" s="9">
        <v>3</v>
      </c>
      <c r="G24" s="9" t="str">
        <f t="shared" si="0"/>
        <v>부장</v>
      </c>
      <c r="H24" s="17" t="s">
        <v>79</v>
      </c>
      <c r="I24" s="9" t="str">
        <f t="shared" si="1"/>
        <v>남</v>
      </c>
      <c r="J24" s="10">
        <f t="shared" si="2"/>
        <v>3596041.28272</v>
      </c>
      <c r="K24" s="19">
        <f t="shared" si="3"/>
        <v>3196041.28272</v>
      </c>
      <c r="L24" s="19">
        <f t="shared" si="4"/>
        <v>100000</v>
      </c>
      <c r="M24" s="19">
        <f t="shared" si="5"/>
        <v>0</v>
      </c>
      <c r="N24" s="19">
        <f t="shared" si="6"/>
        <v>300000</v>
      </c>
      <c r="O24" s="10">
        <f t="shared" si="7"/>
        <v>648959.02691007999</v>
      </c>
      <c r="P24" s="21">
        <f>(J24*LOOKUP(J24,조견표!$B$19:$C$22))-VLOOKUP(J24,조견표!$B$19:$D$22,3)</f>
        <v>370931.14633440005</v>
      </c>
      <c r="Q24" s="21">
        <f t="shared" si="8"/>
        <v>37093.114633440004</v>
      </c>
      <c r="R24" s="21">
        <f t="shared" si="9"/>
        <v>161821.85772239999</v>
      </c>
      <c r="S24" s="21">
        <f t="shared" si="10"/>
        <v>71920.825654400003</v>
      </c>
      <c r="T24" s="21">
        <f t="shared" si="11"/>
        <v>7192.0825654400005</v>
      </c>
    </row>
    <row r="25" spans="1:20">
      <c r="A25" s="11">
        <v>13</v>
      </c>
      <c r="B25" s="9" t="s">
        <v>25</v>
      </c>
      <c r="C25" s="8">
        <v>33609</v>
      </c>
      <c r="D25" s="9" t="s">
        <v>15</v>
      </c>
      <c r="E25" s="9">
        <v>9</v>
      </c>
      <c r="F25" s="9">
        <v>3</v>
      </c>
      <c r="G25" s="9" t="str">
        <f t="shared" si="0"/>
        <v>부장</v>
      </c>
      <c r="H25" s="17" t="s">
        <v>80</v>
      </c>
      <c r="I25" s="9" t="str">
        <f t="shared" si="1"/>
        <v>남</v>
      </c>
      <c r="J25" s="10">
        <f t="shared" si="2"/>
        <v>3596041.28272</v>
      </c>
      <c r="K25" s="19">
        <f t="shared" si="3"/>
        <v>3196041.28272</v>
      </c>
      <c r="L25" s="19">
        <f t="shared" si="4"/>
        <v>100000</v>
      </c>
      <c r="M25" s="19">
        <f t="shared" si="5"/>
        <v>0</v>
      </c>
      <c r="N25" s="19">
        <f t="shared" si="6"/>
        <v>300000</v>
      </c>
      <c r="O25" s="10">
        <f t="shared" si="7"/>
        <v>648959.02691007999</v>
      </c>
      <c r="P25" s="21">
        <f>(J25*LOOKUP(J25,조견표!$B$19:$C$22))-VLOOKUP(J25,조견표!$B$19:$D$22,3)</f>
        <v>370931.14633440005</v>
      </c>
      <c r="Q25" s="21">
        <f t="shared" si="8"/>
        <v>37093.114633440004</v>
      </c>
      <c r="R25" s="21">
        <f t="shared" si="9"/>
        <v>161821.85772239999</v>
      </c>
      <c r="S25" s="21">
        <f t="shared" si="10"/>
        <v>71920.825654400003</v>
      </c>
      <c r="T25" s="21">
        <f t="shared" si="11"/>
        <v>7192.0825654400005</v>
      </c>
    </row>
    <row r="26" spans="1:20">
      <c r="A26" s="11">
        <v>14</v>
      </c>
      <c r="B26" s="9" t="s">
        <v>26</v>
      </c>
      <c r="C26" s="8">
        <v>33609</v>
      </c>
      <c r="D26" s="9" t="s">
        <v>15</v>
      </c>
      <c r="E26" s="9">
        <v>9</v>
      </c>
      <c r="F26" s="9">
        <v>3</v>
      </c>
      <c r="G26" s="9" t="str">
        <f t="shared" si="0"/>
        <v>부장</v>
      </c>
      <c r="H26" s="17" t="s">
        <v>81</v>
      </c>
      <c r="I26" s="9" t="str">
        <f t="shared" si="1"/>
        <v>남</v>
      </c>
      <c r="J26" s="10">
        <f t="shared" si="2"/>
        <v>3596041.28272</v>
      </c>
      <c r="K26" s="19">
        <f t="shared" si="3"/>
        <v>3196041.28272</v>
      </c>
      <c r="L26" s="19">
        <f t="shared" si="4"/>
        <v>100000</v>
      </c>
      <c r="M26" s="19">
        <f t="shared" si="5"/>
        <v>0</v>
      </c>
      <c r="N26" s="19">
        <f t="shared" si="6"/>
        <v>300000</v>
      </c>
      <c r="O26" s="10">
        <f t="shared" si="7"/>
        <v>648959.02691007999</v>
      </c>
      <c r="P26" s="21">
        <f>(J26*LOOKUP(J26,조견표!$B$19:$C$22))-VLOOKUP(J26,조견표!$B$19:$D$22,3)</f>
        <v>370931.14633440005</v>
      </c>
      <c r="Q26" s="21">
        <f t="shared" si="8"/>
        <v>37093.114633440004</v>
      </c>
      <c r="R26" s="21">
        <f t="shared" si="9"/>
        <v>161821.85772239999</v>
      </c>
      <c r="S26" s="21">
        <f t="shared" si="10"/>
        <v>71920.825654400003</v>
      </c>
      <c r="T26" s="21">
        <f t="shared" si="11"/>
        <v>7192.0825654400005</v>
      </c>
    </row>
    <row r="27" spans="1:20">
      <c r="A27" s="11">
        <v>19</v>
      </c>
      <c r="B27" s="9" t="s">
        <v>32</v>
      </c>
      <c r="C27" s="8">
        <v>34394</v>
      </c>
      <c r="D27" s="9" t="s">
        <v>15</v>
      </c>
      <c r="E27" s="9">
        <v>6</v>
      </c>
      <c r="F27" s="9">
        <v>1</v>
      </c>
      <c r="G27" s="9" t="str">
        <f t="shared" si="0"/>
        <v>과장</v>
      </c>
      <c r="H27" s="17" t="s">
        <v>86</v>
      </c>
      <c r="I27" s="9" t="str">
        <f t="shared" si="1"/>
        <v>남</v>
      </c>
      <c r="J27" s="10">
        <f t="shared" si="2"/>
        <v>1969512</v>
      </c>
      <c r="K27" s="19">
        <f t="shared" si="3"/>
        <v>1799512</v>
      </c>
      <c r="L27" s="19">
        <f t="shared" si="4"/>
        <v>100000</v>
      </c>
      <c r="M27" s="19">
        <f t="shared" si="5"/>
        <v>70000</v>
      </c>
      <c r="N27" s="19">
        <f t="shared" si="6"/>
        <v>0</v>
      </c>
      <c r="O27" s="10">
        <f t="shared" si="7"/>
        <v>439420.67999999993</v>
      </c>
      <c r="P27" s="21">
        <f>(J27*LOOKUP(J27,조견표!$B$19:$C$22))-VLOOKUP(J27,조견표!$B$19:$D$22,3)</f>
        <v>279512.15999999997</v>
      </c>
      <c r="Q27" s="21">
        <f t="shared" si="8"/>
        <v>27951.216</v>
      </c>
      <c r="R27" s="21">
        <f t="shared" si="9"/>
        <v>88628.04</v>
      </c>
      <c r="S27" s="21">
        <f t="shared" si="10"/>
        <v>39390.239999999998</v>
      </c>
      <c r="T27" s="21">
        <f t="shared" si="11"/>
        <v>3939.0239999999999</v>
      </c>
    </row>
    <row r="28" spans="1:20">
      <c r="A28" s="11">
        <v>20</v>
      </c>
      <c r="B28" s="9" t="s">
        <v>33</v>
      </c>
      <c r="C28" s="8">
        <v>34394</v>
      </c>
      <c r="D28" s="9" t="s">
        <v>15</v>
      </c>
      <c r="E28" s="9">
        <v>6</v>
      </c>
      <c r="F28" s="9">
        <v>1</v>
      </c>
      <c r="G28" s="9" t="str">
        <f t="shared" si="0"/>
        <v>과장</v>
      </c>
      <c r="H28" s="17" t="s">
        <v>87</v>
      </c>
      <c r="I28" s="9" t="str">
        <f t="shared" si="1"/>
        <v>남</v>
      </c>
      <c r="J28" s="10">
        <f t="shared" si="2"/>
        <v>1969512</v>
      </c>
      <c r="K28" s="19">
        <f t="shared" si="3"/>
        <v>1799512</v>
      </c>
      <c r="L28" s="19">
        <f t="shared" si="4"/>
        <v>100000</v>
      </c>
      <c r="M28" s="19">
        <f t="shared" si="5"/>
        <v>70000</v>
      </c>
      <c r="N28" s="19">
        <f t="shared" si="6"/>
        <v>0</v>
      </c>
      <c r="O28" s="10">
        <f t="shared" si="7"/>
        <v>439420.67999999993</v>
      </c>
      <c r="P28" s="21">
        <f>(J28*LOOKUP(J28,조견표!$B$19:$C$22))-VLOOKUP(J28,조견표!$B$19:$D$22,3)</f>
        <v>279512.15999999997</v>
      </c>
      <c r="Q28" s="21">
        <f t="shared" si="8"/>
        <v>27951.216</v>
      </c>
      <c r="R28" s="21">
        <f t="shared" si="9"/>
        <v>88628.04</v>
      </c>
      <c r="S28" s="21">
        <f t="shared" si="10"/>
        <v>39390.239999999998</v>
      </c>
      <c r="T28" s="21">
        <f t="shared" si="11"/>
        <v>3939.0239999999999</v>
      </c>
    </row>
    <row r="29" spans="1:20">
      <c r="A29" s="11">
        <v>21</v>
      </c>
      <c r="B29" s="9" t="s">
        <v>34</v>
      </c>
      <c r="C29" s="8">
        <v>34394</v>
      </c>
      <c r="D29" s="9" t="s">
        <v>15</v>
      </c>
      <c r="E29" s="9">
        <v>6</v>
      </c>
      <c r="F29" s="9">
        <v>1</v>
      </c>
      <c r="G29" s="9" t="str">
        <f t="shared" si="0"/>
        <v>과장</v>
      </c>
      <c r="H29" s="17" t="s">
        <v>88</v>
      </c>
      <c r="I29" s="9" t="str">
        <f t="shared" si="1"/>
        <v>남</v>
      </c>
      <c r="J29" s="10">
        <f t="shared" si="2"/>
        <v>1969512</v>
      </c>
      <c r="K29" s="19">
        <f t="shared" si="3"/>
        <v>1799512</v>
      </c>
      <c r="L29" s="19">
        <f t="shared" si="4"/>
        <v>100000</v>
      </c>
      <c r="M29" s="19">
        <f t="shared" si="5"/>
        <v>70000</v>
      </c>
      <c r="N29" s="19">
        <f t="shared" si="6"/>
        <v>0</v>
      </c>
      <c r="O29" s="10">
        <f t="shared" si="7"/>
        <v>439420.67999999993</v>
      </c>
      <c r="P29" s="21">
        <f>(J29*LOOKUP(J29,조견표!$B$19:$C$22))-VLOOKUP(J29,조견표!$B$19:$D$22,3)</f>
        <v>279512.15999999997</v>
      </c>
      <c r="Q29" s="21">
        <f t="shared" si="8"/>
        <v>27951.216</v>
      </c>
      <c r="R29" s="21">
        <f t="shared" si="9"/>
        <v>88628.04</v>
      </c>
      <c r="S29" s="21">
        <f t="shared" si="10"/>
        <v>39390.239999999998</v>
      </c>
      <c r="T29" s="21">
        <f t="shared" si="11"/>
        <v>3939.0239999999999</v>
      </c>
    </row>
    <row r="30" spans="1:20">
      <c r="A30" s="11">
        <v>23</v>
      </c>
      <c r="B30" s="9" t="s">
        <v>36</v>
      </c>
      <c r="C30" s="8">
        <v>34394</v>
      </c>
      <c r="D30" s="9" t="s">
        <v>15</v>
      </c>
      <c r="E30" s="9">
        <v>6</v>
      </c>
      <c r="F30" s="9">
        <v>1</v>
      </c>
      <c r="G30" s="9" t="str">
        <f t="shared" si="0"/>
        <v>과장</v>
      </c>
      <c r="H30" s="17" t="s">
        <v>90</v>
      </c>
      <c r="I30" s="9" t="str">
        <f t="shared" si="1"/>
        <v>남</v>
      </c>
      <c r="J30" s="10">
        <f t="shared" si="2"/>
        <v>1969512</v>
      </c>
      <c r="K30" s="19">
        <f t="shared" si="3"/>
        <v>1799512</v>
      </c>
      <c r="L30" s="19">
        <f t="shared" si="4"/>
        <v>100000</v>
      </c>
      <c r="M30" s="19">
        <f t="shared" si="5"/>
        <v>70000</v>
      </c>
      <c r="N30" s="19">
        <f t="shared" si="6"/>
        <v>0</v>
      </c>
      <c r="O30" s="10">
        <f t="shared" si="7"/>
        <v>439420.67999999993</v>
      </c>
      <c r="P30" s="21">
        <f>(J30*LOOKUP(J30,조견표!$B$19:$C$22))-VLOOKUP(J30,조견표!$B$19:$D$22,3)</f>
        <v>279512.15999999997</v>
      </c>
      <c r="Q30" s="21">
        <f t="shared" si="8"/>
        <v>27951.216</v>
      </c>
      <c r="R30" s="21">
        <f t="shared" si="9"/>
        <v>88628.04</v>
      </c>
      <c r="S30" s="21">
        <f t="shared" si="10"/>
        <v>39390.239999999998</v>
      </c>
      <c r="T30" s="21">
        <f t="shared" si="11"/>
        <v>3939.0239999999999</v>
      </c>
    </row>
    <row r="31" spans="1:20">
      <c r="A31" s="11">
        <v>24</v>
      </c>
      <c r="B31" s="9" t="s">
        <v>37</v>
      </c>
      <c r="C31" s="8">
        <v>34394</v>
      </c>
      <c r="D31" s="9" t="s">
        <v>15</v>
      </c>
      <c r="E31" s="9">
        <v>6</v>
      </c>
      <c r="F31" s="9">
        <v>1</v>
      </c>
      <c r="G31" s="9" t="str">
        <f t="shared" si="0"/>
        <v>과장</v>
      </c>
      <c r="H31" s="17" t="s">
        <v>91</v>
      </c>
      <c r="I31" s="9" t="str">
        <f t="shared" si="1"/>
        <v>남</v>
      </c>
      <c r="J31" s="10">
        <f t="shared" si="2"/>
        <v>1969512</v>
      </c>
      <c r="K31" s="19">
        <f t="shared" si="3"/>
        <v>1799512</v>
      </c>
      <c r="L31" s="19">
        <f t="shared" si="4"/>
        <v>100000</v>
      </c>
      <c r="M31" s="19">
        <f t="shared" si="5"/>
        <v>70000</v>
      </c>
      <c r="N31" s="19">
        <f t="shared" si="6"/>
        <v>0</v>
      </c>
      <c r="O31" s="10">
        <f t="shared" si="7"/>
        <v>439420.67999999993</v>
      </c>
      <c r="P31" s="21">
        <f>(J31*LOOKUP(J31,조견표!$B$19:$C$22))-VLOOKUP(J31,조견표!$B$19:$D$22,3)</f>
        <v>279512.15999999997</v>
      </c>
      <c r="Q31" s="21">
        <f t="shared" si="8"/>
        <v>27951.216</v>
      </c>
      <c r="R31" s="21">
        <f t="shared" si="9"/>
        <v>88628.04</v>
      </c>
      <c r="S31" s="21">
        <f t="shared" si="10"/>
        <v>39390.239999999998</v>
      </c>
      <c r="T31" s="21">
        <f t="shared" si="11"/>
        <v>3939.0239999999999</v>
      </c>
    </row>
    <row r="32" spans="1:20">
      <c r="A32" s="11">
        <v>25</v>
      </c>
      <c r="B32" s="9" t="s">
        <v>38</v>
      </c>
      <c r="C32" s="8">
        <v>34394</v>
      </c>
      <c r="D32" s="9" t="s">
        <v>15</v>
      </c>
      <c r="E32" s="9">
        <v>6</v>
      </c>
      <c r="F32" s="9">
        <v>1</v>
      </c>
      <c r="G32" s="9" t="str">
        <f t="shared" si="0"/>
        <v>과장</v>
      </c>
      <c r="H32" s="17" t="s">
        <v>92</v>
      </c>
      <c r="I32" s="9" t="str">
        <f t="shared" si="1"/>
        <v>남</v>
      </c>
      <c r="J32" s="10">
        <f t="shared" si="2"/>
        <v>1969512</v>
      </c>
      <c r="K32" s="19">
        <f t="shared" si="3"/>
        <v>1799512</v>
      </c>
      <c r="L32" s="19">
        <f t="shared" si="4"/>
        <v>100000</v>
      </c>
      <c r="M32" s="19">
        <f t="shared" si="5"/>
        <v>70000</v>
      </c>
      <c r="N32" s="19">
        <f t="shared" si="6"/>
        <v>0</v>
      </c>
      <c r="O32" s="10">
        <f t="shared" si="7"/>
        <v>439420.67999999993</v>
      </c>
      <c r="P32" s="21">
        <f>(J32*LOOKUP(J32,조견표!$B$19:$C$22))-VLOOKUP(J32,조견표!$B$19:$D$22,3)</f>
        <v>279512.15999999997</v>
      </c>
      <c r="Q32" s="21">
        <f t="shared" si="8"/>
        <v>27951.216</v>
      </c>
      <c r="R32" s="21">
        <f t="shared" si="9"/>
        <v>88628.04</v>
      </c>
      <c r="S32" s="21">
        <f t="shared" si="10"/>
        <v>39390.239999999998</v>
      </c>
      <c r="T32" s="21">
        <f t="shared" si="11"/>
        <v>3939.0239999999999</v>
      </c>
    </row>
    <row r="33" spans="1:20">
      <c r="A33" s="11">
        <v>27</v>
      </c>
      <c r="B33" s="9" t="s">
        <v>40</v>
      </c>
      <c r="C33" s="8">
        <v>34394</v>
      </c>
      <c r="D33" s="9" t="s">
        <v>15</v>
      </c>
      <c r="E33" s="9">
        <v>6</v>
      </c>
      <c r="F33" s="9">
        <v>1</v>
      </c>
      <c r="G33" s="9" t="str">
        <f t="shared" si="0"/>
        <v>과장</v>
      </c>
      <c r="H33" s="17" t="s">
        <v>94</v>
      </c>
      <c r="I33" s="9" t="str">
        <f t="shared" si="1"/>
        <v>남</v>
      </c>
      <c r="J33" s="10">
        <f t="shared" si="2"/>
        <v>1969512</v>
      </c>
      <c r="K33" s="19">
        <f t="shared" si="3"/>
        <v>1799512</v>
      </c>
      <c r="L33" s="19">
        <f t="shared" si="4"/>
        <v>100000</v>
      </c>
      <c r="M33" s="19">
        <f t="shared" si="5"/>
        <v>70000</v>
      </c>
      <c r="N33" s="19">
        <f t="shared" si="6"/>
        <v>0</v>
      </c>
      <c r="O33" s="10">
        <f t="shared" si="7"/>
        <v>439420.67999999993</v>
      </c>
      <c r="P33" s="21">
        <f>(J33*LOOKUP(J33,조견표!$B$19:$C$22))-VLOOKUP(J33,조견표!$B$19:$D$22,3)</f>
        <v>279512.15999999997</v>
      </c>
      <c r="Q33" s="21">
        <f t="shared" si="8"/>
        <v>27951.216</v>
      </c>
      <c r="R33" s="21">
        <f t="shared" si="9"/>
        <v>88628.04</v>
      </c>
      <c r="S33" s="21">
        <f t="shared" si="10"/>
        <v>39390.239999999998</v>
      </c>
      <c r="T33" s="21">
        <f t="shared" si="11"/>
        <v>3939.0239999999999</v>
      </c>
    </row>
    <row r="34" spans="1:20">
      <c r="A34" s="11">
        <v>35</v>
      </c>
      <c r="B34" s="9" t="s">
        <v>48</v>
      </c>
      <c r="C34" s="8">
        <v>34790</v>
      </c>
      <c r="D34" s="9" t="s">
        <v>15</v>
      </c>
      <c r="E34" s="9">
        <v>5</v>
      </c>
      <c r="F34" s="9">
        <v>2</v>
      </c>
      <c r="G34" s="9" t="str">
        <f t="shared" si="0"/>
        <v>과장</v>
      </c>
      <c r="H34" s="17" t="s">
        <v>102</v>
      </c>
      <c r="I34" s="9" t="str">
        <f t="shared" si="1"/>
        <v>남</v>
      </c>
      <c r="J34" s="10">
        <f t="shared" si="2"/>
        <v>1834548.6</v>
      </c>
      <c r="K34" s="19">
        <f t="shared" si="3"/>
        <v>1664548.6</v>
      </c>
      <c r="L34" s="19">
        <f t="shared" si="4"/>
        <v>100000</v>
      </c>
      <c r="M34" s="19">
        <f t="shared" si="5"/>
        <v>70000</v>
      </c>
      <c r="N34" s="19">
        <f t="shared" si="6"/>
        <v>0</v>
      </c>
      <c r="O34" s="10">
        <f t="shared" si="7"/>
        <v>403655.37900000007</v>
      </c>
      <c r="P34" s="21">
        <f>(J34*LOOKUP(J34,조견표!$B$19:$C$22))-VLOOKUP(J34,조견표!$B$19:$D$22,3)</f>
        <v>255218.74800000002</v>
      </c>
      <c r="Q34" s="21">
        <f t="shared" si="8"/>
        <v>25521.874800000005</v>
      </c>
      <c r="R34" s="21">
        <f t="shared" si="9"/>
        <v>82554.687000000005</v>
      </c>
      <c r="S34" s="21">
        <f t="shared" si="10"/>
        <v>36690.972000000002</v>
      </c>
      <c r="T34" s="21">
        <f t="shared" si="11"/>
        <v>3669.0972000000002</v>
      </c>
    </row>
    <row r="35" spans="1:20">
      <c r="A35" s="11">
        <v>38</v>
      </c>
      <c r="B35" s="9" t="s">
        <v>51</v>
      </c>
      <c r="C35" s="8">
        <v>34790</v>
      </c>
      <c r="D35" s="9" t="s">
        <v>15</v>
      </c>
      <c r="E35" s="9">
        <v>5</v>
      </c>
      <c r="F35" s="9">
        <v>2</v>
      </c>
      <c r="G35" s="9" t="str">
        <f t="shared" si="0"/>
        <v>과장</v>
      </c>
      <c r="H35" s="17" t="s">
        <v>105</v>
      </c>
      <c r="I35" s="9" t="str">
        <f t="shared" si="1"/>
        <v>남</v>
      </c>
      <c r="J35" s="10">
        <f t="shared" si="2"/>
        <v>1834548.6</v>
      </c>
      <c r="K35" s="19">
        <f t="shared" si="3"/>
        <v>1664548.6</v>
      </c>
      <c r="L35" s="19">
        <f t="shared" si="4"/>
        <v>100000</v>
      </c>
      <c r="M35" s="19">
        <f t="shared" si="5"/>
        <v>70000</v>
      </c>
      <c r="N35" s="19">
        <f t="shared" si="6"/>
        <v>0</v>
      </c>
      <c r="O35" s="10">
        <f t="shared" si="7"/>
        <v>403655.37900000007</v>
      </c>
      <c r="P35" s="21">
        <f>(J35*LOOKUP(J35,조견표!$B$19:$C$22))-VLOOKUP(J35,조견표!$B$19:$D$22,3)</f>
        <v>255218.74800000002</v>
      </c>
      <c r="Q35" s="21">
        <f t="shared" si="8"/>
        <v>25521.874800000005</v>
      </c>
      <c r="R35" s="21">
        <f t="shared" si="9"/>
        <v>82554.687000000005</v>
      </c>
      <c r="S35" s="21">
        <f t="shared" si="10"/>
        <v>36690.972000000002</v>
      </c>
      <c r="T35" s="21">
        <f t="shared" si="11"/>
        <v>3669.0972000000002</v>
      </c>
    </row>
    <row r="36" spans="1:20">
      <c r="A36" s="11">
        <v>41</v>
      </c>
      <c r="B36" s="9" t="s">
        <v>54</v>
      </c>
      <c r="C36" s="8">
        <v>34790</v>
      </c>
      <c r="D36" s="9" t="s">
        <v>15</v>
      </c>
      <c r="E36" s="9">
        <v>5</v>
      </c>
      <c r="F36" s="9">
        <v>2</v>
      </c>
      <c r="G36" s="9" t="str">
        <f t="shared" si="0"/>
        <v>과장</v>
      </c>
      <c r="H36" s="17" t="s">
        <v>108</v>
      </c>
      <c r="I36" s="9" t="str">
        <f t="shared" si="1"/>
        <v>남</v>
      </c>
      <c r="J36" s="10">
        <f t="shared" si="2"/>
        <v>1834548.6</v>
      </c>
      <c r="K36" s="19">
        <f t="shared" si="3"/>
        <v>1664548.6</v>
      </c>
      <c r="L36" s="19">
        <f t="shared" si="4"/>
        <v>100000</v>
      </c>
      <c r="M36" s="19">
        <f t="shared" si="5"/>
        <v>70000</v>
      </c>
      <c r="N36" s="19">
        <f t="shared" si="6"/>
        <v>0</v>
      </c>
      <c r="O36" s="10">
        <f t="shared" si="7"/>
        <v>403655.37900000007</v>
      </c>
      <c r="P36" s="21">
        <f>(J36*LOOKUP(J36,조견표!$B$19:$C$22))-VLOOKUP(J36,조견표!$B$19:$D$22,3)</f>
        <v>255218.74800000002</v>
      </c>
      <c r="Q36" s="21">
        <f t="shared" si="8"/>
        <v>25521.874800000005</v>
      </c>
      <c r="R36" s="21">
        <f t="shared" si="9"/>
        <v>82554.687000000005</v>
      </c>
      <c r="S36" s="21">
        <f t="shared" si="10"/>
        <v>36690.972000000002</v>
      </c>
      <c r="T36" s="21">
        <f t="shared" si="11"/>
        <v>3669.0972000000002</v>
      </c>
    </row>
    <row r="37" spans="1:20">
      <c r="A37" s="6">
        <v>1</v>
      </c>
      <c r="B37" s="7" t="s">
        <v>11</v>
      </c>
      <c r="C37" s="8">
        <v>31837</v>
      </c>
      <c r="D37" s="9" t="s">
        <v>10</v>
      </c>
      <c r="E37" s="9">
        <v>8</v>
      </c>
      <c r="F37" s="9">
        <v>2</v>
      </c>
      <c r="G37" s="9" t="str">
        <f t="shared" ref="G37:G54" si="12">INDEX(직급,E37,1)</f>
        <v>차장</v>
      </c>
      <c r="H37" s="17" t="s">
        <v>142</v>
      </c>
      <c r="I37" s="9" t="str">
        <f t="shared" ref="I37:I54" si="13">IF(MOD(MID(H37,8,1),2)=0,"여","남")</f>
        <v>남</v>
      </c>
      <c r="J37" s="10">
        <f t="shared" ref="J37:J54" si="14">SUM(K37:N37)</f>
        <v>2816924.5671999999</v>
      </c>
      <c r="K37" s="19">
        <f t="shared" ref="K37:K54" si="15">INDEX(급여,E37,F37)</f>
        <v>2416924.5671999999</v>
      </c>
      <c r="L37" s="19">
        <f t="shared" ref="L37:L54" si="16">식대</f>
        <v>100000</v>
      </c>
      <c r="M37" s="19">
        <f t="shared" ref="M37:M54" si="17">IF(E37&lt;7,교통비,0)</f>
        <v>0</v>
      </c>
      <c r="N37" s="19">
        <f t="shared" ref="N37:N54" si="18">IF(E37&gt;7,차량보조금,0)</f>
        <v>300000</v>
      </c>
      <c r="O37" s="10">
        <f t="shared" ref="O37:O54" si="19">SUM(P37:T37)</f>
        <v>663985.01030800003</v>
      </c>
      <c r="P37" s="21">
        <f>(J37*LOOKUP(J37,조견표!$B$19:$C$22))-VLOOKUP(J37,조견표!$B$19:$D$22,3)</f>
        <v>432046.42209599999</v>
      </c>
      <c r="Q37" s="21">
        <f t="shared" ref="Q37:Q54" si="20">P37*10%</f>
        <v>43204.642209600002</v>
      </c>
      <c r="R37" s="21">
        <f t="shared" ref="R37:R54" si="21">J37*4.5%</f>
        <v>126761.605524</v>
      </c>
      <c r="S37" s="21">
        <f t="shared" ref="S37:S54" si="22">J37*2%</f>
        <v>56338.491344000002</v>
      </c>
      <c r="T37" s="21">
        <f t="shared" ref="T37:T54" si="23">J37*0.2%</f>
        <v>5633.8491344000004</v>
      </c>
    </row>
    <row r="38" spans="1:20">
      <c r="A38" s="11">
        <v>2</v>
      </c>
      <c r="B38" s="9" t="s">
        <v>12</v>
      </c>
      <c r="C38" s="8">
        <v>31837</v>
      </c>
      <c r="D38" s="9" t="s">
        <v>10</v>
      </c>
      <c r="E38" s="9">
        <v>8</v>
      </c>
      <c r="F38" s="9">
        <v>2</v>
      </c>
      <c r="G38" s="9" t="str">
        <f t="shared" si="12"/>
        <v>차장</v>
      </c>
      <c r="H38" s="17" t="s">
        <v>143</v>
      </c>
      <c r="I38" s="9" t="str">
        <f t="shared" si="13"/>
        <v>여</v>
      </c>
      <c r="J38" s="10">
        <f t="shared" si="14"/>
        <v>2816924.5671999999</v>
      </c>
      <c r="K38" s="19">
        <f t="shared" si="15"/>
        <v>2416924.5671999999</v>
      </c>
      <c r="L38" s="19">
        <f t="shared" si="16"/>
        <v>100000</v>
      </c>
      <c r="M38" s="19">
        <f t="shared" si="17"/>
        <v>0</v>
      </c>
      <c r="N38" s="19">
        <f t="shared" si="18"/>
        <v>300000</v>
      </c>
      <c r="O38" s="10">
        <f t="shared" si="19"/>
        <v>663985.01030800003</v>
      </c>
      <c r="P38" s="21">
        <f>(J38*LOOKUP(J38,조견표!$B$19:$C$22))-VLOOKUP(J38,조견표!$B$19:$D$22,3)</f>
        <v>432046.42209599999</v>
      </c>
      <c r="Q38" s="21">
        <f t="shared" si="20"/>
        <v>43204.642209600002</v>
      </c>
      <c r="R38" s="21">
        <f t="shared" si="21"/>
        <v>126761.605524</v>
      </c>
      <c r="S38" s="21">
        <f t="shared" si="22"/>
        <v>56338.491344000002</v>
      </c>
      <c r="T38" s="21">
        <f t="shared" si="23"/>
        <v>5633.8491344000004</v>
      </c>
    </row>
    <row r="39" spans="1:20">
      <c r="A39" s="11">
        <v>3</v>
      </c>
      <c r="B39" s="9" t="s">
        <v>13</v>
      </c>
      <c r="C39" s="8">
        <v>31837</v>
      </c>
      <c r="D39" s="9" t="s">
        <v>10</v>
      </c>
      <c r="E39" s="9">
        <v>8</v>
      </c>
      <c r="F39" s="9">
        <v>2</v>
      </c>
      <c r="G39" s="9" t="str">
        <f t="shared" si="12"/>
        <v>차장</v>
      </c>
      <c r="H39" s="17" t="s">
        <v>144</v>
      </c>
      <c r="I39" s="9" t="str">
        <f t="shared" si="13"/>
        <v>남</v>
      </c>
      <c r="J39" s="10">
        <f t="shared" si="14"/>
        <v>2816924.5671999999</v>
      </c>
      <c r="K39" s="19">
        <f t="shared" si="15"/>
        <v>2416924.5671999999</v>
      </c>
      <c r="L39" s="19">
        <f t="shared" si="16"/>
        <v>100000</v>
      </c>
      <c r="M39" s="19">
        <f t="shared" si="17"/>
        <v>0</v>
      </c>
      <c r="N39" s="19">
        <f t="shared" si="18"/>
        <v>300000</v>
      </c>
      <c r="O39" s="10">
        <f t="shared" si="19"/>
        <v>663985.01030800003</v>
      </c>
      <c r="P39" s="21">
        <f>(J39*LOOKUP(J39,조견표!$B$19:$C$22))-VLOOKUP(J39,조견표!$B$19:$D$22,3)</f>
        <v>432046.42209599999</v>
      </c>
      <c r="Q39" s="21">
        <f t="shared" si="20"/>
        <v>43204.642209600002</v>
      </c>
      <c r="R39" s="21">
        <f t="shared" si="21"/>
        <v>126761.605524</v>
      </c>
      <c r="S39" s="21">
        <f t="shared" si="22"/>
        <v>56338.491344000002</v>
      </c>
      <c r="T39" s="21">
        <f t="shared" si="23"/>
        <v>5633.8491344000004</v>
      </c>
    </row>
    <row r="40" spans="1:20">
      <c r="A40" s="11">
        <v>9</v>
      </c>
      <c r="B40" s="9" t="s">
        <v>21</v>
      </c>
      <c r="C40" s="8">
        <v>32264</v>
      </c>
      <c r="D40" s="9" t="s">
        <v>10</v>
      </c>
      <c r="E40" s="9">
        <v>9</v>
      </c>
      <c r="F40" s="9">
        <v>2</v>
      </c>
      <c r="G40" s="9" t="str">
        <f t="shared" si="12"/>
        <v>부장</v>
      </c>
      <c r="H40" s="17" t="s">
        <v>76</v>
      </c>
      <c r="I40" s="9" t="str">
        <f t="shared" si="13"/>
        <v>남</v>
      </c>
      <c r="J40" s="10">
        <f t="shared" si="14"/>
        <v>3542001.9373599999</v>
      </c>
      <c r="K40" s="19">
        <f t="shared" si="15"/>
        <v>3142001.9373599999</v>
      </c>
      <c r="L40" s="19">
        <f t="shared" si="16"/>
        <v>100000</v>
      </c>
      <c r="M40" s="19">
        <f t="shared" si="17"/>
        <v>0</v>
      </c>
      <c r="N40" s="19">
        <f t="shared" si="18"/>
        <v>300000</v>
      </c>
      <c r="O40" s="10">
        <f t="shared" si="19"/>
        <v>629288.70519904001</v>
      </c>
      <c r="P40" s="21">
        <f>(J40*LOOKUP(J40,조견표!$B$19:$C$22))-VLOOKUP(J40,조견표!$B$19:$D$22,3)</f>
        <v>356340.52308720001</v>
      </c>
      <c r="Q40" s="21">
        <f t="shared" si="20"/>
        <v>35634.052308720005</v>
      </c>
      <c r="R40" s="21">
        <f t="shared" si="21"/>
        <v>159390.08718119998</v>
      </c>
      <c r="S40" s="21">
        <f t="shared" si="22"/>
        <v>70840.0387472</v>
      </c>
      <c r="T40" s="21">
        <f t="shared" si="23"/>
        <v>7084.0038747199997</v>
      </c>
    </row>
    <row r="41" spans="1:20">
      <c r="A41" s="11">
        <v>10</v>
      </c>
      <c r="B41" s="9" t="s">
        <v>22</v>
      </c>
      <c r="C41" s="8">
        <v>32264</v>
      </c>
      <c r="D41" s="9" t="s">
        <v>10</v>
      </c>
      <c r="E41" s="9">
        <v>9</v>
      </c>
      <c r="F41" s="9">
        <v>2</v>
      </c>
      <c r="G41" s="9" t="str">
        <f t="shared" si="12"/>
        <v>부장</v>
      </c>
      <c r="H41" s="17" t="s">
        <v>77</v>
      </c>
      <c r="I41" s="9" t="str">
        <f t="shared" si="13"/>
        <v>남</v>
      </c>
      <c r="J41" s="10">
        <f t="shared" si="14"/>
        <v>3542001.9373599999</v>
      </c>
      <c r="K41" s="19">
        <f t="shared" si="15"/>
        <v>3142001.9373599999</v>
      </c>
      <c r="L41" s="19">
        <f t="shared" si="16"/>
        <v>100000</v>
      </c>
      <c r="M41" s="19">
        <f t="shared" si="17"/>
        <v>0</v>
      </c>
      <c r="N41" s="19">
        <f t="shared" si="18"/>
        <v>300000</v>
      </c>
      <c r="O41" s="10">
        <f t="shared" si="19"/>
        <v>629288.70519904001</v>
      </c>
      <c r="P41" s="21">
        <f>(J41*LOOKUP(J41,조견표!$B$19:$C$22))-VLOOKUP(J41,조견표!$B$19:$D$22,3)</f>
        <v>356340.52308720001</v>
      </c>
      <c r="Q41" s="21">
        <f t="shared" si="20"/>
        <v>35634.052308720005</v>
      </c>
      <c r="R41" s="21">
        <f t="shared" si="21"/>
        <v>159390.08718119998</v>
      </c>
      <c r="S41" s="21">
        <f t="shared" si="22"/>
        <v>70840.0387472</v>
      </c>
      <c r="T41" s="21">
        <f t="shared" si="23"/>
        <v>7084.0038747199997</v>
      </c>
    </row>
    <row r="42" spans="1:20">
      <c r="A42" s="11">
        <v>11</v>
      </c>
      <c r="B42" s="9" t="s">
        <v>23</v>
      </c>
      <c r="C42" s="8">
        <v>32264</v>
      </c>
      <c r="D42" s="9" t="s">
        <v>10</v>
      </c>
      <c r="E42" s="9">
        <v>9</v>
      </c>
      <c r="F42" s="9">
        <v>2</v>
      </c>
      <c r="G42" s="9" t="str">
        <f t="shared" si="12"/>
        <v>부장</v>
      </c>
      <c r="H42" s="17" t="s">
        <v>78</v>
      </c>
      <c r="I42" s="9" t="str">
        <f t="shared" si="13"/>
        <v>남</v>
      </c>
      <c r="J42" s="10">
        <f t="shared" si="14"/>
        <v>3542001.9373599999</v>
      </c>
      <c r="K42" s="19">
        <f t="shared" si="15"/>
        <v>3142001.9373599999</v>
      </c>
      <c r="L42" s="19">
        <f t="shared" si="16"/>
        <v>100000</v>
      </c>
      <c r="M42" s="19">
        <f t="shared" si="17"/>
        <v>0</v>
      </c>
      <c r="N42" s="19">
        <f t="shared" si="18"/>
        <v>300000</v>
      </c>
      <c r="O42" s="10">
        <f t="shared" si="19"/>
        <v>629288.70519904001</v>
      </c>
      <c r="P42" s="21">
        <f>(J42*LOOKUP(J42,조견표!$B$19:$C$22))-VLOOKUP(J42,조견표!$B$19:$D$22,3)</f>
        <v>356340.52308720001</v>
      </c>
      <c r="Q42" s="21">
        <f t="shared" si="20"/>
        <v>35634.052308720005</v>
      </c>
      <c r="R42" s="21">
        <f t="shared" si="21"/>
        <v>159390.08718119998</v>
      </c>
      <c r="S42" s="21">
        <f t="shared" si="22"/>
        <v>70840.0387472</v>
      </c>
      <c r="T42" s="21">
        <f t="shared" si="23"/>
        <v>7084.0038747199997</v>
      </c>
    </row>
    <row r="43" spans="1:20">
      <c r="A43" s="11">
        <v>28</v>
      </c>
      <c r="B43" s="9" t="s">
        <v>41</v>
      </c>
      <c r="C43" s="8">
        <v>34486</v>
      </c>
      <c r="D43" s="9" t="s">
        <v>10</v>
      </c>
      <c r="E43" s="9">
        <v>5</v>
      </c>
      <c r="F43" s="9">
        <v>3</v>
      </c>
      <c r="G43" s="9" t="str">
        <f t="shared" si="12"/>
        <v>과장</v>
      </c>
      <c r="H43" s="17" t="s">
        <v>95</v>
      </c>
      <c r="I43" s="9" t="str">
        <f t="shared" si="13"/>
        <v>남</v>
      </c>
      <c r="J43" s="10">
        <f t="shared" si="14"/>
        <v>1863177.2000000002</v>
      </c>
      <c r="K43" s="19">
        <f t="shared" si="15"/>
        <v>1693177.2000000002</v>
      </c>
      <c r="L43" s="19">
        <f t="shared" si="16"/>
        <v>100000</v>
      </c>
      <c r="M43" s="19">
        <f t="shared" si="17"/>
        <v>70000</v>
      </c>
      <c r="N43" s="19">
        <f t="shared" si="18"/>
        <v>0</v>
      </c>
      <c r="O43" s="10">
        <f t="shared" si="19"/>
        <v>411241.95799999998</v>
      </c>
      <c r="P43" s="21">
        <f>(J43*LOOKUP(J43,조견표!$B$19:$C$22))-VLOOKUP(J43,조견표!$B$19:$D$22,3)</f>
        <v>260371.89600000001</v>
      </c>
      <c r="Q43" s="21">
        <f t="shared" si="20"/>
        <v>26037.189600000002</v>
      </c>
      <c r="R43" s="21">
        <f t="shared" si="21"/>
        <v>83842.974000000002</v>
      </c>
      <c r="S43" s="21">
        <f t="shared" si="22"/>
        <v>37263.544000000002</v>
      </c>
      <c r="T43" s="21">
        <f t="shared" si="23"/>
        <v>3726.3544000000006</v>
      </c>
    </row>
    <row r="44" spans="1:20">
      <c r="A44" s="11">
        <v>29</v>
      </c>
      <c r="B44" s="9" t="s">
        <v>42</v>
      </c>
      <c r="C44" s="8">
        <v>34486</v>
      </c>
      <c r="D44" s="9" t="s">
        <v>10</v>
      </c>
      <c r="E44" s="9">
        <v>5</v>
      </c>
      <c r="F44" s="9">
        <v>3</v>
      </c>
      <c r="G44" s="9" t="str">
        <f t="shared" si="12"/>
        <v>과장</v>
      </c>
      <c r="H44" s="17" t="s">
        <v>96</v>
      </c>
      <c r="I44" s="9" t="str">
        <f t="shared" si="13"/>
        <v>남</v>
      </c>
      <c r="J44" s="10">
        <f t="shared" si="14"/>
        <v>1863177.2000000002</v>
      </c>
      <c r="K44" s="19">
        <f t="shared" si="15"/>
        <v>1693177.2000000002</v>
      </c>
      <c r="L44" s="19">
        <f t="shared" si="16"/>
        <v>100000</v>
      </c>
      <c r="M44" s="19">
        <f t="shared" si="17"/>
        <v>70000</v>
      </c>
      <c r="N44" s="19">
        <f t="shared" si="18"/>
        <v>0</v>
      </c>
      <c r="O44" s="10">
        <f t="shared" si="19"/>
        <v>411241.95799999998</v>
      </c>
      <c r="P44" s="21">
        <f>(J44*LOOKUP(J44,조견표!$B$19:$C$22))-VLOOKUP(J44,조견표!$B$19:$D$22,3)</f>
        <v>260371.89600000001</v>
      </c>
      <c r="Q44" s="21">
        <f t="shared" si="20"/>
        <v>26037.189600000002</v>
      </c>
      <c r="R44" s="21">
        <f t="shared" si="21"/>
        <v>83842.974000000002</v>
      </c>
      <c r="S44" s="21">
        <f t="shared" si="22"/>
        <v>37263.544000000002</v>
      </c>
      <c r="T44" s="21">
        <f t="shared" si="23"/>
        <v>3726.3544000000006</v>
      </c>
    </row>
    <row r="45" spans="1:20">
      <c r="A45" s="11">
        <v>30</v>
      </c>
      <c r="B45" s="9" t="s">
        <v>43</v>
      </c>
      <c r="C45" s="8">
        <v>34731</v>
      </c>
      <c r="D45" s="9" t="s">
        <v>10</v>
      </c>
      <c r="E45" s="9">
        <v>4</v>
      </c>
      <c r="F45" s="9">
        <v>2</v>
      </c>
      <c r="G45" s="9" t="str">
        <f t="shared" si="12"/>
        <v>대리</v>
      </c>
      <c r="H45" s="17" t="s">
        <v>97</v>
      </c>
      <c r="I45" s="9" t="str">
        <f t="shared" si="13"/>
        <v>남</v>
      </c>
      <c r="J45" s="10">
        <f t="shared" si="14"/>
        <v>1450422</v>
      </c>
      <c r="K45" s="19">
        <f t="shared" si="15"/>
        <v>1280422</v>
      </c>
      <c r="L45" s="19">
        <f t="shared" si="16"/>
        <v>100000</v>
      </c>
      <c r="M45" s="19">
        <f t="shared" si="17"/>
        <v>70000</v>
      </c>
      <c r="N45" s="19">
        <f t="shared" si="18"/>
        <v>0</v>
      </c>
      <c r="O45" s="10">
        <f t="shared" si="19"/>
        <v>301861.82999999996</v>
      </c>
      <c r="P45" s="21">
        <f>(J45*LOOKUP(J45,조견표!$B$19:$C$22))-VLOOKUP(J45,조견표!$B$19:$D$22,3)</f>
        <v>186075.96</v>
      </c>
      <c r="Q45" s="21">
        <f t="shared" si="20"/>
        <v>18607.596000000001</v>
      </c>
      <c r="R45" s="21">
        <f t="shared" si="21"/>
        <v>65268.99</v>
      </c>
      <c r="S45" s="21">
        <f t="shared" si="22"/>
        <v>29008.440000000002</v>
      </c>
      <c r="T45" s="21">
        <f t="shared" si="23"/>
        <v>2900.8440000000001</v>
      </c>
    </row>
    <row r="46" spans="1:20">
      <c r="A46" s="11">
        <v>31</v>
      </c>
      <c r="B46" s="9" t="s">
        <v>44</v>
      </c>
      <c r="C46" s="8">
        <v>34731</v>
      </c>
      <c r="D46" s="9" t="s">
        <v>10</v>
      </c>
      <c r="E46" s="9">
        <v>4</v>
      </c>
      <c r="F46" s="9">
        <v>2</v>
      </c>
      <c r="G46" s="9" t="str">
        <f t="shared" si="12"/>
        <v>대리</v>
      </c>
      <c r="H46" s="17" t="s">
        <v>98</v>
      </c>
      <c r="I46" s="9" t="str">
        <f t="shared" si="13"/>
        <v>남</v>
      </c>
      <c r="J46" s="10">
        <f t="shared" si="14"/>
        <v>1450422</v>
      </c>
      <c r="K46" s="19">
        <f t="shared" si="15"/>
        <v>1280422</v>
      </c>
      <c r="L46" s="19">
        <f t="shared" si="16"/>
        <v>100000</v>
      </c>
      <c r="M46" s="19">
        <f t="shared" si="17"/>
        <v>70000</v>
      </c>
      <c r="N46" s="19">
        <f t="shared" si="18"/>
        <v>0</v>
      </c>
      <c r="O46" s="10">
        <f t="shared" si="19"/>
        <v>301861.82999999996</v>
      </c>
      <c r="P46" s="21">
        <f>(J46*LOOKUP(J46,조견표!$B$19:$C$22))-VLOOKUP(J46,조견표!$B$19:$D$22,3)</f>
        <v>186075.96</v>
      </c>
      <c r="Q46" s="21">
        <f t="shared" si="20"/>
        <v>18607.596000000001</v>
      </c>
      <c r="R46" s="21">
        <f t="shared" si="21"/>
        <v>65268.99</v>
      </c>
      <c r="S46" s="21">
        <f t="shared" si="22"/>
        <v>29008.440000000002</v>
      </c>
      <c r="T46" s="21">
        <f t="shared" si="23"/>
        <v>2900.8440000000001</v>
      </c>
    </row>
    <row r="47" spans="1:20">
      <c r="A47" s="11">
        <v>32</v>
      </c>
      <c r="B47" s="9" t="s">
        <v>45</v>
      </c>
      <c r="C47" s="8">
        <v>34731</v>
      </c>
      <c r="D47" s="9" t="s">
        <v>10</v>
      </c>
      <c r="E47" s="9">
        <v>4</v>
      </c>
      <c r="F47" s="9">
        <v>2</v>
      </c>
      <c r="G47" s="9" t="str">
        <f t="shared" si="12"/>
        <v>대리</v>
      </c>
      <c r="H47" s="17" t="s">
        <v>99</v>
      </c>
      <c r="I47" s="9" t="str">
        <f t="shared" si="13"/>
        <v>남</v>
      </c>
      <c r="J47" s="10">
        <f t="shared" si="14"/>
        <v>1450422</v>
      </c>
      <c r="K47" s="19">
        <f t="shared" si="15"/>
        <v>1280422</v>
      </c>
      <c r="L47" s="19">
        <f t="shared" si="16"/>
        <v>100000</v>
      </c>
      <c r="M47" s="19">
        <f t="shared" si="17"/>
        <v>70000</v>
      </c>
      <c r="N47" s="19">
        <f t="shared" si="18"/>
        <v>0</v>
      </c>
      <c r="O47" s="10">
        <f t="shared" si="19"/>
        <v>301861.82999999996</v>
      </c>
      <c r="P47" s="21">
        <f>(J47*LOOKUP(J47,조견표!$B$19:$C$22))-VLOOKUP(J47,조견표!$B$19:$D$22,3)</f>
        <v>186075.96</v>
      </c>
      <c r="Q47" s="21">
        <f t="shared" si="20"/>
        <v>18607.596000000001</v>
      </c>
      <c r="R47" s="21">
        <f t="shared" si="21"/>
        <v>65268.99</v>
      </c>
      <c r="S47" s="21">
        <f t="shared" si="22"/>
        <v>29008.440000000002</v>
      </c>
      <c r="T47" s="21">
        <f t="shared" si="23"/>
        <v>2900.8440000000001</v>
      </c>
    </row>
    <row r="48" spans="1:20">
      <c r="A48" s="11">
        <v>33</v>
      </c>
      <c r="B48" s="9" t="s">
        <v>46</v>
      </c>
      <c r="C48" s="8">
        <v>34759</v>
      </c>
      <c r="D48" s="9" t="s">
        <v>10</v>
      </c>
      <c r="E48" s="9">
        <v>5</v>
      </c>
      <c r="F48" s="9">
        <v>2</v>
      </c>
      <c r="G48" s="9" t="str">
        <f t="shared" si="12"/>
        <v>과장</v>
      </c>
      <c r="H48" s="17" t="s">
        <v>100</v>
      </c>
      <c r="I48" s="9" t="str">
        <f t="shared" si="13"/>
        <v>남</v>
      </c>
      <c r="J48" s="10">
        <f t="shared" si="14"/>
        <v>1834548.6</v>
      </c>
      <c r="K48" s="19">
        <f t="shared" si="15"/>
        <v>1664548.6</v>
      </c>
      <c r="L48" s="19">
        <f t="shared" si="16"/>
        <v>100000</v>
      </c>
      <c r="M48" s="19">
        <f t="shared" si="17"/>
        <v>70000</v>
      </c>
      <c r="N48" s="19">
        <f t="shared" si="18"/>
        <v>0</v>
      </c>
      <c r="O48" s="10">
        <f t="shared" si="19"/>
        <v>403655.37900000007</v>
      </c>
      <c r="P48" s="21">
        <f>(J48*LOOKUP(J48,조견표!$B$19:$C$22))-VLOOKUP(J48,조견표!$B$19:$D$22,3)</f>
        <v>255218.74800000002</v>
      </c>
      <c r="Q48" s="21">
        <f t="shared" si="20"/>
        <v>25521.874800000005</v>
      </c>
      <c r="R48" s="21">
        <f t="shared" si="21"/>
        <v>82554.687000000005</v>
      </c>
      <c r="S48" s="21">
        <f t="shared" si="22"/>
        <v>36690.972000000002</v>
      </c>
      <c r="T48" s="21">
        <f t="shared" si="23"/>
        <v>3669.0972000000002</v>
      </c>
    </row>
    <row r="49" spans="1:20">
      <c r="A49" s="11">
        <v>34</v>
      </c>
      <c r="B49" s="9" t="s">
        <v>47</v>
      </c>
      <c r="C49" s="8">
        <v>34759</v>
      </c>
      <c r="D49" s="9" t="s">
        <v>10</v>
      </c>
      <c r="E49" s="9">
        <v>5</v>
      </c>
      <c r="F49" s="9">
        <v>2</v>
      </c>
      <c r="G49" s="9" t="str">
        <f t="shared" si="12"/>
        <v>과장</v>
      </c>
      <c r="H49" s="17" t="s">
        <v>101</v>
      </c>
      <c r="I49" s="9" t="str">
        <f t="shared" si="13"/>
        <v>남</v>
      </c>
      <c r="J49" s="10">
        <f t="shared" si="14"/>
        <v>1834548.6</v>
      </c>
      <c r="K49" s="19">
        <f t="shared" si="15"/>
        <v>1664548.6</v>
      </c>
      <c r="L49" s="19">
        <f t="shared" si="16"/>
        <v>100000</v>
      </c>
      <c r="M49" s="19">
        <f t="shared" si="17"/>
        <v>70000</v>
      </c>
      <c r="N49" s="19">
        <f t="shared" si="18"/>
        <v>0</v>
      </c>
      <c r="O49" s="10">
        <f t="shared" si="19"/>
        <v>403655.37900000007</v>
      </c>
      <c r="P49" s="21">
        <f>(J49*LOOKUP(J49,조견표!$B$19:$C$22))-VLOOKUP(J49,조견표!$B$19:$D$22,3)</f>
        <v>255218.74800000002</v>
      </c>
      <c r="Q49" s="21">
        <f t="shared" si="20"/>
        <v>25521.874800000005</v>
      </c>
      <c r="R49" s="21">
        <f t="shared" si="21"/>
        <v>82554.687000000005</v>
      </c>
      <c r="S49" s="21">
        <f t="shared" si="22"/>
        <v>36690.972000000002</v>
      </c>
      <c r="T49" s="21">
        <f t="shared" si="23"/>
        <v>3669.0972000000002</v>
      </c>
    </row>
    <row r="50" spans="1:20">
      <c r="A50" s="11">
        <v>36</v>
      </c>
      <c r="B50" s="9" t="s">
        <v>49</v>
      </c>
      <c r="C50" s="8">
        <v>34790</v>
      </c>
      <c r="D50" s="9" t="s">
        <v>10</v>
      </c>
      <c r="E50" s="9">
        <v>5</v>
      </c>
      <c r="F50" s="9">
        <v>2</v>
      </c>
      <c r="G50" s="9" t="str">
        <f t="shared" si="12"/>
        <v>과장</v>
      </c>
      <c r="H50" s="17" t="s">
        <v>103</v>
      </c>
      <c r="I50" s="9" t="str">
        <f t="shared" si="13"/>
        <v>남</v>
      </c>
      <c r="J50" s="10">
        <f t="shared" si="14"/>
        <v>1834548.6</v>
      </c>
      <c r="K50" s="19">
        <f t="shared" si="15"/>
        <v>1664548.6</v>
      </c>
      <c r="L50" s="19">
        <f t="shared" si="16"/>
        <v>100000</v>
      </c>
      <c r="M50" s="19">
        <f t="shared" si="17"/>
        <v>70000</v>
      </c>
      <c r="N50" s="19">
        <f t="shared" si="18"/>
        <v>0</v>
      </c>
      <c r="O50" s="10">
        <f t="shared" si="19"/>
        <v>403655.37900000007</v>
      </c>
      <c r="P50" s="21">
        <f>(J50*LOOKUP(J50,조견표!$B$19:$C$22))-VLOOKUP(J50,조견표!$B$19:$D$22,3)</f>
        <v>255218.74800000002</v>
      </c>
      <c r="Q50" s="21">
        <f t="shared" si="20"/>
        <v>25521.874800000005</v>
      </c>
      <c r="R50" s="21">
        <f t="shared" si="21"/>
        <v>82554.687000000005</v>
      </c>
      <c r="S50" s="21">
        <f t="shared" si="22"/>
        <v>36690.972000000002</v>
      </c>
      <c r="T50" s="21">
        <f t="shared" si="23"/>
        <v>3669.0972000000002</v>
      </c>
    </row>
    <row r="51" spans="1:20">
      <c r="A51" s="11">
        <v>37</v>
      </c>
      <c r="B51" s="9" t="s">
        <v>50</v>
      </c>
      <c r="C51" s="8">
        <v>34790</v>
      </c>
      <c r="D51" s="9" t="s">
        <v>10</v>
      </c>
      <c r="E51" s="9">
        <v>5</v>
      </c>
      <c r="F51" s="9">
        <v>2</v>
      </c>
      <c r="G51" s="9" t="str">
        <f t="shared" si="12"/>
        <v>과장</v>
      </c>
      <c r="H51" s="17" t="s">
        <v>104</v>
      </c>
      <c r="I51" s="9" t="str">
        <f t="shared" si="13"/>
        <v>남</v>
      </c>
      <c r="J51" s="10">
        <f t="shared" si="14"/>
        <v>1834548.6</v>
      </c>
      <c r="K51" s="19">
        <f t="shared" si="15"/>
        <v>1664548.6</v>
      </c>
      <c r="L51" s="19">
        <f t="shared" si="16"/>
        <v>100000</v>
      </c>
      <c r="M51" s="19">
        <f t="shared" si="17"/>
        <v>70000</v>
      </c>
      <c r="N51" s="19">
        <f t="shared" si="18"/>
        <v>0</v>
      </c>
      <c r="O51" s="10">
        <f t="shared" si="19"/>
        <v>403655.37900000007</v>
      </c>
      <c r="P51" s="21">
        <f>(J51*LOOKUP(J51,조견표!$B$19:$C$22))-VLOOKUP(J51,조견표!$B$19:$D$22,3)</f>
        <v>255218.74800000002</v>
      </c>
      <c r="Q51" s="21">
        <f t="shared" si="20"/>
        <v>25521.874800000005</v>
      </c>
      <c r="R51" s="21">
        <f t="shared" si="21"/>
        <v>82554.687000000005</v>
      </c>
      <c r="S51" s="21">
        <f t="shared" si="22"/>
        <v>36690.972000000002</v>
      </c>
      <c r="T51" s="21">
        <f t="shared" si="23"/>
        <v>3669.0972000000002</v>
      </c>
    </row>
    <row r="52" spans="1:20">
      <c r="A52" s="11">
        <v>39</v>
      </c>
      <c r="B52" s="9" t="s">
        <v>52</v>
      </c>
      <c r="C52" s="8">
        <v>34790</v>
      </c>
      <c r="D52" s="9" t="s">
        <v>10</v>
      </c>
      <c r="E52" s="9">
        <v>5</v>
      </c>
      <c r="F52" s="9">
        <v>2</v>
      </c>
      <c r="G52" s="9" t="str">
        <f t="shared" si="12"/>
        <v>과장</v>
      </c>
      <c r="H52" s="17" t="s">
        <v>106</v>
      </c>
      <c r="I52" s="9" t="str">
        <f t="shared" si="13"/>
        <v>남</v>
      </c>
      <c r="J52" s="10">
        <f t="shared" si="14"/>
        <v>1834548.6</v>
      </c>
      <c r="K52" s="19">
        <f t="shared" si="15"/>
        <v>1664548.6</v>
      </c>
      <c r="L52" s="19">
        <f t="shared" si="16"/>
        <v>100000</v>
      </c>
      <c r="M52" s="19">
        <f t="shared" si="17"/>
        <v>70000</v>
      </c>
      <c r="N52" s="19">
        <f t="shared" si="18"/>
        <v>0</v>
      </c>
      <c r="O52" s="10">
        <f t="shared" si="19"/>
        <v>403655.37900000007</v>
      </c>
      <c r="P52" s="21">
        <f>(J52*LOOKUP(J52,조견표!$B$19:$C$22))-VLOOKUP(J52,조견표!$B$19:$D$22,3)</f>
        <v>255218.74800000002</v>
      </c>
      <c r="Q52" s="21">
        <f t="shared" si="20"/>
        <v>25521.874800000005</v>
      </c>
      <c r="R52" s="21">
        <f t="shared" si="21"/>
        <v>82554.687000000005</v>
      </c>
      <c r="S52" s="21">
        <f t="shared" si="22"/>
        <v>36690.972000000002</v>
      </c>
      <c r="T52" s="21">
        <f t="shared" si="23"/>
        <v>3669.0972000000002</v>
      </c>
    </row>
    <row r="53" spans="1:20">
      <c r="A53" s="11">
        <v>40</v>
      </c>
      <c r="B53" s="9" t="s">
        <v>53</v>
      </c>
      <c r="C53" s="8">
        <v>34790</v>
      </c>
      <c r="D53" s="9" t="s">
        <v>10</v>
      </c>
      <c r="E53" s="9">
        <v>5</v>
      </c>
      <c r="F53" s="9">
        <v>2</v>
      </c>
      <c r="G53" s="9" t="str">
        <f t="shared" si="12"/>
        <v>과장</v>
      </c>
      <c r="H53" s="17" t="s">
        <v>107</v>
      </c>
      <c r="I53" s="9" t="str">
        <f t="shared" si="13"/>
        <v>남</v>
      </c>
      <c r="J53" s="10">
        <f t="shared" si="14"/>
        <v>1834548.6</v>
      </c>
      <c r="K53" s="19">
        <f t="shared" si="15"/>
        <v>1664548.6</v>
      </c>
      <c r="L53" s="19">
        <f t="shared" si="16"/>
        <v>100000</v>
      </c>
      <c r="M53" s="19">
        <f t="shared" si="17"/>
        <v>70000</v>
      </c>
      <c r="N53" s="19">
        <f t="shared" si="18"/>
        <v>0</v>
      </c>
      <c r="O53" s="10">
        <f t="shared" si="19"/>
        <v>403655.37900000007</v>
      </c>
      <c r="P53" s="21">
        <f>(J53*LOOKUP(J53,조견표!$B$19:$C$22))-VLOOKUP(J53,조견표!$B$19:$D$22,3)</f>
        <v>255218.74800000002</v>
      </c>
      <c r="Q53" s="21">
        <f t="shared" si="20"/>
        <v>25521.874800000005</v>
      </c>
      <c r="R53" s="21">
        <f t="shared" si="21"/>
        <v>82554.687000000005</v>
      </c>
      <c r="S53" s="21">
        <f t="shared" si="22"/>
        <v>36690.972000000002</v>
      </c>
      <c r="T53" s="21">
        <f t="shared" si="23"/>
        <v>3669.0972000000002</v>
      </c>
    </row>
    <row r="54" spans="1:20">
      <c r="A54" s="12">
        <v>42</v>
      </c>
      <c r="B54" s="13" t="s">
        <v>55</v>
      </c>
      <c r="C54" s="14">
        <v>34790</v>
      </c>
      <c r="D54" s="13" t="s">
        <v>10</v>
      </c>
      <c r="E54" s="13">
        <v>5</v>
      </c>
      <c r="F54" s="13">
        <v>2</v>
      </c>
      <c r="G54" s="13" t="str">
        <f t="shared" si="12"/>
        <v>과장</v>
      </c>
      <c r="H54" s="18" t="s">
        <v>109</v>
      </c>
      <c r="I54" s="13" t="str">
        <f t="shared" si="13"/>
        <v>남</v>
      </c>
      <c r="J54" s="15">
        <f t="shared" si="14"/>
        <v>1834548.6</v>
      </c>
      <c r="K54" s="20">
        <f t="shared" si="15"/>
        <v>1664548.6</v>
      </c>
      <c r="L54" s="20">
        <f t="shared" si="16"/>
        <v>100000</v>
      </c>
      <c r="M54" s="20">
        <f t="shared" si="17"/>
        <v>70000</v>
      </c>
      <c r="N54" s="20">
        <f t="shared" si="18"/>
        <v>0</v>
      </c>
      <c r="O54" s="15">
        <f t="shared" si="19"/>
        <v>403655.37900000007</v>
      </c>
      <c r="P54" s="22">
        <f>(J54*LOOKUP(J54,조견표!$B$19:$C$22))-VLOOKUP(J54,조견표!$B$19:$D$22,3)</f>
        <v>255218.74800000002</v>
      </c>
      <c r="Q54" s="22">
        <f t="shared" si="20"/>
        <v>25521.874800000005</v>
      </c>
      <c r="R54" s="22">
        <f t="shared" si="21"/>
        <v>82554.687000000005</v>
      </c>
      <c r="S54" s="22">
        <f t="shared" si="22"/>
        <v>36690.972000000002</v>
      </c>
      <c r="T54" s="22">
        <f t="shared" si="23"/>
        <v>3669.0972000000002</v>
      </c>
    </row>
  </sheetData>
  <sortState ref="A5:U54">
    <sortCondition ref="D4"/>
  </sortState>
  <phoneticPr fontId="5" type="noConversion"/>
  <dataValidations count="1">
    <dataValidation type="textLength" operator="equal" allowBlank="1" showInputMessage="1" showErrorMessage="1" errorTitle="14자를 정확하게 입력하세요" error="&lt;취소&gt;단추를 누른 다음 '-'를 초함한 14자를 정확하게 다시 입력하세요." promptTitle="입력 방법" prompt="마이너스 기호를 넣어서 입력하세요._x000a__x000a_예) 700512-2674231" sqref="H5:H54">
      <formula1>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25" sqref="G25"/>
    </sheetView>
  </sheetViews>
  <sheetFormatPr defaultRowHeight="16.5"/>
  <cols>
    <col min="1" max="1" width="9" style="1"/>
    <col min="2" max="2" width="14.875" style="1" bestFit="1" customWidth="1"/>
    <col min="3" max="6" width="12.375" style="1" bestFit="1" customWidth="1"/>
    <col min="7" max="7" width="14.875" style="1" bestFit="1" customWidth="1"/>
    <col min="8" max="8" width="9.375" style="1" bestFit="1" customWidth="1"/>
    <col min="9" max="9" width="14.875" style="1" bestFit="1" customWidth="1"/>
    <col min="10" max="16384" width="9" style="1"/>
  </cols>
  <sheetData>
    <row r="1" spans="1:9" ht="35.25" customHeight="1">
      <c r="A1" s="67" t="s">
        <v>65</v>
      </c>
      <c r="B1" s="67"/>
      <c r="C1" s="67"/>
      <c r="D1" s="67"/>
      <c r="E1" s="67"/>
      <c r="F1" s="67"/>
      <c r="G1" s="67"/>
      <c r="H1" s="67"/>
      <c r="I1" s="67"/>
    </row>
    <row r="2" spans="1:9" ht="33">
      <c r="A2" s="23" t="s">
        <v>66</v>
      </c>
      <c r="B2" s="24" t="s">
        <v>145</v>
      </c>
      <c r="C2" s="23">
        <v>1</v>
      </c>
      <c r="D2" s="25">
        <v>2</v>
      </c>
      <c r="E2" s="25">
        <v>3</v>
      </c>
      <c r="F2" s="25">
        <v>4</v>
      </c>
      <c r="G2" s="25">
        <v>5</v>
      </c>
      <c r="H2" s="25" t="s">
        <v>67</v>
      </c>
      <c r="I2" s="26" t="s">
        <v>68</v>
      </c>
    </row>
    <row r="3" spans="1:9">
      <c r="A3" s="27" t="s">
        <v>69</v>
      </c>
      <c r="B3" s="28">
        <v>1</v>
      </c>
      <c r="C3" s="29">
        <v>800000</v>
      </c>
      <c r="D3" s="30">
        <f t="shared" ref="D3:G12" si="0">C3+$H3</f>
        <v>814000</v>
      </c>
      <c r="E3" s="30">
        <f t="shared" si="0"/>
        <v>828000</v>
      </c>
      <c r="F3" s="30">
        <f t="shared" si="0"/>
        <v>842000</v>
      </c>
      <c r="G3" s="30">
        <f t="shared" si="0"/>
        <v>856000</v>
      </c>
      <c r="H3" s="31">
        <v>14000</v>
      </c>
      <c r="I3" s="32"/>
    </row>
    <row r="4" spans="1:9">
      <c r="A4" s="33" t="s">
        <v>69</v>
      </c>
      <c r="B4" s="34">
        <v>2</v>
      </c>
      <c r="C4" s="35">
        <f t="shared" ref="C4:C12" si="1">C3+(C3*I4)</f>
        <v>880000</v>
      </c>
      <c r="D4" s="36">
        <f t="shared" si="0"/>
        <v>895400</v>
      </c>
      <c r="E4" s="36">
        <f t="shared" si="0"/>
        <v>910800</v>
      </c>
      <c r="F4" s="36">
        <f t="shared" si="0"/>
        <v>926200</v>
      </c>
      <c r="G4" s="36">
        <f t="shared" si="0"/>
        <v>941600</v>
      </c>
      <c r="H4" s="37">
        <f t="shared" ref="H4:H12" si="2">H3+(H3*I4)</f>
        <v>15400</v>
      </c>
      <c r="I4" s="38">
        <v>0.1</v>
      </c>
    </row>
    <row r="5" spans="1:9">
      <c r="A5" s="33" t="s">
        <v>70</v>
      </c>
      <c r="B5" s="34">
        <v>3</v>
      </c>
      <c r="C5" s="35">
        <f t="shared" si="1"/>
        <v>1144000</v>
      </c>
      <c r="D5" s="36">
        <f t="shared" si="0"/>
        <v>1164020</v>
      </c>
      <c r="E5" s="36">
        <f t="shared" si="0"/>
        <v>1184040</v>
      </c>
      <c r="F5" s="36">
        <f t="shared" si="0"/>
        <v>1204060</v>
      </c>
      <c r="G5" s="36">
        <f t="shared" si="0"/>
        <v>1224080</v>
      </c>
      <c r="H5" s="37">
        <f t="shared" si="2"/>
        <v>20020</v>
      </c>
      <c r="I5" s="38">
        <v>0.3</v>
      </c>
    </row>
    <row r="6" spans="1:9">
      <c r="A6" s="33" t="s">
        <v>70</v>
      </c>
      <c r="B6" s="34">
        <v>4</v>
      </c>
      <c r="C6" s="35">
        <f t="shared" si="1"/>
        <v>1258400</v>
      </c>
      <c r="D6" s="36">
        <f t="shared" si="0"/>
        <v>1280422</v>
      </c>
      <c r="E6" s="36">
        <f t="shared" si="0"/>
        <v>1302444</v>
      </c>
      <c r="F6" s="36">
        <f t="shared" si="0"/>
        <v>1324466</v>
      </c>
      <c r="G6" s="36">
        <f t="shared" si="0"/>
        <v>1346488</v>
      </c>
      <c r="H6" s="37">
        <f t="shared" si="2"/>
        <v>22022</v>
      </c>
      <c r="I6" s="38">
        <v>0.1</v>
      </c>
    </row>
    <row r="7" spans="1:9">
      <c r="A7" s="33" t="s">
        <v>71</v>
      </c>
      <c r="B7" s="34">
        <v>5</v>
      </c>
      <c r="C7" s="35">
        <f t="shared" si="1"/>
        <v>1635920</v>
      </c>
      <c r="D7" s="36">
        <f t="shared" si="0"/>
        <v>1664548.6</v>
      </c>
      <c r="E7" s="36">
        <f t="shared" si="0"/>
        <v>1693177.2000000002</v>
      </c>
      <c r="F7" s="36">
        <f t="shared" si="0"/>
        <v>1721805.8000000003</v>
      </c>
      <c r="G7" s="36">
        <f t="shared" si="0"/>
        <v>1750434.4000000004</v>
      </c>
      <c r="H7" s="37">
        <f t="shared" si="2"/>
        <v>28628.6</v>
      </c>
      <c r="I7" s="38">
        <v>0.3</v>
      </c>
    </row>
    <row r="8" spans="1:9">
      <c r="A8" s="33" t="s">
        <v>71</v>
      </c>
      <c r="B8" s="34">
        <v>6</v>
      </c>
      <c r="C8" s="35">
        <f t="shared" si="1"/>
        <v>1799512</v>
      </c>
      <c r="D8" s="36">
        <f t="shared" si="0"/>
        <v>1831003.46</v>
      </c>
      <c r="E8" s="36">
        <f t="shared" si="0"/>
        <v>1862494.92</v>
      </c>
      <c r="F8" s="36">
        <f t="shared" si="0"/>
        <v>1893986.38</v>
      </c>
      <c r="G8" s="36">
        <f t="shared" si="0"/>
        <v>1925477.8399999999</v>
      </c>
      <c r="H8" s="37">
        <f t="shared" si="2"/>
        <v>31491.46</v>
      </c>
      <c r="I8" s="38">
        <v>0.1</v>
      </c>
    </row>
    <row r="9" spans="1:9">
      <c r="A9" s="33" t="s">
        <v>72</v>
      </c>
      <c r="B9" s="34">
        <v>7</v>
      </c>
      <c r="C9" s="35">
        <f t="shared" si="1"/>
        <v>2159414.4</v>
      </c>
      <c r="D9" s="36">
        <f t="shared" si="0"/>
        <v>2197204.1519999998</v>
      </c>
      <c r="E9" s="36">
        <f t="shared" si="0"/>
        <v>2234993.9039999996</v>
      </c>
      <c r="F9" s="36">
        <f t="shared" si="0"/>
        <v>2272783.6559999995</v>
      </c>
      <c r="G9" s="36">
        <f t="shared" si="0"/>
        <v>2310573.4079999994</v>
      </c>
      <c r="H9" s="37">
        <f t="shared" si="2"/>
        <v>37789.752</v>
      </c>
      <c r="I9" s="38">
        <v>0.2</v>
      </c>
    </row>
    <row r="10" spans="1:9">
      <c r="A10" s="33" t="s">
        <v>72</v>
      </c>
      <c r="B10" s="34">
        <v>8</v>
      </c>
      <c r="C10" s="35">
        <f t="shared" si="1"/>
        <v>2375355.84</v>
      </c>
      <c r="D10" s="36">
        <f t="shared" si="0"/>
        <v>2416924.5671999999</v>
      </c>
      <c r="E10" s="36">
        <f t="shared" si="0"/>
        <v>2458493.2944</v>
      </c>
      <c r="F10" s="36">
        <f t="shared" si="0"/>
        <v>2500062.0216000001</v>
      </c>
      <c r="G10" s="36">
        <f t="shared" si="0"/>
        <v>2541630.7488000002</v>
      </c>
      <c r="H10" s="37">
        <f t="shared" si="2"/>
        <v>41568.727200000001</v>
      </c>
      <c r="I10" s="38">
        <v>0.1</v>
      </c>
    </row>
    <row r="11" spans="1:9">
      <c r="A11" s="33" t="s">
        <v>73</v>
      </c>
      <c r="B11" s="34">
        <v>9</v>
      </c>
      <c r="C11" s="35">
        <f t="shared" si="1"/>
        <v>3087962.5919999997</v>
      </c>
      <c r="D11" s="36">
        <f t="shared" si="0"/>
        <v>3142001.9373599999</v>
      </c>
      <c r="E11" s="36">
        <f t="shared" si="0"/>
        <v>3196041.28272</v>
      </c>
      <c r="F11" s="36">
        <f t="shared" si="0"/>
        <v>3250080.6280800002</v>
      </c>
      <c r="G11" s="36">
        <f t="shared" si="0"/>
        <v>3304119.9734400003</v>
      </c>
      <c r="H11" s="37">
        <f t="shared" si="2"/>
        <v>54039.345359999999</v>
      </c>
      <c r="I11" s="38">
        <v>0.3</v>
      </c>
    </row>
    <row r="12" spans="1:9">
      <c r="A12" s="39" t="s">
        <v>73</v>
      </c>
      <c r="B12" s="40">
        <v>10</v>
      </c>
      <c r="C12" s="41">
        <f t="shared" si="1"/>
        <v>3396758.8511999995</v>
      </c>
      <c r="D12" s="42">
        <f t="shared" si="0"/>
        <v>3456202.1310959994</v>
      </c>
      <c r="E12" s="42">
        <f t="shared" si="0"/>
        <v>3515645.4109919993</v>
      </c>
      <c r="F12" s="42">
        <f t="shared" si="0"/>
        <v>3575088.6908879993</v>
      </c>
      <c r="G12" s="42">
        <f t="shared" si="0"/>
        <v>3634531.9707839992</v>
      </c>
      <c r="H12" s="43">
        <f t="shared" si="2"/>
        <v>59443.279896</v>
      </c>
      <c r="I12" s="44">
        <v>0.1</v>
      </c>
    </row>
    <row r="14" spans="1:9">
      <c r="A14" s="45" t="s">
        <v>118</v>
      </c>
      <c r="B14" s="23" t="s">
        <v>119</v>
      </c>
      <c r="C14" s="25" t="s">
        <v>67</v>
      </c>
      <c r="D14" s="25" t="s">
        <v>120</v>
      </c>
      <c r="E14" s="25" t="s">
        <v>121</v>
      </c>
      <c r="F14" s="25" t="s">
        <v>122</v>
      </c>
      <c r="G14" s="25" t="s">
        <v>123</v>
      </c>
      <c r="H14" s="25" t="s">
        <v>124</v>
      </c>
      <c r="I14" s="26" t="s">
        <v>125</v>
      </c>
    </row>
    <row r="15" spans="1:9">
      <c r="A15" s="46" t="s">
        <v>126</v>
      </c>
      <c r="B15" s="47">
        <v>893740.03073681903</v>
      </c>
      <c r="C15" s="30">
        <v>14000</v>
      </c>
      <c r="D15" s="30">
        <v>100000</v>
      </c>
      <c r="E15" s="30">
        <v>70000</v>
      </c>
      <c r="F15" s="30">
        <v>300000</v>
      </c>
      <c r="G15" s="30"/>
      <c r="H15" s="48">
        <f>IF(G15&lt;&gt;0,(G16/G15)-1,0)</f>
        <v>0</v>
      </c>
      <c r="I15" s="32"/>
    </row>
    <row r="16" spans="1:9">
      <c r="A16" s="49" t="s">
        <v>127</v>
      </c>
      <c r="B16" s="50">
        <f>SUM(급여현황!$K$5:$K$54)</f>
        <v>100873279.44407998</v>
      </c>
      <c r="C16" s="42"/>
      <c r="D16" s="42">
        <f>SUM(급여현황!$L$5:$L$54)</f>
        <v>5000000</v>
      </c>
      <c r="E16" s="42">
        <f>SUM(급여현황!$M$5:$M$54)</f>
        <v>2240000</v>
      </c>
      <c r="F16" s="42">
        <f>SUM(급여현황!$N$5:$N$54)</f>
        <v>3900000</v>
      </c>
      <c r="G16" s="42">
        <f>SUM(급여현황!$J$5:$J$54)</f>
        <v>112013279.44407997</v>
      </c>
      <c r="H16" s="51">
        <v>0.03</v>
      </c>
      <c r="I16" s="52">
        <f>G16*(1+H16)</f>
        <v>115373677.82740237</v>
      </c>
    </row>
    <row r="18" spans="2:4">
      <c r="B18" s="62" t="s">
        <v>128</v>
      </c>
    </row>
    <row r="19" spans="2:4">
      <c r="B19" s="53">
        <v>0</v>
      </c>
      <c r="C19" s="54">
        <v>0.09</v>
      </c>
      <c r="D19" s="55">
        <v>0</v>
      </c>
    </row>
    <row r="20" spans="2:4">
      <c r="B20" s="56">
        <f>10000000/12</f>
        <v>833333.33333333337</v>
      </c>
      <c r="C20" s="57">
        <v>0.18</v>
      </c>
      <c r="D20" s="58">
        <f>B20*C19</f>
        <v>75000</v>
      </c>
    </row>
    <row r="21" spans="2:4">
      <c r="B21" s="56">
        <f>40000000/12</f>
        <v>3333333.3333333335</v>
      </c>
      <c r="C21" s="57">
        <v>0.27</v>
      </c>
      <c r="D21" s="58">
        <f>B21*C20</f>
        <v>600000</v>
      </c>
    </row>
    <row r="22" spans="2:4">
      <c r="B22" s="59">
        <f>80000000/12</f>
        <v>6666666.666666667</v>
      </c>
      <c r="C22" s="60">
        <v>0.36</v>
      </c>
      <c r="D22" s="61">
        <f>B22*C21</f>
        <v>1800000.0000000002</v>
      </c>
    </row>
  </sheetData>
  <mergeCells count="1">
    <mergeCell ref="A1:I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8" sqref="C8"/>
    </sheetView>
  </sheetViews>
  <sheetFormatPr defaultRowHeight="16.5"/>
  <sheetData>
    <row r="1" spans="1:1">
      <c r="A1" s="66" t="s">
        <v>146</v>
      </c>
    </row>
    <row r="2" spans="1:1">
      <c r="A2" s="64" t="s">
        <v>19</v>
      </c>
    </row>
    <row r="3" spans="1:1">
      <c r="A3" s="64" t="s">
        <v>30</v>
      </c>
    </row>
    <row r="4" spans="1:1">
      <c r="A4" s="64" t="s">
        <v>15</v>
      </c>
    </row>
    <row r="5" spans="1:1">
      <c r="A5" s="65" t="s">
        <v>10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5</vt:i4>
      </vt:variant>
    </vt:vector>
  </HeadingPairs>
  <TitlesOfParts>
    <vt:vector size="8" baseType="lpstr">
      <vt:lpstr>급여현황</vt:lpstr>
      <vt:lpstr>조견표</vt:lpstr>
      <vt:lpstr>참조표</vt:lpstr>
      <vt:lpstr>교통비</vt:lpstr>
      <vt:lpstr>급여</vt:lpstr>
      <vt:lpstr>식대</vt:lpstr>
      <vt:lpstr>직급</vt:lpstr>
      <vt:lpstr>차량보조금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2016-04-08T05:11:05Z</dcterms:created>
  <dcterms:modified xsi:type="dcterms:W3CDTF">2016-04-08T05:11:14Z</dcterms:modified>
</cp:coreProperties>
</file>