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y/Downloads/"/>
    </mc:Choice>
  </mc:AlternateContent>
  <bookViews>
    <workbookView xWindow="980" yWindow="460" windowWidth="27820" windowHeight="17540" tabRatio="500"/>
  </bookViews>
  <sheets>
    <sheet name="Classification of codes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5" l="1"/>
  <c r="AP33" i="5"/>
  <c r="U37" i="5"/>
  <c r="AP62" i="5"/>
  <c r="AO62" i="5"/>
  <c r="B26" i="5"/>
  <c r="I36" i="5"/>
  <c r="N36" i="5"/>
  <c r="O36" i="5"/>
  <c r="C36" i="5"/>
  <c r="U36" i="5"/>
  <c r="Q36" i="5"/>
  <c r="AO33" i="5"/>
  <c r="D23" i="5"/>
  <c r="I8" i="5"/>
  <c r="L8" i="5"/>
  <c r="N8" i="5"/>
  <c r="T8" i="5"/>
  <c r="D8" i="5"/>
  <c r="B5" i="5"/>
  <c r="B45" i="5"/>
  <c r="D68" i="5"/>
  <c r="H68" i="5"/>
  <c r="I68" i="5"/>
  <c r="N68" i="5"/>
  <c r="U68" i="5"/>
  <c r="B55" i="5"/>
  <c r="W67" i="5"/>
  <c r="D49" i="5"/>
  <c r="F49" i="5"/>
  <c r="G49" i="5"/>
  <c r="I49" i="5"/>
  <c r="J49" i="5"/>
  <c r="K49" i="5"/>
  <c r="N49" i="5"/>
  <c r="Q49" i="5"/>
  <c r="R49" i="5"/>
  <c r="U49" i="5"/>
  <c r="W48" i="5"/>
  <c r="D37" i="5"/>
  <c r="H37" i="5"/>
  <c r="I37" i="5"/>
  <c r="L37" i="5"/>
  <c r="N37" i="5"/>
  <c r="P37" i="5"/>
  <c r="Q37" i="5"/>
  <c r="W36" i="5"/>
  <c r="K67" i="5"/>
  <c r="L67" i="5"/>
  <c r="N67" i="5"/>
  <c r="O67" i="5"/>
  <c r="Q67" i="5"/>
  <c r="T67" i="5"/>
  <c r="U67" i="5"/>
  <c r="F67" i="5"/>
  <c r="G67" i="5"/>
  <c r="H67" i="5"/>
  <c r="I67" i="5"/>
  <c r="D67" i="5"/>
  <c r="U23" i="5"/>
  <c r="N23" i="5"/>
  <c r="D48" i="5"/>
  <c r="F48" i="5"/>
  <c r="G48" i="5"/>
  <c r="H48" i="5"/>
  <c r="I48" i="5"/>
  <c r="J48" i="5"/>
  <c r="K48" i="5"/>
  <c r="L48" i="5"/>
  <c r="N48" i="5"/>
  <c r="O48" i="5"/>
  <c r="P48" i="5"/>
  <c r="Q48" i="5"/>
  <c r="R48" i="5"/>
  <c r="T48" i="5"/>
  <c r="U48" i="5"/>
  <c r="C48" i="5"/>
  <c r="D36" i="5"/>
  <c r="F36" i="5"/>
  <c r="G36" i="5"/>
  <c r="H36" i="5"/>
  <c r="K36" i="5"/>
  <c r="L36" i="5"/>
  <c r="P36" i="5"/>
  <c r="R36" i="5"/>
  <c r="T36" i="5"/>
  <c r="H23" i="5"/>
  <c r="I23" i="5"/>
  <c r="B19" i="5"/>
  <c r="D22" i="5"/>
  <c r="F22" i="5"/>
  <c r="G22" i="5"/>
  <c r="H22" i="5"/>
  <c r="I22" i="5"/>
  <c r="K22" i="5"/>
  <c r="L22" i="5"/>
  <c r="N22" i="5"/>
  <c r="U22" i="5"/>
  <c r="C22" i="5"/>
  <c r="F15" i="5"/>
  <c r="N15" i="5"/>
  <c r="P15" i="5"/>
  <c r="B11" i="5"/>
  <c r="I14" i="5"/>
  <c r="K14" i="5"/>
  <c r="L14" i="5"/>
  <c r="N14" i="5"/>
  <c r="P14" i="5"/>
  <c r="Q14" i="5"/>
  <c r="U14" i="5"/>
  <c r="F14" i="5"/>
  <c r="L9" i="5"/>
  <c r="N9" i="5"/>
</calcChain>
</file>

<file path=xl/sharedStrings.xml><?xml version="1.0" encoding="utf-8"?>
<sst xmlns="http://schemas.openxmlformats.org/spreadsheetml/2006/main" count="225" uniqueCount="197">
  <si>
    <t>Error prevention</t>
  </si>
  <si>
    <t>API+</t>
  </si>
  <si>
    <t>API-</t>
  </si>
  <si>
    <t>High complexity</t>
  </si>
  <si>
    <t>Not always available</t>
  </si>
  <si>
    <t>High cost maintenance</t>
  </si>
  <si>
    <t>Easy to manage</t>
  </si>
  <si>
    <t>Integrability</t>
  </si>
  <si>
    <t>Configuration backup</t>
  </si>
  <si>
    <t>Consistency</t>
  </si>
  <si>
    <t>Easy monitoring</t>
  </si>
  <si>
    <t>Good documentation</t>
  </si>
  <si>
    <t>Integrated test points</t>
  </si>
  <si>
    <t>Scalability</t>
  </si>
  <si>
    <t>Standardized  feedback</t>
  </si>
  <si>
    <t>Not standardized</t>
  </si>
  <si>
    <t>No error detection</t>
  </si>
  <si>
    <t>Limited or no built-in assistance</t>
  </si>
  <si>
    <t>One task at a time</t>
  </si>
  <si>
    <t>No search feature</t>
  </si>
  <si>
    <t>CLI-</t>
  </si>
  <si>
    <t>User efficiency</t>
  </si>
  <si>
    <t>Fast</t>
  </si>
  <si>
    <t>Easy to use</t>
  </si>
  <si>
    <t>Consistency among different platforms</t>
  </si>
  <si>
    <t>Easy to navigate</t>
  </si>
  <si>
    <t>Better overview of all settings</t>
  </si>
  <si>
    <t>High availability</t>
  </si>
  <si>
    <t>Available tools</t>
  </si>
  <si>
    <t>Less prone to errors</t>
  </si>
  <si>
    <t>Reliability</t>
  </si>
  <si>
    <t>Monitoring</t>
  </si>
  <si>
    <t>Track of changes</t>
  </si>
  <si>
    <t>Allows version control</t>
  </si>
  <si>
    <t>Ease of search</t>
  </si>
  <si>
    <t>Easy auditing</t>
  </si>
  <si>
    <t>Easy to setup</t>
  </si>
  <si>
    <t>Easy to work with logs</t>
  </si>
  <si>
    <t>Well-documented</t>
  </si>
  <si>
    <t>Easy to access help</t>
  </si>
  <si>
    <t>Export rules</t>
  </si>
  <si>
    <t>Good for certain tasks</t>
  </si>
  <si>
    <t>Simple syntax</t>
  </si>
  <si>
    <t>Ability to add comments</t>
  </si>
  <si>
    <t>Inclusive</t>
  </si>
  <si>
    <t>Functional Suitability</t>
  </si>
  <si>
    <t>Performance Efficiency</t>
  </si>
  <si>
    <t>Compatibility</t>
  </si>
  <si>
    <t>Security</t>
  </si>
  <si>
    <t>Maintainability</t>
  </si>
  <si>
    <t>Portability</t>
  </si>
  <si>
    <t>Usability</t>
  </si>
  <si>
    <t>Usability heuristics</t>
  </si>
  <si>
    <t>Automation++</t>
  </si>
  <si>
    <t>Other</t>
  </si>
  <si>
    <t>Not easy to use</t>
  </si>
  <si>
    <t>Easy to manage++</t>
  </si>
  <si>
    <t>Prone to errors++</t>
  </si>
  <si>
    <t>Fast++</t>
  </si>
  <si>
    <t>Easy to troubleshoot</t>
  </si>
  <si>
    <t>Monitoring++</t>
  </si>
  <si>
    <t>Ability to work offline</t>
  </si>
  <si>
    <t>CLI +</t>
  </si>
  <si>
    <t>User inefficiency++</t>
  </si>
  <si>
    <t>Slow++</t>
  </si>
  <si>
    <t>Unreliable/Unstable</t>
  </si>
  <si>
    <t>Badly designed</t>
  </si>
  <si>
    <t>Not easy to navigate++</t>
  </si>
  <si>
    <t>Less convenient</t>
  </si>
  <si>
    <t>Not flexible</t>
  </si>
  <si>
    <t>No scalability</t>
  </si>
  <si>
    <t>Doesn't help experts</t>
  </si>
  <si>
    <t>No version control</t>
  </si>
  <si>
    <t>Not appropriate</t>
  </si>
  <si>
    <t>Not as secure</t>
  </si>
  <si>
    <t>Bad with logs</t>
  </si>
  <si>
    <t>Can’t start it</t>
  </si>
  <si>
    <t>GUI-</t>
  </si>
  <si>
    <t>Short learning curve</t>
  </si>
  <si>
    <t>Troubleshooting</t>
  </si>
  <si>
    <t>Sorting and formating</t>
  </si>
  <si>
    <t>User-friendliness</t>
  </si>
  <si>
    <t>Reporting</t>
  </si>
  <si>
    <t>Automated tasks</t>
  </si>
  <si>
    <t>Searching</t>
  </si>
  <si>
    <t>Logging</t>
  </si>
  <si>
    <t>Easy for initial setup</t>
  </si>
  <si>
    <t>Copy existing rules</t>
  </si>
  <si>
    <t>Easy to work in a group</t>
  </si>
  <si>
    <t>Easy to compare rules</t>
  </si>
  <si>
    <t>Multitasking</t>
  </si>
  <si>
    <t>GUI+</t>
  </si>
  <si>
    <t>Bad UX++</t>
  </si>
  <si>
    <t>Assistance with errors</t>
  </si>
  <si>
    <t>ISO software quality model</t>
  </si>
  <si>
    <t>Visibility of system status</t>
  </si>
  <si>
    <t>Match between system and the real world</t>
  </si>
  <si>
    <t>User control and freedom</t>
  </si>
  <si>
    <t>Consistency and standards</t>
  </si>
  <si>
    <t>Recognition rather than recall</t>
  </si>
  <si>
    <t>Flexibility and efficiency of use</t>
  </si>
  <si>
    <t>Aesthetic and minimalist design</t>
  </si>
  <si>
    <t>Help and documentation</t>
  </si>
  <si>
    <t>High competence required</t>
  </si>
  <si>
    <t>N of coding references</t>
  </si>
  <si>
    <t>Idempotence - 2 ref.</t>
  </si>
  <si>
    <t>Easy to document - 4 ref.</t>
  </si>
  <si>
    <t>No need of additional software - 3 ref.</t>
  </si>
  <si>
    <t>Difficult to document - 5 ref.</t>
  </si>
  <si>
    <t>Current generation of GUI is too primitive - 1 ref.</t>
  </si>
  <si>
    <t>Vendor lock-in - 1 ref.</t>
  </si>
  <si>
    <t>Additional equipment or software required - 12 ref.</t>
  </si>
  <si>
    <t>Web interface  - 6 ref.</t>
  </si>
  <si>
    <t>Easy to document - 3 ref.</t>
  </si>
  <si>
    <t>Good for sales and demo - 2 ref.</t>
  </si>
  <si>
    <t>Available on many devices - 2 ref.</t>
  </si>
  <si>
    <t>% of coding references</t>
  </si>
  <si>
    <t>Total ref. =</t>
  </si>
  <si>
    <t>Not well documented</t>
  </si>
  <si>
    <t xml:space="preserve">No buit-in assistance </t>
  </si>
  <si>
    <t>Bad at handling special cases</t>
  </si>
  <si>
    <t>Additional software required - 2 ref.</t>
  </si>
  <si>
    <t>Consistency across sysadmins</t>
  </si>
  <si>
    <t>"++" - the node and all subnodes</t>
  </si>
  <si>
    <t>Fine-grained errro handling</t>
  </si>
  <si>
    <t>Visualization in a better way</t>
  </si>
  <si>
    <t>No monitoring of firewall status</t>
  </si>
  <si>
    <t>Slow at certain tasks</t>
  </si>
  <si>
    <t>Long learning curve++</t>
  </si>
  <si>
    <t>Inconveniently present errors</t>
  </si>
  <si>
    <t>Less intuitive</t>
  </si>
  <si>
    <t>Less educational</t>
  </si>
  <si>
    <t>Problems with certain tasks</t>
  </si>
  <si>
    <t>Inconvenient data representation</t>
  </si>
  <si>
    <t>Management of large config files</t>
  </si>
  <si>
    <t>No addional abstraction levels</t>
  </si>
  <si>
    <t>Output is immediately available</t>
  </si>
  <si>
    <t xml:space="preserve">Search engines friendly </t>
  </si>
  <si>
    <t>Less buggy or security holes</t>
  </si>
  <si>
    <t>Changes to existing rules</t>
  </si>
  <si>
    <t>Not clear if a rule is applied</t>
  </si>
  <si>
    <t>No aggregation of information</t>
  </si>
  <si>
    <t>Inconsistency between firewalls</t>
  </si>
  <si>
    <t>Updates might change Interface</t>
  </si>
  <si>
    <t>Changes move things around</t>
  </si>
  <si>
    <t>Asynchronization betwee data and representation</t>
  </si>
  <si>
    <t>Scalable GUIs cost a lot</t>
  </si>
  <si>
    <t>Provides too general information</t>
  </si>
  <si>
    <t>Reduced functionality</t>
  </si>
  <si>
    <t>Interface beauty and functionality tradeoff++</t>
  </si>
  <si>
    <t>Limited troubleshooting capabilities</t>
  </si>
  <si>
    <t>No clear visibility of errors</t>
  </si>
  <si>
    <t>Unhelpful error messages</t>
  </si>
  <si>
    <t>No open-access documentation</t>
  </si>
  <si>
    <t>Comments aren't allowed</t>
  </si>
  <si>
    <t>Non-exportable data</t>
  </si>
  <si>
    <t>More difficult to use with advanced functions</t>
  </si>
  <si>
    <t>Bad integrability with CMSs</t>
  </si>
  <si>
    <t>Exposes unnecessary information</t>
  </si>
  <si>
    <t>Difficult installation/initial setup</t>
  </si>
  <si>
    <t>Bad previous experience</t>
  </si>
  <si>
    <t>Problems with overview of too many rules</t>
  </si>
  <si>
    <t>(Re-)organization of rules</t>
  </si>
  <si>
    <t>Long descriptive aliases</t>
  </si>
  <si>
    <t>Easy to see available configuration options</t>
  </si>
  <si>
    <t>Easy to explore new functions</t>
  </si>
  <si>
    <t>GUI features (like drag-and-drop)++</t>
  </si>
  <si>
    <t>Easy for simple and quick tasks</t>
  </si>
  <si>
    <t>Helping popups and other support</t>
  </si>
  <si>
    <t>Good for specific tasks (NAT, VPN, etc.)</t>
  </si>
  <si>
    <t>Ease of display of additional information</t>
  </si>
  <si>
    <t>Good for complex tasks</t>
  </si>
  <si>
    <t>Advanced features (like DPI) available</t>
  </si>
  <si>
    <t>Linking objects with rules</t>
  </si>
  <si>
    <t>Non-repetitative tasks</t>
  </si>
  <si>
    <t>Advantages when auditing</t>
  </si>
  <si>
    <t>3d party data can be displayed</t>
  </si>
  <si>
    <t>Editing configs offline</t>
  </si>
  <si>
    <t>Backup</t>
  </si>
  <si>
    <t>Easy to manage and modify rules</t>
  </si>
  <si>
    <t>Create rules and policies</t>
  </si>
  <si>
    <t>Good for people that struggle to work with text</t>
  </si>
  <si>
    <t>Color-coding</t>
  </si>
  <si>
    <t>Helps in training new people</t>
  </si>
  <si>
    <t>Configuration and monitoring in 1 panel</t>
  </si>
  <si>
    <t>CLI+</t>
  </si>
  <si>
    <t>Superior functionality++</t>
  </si>
  <si>
    <t>Transparency</t>
  </si>
  <si>
    <t>Full control</t>
  </si>
  <si>
    <t>Better understanding, overview of configuration++</t>
  </si>
  <si>
    <t>Lack of automation</t>
  </si>
  <si>
    <t>Additional layer of abstraction++</t>
  </si>
  <si>
    <t>Generate less understandable configs</t>
  </si>
  <si>
    <t>Platform or browser dependent - 12 ref.</t>
  </si>
  <si>
    <t>Unavailability for particular firewall - 3 ref.</t>
  </si>
  <si>
    <t>Flexibility</t>
  </si>
  <si>
    <t>Good for occasional use++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</si>
</sst>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Alignment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NumberFormat="1" applyBorder="1" applyAlignment="1"/>
    <xf numFmtId="0" fontId="6" fillId="0" borderId="0" xfId="0" applyNumberFormat="1" applyFont="1" applyAlignment="1"/>
    <xf numFmtId="0" fontId="0" fillId="0" borderId="0" xfId="0" applyNumberFormat="1" applyFill="1" applyBorder="1"/>
    <xf numFmtId="0" fontId="3" fillId="0" borderId="0" xfId="0" applyNumberFormat="1" applyFont="1" applyAlignment="1"/>
    <xf numFmtId="0" fontId="5" fillId="0" borderId="0" xfId="0" applyNumberFormat="1" applyFont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colors>
    <mruColors>
      <color rgb="FF88CDD0"/>
      <color rgb="FF00D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068866962946"/>
                      <c:h val="0.1156019463725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195148102556047"/>
                  <c:y val="1.13261288582741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2538052172666"/>
                      <c:h val="0.115601946372592"/>
                    </c:manualLayout>
                  </c15:layout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919878301341"/>
                      <c:h val="0.10696078962146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43366245012455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372200188148"/>
                      <c:h val="0.078634367869494"/>
                    </c:manualLayout>
                  </c15:layout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8.53666240402657E-8"/>
                  <c:y val="-0.03164531729130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Flexibility</a:t>
                    </a:r>
                    <a:r>
                      <a:rPr lang="en-US" baseline="0"/>
                      <a:t> and efficiency of use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67039604991"/>
                      <c:h val="0.16187960279719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('Classification of codes'!$K$14,'Classification of codes'!$L$14,'Classification of codes'!$Q$14,'Classification of codes'!$N$14,'Classification of codes'!$F$14,'Classification of codes'!$P$14,'Classification of codes'!$U$14,'Classification of codes'!$I$14)</c:f>
              <c:numCache>
                <c:formatCode>General</c:formatCode>
                <c:ptCount val="8"/>
                <c:pt idx="0">
                  <c:v>0.0294117647058823</c:v>
                </c:pt>
                <c:pt idx="1">
                  <c:v>0.0294117647058823</c:v>
                </c:pt>
                <c:pt idx="2">
                  <c:v>0.0294117647058823</c:v>
                </c:pt>
                <c:pt idx="3">
                  <c:v>0.0588235294117647</c:v>
                </c:pt>
                <c:pt idx="4">
                  <c:v>0.088235294117647</c:v>
                </c:pt>
                <c:pt idx="5">
                  <c:v>0.088235294117647</c:v>
                </c:pt>
                <c:pt idx="6">
                  <c:v>0.147058823529412</c:v>
                </c:pt>
                <c:pt idx="7">
                  <c:v>0.470588235294118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1127501648"/>
        <c:axId val="-1125186848"/>
      </c:barChart>
      <c:catAx>
        <c:axId val="-1127501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125186848"/>
        <c:crosses val="autoZero"/>
        <c:auto val="1"/>
        <c:lblAlgn val="ctr"/>
        <c:lblOffset val="100"/>
        <c:noMultiLvlLbl val="0"/>
      </c:catAx>
      <c:valAx>
        <c:axId val="-11251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limitations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49667699626502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62645947726"/>
                      <c:h val="0.11560186842387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737867791881133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 of system status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722507422192"/>
                      <c:h val="0.11560186842387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8487284735537"/>
                  <c:y val="-1.52085838578909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282639060447"/>
                      <c:h val="0.0824191203175092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Flexibility</a:t>
                    </a:r>
                    <a:r>
                      <a:rPr lang="en-US" sz="1400" baseline="0"/>
                      <a:t> and efficiency of use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3617774227813"/>
                      <c:h val="0.115601937212996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037006415302"/>
                      <c:h val="0.11560186842387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194068409343"/>
                      <c:h val="0.0771084109121598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169372744029"/>
                      <c:h val="0.0771084109121598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167441647444806"/>
                  <c:y val="3.43945620839873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0170821234334"/>
                      <c:h val="0.115601937212996"/>
                    </c:manualLayout>
                  </c15:layout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66690519604058E-8"/>
                  <c:y val="-0.0227663920467231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Match between system and real world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88982692078"/>
                      <c:h val="0.08152771369945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codes'!$L$22,'Classification of codes'!$C$22,'Classification of codes'!$F$22,'Classification of codes'!$I$22,'Classification of codes'!$K$22,'Classification of codes'!$N$22,'Classification of codes'!$G$22,'Classification of codes'!$H$22,'Classification of codes'!$U$22,'Classification of codes'!$D$22)</c:f>
              <c:numCache>
                <c:formatCode>General</c:formatCode>
                <c:ptCount val="10"/>
                <c:pt idx="0">
                  <c:v>1.162790697674419</c:v>
                </c:pt>
                <c:pt idx="1">
                  <c:v>3.488372093023256</c:v>
                </c:pt>
                <c:pt idx="2">
                  <c:v>3.488372093023256</c:v>
                </c:pt>
                <c:pt idx="3">
                  <c:v>4.651162790697674</c:v>
                </c:pt>
                <c:pt idx="4">
                  <c:v>5.813953488372093</c:v>
                </c:pt>
                <c:pt idx="5">
                  <c:v>9.30232558139535</c:v>
                </c:pt>
                <c:pt idx="6">
                  <c:v>9.30232558139535</c:v>
                </c:pt>
                <c:pt idx="7">
                  <c:v>11.62790697674419</c:v>
                </c:pt>
                <c:pt idx="8">
                  <c:v>25.58139534883721</c:v>
                </c:pt>
                <c:pt idx="9">
                  <c:v>25.58139534883721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84644976"/>
        <c:axId val="-1084641952"/>
      </c:barChart>
      <c:catAx>
        <c:axId val="-1084644976"/>
        <c:scaling>
          <c:orientation val="minMax"/>
        </c:scaling>
        <c:delete val="1"/>
        <c:axPos val="l"/>
        <c:numFmt formatCode="@" sourceLinked="1"/>
        <c:majorTickMark val="none"/>
        <c:minorTickMark val="none"/>
        <c:tickLblPos val="nextTo"/>
        <c:crossAx val="-1084641952"/>
        <c:crosses val="autoZero"/>
        <c:auto val="0"/>
        <c:lblAlgn val="ctr"/>
        <c:lblOffset val="100"/>
        <c:noMultiLvlLbl val="0"/>
      </c:catAx>
      <c:valAx>
        <c:axId val="-1084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644976"/>
        <c:crosses val="autoZero"/>
        <c:crossBetween val="between"/>
      </c:valAx>
      <c:spPr>
        <a:noFill/>
        <a:ln>
          <a:gradFill>
            <a:gsLst>
              <a:gs pos="46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strengths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585117826655"/>
                      <c:h val="0.0819907953785177"/>
                    </c:manualLayout>
                  </c15:layout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382072546831"/>
                      <c:h val="0.081990828284722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314251874149919"/>
                  <c:y val="-0.0004938220800197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Match between system and real world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4655459071011"/>
                      <c:h val="0.061392993050074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2.02144642243147E-17"/>
                  <c:y val="-0.0020739220953211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245971053015874"/>
                  <c:y val="-8.08578709374949E-17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660872846765"/>
                      <c:h val="0.089279588042384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32033972499792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075906338301"/>
                      <c:h val="0.089279588042384"/>
                    </c:manualLayout>
                  </c15:layout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1400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0930194437899144"/>
                  <c:y val="8.16504761176997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655447957991"/>
                      <c:h val="0.0714276732733333"/>
                    </c:manualLayout>
                  </c15:layout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1400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7.56206230548961E-5"/>
                  <c:y val="-8.68204778251818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</a:t>
                    </a:r>
                    <a:r>
                      <a:rPr lang="en-US" sz="1400" baseline="0"/>
                      <a:t> of system status</a:t>
                    </a:r>
                    <a:endParaRPr lang="en-US" sz="14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461414815842"/>
                      <c:h val="0.0892795810391022"/>
                    </c:manualLayout>
                  </c15:layout>
                </c:ext>
              </c:extLst>
            </c:dLbl>
            <c:dLbl>
              <c:idx val="12"/>
              <c:layout>
                <c:manualLayout>
                  <c:x val="-0.030901256552048"/>
                  <c:y val="-0.00441057384440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Performance efficiency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274023786376"/>
                      <c:h val="0.0626067674826055"/>
                    </c:manualLayout>
                  </c15:layout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0.0220523975383969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218693452747"/>
                      <c:h val="0.0712292564173356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-1.61715713794518E-16"/>
                  <c:y val="-0.0110262006837981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Flexibility and </a:t>
                    </a:r>
                  </a:p>
                  <a:p>
                    <a:r>
                      <a:rPr lang="en-US" sz="1400"/>
                      <a:t>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codes'!$R$36,'Classification of codes'!$T$36,'Classification of codes'!$K$36,'Classification of codes'!$G$36,'Classification of codes'!$D$36,'Classification of codes'!$W$36,'Classification of codes'!$L$36,'Classification of codes'!$F$36,'Classification of codes'!$P$36,'Classification of codes'!$H$36,'Classification of codes'!$Q$36,'Classification of codes'!$C$36,'Classification of codes'!$O$36,'Classification of codes'!$U$36,'Classification of codes'!$N$36,'Classification of codes'!$I$36)</c:f>
              <c:numCache>
                <c:formatCode>General</c:formatCode>
                <c:ptCount val="16"/>
                <c:pt idx="0">
                  <c:v>0.313479623824451</c:v>
                </c:pt>
                <c:pt idx="1">
                  <c:v>0.940438871473354</c:v>
                </c:pt>
                <c:pt idx="2">
                  <c:v>1.253918495297806</c:v>
                </c:pt>
                <c:pt idx="3">
                  <c:v>1.567398119122257</c:v>
                </c:pt>
                <c:pt idx="4">
                  <c:v>1.880877742946708</c:v>
                </c:pt>
                <c:pt idx="5">
                  <c:v>2.19435736677116</c:v>
                </c:pt>
                <c:pt idx="6">
                  <c:v>2.19435736677116</c:v>
                </c:pt>
                <c:pt idx="7">
                  <c:v>2.507836990595611</c:v>
                </c:pt>
                <c:pt idx="8">
                  <c:v>2.507836990595611</c:v>
                </c:pt>
                <c:pt idx="9">
                  <c:v>4.075235109717867</c:v>
                </c:pt>
                <c:pt idx="10">
                  <c:v>5.015673981191222</c:v>
                </c:pt>
                <c:pt idx="11">
                  <c:v>6.583072100313478</c:v>
                </c:pt>
                <c:pt idx="12">
                  <c:v>6.896551724137931</c:v>
                </c:pt>
                <c:pt idx="13">
                  <c:v>9.404388714733543</c:v>
                </c:pt>
                <c:pt idx="14">
                  <c:v>19.43573667711599</c:v>
                </c:pt>
                <c:pt idx="15">
                  <c:v>33.22884012539184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083490880"/>
        <c:axId val="-1083487888"/>
      </c:barChart>
      <c:catAx>
        <c:axId val="-108349088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083487888"/>
        <c:crosses val="autoZero"/>
        <c:auto val="1"/>
        <c:lblAlgn val="ctr"/>
        <c:lblOffset val="100"/>
        <c:noMultiLvlLbl val="0"/>
      </c:catAx>
      <c:valAx>
        <c:axId val="-1083487888"/>
        <c:scaling>
          <c:orientation val="minMax"/>
          <c:max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limitations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65972494378525"/>
                  <c:y val="-0.001033279822984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351406828043"/>
                      <c:h val="0.0724536758866434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10194778212301"/>
                  <c:y val="8.16370246551452E-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Visibility</a:t>
                    </a:r>
                    <a:r>
                      <a:rPr lang="en-US" baseline="0"/>
                      <a:t> of system status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270912027039"/>
                      <c:h val="0.0724536758866434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443335668087"/>
                  <c:y val="-7.60304041273954E-17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716442780469"/>
                      <c:h val="0.0770957203912307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54434225264814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580143198223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0202030019650843"/>
                  <c:y val="-0.003106860253087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954933695776"/>
                      <c:h val="0.0724536758866434"/>
                    </c:manualLayout>
                  </c15:layout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Recognition rather than </a:t>
                    </a:r>
                    <a:r>
                      <a:rPr lang="en-US" baseline="0"/>
                      <a:t>recall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2245914875994"/>
                      <c:h val="0.0770957203912307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Aesthetic and minimalist design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3899031633132"/>
                      <c:h val="0.0770957203912307"/>
                    </c:manualLayout>
                  </c15:layout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11031016090343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</a:t>
                    </a:r>
                    <a:r>
                      <a:rPr lang="en-US" baseline="0"/>
                      <a:t> efficiency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152412161843"/>
                      <c:h val="0.0770957203912307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0.00240056360985529"/>
                  <c:y val="1.40295278728328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0050899019125"/>
                      <c:h val="0.0724536758866434"/>
                    </c:manualLayout>
                  </c15:layout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310285979"/>
                      <c:h val="0.0770957203912307"/>
                    </c:manualLayout>
                  </c15:layout>
                </c:ext>
              </c:extLst>
            </c:dLbl>
            <c:dLbl>
              <c:idx val="16"/>
              <c:layout>
                <c:manualLayout>
                  <c:x val="0.0"/>
                  <c:y val="-0.02903012602144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Flexibility</a:t>
                    </a:r>
                    <a:r>
                      <a:rPr lang="en-US" baseline="0"/>
                      <a:t> and </a:t>
                    </a:r>
                  </a:p>
                  <a:p>
                    <a:r>
                      <a:rPr lang="en-US" baseline="0"/>
                      <a:t>efficiency of use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codes'!$L$48,'Classification of codes'!$P$48,'Classification of codes'!$C$48,'Classification of codes'!$T$48,'Classification of codes'!$R$48,'Classification of codes'!$K$48,'Classification of codes'!$U$48,'Classification of codes'!$G$48,'Classification of codes'!$F$48,'Classification of codes'!$H$48,'Classification of codes'!$Q$48,'Classification of codes'!$J$48,'Classification of codes'!$W$48,'Classification of codes'!$O$48,'Classification of codes'!$D$48,'Classification of codes'!$N$48,'Classification of codes'!$I$48)</c:f>
              <c:numCache>
                <c:formatCode>General</c:formatCode>
                <c:ptCount val="17"/>
                <c:pt idx="0">
                  <c:v>0.492610837438424</c:v>
                </c:pt>
                <c:pt idx="1">
                  <c:v>0.492610837438424</c:v>
                </c:pt>
                <c:pt idx="2">
                  <c:v>0.738916256157635</c:v>
                </c:pt>
                <c:pt idx="3">
                  <c:v>0.738916256157635</c:v>
                </c:pt>
                <c:pt idx="4">
                  <c:v>0.985221674876847</c:v>
                </c:pt>
                <c:pt idx="5">
                  <c:v>1.970443349753695</c:v>
                </c:pt>
                <c:pt idx="6">
                  <c:v>2.463054187192118</c:v>
                </c:pt>
                <c:pt idx="7">
                  <c:v>3.201970443349754</c:v>
                </c:pt>
                <c:pt idx="8">
                  <c:v>3.448275862068965</c:v>
                </c:pt>
                <c:pt idx="9">
                  <c:v>3.448275862068965</c:v>
                </c:pt>
                <c:pt idx="10">
                  <c:v>5.41871921182266</c:v>
                </c:pt>
                <c:pt idx="11">
                  <c:v>5.911330049261084</c:v>
                </c:pt>
                <c:pt idx="12">
                  <c:v>8.3743842364532</c:v>
                </c:pt>
                <c:pt idx="13">
                  <c:v>8.3743842364532</c:v>
                </c:pt>
                <c:pt idx="14">
                  <c:v>9.35960591133005</c:v>
                </c:pt>
                <c:pt idx="15">
                  <c:v>13.79310344827586</c:v>
                </c:pt>
                <c:pt idx="16">
                  <c:v>30.78817733990148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127409520"/>
        <c:axId val="-1127406336"/>
      </c:barChart>
      <c:catAx>
        <c:axId val="-112740952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127406336"/>
        <c:crosses val="autoZero"/>
        <c:auto val="1"/>
        <c:lblAlgn val="ctr"/>
        <c:lblOffset val="100"/>
        <c:noMultiLvlLbl val="0"/>
      </c:catAx>
      <c:valAx>
        <c:axId val="-11274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4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strengths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88248113392571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</a:t>
                    </a:r>
                    <a:r>
                      <a:rPr lang="en-US" baseline="0"/>
                      <a:t> and standards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38410477761"/>
                      <c:h val="0.0770957203912307"/>
                    </c:manualLayout>
                  </c15:layout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66186085044428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 efficiency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471716219082"/>
                      <c:h val="0.0770957203912307"/>
                    </c:manualLayout>
                  </c15:layout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89942459798"/>
                      <c:h val="0.112533209941692"/>
                    </c:manualLayout>
                  </c15:layout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43633306853"/>
                      <c:h val="0.0770957203912307"/>
                    </c:manualLayout>
                  </c15:layout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334999045426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0.000163467469886614"/>
                  <c:y val="-0.00308775718928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7797016136723"/>
                      <c:h val="0.0730835871700558"/>
                    </c:manualLayout>
                  </c15:layout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Flexibility and 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818337436813"/>
                      <c:h val="0.0770957203912307"/>
                    </c:manualLayout>
                  </c15:layout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42103365988"/>
                      <c:h val="0.0770957203912307"/>
                    </c:manualLayout>
                  </c15:layout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26213772"/>
                      <c:h val="0.0770957203912307"/>
                    </c:manualLayout>
                  </c15:layout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codes'!$F$67,'Classification of codes'!$T$67,'Classification of codes'!$O$67,'Classification of codes'!$Q$67,'Classification of codes'!$L$67,'Classification of codes'!$G$67,'Classification of codes'!$W$67,'Classification of codes'!$K$67,'Classification of codes'!$D$67,'Classification of codes'!$I$67,'Classification of codes'!$H$67,'Classification of codes'!$N$67,'Classification of codes'!$U$67)</c:f>
              <c:numCache>
                <c:formatCode>General</c:formatCode>
                <c:ptCount val="13"/>
                <c:pt idx="0">
                  <c:v>0.341296928327645</c:v>
                </c:pt>
                <c:pt idx="1">
                  <c:v>0.511945392491468</c:v>
                </c:pt>
                <c:pt idx="2">
                  <c:v>0.511945392491468</c:v>
                </c:pt>
                <c:pt idx="3">
                  <c:v>0.68259385665529</c:v>
                </c:pt>
                <c:pt idx="4">
                  <c:v>1.023890784982935</c:v>
                </c:pt>
                <c:pt idx="5">
                  <c:v>1.535836177474403</c:v>
                </c:pt>
                <c:pt idx="6">
                  <c:v>2.218430034129693</c:v>
                </c:pt>
                <c:pt idx="7">
                  <c:v>3.242320819112628</c:v>
                </c:pt>
                <c:pt idx="8">
                  <c:v>7.337883959044368</c:v>
                </c:pt>
                <c:pt idx="9">
                  <c:v>7.679180887372014</c:v>
                </c:pt>
                <c:pt idx="10">
                  <c:v>14.16382252559727</c:v>
                </c:pt>
                <c:pt idx="11">
                  <c:v>20.4778156996587</c:v>
                </c:pt>
                <c:pt idx="12">
                  <c:v>40.27303754266212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127323120"/>
        <c:axId val="-1127320096"/>
      </c:barChart>
      <c:catAx>
        <c:axId val="-112732312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127320096"/>
        <c:crosses val="autoZero"/>
        <c:auto val="1"/>
        <c:lblAlgn val="ctr"/>
        <c:lblOffset val="100"/>
        <c:noMultiLvlLbl val="0"/>
      </c:catAx>
      <c:valAx>
        <c:axId val="-11273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3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3173825270017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 real world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4837577943483"/>
                      <c:h val="0.2100780300687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219565195216798"/>
                  <c:y val="1.15902306409537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Flexibility and</a:t>
                    </a:r>
                    <a:r>
                      <a:rPr lang="en-US" sz="1400" baseline="0"/>
                      <a:t> efficiency of use</a:t>
                    </a: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521084569079"/>
                      <c:h val="0.131233631696777"/>
                    </c:manualLayout>
                  </c15:layout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53695636651759"/>
                  <c:y val="1.15902306409537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788853141831"/>
                      <c:h val="0.15976646148867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"/>
                  <c:y val="0.00294391858280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'Classification of codes'!$D$3</c:f>
              <c:strCache>
                <c:ptCount val="1"/>
                <c:pt idx="0">
                  <c:v>Match between system and the real world</c:v>
                </c:pt>
              </c:strCache>
            </c:strRef>
          </c:cat>
          <c:val>
            <c:numRef>
              <c:f>('Classification of codes'!$D$8,'Classification of codes'!$I$8,'Classification of codes'!$T$8,'Classification of codes'!$L$8,'Classification of codes'!$N$8)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-1073710800"/>
        <c:axId val="-1073707776"/>
      </c:barChart>
      <c:catAx>
        <c:axId val="-10737108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high"/>
        <c:crossAx val="-1073707776"/>
        <c:crosses val="autoZero"/>
        <c:auto val="1"/>
        <c:lblAlgn val="ctr"/>
        <c:lblOffset val="100"/>
        <c:noMultiLvlLbl val="0"/>
      </c:catAx>
      <c:valAx>
        <c:axId val="-10737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>
            <c:manualLayout>
              <c:xMode val="edge"/>
              <c:yMode val="edge"/>
              <c:x val="0.303619246981281"/>
              <c:y val="0.91025707595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628713</xdr:colOff>
      <xdr:row>2</xdr:row>
      <xdr:rowOff>99587</xdr:rowOff>
    </xdr:from>
    <xdr:to>
      <xdr:col>37</xdr:col>
      <xdr:colOff>676496</xdr:colOff>
      <xdr:row>24</xdr:row>
      <xdr:rowOff>25148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417463</xdr:colOff>
      <xdr:row>24</xdr:row>
      <xdr:rowOff>176039</xdr:rowOff>
    </xdr:from>
    <xdr:to>
      <xdr:col>30</xdr:col>
      <xdr:colOff>377228</xdr:colOff>
      <xdr:row>54</xdr:row>
      <xdr:rowOff>176039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641286</xdr:colOff>
      <xdr:row>24</xdr:row>
      <xdr:rowOff>163464</xdr:rowOff>
    </xdr:from>
    <xdr:to>
      <xdr:col>37</xdr:col>
      <xdr:colOff>590990</xdr:colOff>
      <xdr:row>54</xdr:row>
      <xdr:rowOff>150889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430040</xdr:colOff>
      <xdr:row>55</xdr:row>
      <xdr:rowOff>200179</xdr:rowOff>
    </xdr:from>
    <xdr:to>
      <xdr:col>30</xdr:col>
      <xdr:colOff>377229</xdr:colOff>
      <xdr:row>86</xdr:row>
      <xdr:rowOff>75445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15087</xdr:colOff>
      <xdr:row>56</xdr:row>
      <xdr:rowOff>36714</xdr:rowOff>
    </xdr:from>
    <xdr:to>
      <xdr:col>37</xdr:col>
      <xdr:colOff>792178</xdr:colOff>
      <xdr:row>86</xdr:row>
      <xdr:rowOff>113168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364653</xdr:colOff>
      <xdr:row>2</xdr:row>
      <xdr:rowOff>175032</xdr:rowOff>
    </xdr:from>
    <xdr:to>
      <xdr:col>30</xdr:col>
      <xdr:colOff>339505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D36" zoomScale="101" zoomScaleNormal="101" workbookViewId="0">
      <selection activeCell="H60" sqref="H60"/>
    </sheetView>
  </sheetViews>
  <sheetFormatPr baseColWidth="10" defaultRowHeight="16" x14ac:dyDescent="0.2"/>
  <cols>
    <col min="3" max="3" width="20" customWidth="1"/>
    <col min="4" max="4" width="31.33203125" customWidth="1"/>
    <col min="5" max="5" width="20" customWidth="1"/>
    <col min="6" max="6" width="24.1640625" customWidth="1"/>
    <col min="7" max="7" width="40" customWidth="1"/>
    <col min="8" max="8" width="25.83203125" customWidth="1"/>
    <col min="9" max="9" width="29" customWidth="1"/>
    <col min="10" max="10" width="20" customWidth="1"/>
    <col min="11" max="11" width="21.5" customWidth="1"/>
    <col min="12" max="12" width="28.5" customWidth="1"/>
    <col min="13" max="13" width="10.1640625" customWidth="1"/>
    <col min="14" max="14" width="36.6640625" customWidth="1"/>
    <col min="15" max="17" width="20" customWidth="1"/>
    <col min="18" max="18" width="27.6640625" customWidth="1"/>
    <col min="19" max="20" width="20" customWidth="1"/>
    <col min="21" max="21" width="44.5" customWidth="1"/>
    <col min="22" max="22" width="14.33203125" customWidth="1"/>
    <col min="23" max="23" width="42.83203125" customWidth="1"/>
  </cols>
  <sheetData>
    <row r="1" spans="1:23" x14ac:dyDescent="0.2">
      <c r="C1" s="12" t="s">
        <v>52</v>
      </c>
      <c r="D1" s="12"/>
      <c r="E1" s="12"/>
      <c r="F1" s="12"/>
      <c r="G1" s="12"/>
      <c r="H1" s="12"/>
      <c r="I1" s="12"/>
      <c r="J1" s="12"/>
      <c r="K1" s="12"/>
      <c r="L1" s="12"/>
      <c r="N1" s="12" t="s">
        <v>94</v>
      </c>
      <c r="O1" s="12"/>
      <c r="P1" s="12"/>
      <c r="Q1" s="12"/>
      <c r="R1" s="12"/>
      <c r="S1" s="12"/>
      <c r="T1" s="12"/>
      <c r="U1" s="12"/>
    </row>
    <row r="2" spans="1:23" x14ac:dyDescent="0.2">
      <c r="C2" s="12"/>
      <c r="D2" s="12"/>
      <c r="E2" s="12"/>
      <c r="F2" s="12"/>
      <c r="G2" s="12"/>
      <c r="H2" s="12"/>
      <c r="I2" s="12"/>
      <c r="J2" s="12"/>
      <c r="K2" s="12"/>
      <c r="L2" s="12"/>
      <c r="N2" s="12"/>
      <c r="O2" s="12"/>
      <c r="P2" s="12"/>
      <c r="Q2" s="12"/>
      <c r="R2" s="12"/>
      <c r="S2" s="12"/>
      <c r="T2" s="12"/>
      <c r="U2" s="12"/>
    </row>
    <row r="3" spans="1:23" x14ac:dyDescent="0.2">
      <c r="C3" s="4" t="s">
        <v>95</v>
      </c>
      <c r="D3" s="4" t="s">
        <v>96</v>
      </c>
      <c r="E3" s="4" t="s">
        <v>97</v>
      </c>
      <c r="F3" s="7" t="s">
        <v>98</v>
      </c>
      <c r="G3" s="4" t="s">
        <v>0</v>
      </c>
      <c r="H3" t="s">
        <v>99</v>
      </c>
      <c r="I3" t="s">
        <v>100</v>
      </c>
      <c r="J3" t="s">
        <v>101</v>
      </c>
      <c r="K3" t="s">
        <v>93</v>
      </c>
      <c r="L3" t="s">
        <v>102</v>
      </c>
      <c r="N3" t="s">
        <v>45</v>
      </c>
      <c r="O3" t="s">
        <v>46</v>
      </c>
      <c r="P3" t="s">
        <v>47</v>
      </c>
      <c r="Q3" t="s">
        <v>30</v>
      </c>
      <c r="R3" t="s">
        <v>48</v>
      </c>
      <c r="S3" t="s">
        <v>49</v>
      </c>
      <c r="T3" t="s">
        <v>50</v>
      </c>
      <c r="U3" t="s">
        <v>51</v>
      </c>
      <c r="W3" t="s">
        <v>54</v>
      </c>
    </row>
    <row r="4" spans="1:23" x14ac:dyDescent="0.2">
      <c r="C4" s="4"/>
      <c r="D4" s="4"/>
      <c r="E4" s="4"/>
      <c r="F4" s="4"/>
      <c r="G4" s="4"/>
    </row>
    <row r="5" spans="1:23" ht="19" x14ac:dyDescent="0.25">
      <c r="A5" s="9" t="s">
        <v>117</v>
      </c>
      <c r="B5" s="9">
        <f>SUM(C9:U9) +2</f>
        <v>20</v>
      </c>
      <c r="C5" s="4"/>
      <c r="D5" s="4" t="s">
        <v>103</v>
      </c>
      <c r="E5" s="4"/>
      <c r="F5" s="4"/>
      <c r="G5" s="4"/>
      <c r="I5" t="s">
        <v>5</v>
      </c>
      <c r="L5" t="s">
        <v>118</v>
      </c>
      <c r="N5" t="s">
        <v>3</v>
      </c>
      <c r="T5" t="s">
        <v>4</v>
      </c>
      <c r="W5" t="s">
        <v>121</v>
      </c>
    </row>
    <row r="6" spans="1:23" x14ac:dyDescent="0.2">
      <c r="A6" s="13" t="s">
        <v>2</v>
      </c>
      <c r="B6" s="14"/>
      <c r="C6" s="4"/>
      <c r="D6" s="4"/>
      <c r="E6" s="4"/>
      <c r="F6" s="4"/>
      <c r="G6" s="4"/>
      <c r="L6" t="s">
        <v>119</v>
      </c>
      <c r="N6" t="s">
        <v>120</v>
      </c>
    </row>
    <row r="7" spans="1:23" x14ac:dyDescent="0.2">
      <c r="A7" s="13"/>
      <c r="B7" s="14"/>
      <c r="C7" s="4"/>
      <c r="D7" s="4"/>
      <c r="E7" s="4"/>
      <c r="F7" s="4"/>
      <c r="G7" s="4"/>
    </row>
    <row r="8" spans="1:23" x14ac:dyDescent="0.2">
      <c r="A8" s="11" t="s">
        <v>116</v>
      </c>
      <c r="B8" s="11"/>
      <c r="C8" s="4"/>
      <c r="D8" s="4">
        <f>D$9/$B$5</f>
        <v>0.05</v>
      </c>
      <c r="E8" s="4"/>
      <c r="F8" s="4"/>
      <c r="G8" s="4"/>
      <c r="H8" s="4"/>
      <c r="I8" s="4">
        <f t="shared" ref="I8:T8" si="0">I$9/$B$5</f>
        <v>0.05</v>
      </c>
      <c r="J8" s="4"/>
      <c r="K8" s="4"/>
      <c r="L8" s="4">
        <f t="shared" si="0"/>
        <v>0.25</v>
      </c>
      <c r="M8" s="4"/>
      <c r="N8" s="4">
        <f t="shared" si="0"/>
        <v>0.35</v>
      </c>
      <c r="O8" s="4"/>
      <c r="P8" s="4"/>
      <c r="Q8" s="4"/>
      <c r="R8" s="4"/>
      <c r="S8" s="4"/>
      <c r="T8" s="4">
        <f t="shared" si="0"/>
        <v>0.2</v>
      </c>
      <c r="U8" s="4"/>
      <c r="W8" s="4"/>
    </row>
    <row r="9" spans="1:23" ht="17" thickBot="1" x14ac:dyDescent="0.25">
      <c r="A9" s="10" t="s">
        <v>104</v>
      </c>
      <c r="B9" s="10"/>
      <c r="C9" s="2"/>
      <c r="D9" s="2">
        <v>1</v>
      </c>
      <c r="E9" s="2"/>
      <c r="F9" s="2"/>
      <c r="G9" s="2"/>
      <c r="H9" s="2"/>
      <c r="I9" s="2">
        <v>1</v>
      </c>
      <c r="J9" s="2"/>
      <c r="K9" s="2"/>
      <c r="L9" s="2">
        <f>3+2</f>
        <v>5</v>
      </c>
      <c r="M9" s="2"/>
      <c r="N9" s="2">
        <f>5+2</f>
        <v>7</v>
      </c>
      <c r="O9" s="2"/>
      <c r="P9" s="2"/>
      <c r="Q9" s="2"/>
      <c r="R9" s="2"/>
      <c r="S9" s="2"/>
      <c r="T9" s="3">
        <v>4</v>
      </c>
      <c r="U9" s="3"/>
      <c r="W9" s="3"/>
    </row>
    <row r="10" spans="1:23" ht="14" customHeight="1" x14ac:dyDescent="0.2">
      <c r="C10" s="4"/>
      <c r="D10" s="4"/>
      <c r="E10" s="4"/>
      <c r="F10" s="4"/>
      <c r="G10" s="4"/>
    </row>
    <row r="11" spans="1:23" ht="18" customHeight="1" x14ac:dyDescent="0.25">
      <c r="A11" s="9" t="s">
        <v>117</v>
      </c>
      <c r="B11" s="9">
        <f>SUM(C15:U15) + 2</f>
        <v>34</v>
      </c>
      <c r="C11" s="4"/>
      <c r="D11" s="4"/>
      <c r="E11" s="4"/>
      <c r="F11" t="s">
        <v>9</v>
      </c>
      <c r="G11" s="4"/>
      <c r="I11" t="s">
        <v>53</v>
      </c>
      <c r="K11" t="s">
        <v>124</v>
      </c>
      <c r="L11" t="s">
        <v>11</v>
      </c>
      <c r="N11" t="s">
        <v>10</v>
      </c>
      <c r="P11" t="s">
        <v>7</v>
      </c>
      <c r="Q11" t="s">
        <v>8</v>
      </c>
      <c r="U11" t="s">
        <v>56</v>
      </c>
      <c r="W11" t="s">
        <v>105</v>
      </c>
    </row>
    <row r="12" spans="1:23" ht="16" customHeight="1" x14ac:dyDescent="0.2">
      <c r="A12" s="13" t="s">
        <v>1</v>
      </c>
      <c r="B12" s="13"/>
      <c r="C12" s="4"/>
      <c r="D12" s="4"/>
      <c r="E12" s="4"/>
      <c r="F12" t="s">
        <v>122</v>
      </c>
      <c r="G12" s="4"/>
      <c r="I12" t="s">
        <v>13</v>
      </c>
      <c r="N12" t="s">
        <v>125</v>
      </c>
      <c r="P12" t="s">
        <v>12</v>
      </c>
    </row>
    <row r="13" spans="1:23" x14ac:dyDescent="0.2">
      <c r="A13" s="13"/>
      <c r="B13" s="13"/>
      <c r="C13" s="4"/>
      <c r="D13" s="4"/>
      <c r="E13" s="4"/>
      <c r="F13" t="s">
        <v>14</v>
      </c>
      <c r="G13" s="4"/>
      <c r="I13" t="s">
        <v>195</v>
      </c>
    </row>
    <row r="14" spans="1:23" x14ac:dyDescent="0.2">
      <c r="A14" s="11" t="s">
        <v>116</v>
      </c>
      <c r="B14" s="11"/>
      <c r="C14" s="4"/>
      <c r="D14" s="4"/>
      <c r="E14" s="4"/>
      <c r="F14" s="4">
        <f>F$15/$B$11</f>
        <v>8.8235294117647065E-2</v>
      </c>
      <c r="G14" s="4"/>
      <c r="H14" s="4"/>
      <c r="I14" s="4">
        <f>I$15/$B$11</f>
        <v>0.47058823529411764</v>
      </c>
      <c r="J14" s="4"/>
      <c r="K14" s="4">
        <f>K$15/$B$11</f>
        <v>2.9411764705882353E-2</v>
      </c>
      <c r="L14" s="4">
        <f>L$15/$B$11</f>
        <v>2.9411764705882353E-2</v>
      </c>
      <c r="M14" s="4"/>
      <c r="N14" s="4">
        <f>N$15/$B$11</f>
        <v>5.8823529411764705E-2</v>
      </c>
      <c r="O14" s="4"/>
      <c r="P14" s="4">
        <f>P$15/$B$11</f>
        <v>8.8235294117647065E-2</v>
      </c>
      <c r="Q14" s="4">
        <f>Q$15/$B$11</f>
        <v>2.9411764705882353E-2</v>
      </c>
      <c r="R14" s="4"/>
      <c r="S14" s="4"/>
      <c r="T14" s="4"/>
      <c r="U14" s="4">
        <f>U$15/$B$11</f>
        <v>0.14705882352941177</v>
      </c>
      <c r="W14" s="4"/>
    </row>
    <row r="15" spans="1:23" x14ac:dyDescent="0.2">
      <c r="A15" s="10" t="s">
        <v>104</v>
      </c>
      <c r="B15" s="10"/>
      <c r="C15" s="2"/>
      <c r="D15" s="2"/>
      <c r="E15" s="2"/>
      <c r="F15" s="2">
        <f>1+1+1</f>
        <v>3</v>
      </c>
      <c r="G15" s="2"/>
      <c r="H15" s="2"/>
      <c r="I15" s="2">
        <f>12+1+3</f>
        <v>16</v>
      </c>
      <c r="J15" s="2"/>
      <c r="K15" s="2">
        <v>1</v>
      </c>
      <c r="L15" s="2">
        <v>1</v>
      </c>
      <c r="M15" s="2"/>
      <c r="N15" s="2">
        <f>1+1</f>
        <v>2</v>
      </c>
      <c r="O15" s="2"/>
      <c r="P15" s="2">
        <f>2+1</f>
        <v>3</v>
      </c>
      <c r="Q15" s="2">
        <v>1</v>
      </c>
      <c r="R15" s="2"/>
      <c r="S15" s="2"/>
      <c r="T15" s="2"/>
      <c r="U15" s="2">
        <v>5</v>
      </c>
      <c r="W15" s="2"/>
    </row>
    <row r="16" spans="1:23" x14ac:dyDescent="0.2">
      <c r="C16" s="4"/>
      <c r="D16" s="4"/>
      <c r="E16" s="4"/>
      <c r="F16" s="4"/>
      <c r="G16" s="4"/>
    </row>
    <row r="17" spans="1:42" x14ac:dyDescent="0.2">
      <c r="C17" s="4" t="s">
        <v>126</v>
      </c>
      <c r="D17" s="4" t="s">
        <v>128</v>
      </c>
      <c r="E17" s="4"/>
      <c r="F17" s="7" t="s">
        <v>15</v>
      </c>
      <c r="G17" s="4" t="s">
        <v>57</v>
      </c>
      <c r="H17" t="s">
        <v>130</v>
      </c>
      <c r="I17" t="s">
        <v>18</v>
      </c>
      <c r="K17" t="s">
        <v>16</v>
      </c>
      <c r="L17" t="s">
        <v>17</v>
      </c>
      <c r="N17" t="s">
        <v>132</v>
      </c>
      <c r="U17" t="s">
        <v>133</v>
      </c>
    </row>
    <row r="18" spans="1:42" ht="16" customHeight="1" x14ac:dyDescent="0.3">
      <c r="B18" s="6"/>
      <c r="C18" s="4"/>
      <c r="D18" s="4" t="s">
        <v>129</v>
      </c>
      <c r="E18" s="4"/>
      <c r="F18" s="4"/>
      <c r="G18" s="4"/>
      <c r="H18" t="s">
        <v>131</v>
      </c>
      <c r="I18" t="s">
        <v>127</v>
      </c>
      <c r="N18" s="5" t="s">
        <v>19</v>
      </c>
      <c r="U18" t="s">
        <v>92</v>
      </c>
    </row>
    <row r="19" spans="1:42" ht="16" customHeight="1" x14ac:dyDescent="0.25">
      <c r="A19" s="9" t="s">
        <v>117</v>
      </c>
      <c r="B19" s="9">
        <f>SUM(C23:U23)</f>
        <v>86</v>
      </c>
      <c r="C19" s="4"/>
      <c r="E19" s="4"/>
      <c r="F19" s="4"/>
      <c r="G19" s="4"/>
      <c r="U19" t="s">
        <v>55</v>
      </c>
    </row>
    <row r="20" spans="1:42" ht="16" customHeight="1" x14ac:dyDescent="0.2">
      <c r="A20" s="13" t="s">
        <v>20</v>
      </c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5"/>
      <c r="P20" s="5"/>
      <c r="Q20" s="5"/>
      <c r="R20" s="5"/>
      <c r="S20" s="5"/>
      <c r="T20" s="5"/>
      <c r="U20" t="s">
        <v>134</v>
      </c>
      <c r="V20" s="5"/>
      <c r="W20" s="5"/>
      <c r="X20" s="5"/>
      <c r="Y20" s="5"/>
      <c r="Z20" s="5"/>
    </row>
    <row r="21" spans="1:42" x14ac:dyDescent="0.2">
      <c r="A21" s="13"/>
      <c r="B21" s="13"/>
      <c r="C21" s="4"/>
      <c r="D21" s="4"/>
      <c r="E21" s="4"/>
      <c r="F21" s="4"/>
      <c r="G21" s="4"/>
    </row>
    <row r="22" spans="1:42" x14ac:dyDescent="0.2">
      <c r="A22" s="11" t="s">
        <v>116</v>
      </c>
      <c r="B22" s="11"/>
      <c r="C22" s="4">
        <f>C$23/$B$19*100</f>
        <v>3.4883720930232558</v>
      </c>
      <c r="D22" s="4">
        <f>D$23/$B$19*100</f>
        <v>25.581395348837212</v>
      </c>
      <c r="E22" s="4"/>
      <c r="F22" s="4">
        <f>F$23/$B$19*100</f>
        <v>3.4883720930232558</v>
      </c>
      <c r="G22" s="4">
        <f>G$23/$B$19*100</f>
        <v>9.3023255813953494</v>
      </c>
      <c r="H22" s="4">
        <f>H$23/$B$19*100</f>
        <v>11.627906976744185</v>
      </c>
      <c r="I22" s="4">
        <f>I$23/$B$19*100</f>
        <v>4.6511627906976747</v>
      </c>
      <c r="J22" s="4"/>
      <c r="K22" s="4">
        <f>K$23/$B$19*100</f>
        <v>5.8139534883720927</v>
      </c>
      <c r="L22" s="4">
        <f>L$23/$B$19*100</f>
        <v>1.1627906976744187</v>
      </c>
      <c r="M22" s="4"/>
      <c r="N22" s="4">
        <f>N$23/$B$19*100</f>
        <v>9.3023255813953494</v>
      </c>
      <c r="O22" s="4"/>
      <c r="P22" s="4"/>
      <c r="Q22" s="4"/>
      <c r="R22" s="4"/>
      <c r="S22" s="4"/>
      <c r="T22" s="4"/>
      <c r="U22" s="4">
        <f>U$23/$B$19*100</f>
        <v>25.581395348837212</v>
      </c>
    </row>
    <row r="23" spans="1:42" ht="17" thickBot="1" x14ac:dyDescent="0.25">
      <c r="A23" s="10" t="s">
        <v>104</v>
      </c>
      <c r="B23" s="10"/>
      <c r="C23" s="3">
        <v>3</v>
      </c>
      <c r="D23" s="3">
        <f>21+1</f>
        <v>22</v>
      </c>
      <c r="E23" s="3"/>
      <c r="F23" s="3">
        <v>3</v>
      </c>
      <c r="G23" s="3">
        <v>8</v>
      </c>
      <c r="H23" s="3">
        <f>7+3</f>
        <v>10</v>
      </c>
      <c r="I23" s="3">
        <f>2+2</f>
        <v>4</v>
      </c>
      <c r="J23" s="3"/>
      <c r="K23" s="3">
        <v>5</v>
      </c>
      <c r="L23" s="3">
        <v>1</v>
      </c>
      <c r="M23" s="3"/>
      <c r="N23" s="3">
        <f>7+1</f>
        <v>8</v>
      </c>
      <c r="O23" s="3"/>
      <c r="P23" s="3"/>
      <c r="Q23" s="3"/>
      <c r="R23" s="3"/>
      <c r="S23" s="3"/>
      <c r="T23" s="3"/>
      <c r="U23" s="3">
        <f>7+3+8+4</f>
        <v>22</v>
      </c>
      <c r="W23" s="3"/>
    </row>
    <row r="24" spans="1:42" x14ac:dyDescent="0.2">
      <c r="C24" s="4"/>
      <c r="D24" s="4"/>
      <c r="E24" s="4"/>
      <c r="F24" s="4"/>
      <c r="G24" s="4"/>
    </row>
    <row r="25" spans="1:42" x14ac:dyDescent="0.2">
      <c r="C25" s="4" t="s">
        <v>187</v>
      </c>
      <c r="D25" s="4" t="s">
        <v>135</v>
      </c>
      <c r="E25" s="4"/>
      <c r="F25" s="4" t="s">
        <v>24</v>
      </c>
      <c r="G25" s="4" t="s">
        <v>29</v>
      </c>
      <c r="H25" t="s">
        <v>25</v>
      </c>
      <c r="I25" t="s">
        <v>53</v>
      </c>
      <c r="K25" t="s">
        <v>59</v>
      </c>
      <c r="L25" t="s">
        <v>38</v>
      </c>
      <c r="N25" t="s">
        <v>186</v>
      </c>
      <c r="O25" t="s">
        <v>58</v>
      </c>
      <c r="P25" t="s">
        <v>28</v>
      </c>
      <c r="Q25" t="s">
        <v>27</v>
      </c>
      <c r="R25" t="s">
        <v>138</v>
      </c>
      <c r="T25" t="s">
        <v>36</v>
      </c>
      <c r="U25" t="s">
        <v>188</v>
      </c>
      <c r="W25" t="s">
        <v>106</v>
      </c>
    </row>
    <row r="26" spans="1:42" ht="19" x14ac:dyDescent="0.25">
      <c r="A26" s="9" t="s">
        <v>117</v>
      </c>
      <c r="B26" s="9">
        <f>SUM(C37:U37) + 4+3</f>
        <v>319</v>
      </c>
      <c r="C26" s="4"/>
      <c r="D26" s="4" t="s">
        <v>42</v>
      </c>
      <c r="E26" s="4"/>
      <c r="F26" s="4"/>
      <c r="G26" s="4"/>
      <c r="H26" t="s">
        <v>26</v>
      </c>
      <c r="I26" t="s">
        <v>21</v>
      </c>
      <c r="L26" t="s">
        <v>39</v>
      </c>
      <c r="N26" t="s">
        <v>60</v>
      </c>
      <c r="P26" t="s">
        <v>7</v>
      </c>
      <c r="Q26" t="s">
        <v>30</v>
      </c>
      <c r="U26" t="s">
        <v>23</v>
      </c>
      <c r="W26" s="1" t="s">
        <v>107</v>
      </c>
      <c r="X26" s="1"/>
    </row>
    <row r="27" spans="1:42" x14ac:dyDescent="0.2">
      <c r="A27" s="13" t="s">
        <v>62</v>
      </c>
      <c r="B27" s="13"/>
      <c r="C27" s="4"/>
      <c r="D27" s="4" t="s">
        <v>136</v>
      </c>
      <c r="E27" s="4"/>
      <c r="F27" s="4"/>
      <c r="G27" s="4"/>
      <c r="L27" t="s">
        <v>137</v>
      </c>
      <c r="N27" t="s">
        <v>32</v>
      </c>
      <c r="Q27" t="s">
        <v>33</v>
      </c>
      <c r="U27" t="s">
        <v>6</v>
      </c>
    </row>
    <row r="28" spans="1:42" x14ac:dyDescent="0.2">
      <c r="A28" s="13"/>
      <c r="B28" s="13"/>
      <c r="C28" s="4"/>
      <c r="D28" s="4"/>
      <c r="E28" s="4"/>
      <c r="F28" s="4"/>
      <c r="G28" s="4"/>
      <c r="N28" t="s">
        <v>61</v>
      </c>
      <c r="Q28" t="s">
        <v>8</v>
      </c>
      <c r="U28" t="s">
        <v>139</v>
      </c>
    </row>
    <row r="29" spans="1:42" x14ac:dyDescent="0.2">
      <c r="C29" s="4"/>
      <c r="D29" s="4"/>
      <c r="E29" s="4"/>
      <c r="F29" s="4"/>
      <c r="G29" s="4"/>
      <c r="N29" t="s">
        <v>34</v>
      </c>
      <c r="U29" t="s">
        <v>44</v>
      </c>
    </row>
    <row r="30" spans="1:42" x14ac:dyDescent="0.2">
      <c r="N30" t="s">
        <v>35</v>
      </c>
    </row>
    <row r="31" spans="1:42" x14ac:dyDescent="0.2">
      <c r="N31" t="s">
        <v>37</v>
      </c>
    </row>
    <row r="32" spans="1:42" x14ac:dyDescent="0.2">
      <c r="N32" t="s">
        <v>40</v>
      </c>
      <c r="AO32" t="s">
        <v>20</v>
      </c>
      <c r="AP32" t="s">
        <v>185</v>
      </c>
    </row>
    <row r="33" spans="1:42" x14ac:dyDescent="0.2">
      <c r="N33" t="s">
        <v>41</v>
      </c>
      <c r="AO33">
        <f>D22+U22+H22+G22+N22</f>
        <v>81.395348837209312</v>
      </c>
      <c r="AP33">
        <f>I36+N36+U36+O36+C36+Q36</f>
        <v>80.564263322884017</v>
      </c>
    </row>
    <row r="34" spans="1:42" x14ac:dyDescent="0.2">
      <c r="N34" t="s">
        <v>43</v>
      </c>
    </row>
    <row r="36" spans="1:42" x14ac:dyDescent="0.2">
      <c r="A36" s="11" t="s">
        <v>116</v>
      </c>
      <c r="B36" s="11"/>
      <c r="C36" s="4">
        <f>C$37/$B$26*100</f>
        <v>6.5830721003134789</v>
      </c>
      <c r="D36" s="4">
        <f>D$37/$B$26*100</f>
        <v>1.8808777429467085</v>
      </c>
      <c r="E36" s="4"/>
      <c r="F36" s="4">
        <f>F$37/$B$26*100</f>
        <v>2.507836990595611</v>
      </c>
      <c r="G36" s="4">
        <f>G$37/$B$26*100</f>
        <v>1.5673981191222568</v>
      </c>
      <c r="H36" s="4">
        <f>H$37/$B$26*100</f>
        <v>4.0752351097178678</v>
      </c>
      <c r="I36" s="4">
        <f>I$37/$B$26*100</f>
        <v>33.228840125391848</v>
      </c>
      <c r="J36" s="4"/>
      <c r="K36" s="4">
        <f>K$37/$B$26*100</f>
        <v>1.2539184952978055</v>
      </c>
      <c r="L36" s="4">
        <f>L$37/$B$26*100</f>
        <v>2.1943573667711598</v>
      </c>
      <c r="M36" s="4"/>
      <c r="N36" s="4">
        <f>N$37/$B$26*100</f>
        <v>19.435736677115987</v>
      </c>
      <c r="O36" s="4">
        <f>O$37/$B$26*100</f>
        <v>6.8965517241379306</v>
      </c>
      <c r="P36" s="4">
        <f>P$37/$B$26*100</f>
        <v>2.507836990595611</v>
      </c>
      <c r="Q36" s="4">
        <f>Q$37/$B$26*100</f>
        <v>5.0156739811912221</v>
      </c>
      <c r="R36" s="4">
        <f>R$37/$B$26*100</f>
        <v>0.31347962382445138</v>
      </c>
      <c r="S36" s="4"/>
      <c r="T36" s="4">
        <f>T$37/$B$26*100</f>
        <v>0.94043887147335425</v>
      </c>
      <c r="U36" s="4">
        <f>U$37/$B$26*100</f>
        <v>9.4043887147335425</v>
      </c>
      <c r="V36" s="4"/>
      <c r="W36" s="4">
        <f>W$37/$B$26*100</f>
        <v>2.1943573667711598</v>
      </c>
    </row>
    <row r="37" spans="1:42" ht="17" thickBot="1" x14ac:dyDescent="0.25">
      <c r="A37" s="10" t="s">
        <v>104</v>
      </c>
      <c r="B37" s="10"/>
      <c r="C37" s="3">
        <v>21</v>
      </c>
      <c r="D37" s="3">
        <f>2+2+2</f>
        <v>6</v>
      </c>
      <c r="E37" s="3"/>
      <c r="F37" s="3">
        <v>8</v>
      </c>
      <c r="G37" s="3">
        <v>5</v>
      </c>
      <c r="H37" s="3">
        <f>7+6</f>
        <v>13</v>
      </c>
      <c r="I37" s="3">
        <f>64+42</f>
        <v>106</v>
      </c>
      <c r="J37" s="3"/>
      <c r="K37" s="3">
        <v>4</v>
      </c>
      <c r="L37" s="3">
        <f>3+2+2</f>
        <v>7</v>
      </c>
      <c r="M37" s="3"/>
      <c r="N37" s="3">
        <f>37+4+4+3+3+3+3+2+2+1</f>
        <v>62</v>
      </c>
      <c r="O37" s="3">
        <v>22</v>
      </c>
      <c r="P37" s="3">
        <f>5+3</f>
        <v>8</v>
      </c>
      <c r="Q37" s="3">
        <f>6+5+3+2</f>
        <v>16</v>
      </c>
      <c r="R37" s="3">
        <v>1</v>
      </c>
      <c r="S37" s="3"/>
      <c r="T37" s="3">
        <v>3</v>
      </c>
      <c r="U37" s="3">
        <f>12+10+5+2+1</f>
        <v>30</v>
      </c>
      <c r="W37" s="3">
        <v>7</v>
      </c>
    </row>
    <row r="39" spans="1:42" x14ac:dyDescent="0.2">
      <c r="C39" t="s">
        <v>140</v>
      </c>
      <c r="D39" t="s">
        <v>191</v>
      </c>
      <c r="F39" t="s">
        <v>142</v>
      </c>
      <c r="G39" t="s">
        <v>57</v>
      </c>
      <c r="H39" t="s">
        <v>67</v>
      </c>
      <c r="I39" t="s">
        <v>63</v>
      </c>
      <c r="J39" t="s">
        <v>66</v>
      </c>
      <c r="K39" t="s">
        <v>150</v>
      </c>
      <c r="L39" t="s">
        <v>153</v>
      </c>
      <c r="N39" t="s">
        <v>120</v>
      </c>
      <c r="O39" t="s">
        <v>64</v>
      </c>
      <c r="P39" t="s">
        <v>157</v>
      </c>
      <c r="Q39" t="s">
        <v>65</v>
      </c>
      <c r="R39" t="s">
        <v>74</v>
      </c>
      <c r="T39" t="s">
        <v>159</v>
      </c>
      <c r="U39" t="s">
        <v>68</v>
      </c>
      <c r="W39" t="s">
        <v>108</v>
      </c>
    </row>
    <row r="40" spans="1:42" x14ac:dyDescent="0.2">
      <c r="D40" t="s">
        <v>192</v>
      </c>
      <c r="F40" t="s">
        <v>143</v>
      </c>
      <c r="G40" t="s">
        <v>145</v>
      </c>
      <c r="I40" t="s">
        <v>190</v>
      </c>
      <c r="J40" t="s">
        <v>149</v>
      </c>
      <c r="K40" t="s">
        <v>151</v>
      </c>
      <c r="N40" t="s">
        <v>155</v>
      </c>
      <c r="Q40" t="s">
        <v>72</v>
      </c>
      <c r="R40" t="s">
        <v>158</v>
      </c>
      <c r="U40" t="s">
        <v>160</v>
      </c>
      <c r="W40" t="s">
        <v>109</v>
      </c>
    </row>
    <row r="41" spans="1:42" x14ac:dyDescent="0.2">
      <c r="A41" s="1"/>
      <c r="B41" s="1"/>
      <c r="D41" t="s">
        <v>141</v>
      </c>
      <c r="F41" t="s">
        <v>144</v>
      </c>
      <c r="I41" t="s">
        <v>69</v>
      </c>
      <c r="K41" t="s">
        <v>152</v>
      </c>
      <c r="N41" t="s">
        <v>73</v>
      </c>
      <c r="Q41" t="s">
        <v>76</v>
      </c>
      <c r="U41" t="s">
        <v>161</v>
      </c>
      <c r="W41" t="s">
        <v>110</v>
      </c>
    </row>
    <row r="42" spans="1:42" x14ac:dyDescent="0.2">
      <c r="A42" s="1"/>
      <c r="B42" s="1"/>
      <c r="I42" t="s">
        <v>71</v>
      </c>
      <c r="N42" t="s">
        <v>148</v>
      </c>
      <c r="W42" s="1" t="s">
        <v>111</v>
      </c>
      <c r="X42" s="1"/>
    </row>
    <row r="43" spans="1:42" x14ac:dyDescent="0.2">
      <c r="I43" t="s">
        <v>70</v>
      </c>
      <c r="N43" t="s">
        <v>147</v>
      </c>
      <c r="W43" s="1" t="s">
        <v>193</v>
      </c>
      <c r="X43" s="1"/>
    </row>
    <row r="44" spans="1:42" x14ac:dyDescent="0.2">
      <c r="I44" t="s">
        <v>146</v>
      </c>
      <c r="N44" t="s">
        <v>75</v>
      </c>
      <c r="W44" s="1" t="s">
        <v>194</v>
      </c>
      <c r="X44" s="1"/>
    </row>
    <row r="45" spans="1:42" ht="19" x14ac:dyDescent="0.25">
      <c r="A45" s="9" t="s">
        <v>117</v>
      </c>
      <c r="B45" s="9">
        <f>SUM(C$49:U49)+5+1+1+12+8+4+3</f>
        <v>406</v>
      </c>
      <c r="N45" t="s">
        <v>154</v>
      </c>
      <c r="X45" s="1"/>
    </row>
    <row r="46" spans="1:42" x14ac:dyDescent="0.2">
      <c r="A46" s="13" t="s">
        <v>77</v>
      </c>
      <c r="B46" s="13"/>
      <c r="N46" t="s">
        <v>156</v>
      </c>
    </row>
    <row r="47" spans="1:42" x14ac:dyDescent="0.2">
      <c r="A47" s="13"/>
      <c r="B47" s="13"/>
    </row>
    <row r="48" spans="1:42" x14ac:dyDescent="0.2">
      <c r="A48" s="11" t="s">
        <v>116</v>
      </c>
      <c r="B48" s="11"/>
      <c r="C48">
        <f>C$49/$B$45*100</f>
        <v>0.73891625615763545</v>
      </c>
      <c r="D48">
        <f>D$49/$B$45*100</f>
        <v>9.3596059113300498</v>
      </c>
      <c r="F48">
        <f t="shared" ref="F48:L48" si="1">F$49/$B$45*100</f>
        <v>3.4482758620689653</v>
      </c>
      <c r="G48">
        <f t="shared" si="1"/>
        <v>3.201970443349754</v>
      </c>
      <c r="H48">
        <f t="shared" si="1"/>
        <v>3.4482758620689653</v>
      </c>
      <c r="I48">
        <f t="shared" si="1"/>
        <v>30.78817733990148</v>
      </c>
      <c r="J48">
        <f t="shared" si="1"/>
        <v>5.9113300492610836</v>
      </c>
      <c r="K48">
        <f t="shared" si="1"/>
        <v>1.9704433497536946</v>
      </c>
      <c r="L48">
        <f t="shared" si="1"/>
        <v>0.49261083743842365</v>
      </c>
      <c r="N48">
        <f>N$49/$B$45*100</f>
        <v>13.793103448275861</v>
      </c>
      <c r="O48">
        <f>O$49/$B$45*100</f>
        <v>8.3743842364532011</v>
      </c>
      <c r="P48">
        <f>P$49/$B$45*100</f>
        <v>0.49261083743842365</v>
      </c>
      <c r="Q48">
        <f>Q$49/$B$45*100</f>
        <v>5.4187192118226601</v>
      </c>
      <c r="R48">
        <f>R$49/$B$45*100</f>
        <v>0.98522167487684731</v>
      </c>
      <c r="T48">
        <f>T$49/$B$45*100</f>
        <v>0.73891625615763545</v>
      </c>
      <c r="U48">
        <f>U$49/$B$45*100</f>
        <v>2.4630541871921183</v>
      </c>
      <c r="W48">
        <f>W$49/$B$45*100</f>
        <v>8.3743842364532011</v>
      </c>
    </row>
    <row r="49" spans="1:42" ht="17" thickBot="1" x14ac:dyDescent="0.25">
      <c r="A49" s="10" t="s">
        <v>104</v>
      </c>
      <c r="B49" s="10"/>
      <c r="C49" s="3">
        <v>3</v>
      </c>
      <c r="D49" s="3">
        <f>30+6+2</f>
        <v>38</v>
      </c>
      <c r="E49" s="3"/>
      <c r="F49" s="3">
        <f>8+5+1</f>
        <v>14</v>
      </c>
      <c r="G49" s="3">
        <f>9+4</f>
        <v>13</v>
      </c>
      <c r="H49" s="3">
        <v>14</v>
      </c>
      <c r="I49" s="3">
        <f>57+45+8+5+8+2</f>
        <v>125</v>
      </c>
      <c r="J49" s="3">
        <f>16+2+6</f>
        <v>24</v>
      </c>
      <c r="K49" s="3">
        <f>5+2+1</f>
        <v>8</v>
      </c>
      <c r="L49" s="3">
        <v>2</v>
      </c>
      <c r="M49" s="3"/>
      <c r="N49" s="3">
        <f>3+3+3+42+2+1+1+1</f>
        <v>56</v>
      </c>
      <c r="O49" s="3">
        <v>34</v>
      </c>
      <c r="P49" s="3">
        <v>2</v>
      </c>
      <c r="Q49" s="3">
        <f>18+3+1</f>
        <v>22</v>
      </c>
      <c r="R49" s="3">
        <f>3+1</f>
        <v>4</v>
      </c>
      <c r="S49" s="3"/>
      <c r="T49" s="3">
        <v>3</v>
      </c>
      <c r="U49" s="3">
        <f>8+1+1</f>
        <v>10</v>
      </c>
      <c r="W49" s="3">
        <v>34</v>
      </c>
    </row>
    <row r="51" spans="1:42" x14ac:dyDescent="0.2">
      <c r="A51" s="12"/>
      <c r="B51" s="12"/>
      <c r="D51" t="s">
        <v>78</v>
      </c>
      <c r="F51" t="s">
        <v>88</v>
      </c>
      <c r="G51" t="s">
        <v>29</v>
      </c>
      <c r="H51" t="s">
        <v>25</v>
      </c>
      <c r="I51" t="s">
        <v>21</v>
      </c>
      <c r="K51" t="s">
        <v>79</v>
      </c>
      <c r="L51" t="s">
        <v>168</v>
      </c>
      <c r="N51" t="s">
        <v>169</v>
      </c>
      <c r="O51" t="s">
        <v>22</v>
      </c>
      <c r="Q51" t="s">
        <v>178</v>
      </c>
      <c r="T51" t="s">
        <v>86</v>
      </c>
      <c r="U51" t="s">
        <v>189</v>
      </c>
      <c r="W51" t="s">
        <v>112</v>
      </c>
    </row>
    <row r="52" spans="1:42" x14ac:dyDescent="0.2">
      <c r="D52" t="s">
        <v>162</v>
      </c>
      <c r="H52" t="s">
        <v>164</v>
      </c>
      <c r="I52" t="s">
        <v>83</v>
      </c>
      <c r="N52" t="s">
        <v>170</v>
      </c>
      <c r="U52" t="s">
        <v>23</v>
      </c>
      <c r="W52" t="s">
        <v>113</v>
      </c>
    </row>
    <row r="53" spans="1:42" x14ac:dyDescent="0.2">
      <c r="A53" s="8"/>
      <c r="B53" s="8"/>
      <c r="D53" t="s">
        <v>163</v>
      </c>
      <c r="H53" t="s">
        <v>196</v>
      </c>
      <c r="I53" t="s">
        <v>166</v>
      </c>
      <c r="N53" t="s">
        <v>31</v>
      </c>
      <c r="U53" t="s">
        <v>179</v>
      </c>
      <c r="W53" t="s">
        <v>114</v>
      </c>
    </row>
    <row r="54" spans="1:42" x14ac:dyDescent="0.2">
      <c r="A54" s="12"/>
      <c r="B54" s="12"/>
      <c r="H54" t="s">
        <v>165</v>
      </c>
      <c r="I54" t="s">
        <v>90</v>
      </c>
      <c r="N54" t="s">
        <v>80</v>
      </c>
      <c r="U54" t="s">
        <v>180</v>
      </c>
      <c r="W54" s="1" t="s">
        <v>115</v>
      </c>
      <c r="X54" s="1"/>
    </row>
    <row r="55" spans="1:42" ht="19" x14ac:dyDescent="0.25">
      <c r="A55" s="9" t="s">
        <v>117</v>
      </c>
      <c r="B55" s="9">
        <f>SUM(C68:U68) + 6+3+2+2</f>
        <v>586</v>
      </c>
      <c r="I55" t="s">
        <v>167</v>
      </c>
      <c r="N55" t="s">
        <v>82</v>
      </c>
      <c r="U55" t="s">
        <v>81</v>
      </c>
    </row>
    <row r="56" spans="1:42" x14ac:dyDescent="0.2">
      <c r="A56" s="13" t="s">
        <v>91</v>
      </c>
      <c r="B56" s="13"/>
      <c r="N56" t="s">
        <v>84</v>
      </c>
      <c r="U56" t="s">
        <v>181</v>
      </c>
    </row>
    <row r="57" spans="1:42" x14ac:dyDescent="0.2">
      <c r="A57" s="13"/>
      <c r="B57" s="13"/>
      <c r="N57" t="s">
        <v>171</v>
      </c>
      <c r="U57" t="s">
        <v>182</v>
      </c>
    </row>
    <row r="58" spans="1:42" x14ac:dyDescent="0.2">
      <c r="N58" t="s">
        <v>85</v>
      </c>
      <c r="U58" t="s">
        <v>183</v>
      </c>
    </row>
    <row r="59" spans="1:42" x14ac:dyDescent="0.2">
      <c r="N59" t="s">
        <v>172</v>
      </c>
      <c r="U59" t="s">
        <v>184</v>
      </c>
    </row>
    <row r="60" spans="1:42" x14ac:dyDescent="0.2">
      <c r="N60" t="s">
        <v>173</v>
      </c>
    </row>
    <row r="61" spans="1:42" x14ac:dyDescent="0.2">
      <c r="N61" t="s">
        <v>174</v>
      </c>
      <c r="AO61" t="s">
        <v>77</v>
      </c>
      <c r="AP61" t="s">
        <v>91</v>
      </c>
    </row>
    <row r="62" spans="1:42" x14ac:dyDescent="0.2">
      <c r="N62" t="s">
        <v>175</v>
      </c>
      <c r="AO62">
        <f>I48+N48+D48+O48+W48+J48+Q48</f>
        <v>82.019704433497537</v>
      </c>
      <c r="AP62">
        <f>U67+N67+H67+I67</f>
        <v>82.593856655290097</v>
      </c>
    </row>
    <row r="63" spans="1:42" x14ac:dyDescent="0.2">
      <c r="N63" t="s">
        <v>176</v>
      </c>
    </row>
    <row r="64" spans="1:42" x14ac:dyDescent="0.2">
      <c r="N64" t="s">
        <v>87</v>
      </c>
    </row>
    <row r="65" spans="1:23" x14ac:dyDescent="0.2">
      <c r="N65" t="s">
        <v>89</v>
      </c>
    </row>
    <row r="66" spans="1:23" x14ac:dyDescent="0.2">
      <c r="N66" t="s">
        <v>177</v>
      </c>
    </row>
    <row r="67" spans="1:23" x14ac:dyDescent="0.2">
      <c r="A67" s="11" t="s">
        <v>116</v>
      </c>
      <c r="B67" s="11"/>
      <c r="D67">
        <f>D$68/$B$55*100</f>
        <v>7.3378839590443681</v>
      </c>
      <c r="F67">
        <f>F$68/$B$55*100</f>
        <v>0.34129692832764508</v>
      </c>
      <c r="G67">
        <f>G$68/$B$55*100</f>
        <v>1.5358361774744027</v>
      </c>
      <c r="H67">
        <f>H$68/$B$55*100</f>
        <v>14.163822525597269</v>
      </c>
      <c r="I67">
        <f>I$68/$B$55*100</f>
        <v>7.6791808873720138</v>
      </c>
      <c r="K67">
        <f>K$68/$B$55*100</f>
        <v>3.2423208191126278</v>
      </c>
      <c r="L67">
        <f>L$68/$B$55*100</f>
        <v>1.0238907849829351</v>
      </c>
      <c r="N67">
        <f>N$68/$B$55*100</f>
        <v>20.477815699658702</v>
      </c>
      <c r="O67">
        <f>O$68/$B$55*100</f>
        <v>0.51194539249146753</v>
      </c>
      <c r="Q67">
        <f>Q$68/$B$55*100</f>
        <v>0.68259385665529015</v>
      </c>
      <c r="T67">
        <f>T$68/$B$55*100</f>
        <v>0.51194539249146753</v>
      </c>
      <c r="U67">
        <f>U$68/$B$55*100</f>
        <v>40.273037542662117</v>
      </c>
      <c r="W67">
        <f>W$68/$B$55*100</f>
        <v>2.218430034129693</v>
      </c>
    </row>
    <row r="68" spans="1:23" ht="17" thickBot="1" x14ac:dyDescent="0.25">
      <c r="A68" s="10" t="s">
        <v>104</v>
      </c>
      <c r="B68" s="10"/>
      <c r="C68" s="3"/>
      <c r="D68" s="3">
        <f>29+13+1</f>
        <v>43</v>
      </c>
      <c r="E68" s="3"/>
      <c r="F68" s="3">
        <v>2</v>
      </c>
      <c r="G68" s="3">
        <v>9</v>
      </c>
      <c r="H68" s="3">
        <f>18+13+44+8</f>
        <v>83</v>
      </c>
      <c r="I68" s="3">
        <f>20+7+7+1+10</f>
        <v>45</v>
      </c>
      <c r="J68" s="3"/>
      <c r="K68" s="3">
        <v>19</v>
      </c>
      <c r="L68" s="3">
        <v>6</v>
      </c>
      <c r="M68" s="3"/>
      <c r="N68" s="3">
        <f>26+20+17+14+9+7+5+5+4+3+3+2+1+2+1+1</f>
        <v>120</v>
      </c>
      <c r="O68" s="3">
        <v>3</v>
      </c>
      <c r="P68" s="3"/>
      <c r="Q68" s="3">
        <v>4</v>
      </c>
      <c r="R68" s="3"/>
      <c r="S68" s="3"/>
      <c r="T68" s="3">
        <v>3</v>
      </c>
      <c r="U68" s="3">
        <f>124+49+19+16+11+6+4+6+1</f>
        <v>236</v>
      </c>
      <c r="W68" s="3">
        <v>13</v>
      </c>
    </row>
    <row r="72" spans="1:23" x14ac:dyDescent="0.2">
      <c r="B72" t="s">
        <v>123</v>
      </c>
    </row>
  </sheetData>
  <mergeCells count="22">
    <mergeCell ref="N1:U2"/>
    <mergeCell ref="A9:B9"/>
    <mergeCell ref="A15:B15"/>
    <mergeCell ref="A23:B23"/>
    <mergeCell ref="A37:B37"/>
    <mergeCell ref="A27:B28"/>
    <mergeCell ref="C1:L2"/>
    <mergeCell ref="A12:B13"/>
    <mergeCell ref="A20:B21"/>
    <mergeCell ref="A6:B7"/>
    <mergeCell ref="A68:B68"/>
    <mergeCell ref="A8:B8"/>
    <mergeCell ref="A67:B67"/>
    <mergeCell ref="A48:B48"/>
    <mergeCell ref="A36:B36"/>
    <mergeCell ref="A22:B22"/>
    <mergeCell ref="A14:B14"/>
    <mergeCell ref="A54:B54"/>
    <mergeCell ref="A56:B57"/>
    <mergeCell ref="A46:B47"/>
    <mergeCell ref="A51:B51"/>
    <mergeCell ref="A49:B49"/>
  </mergeCells>
  <phoneticPr fontId="4" type="noConversion"/>
  <pageMargins left="0.7" right="0.7" top="0.75" bottom="0.75" header="0.3" footer="0.3"/>
  <pageSetup paperSize="9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of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2018-08-30T12:38:09Z</cp:lastPrinted>
  <dcterms:created xsi:type="dcterms:W3CDTF">2018-08-20T08:54:36Z</dcterms:created>
  <dcterms:modified xsi:type="dcterms:W3CDTF">2019-06-17T15:08:30Z</dcterms:modified>
</cp:coreProperties>
</file>