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ly\OneDrive\Desktop\SPRING 2022\MGG 633 Model Managerial Process\"/>
    </mc:Choice>
  </mc:AlternateContent>
  <xr:revisionPtr revIDLastSave="32" documentId="8_{CB54CEF2-3188-4EC0-A32B-7AEC11C27DA2}" xr6:coauthVersionLast="36" xr6:coauthVersionMax="47" xr10:uidLastSave="{3B490343-7D18-494A-95BE-E51F670BBBA7}"/>
  <bookViews>
    <workbookView xWindow="0" yWindow="0" windowWidth="41040" windowHeight="18870" tabRatio="599" xr2:uid="{00000000-000D-0000-FFFF-FFFF00000000}"/>
  </bookViews>
  <sheets>
    <sheet name="Home page" sheetId="78" r:id="rId1"/>
    <sheet name="Analysis" sheetId="75" r:id="rId2"/>
    <sheet name="Model" sheetId="79" r:id="rId3"/>
    <sheet name="Sensitivity Report" sheetId="94" r:id="rId4"/>
    <sheet name="Tab to Play With" sheetId="86" r:id="rId5"/>
    <sheet name="Further Analysis" sheetId="83" r:id="rId6"/>
    <sheet name="Profit" sheetId="6" state="hidden" r:id="rId7"/>
  </sheets>
  <definedNames>
    <definedName name="Scenarios_table">'Home page'!$D$16</definedName>
    <definedName name="Single_variable_sensitivity_analysis">'Home page'!$D$15</definedName>
    <definedName name="solver_adj" localSheetId="2" hidden="1">Model!$H$13:$J$14</definedName>
    <definedName name="solver_adj" localSheetId="6" hidden="1">Profit!$B$7:$D$8</definedName>
    <definedName name="solver_adj" localSheetId="4" hidden="1">'Tab to Play With'!$H$14:$J$15,'Tab to Play With'!$H$17:$J$18,'Tab to Play With'!$C$23:$D$23</definedName>
    <definedName name="solver_cvg" localSheetId="2" hidden="1">0.0001</definedName>
    <definedName name="solver_cvg" localSheetId="6" hidden="1">0.0001</definedName>
    <definedName name="solver_cvg" localSheetId="4" hidden="1">0.0001</definedName>
    <definedName name="solver_drv" localSheetId="2" hidden="1">1</definedName>
    <definedName name="solver_drv" localSheetId="6" hidden="1">1</definedName>
    <definedName name="solver_drv" localSheetId="4" hidden="1">1</definedName>
    <definedName name="solver_eng" localSheetId="2" hidden="1">2</definedName>
    <definedName name="solver_eng" localSheetId="6" hidden="1">2</definedName>
    <definedName name="solver_eng" localSheetId="4" hidden="1">2</definedName>
    <definedName name="solver_est" localSheetId="2" hidden="1">1</definedName>
    <definedName name="solver_est" localSheetId="6" hidden="1">1</definedName>
    <definedName name="solver_est" localSheetId="4" hidden="1">1</definedName>
    <definedName name="solver_ibd" localSheetId="6" hidden="1">2</definedName>
    <definedName name="solver_itr" localSheetId="2" hidden="1">2147483647</definedName>
    <definedName name="solver_itr" localSheetId="6" hidden="1">100</definedName>
    <definedName name="solver_itr" localSheetId="4" hidden="1">2147483647</definedName>
    <definedName name="solver_lhs1" localSheetId="2" hidden="1">Model!$H$13:$J$13</definedName>
    <definedName name="solver_lhs1" localSheetId="6" hidden="1">Profit!$B$12:$D$12</definedName>
    <definedName name="solver_lhs1" localSheetId="4" hidden="1">'Tab to Play With'!$C$23:$D$23</definedName>
    <definedName name="solver_lhs10" localSheetId="4" hidden="1">'Tab to Play With'!$K$17</definedName>
    <definedName name="solver_lhs11" localSheetId="4" hidden="1">'Tab to Play With'!$K$18</definedName>
    <definedName name="solver_lhs2" localSheetId="2" hidden="1">Model!$H$13:$J$14</definedName>
    <definedName name="solver_lhs2" localSheetId="6" hidden="1">Profit!$B$7:$D$7</definedName>
    <definedName name="solver_lhs2" localSheetId="4" hidden="1">'Tab to Play With'!$C$23:$D$23</definedName>
    <definedName name="solver_lhs3" localSheetId="2" hidden="1">Model!$H$14:$J$14</definedName>
    <definedName name="solver_lhs3" localSheetId="6" hidden="1">Profit!$E$7:$E$8</definedName>
    <definedName name="solver_lhs3" localSheetId="4" hidden="1">'Tab to Play With'!$H$13:$J$13</definedName>
    <definedName name="solver_lhs4" localSheetId="2" hidden="1">Model!$H$16:$J$16</definedName>
    <definedName name="solver_lhs4" localSheetId="4" hidden="1">'Tab to Play With'!$H$14:$J$15</definedName>
    <definedName name="solver_lhs5" localSheetId="2" hidden="1">Model!$K$13</definedName>
    <definedName name="solver_lhs5" localSheetId="4" hidden="1">'Tab to Play With'!$H$16:$J$16</definedName>
    <definedName name="solver_lhs6" localSheetId="2" hidden="1">Model!$K$14</definedName>
    <definedName name="solver_lhs6" localSheetId="4" hidden="1">'Tab to Play With'!$H$17:$J$18</definedName>
    <definedName name="solver_lhs7" localSheetId="4" hidden="1">'Tab to Play With'!$H$20:$J$20</definedName>
    <definedName name="solver_lhs8" localSheetId="4" hidden="1">'Tab to Play With'!$K$14</definedName>
    <definedName name="solver_lhs9" localSheetId="4" hidden="1">'Tab to Play With'!$K$15</definedName>
    <definedName name="solver_lin" localSheetId="2" hidden="1">1</definedName>
    <definedName name="solver_lin" localSheetId="6" hidden="1">1</definedName>
    <definedName name="solver_lin" localSheetId="4" hidden="1">1</definedName>
    <definedName name="solver_lva" localSheetId="6" hidden="1">2</definedName>
    <definedName name="solver_mip" localSheetId="2" hidden="1">2147483647</definedName>
    <definedName name="solver_mip" localSheetId="6" hidden="1">5000</definedName>
    <definedName name="solver_mip" localSheetId="4" hidden="1">2147483647</definedName>
    <definedName name="solver_mni" localSheetId="2" hidden="1">30</definedName>
    <definedName name="solver_mni" localSheetId="6" hidden="1">30</definedName>
    <definedName name="solver_mni" localSheetId="4" hidden="1">30</definedName>
    <definedName name="solver_mrt" localSheetId="2" hidden="1">0.075</definedName>
    <definedName name="solver_mrt" localSheetId="6" hidden="1">0.075</definedName>
    <definedName name="solver_mrt" localSheetId="4" hidden="1">0.075</definedName>
    <definedName name="solver_msl" localSheetId="2" hidden="1">2</definedName>
    <definedName name="solver_msl" localSheetId="4" hidden="1">2</definedName>
    <definedName name="solver_neg" localSheetId="2" hidden="1">2</definedName>
    <definedName name="solver_neg" localSheetId="6" hidden="1">1</definedName>
    <definedName name="solver_neg" localSheetId="4" hidden="1">2</definedName>
    <definedName name="solver_nod" localSheetId="2" hidden="1">2147483647</definedName>
    <definedName name="solver_nod" localSheetId="6" hidden="1">5000</definedName>
    <definedName name="solver_nod" localSheetId="4" hidden="1">2147483647</definedName>
    <definedName name="solver_num" localSheetId="2" hidden="1">6</definedName>
    <definedName name="solver_num" localSheetId="6" hidden="1">3</definedName>
    <definedName name="solver_num" localSheetId="4" hidden="1">11</definedName>
    <definedName name="solver_nwt" localSheetId="2" hidden="1">1</definedName>
    <definedName name="solver_nwt" localSheetId="6" hidden="1">1</definedName>
    <definedName name="solver_nwt" localSheetId="4" hidden="1">1</definedName>
    <definedName name="solver_ofx" localSheetId="6" hidden="1">2</definedName>
    <definedName name="solver_opt" localSheetId="2" hidden="1">Model!$H$23</definedName>
    <definedName name="solver_opt" localSheetId="6" hidden="1">Profit!$E$26</definedName>
    <definedName name="solver_opt" localSheetId="4" hidden="1">'Tab to Play With'!$H$28</definedName>
    <definedName name="solver_piv" localSheetId="6" hidden="1">0.000001</definedName>
    <definedName name="solver_pre" localSheetId="2" hidden="1">0.000001</definedName>
    <definedName name="solver_pre" localSheetId="6" hidden="1">0.000001</definedName>
    <definedName name="solver_pre" localSheetId="4" hidden="1">0.000001</definedName>
    <definedName name="solver_pro" localSheetId="6" hidden="1">2</definedName>
    <definedName name="solver_rbv" localSheetId="2" hidden="1">1</definedName>
    <definedName name="solver_rbv" localSheetId="6" hidden="1">1</definedName>
    <definedName name="solver_rbv" localSheetId="4" hidden="1">1</definedName>
    <definedName name="solver_red" localSheetId="6" hidden="1">0.000001</definedName>
    <definedName name="solver_rel1" localSheetId="2" hidden="1">3</definedName>
    <definedName name="solver_rel1" localSheetId="6" hidden="1">1</definedName>
    <definedName name="solver_rel1" localSheetId="4" hidden="1">1</definedName>
    <definedName name="solver_rel10" localSheetId="4" hidden="1">1</definedName>
    <definedName name="solver_rel11" localSheetId="4" hidden="1">1</definedName>
    <definedName name="solver_rel2" localSheetId="2" hidden="1">3</definedName>
    <definedName name="solver_rel2" localSheetId="6" hidden="1">3</definedName>
    <definedName name="solver_rel2" localSheetId="4" hidden="1">3</definedName>
    <definedName name="solver_rel3" localSheetId="2" hidden="1">1</definedName>
    <definedName name="solver_rel3" localSheetId="6" hidden="1">1</definedName>
    <definedName name="solver_rel3" localSheetId="4" hidden="1">3</definedName>
    <definedName name="solver_rel4" localSheetId="2" hidden="1">1</definedName>
    <definedName name="solver_rel4" localSheetId="4" hidden="1">3</definedName>
    <definedName name="solver_rel5" localSheetId="2" hidden="1">2</definedName>
    <definedName name="solver_rel5" localSheetId="4" hidden="1">1</definedName>
    <definedName name="solver_rel6" localSheetId="2" hidden="1">2</definedName>
    <definedName name="solver_rel6" localSheetId="4" hidden="1">3</definedName>
    <definedName name="solver_rel7" localSheetId="4" hidden="1">1</definedName>
    <definedName name="solver_rel8" localSheetId="4" hidden="1">1</definedName>
    <definedName name="solver_rel9" localSheetId="4" hidden="1">1</definedName>
    <definedName name="solver_reo" localSheetId="6" hidden="1">2</definedName>
    <definedName name="solver_rep" localSheetId="6" hidden="1">2</definedName>
    <definedName name="solver_rhs1" localSheetId="2" hidden="1">Model!$H$18:$J$18</definedName>
    <definedName name="solver_rhs1" localSheetId="6" hidden="1">Profit!$B$15:$D$15</definedName>
    <definedName name="solver_rhs1" localSheetId="4" hidden="1">'Tab to Play With'!$C$21:$D$21</definedName>
    <definedName name="solver_rhs10" localSheetId="4" hidden="1">'Tab to Play With'!$D$19</definedName>
    <definedName name="solver_rhs11" localSheetId="4" hidden="1">'Tab to Play With'!$D$23</definedName>
    <definedName name="solver_rhs2" localSheetId="2" hidden="1">0</definedName>
    <definedName name="solver_rhs2" localSheetId="6" hidden="1">Profit!$B$14:$D$14</definedName>
    <definedName name="solver_rhs2" localSheetId="4" hidden="1">0</definedName>
    <definedName name="solver_rhs3" localSheetId="2" hidden="1">Model!$H$19:$J$19</definedName>
    <definedName name="solver_rhs3" localSheetId="6" hidden="1">Profit!$F$7:$F$8</definedName>
    <definedName name="solver_rhs3" localSheetId="4" hidden="1">'Tab to Play With'!$H$22:$J$22</definedName>
    <definedName name="solver_rhs4" localSheetId="2" hidden="1">Model!$C$8:$E$8</definedName>
    <definedName name="solver_rhs4" localSheetId="4" hidden="1">0</definedName>
    <definedName name="solver_rhs5" localSheetId="2" hidden="1">Model!$C$18</definedName>
    <definedName name="solver_rhs5" localSheetId="4" hidden="1">'Tab to Play With'!$H$23:$J$23</definedName>
    <definedName name="solver_rhs6" localSheetId="2" hidden="1">Model!$D$18</definedName>
    <definedName name="solver_rhs6" localSheetId="4" hidden="1">0</definedName>
    <definedName name="solver_rhs7" localSheetId="4" hidden="1">'Tab to Play With'!$C$8:$E$8</definedName>
    <definedName name="solver_rhs8" localSheetId="4" hidden="1">'Tab to Play With'!$C$19</definedName>
    <definedName name="solver_rhs9" localSheetId="4" hidden="1">'Tab to Play With'!$C$23</definedName>
    <definedName name="solver_rlx" localSheetId="2" hidden="1">2</definedName>
    <definedName name="solver_rlx" localSheetId="6" hidden="1">2</definedName>
    <definedName name="solver_rlx" localSheetId="4" hidden="1">2</definedName>
    <definedName name="solver_rsd" localSheetId="2" hidden="1">0</definedName>
    <definedName name="solver_rsd" localSheetId="4" hidden="1">0</definedName>
    <definedName name="solver_scl" localSheetId="2" hidden="1">2</definedName>
    <definedName name="solver_scl" localSheetId="6" hidden="1">1</definedName>
    <definedName name="solver_scl" localSheetId="4" hidden="1">2</definedName>
    <definedName name="solver_sho" localSheetId="2" hidden="1">2</definedName>
    <definedName name="solver_sho" localSheetId="6" hidden="1">2</definedName>
    <definedName name="solver_sho" localSheetId="4" hidden="1">2</definedName>
    <definedName name="solver_ssz" localSheetId="2" hidden="1">100</definedName>
    <definedName name="solver_ssz" localSheetId="6" hidden="1">100</definedName>
    <definedName name="solver_ssz" localSheetId="4" hidden="1">100</definedName>
    <definedName name="solver_std" localSheetId="6" hidden="1">1</definedName>
    <definedName name="solver_tim" localSheetId="2" hidden="1">2147483647</definedName>
    <definedName name="solver_tim" localSheetId="6" hidden="1">100</definedName>
    <definedName name="solver_tim" localSheetId="4" hidden="1">2147483647</definedName>
    <definedName name="solver_tol" localSheetId="2" hidden="1">0.01</definedName>
    <definedName name="solver_tol" localSheetId="6" hidden="1">0.05</definedName>
    <definedName name="solver_tol" localSheetId="4" hidden="1">0.01</definedName>
    <definedName name="solver_typ" localSheetId="2" hidden="1">1</definedName>
    <definedName name="solver_typ" localSheetId="6" hidden="1">1</definedName>
    <definedName name="solver_typ" localSheetId="4" hidden="1">1</definedName>
    <definedName name="solver_val" localSheetId="2" hidden="1">0</definedName>
    <definedName name="solver_val" localSheetId="6" hidden="1">0</definedName>
    <definedName name="solver_val" localSheetId="4" hidden="1">0</definedName>
    <definedName name="solver_ver" localSheetId="2" hidden="1">3</definedName>
    <definedName name="solver_ver" localSheetId="6" hidden="1">2</definedName>
    <definedName name="solver_ver" localSheetId="4" hidden="1">3</definedName>
  </definedNames>
  <calcPr calcId="191029" calcMode="autoNoTable"/>
</workbook>
</file>

<file path=xl/calcChain.xml><?xml version="1.0" encoding="utf-8"?>
<calcChain xmlns="http://schemas.openxmlformats.org/spreadsheetml/2006/main">
  <c r="H27" i="86" l="1"/>
  <c r="K18" i="86" l="1"/>
  <c r="E18" i="86"/>
  <c r="K17" i="86"/>
  <c r="J16" i="86"/>
  <c r="I16" i="86"/>
  <c r="H16" i="86"/>
  <c r="K15" i="86"/>
  <c r="C15" i="86"/>
  <c r="K14" i="86"/>
  <c r="J13" i="86"/>
  <c r="I13" i="86"/>
  <c r="H13" i="86"/>
  <c r="J8" i="86"/>
  <c r="I8" i="86"/>
  <c r="H8" i="86"/>
  <c r="E8" i="86"/>
  <c r="D8" i="86"/>
  <c r="C8" i="86"/>
  <c r="J7" i="86"/>
  <c r="I7" i="86"/>
  <c r="I9" i="86" s="1"/>
  <c r="H7" i="86"/>
  <c r="H9" i="86" s="1"/>
  <c r="K16" i="86" l="1"/>
  <c r="H19" i="86"/>
  <c r="I19" i="86"/>
  <c r="I20" i="86" s="1"/>
  <c r="K13" i="86"/>
  <c r="J9" i="86"/>
  <c r="J19" i="86"/>
  <c r="J20" i="86" s="1"/>
  <c r="H20" i="86" l="1"/>
  <c r="H23" i="86"/>
  <c r="H22" i="86"/>
  <c r="I23" i="86"/>
  <c r="I22" i="86"/>
  <c r="J22" i="86"/>
  <c r="K19" i="86"/>
  <c r="J23" i="86"/>
  <c r="H25" i="86"/>
  <c r="E23" i="86" l="1"/>
  <c r="H26" i="86" s="1"/>
  <c r="H28" i="86" s="1"/>
  <c r="E17" i="79" l="1"/>
  <c r="H22" i="79" s="1"/>
  <c r="J15" i="79"/>
  <c r="J19" i="79" s="1"/>
  <c r="I15" i="79"/>
  <c r="I16" i="79" s="1"/>
  <c r="H15" i="79"/>
  <c r="H19" i="79" s="1"/>
  <c r="K14" i="79"/>
  <c r="C14" i="79"/>
  <c r="K13" i="79"/>
  <c r="E9" i="79"/>
  <c r="D9" i="79"/>
  <c r="C9" i="79"/>
  <c r="J8" i="79"/>
  <c r="I8" i="79"/>
  <c r="H8" i="79"/>
  <c r="J7" i="79"/>
  <c r="I7" i="79"/>
  <c r="H7" i="79"/>
  <c r="J9" i="79" l="1"/>
  <c r="H9" i="79"/>
  <c r="H16" i="79"/>
  <c r="I9" i="79"/>
  <c r="J16" i="79"/>
  <c r="I19" i="79"/>
  <c r="J18" i="79"/>
  <c r="H18" i="79"/>
  <c r="I18" i="79"/>
  <c r="K15" i="79"/>
  <c r="C6" i="75"/>
  <c r="D6" i="75"/>
  <c r="E6" i="75"/>
  <c r="E28" i="75"/>
  <c r="D28" i="75"/>
  <c r="C28" i="75"/>
  <c r="N25" i="75"/>
  <c r="O25" i="75"/>
  <c r="N26" i="75"/>
  <c r="O26" i="75"/>
  <c r="M26" i="75"/>
  <c r="M25" i="75"/>
  <c r="H21" i="75"/>
  <c r="H8" i="75"/>
  <c r="I8" i="75"/>
  <c r="J8" i="75"/>
  <c r="O18" i="75"/>
  <c r="O24" i="75" s="1"/>
  <c r="N18" i="75"/>
  <c r="N24" i="75" s="1"/>
  <c r="M18" i="75"/>
  <c r="P17" i="75"/>
  <c r="P16" i="75"/>
  <c r="E8" i="75"/>
  <c r="D8" i="75"/>
  <c r="C8" i="75"/>
  <c r="O5" i="75"/>
  <c r="O11" i="75" s="1"/>
  <c r="N5" i="75"/>
  <c r="N11" i="75" s="1"/>
  <c r="M5" i="75"/>
  <c r="M10" i="75" s="1"/>
  <c r="P4" i="75"/>
  <c r="P3" i="75"/>
  <c r="J20" i="75"/>
  <c r="I20" i="75"/>
  <c r="H20" i="75"/>
  <c r="H7" i="75"/>
  <c r="I7" i="75"/>
  <c r="J7" i="75"/>
  <c r="C13" i="75"/>
  <c r="H21" i="79" l="1"/>
  <c r="H23" i="79" s="1"/>
  <c r="H22" i="75"/>
  <c r="H24" i="75" s="1"/>
  <c r="I22" i="75"/>
  <c r="I24" i="75" s="1"/>
  <c r="J9" i="75"/>
  <c r="J11" i="75" s="1"/>
  <c r="I9" i="75"/>
  <c r="I11" i="75" s="1"/>
  <c r="O6" i="75"/>
  <c r="J22" i="75"/>
  <c r="M6" i="75"/>
  <c r="O19" i="75"/>
  <c r="N6" i="75"/>
  <c r="N19" i="75"/>
  <c r="M24" i="75"/>
  <c r="M19" i="75"/>
  <c r="O23" i="75"/>
  <c r="M23" i="75"/>
  <c r="N23" i="75"/>
  <c r="P18" i="75"/>
  <c r="H9" i="75"/>
  <c r="H11" i="75" s="1"/>
  <c r="O10" i="75"/>
  <c r="N10" i="75"/>
  <c r="P5" i="75"/>
  <c r="M11" i="75"/>
  <c r="P8" i="75" l="1"/>
  <c r="J24" i="75"/>
  <c r="P21" i="75" s="1"/>
  <c r="P20" i="75"/>
  <c r="P7" i="75"/>
  <c r="C4" i="6" l="1"/>
  <c r="C25" i="6" s="1"/>
  <c r="D4" i="6"/>
  <c r="D25" i="6" s="1"/>
  <c r="B4" i="6"/>
  <c r="B25" i="6" s="1"/>
  <c r="B9" i="6"/>
  <c r="B14" i="6" s="1"/>
  <c r="C9" i="6"/>
  <c r="C14" i="6" s="1"/>
  <c r="C12" i="6"/>
  <c r="C21" i="6" s="1"/>
  <c r="D9" i="6"/>
  <c r="D12" i="6" s="1"/>
  <c r="F7" i="6"/>
  <c r="F8" i="6" s="1"/>
  <c r="E8" i="6"/>
  <c r="E7" i="6"/>
  <c r="D14" i="6" l="1"/>
  <c r="B12" i="6"/>
  <c r="B5" i="6"/>
  <c r="B17" i="6" s="1"/>
  <c r="D5" i="6"/>
  <c r="D17" i="6" s="1"/>
  <c r="C5" i="6"/>
  <c r="C17" i="6" s="1"/>
  <c r="C22" i="6"/>
  <c r="C23" i="6" s="1"/>
  <c r="D22" i="6"/>
  <c r="E25" i="6"/>
  <c r="D21" i="6"/>
  <c r="D23" i="6" s="1"/>
  <c r="B21" i="6" l="1"/>
  <c r="B22" i="6"/>
  <c r="E22" i="6" s="1"/>
  <c r="E17" i="6"/>
  <c r="E19" i="6" s="1"/>
  <c r="E21" i="6"/>
  <c r="B23" i="6" l="1"/>
  <c r="E23" i="6" s="1"/>
  <c r="E26" i="6" s="1"/>
</calcChain>
</file>

<file path=xl/sharedStrings.xml><?xml version="1.0" encoding="utf-8"?>
<sst xmlns="http://schemas.openxmlformats.org/spreadsheetml/2006/main" count="296" uniqueCount="150">
  <si>
    <t>Product</t>
  </si>
  <si>
    <t>24 - 2 1/2 whole tomatoes</t>
  </si>
  <si>
    <t>27 - 2 1/2 tomatoes juice</t>
  </si>
  <si>
    <t>29 - 2 1/2 tomato paste</t>
  </si>
  <si>
    <t>Selling Price</t>
  </si>
  <si>
    <t>Contribution</t>
  </si>
  <si>
    <t>Net Profit</t>
  </si>
  <si>
    <t>Marginag Analysis of Tomato Products</t>
  </si>
  <si>
    <t>Variable Cost excluding Totato</t>
  </si>
  <si>
    <t>Tomato Costs</t>
  </si>
  <si>
    <t xml:space="preserve">  Net</t>
  </si>
  <si>
    <t>Pounds</t>
  </si>
  <si>
    <t xml:space="preserve">z = </t>
  </si>
  <si>
    <t xml:space="preserve">y = </t>
  </si>
  <si>
    <t>cents per pound</t>
  </si>
  <si>
    <t>Tomato Cost</t>
  </si>
  <si>
    <t xml:space="preserve">          z = Cost / pound of A tomatoes in cents</t>
  </si>
  <si>
    <t xml:space="preserve">          y = Cost / pound of B tomatoes in cents</t>
  </si>
  <si>
    <t xml:space="preserve">          Quality: z / 9 = y / 5</t>
  </si>
  <si>
    <t>A Available</t>
  </si>
  <si>
    <t>B Available</t>
  </si>
  <si>
    <t>Total</t>
  </si>
  <si>
    <t>Quality</t>
  </si>
  <si>
    <t>Demand</t>
  </si>
  <si>
    <t>Total Required</t>
  </si>
  <si>
    <t>Total Used</t>
  </si>
  <si>
    <t>Cases</t>
  </si>
  <si>
    <t>A Minimum</t>
  </si>
  <si>
    <t>Revenue</t>
  </si>
  <si>
    <t>Allocated OHD</t>
  </si>
  <si>
    <t>Var Cost</t>
  </si>
  <si>
    <t>Net</t>
  </si>
  <si>
    <t>Tomato</t>
  </si>
  <si>
    <t>Alloc Ohd</t>
  </si>
  <si>
    <t>Whole tomatoes</t>
  </si>
  <si>
    <t>Tomatoes juice</t>
  </si>
  <si>
    <t>Tomato paste</t>
  </si>
  <si>
    <t>Demand (cases)</t>
  </si>
  <si>
    <t>Demand (lbs)</t>
  </si>
  <si>
    <t>Whole</t>
  </si>
  <si>
    <t>Juice</t>
  </si>
  <si>
    <t>Paste</t>
  </si>
  <si>
    <t xml:space="preserve">          Cost: 600,000 z + 2,400,000 y = 3,000,000 * .18</t>
  </si>
  <si>
    <t>A</t>
  </si>
  <si>
    <t>B</t>
  </si>
  <si>
    <t>Case</t>
  </si>
  <si>
    <t>Inventory</t>
  </si>
  <si>
    <t>Points</t>
  </si>
  <si>
    <t>Total contribution</t>
  </si>
  <si>
    <t>Pounds per case</t>
  </si>
  <si>
    <t>Whole Tomatoes</t>
  </si>
  <si>
    <t>Tomato Juice</t>
  </si>
  <si>
    <t>Tomato Paste</t>
  </si>
  <si>
    <t>Cost per pound (Cooper)</t>
  </si>
  <si>
    <t>Proportion of B (maximum)</t>
  </si>
  <si>
    <t>Proportion of A (minimum)</t>
  </si>
  <si>
    <t>Less Allocated OHD</t>
  </si>
  <si>
    <t>Weight of A (minimum)</t>
  </si>
  <si>
    <t>Weight of B (maximum)</t>
  </si>
  <si>
    <t>Cooper's solution</t>
  </si>
  <si>
    <t>Cost per pound (Myers)</t>
  </si>
  <si>
    <t>Myer's solution</t>
  </si>
  <si>
    <t>Total Profit</t>
  </si>
  <si>
    <t>Yes</t>
  </si>
  <si>
    <t>No</t>
  </si>
  <si>
    <t>Marginal Contribution</t>
  </si>
  <si>
    <t>Gross Profit</t>
  </si>
  <si>
    <t>Fruit Cost</t>
  </si>
  <si>
    <t>Pamplemousse solution</t>
  </si>
  <si>
    <t>Var Cost ex Tomato</t>
  </si>
  <si>
    <t>Proportion of A</t>
  </si>
  <si>
    <t>Proportion of B</t>
  </si>
  <si>
    <t>*The error in price</t>
  </si>
  <si>
    <t>*The error of cost per pound</t>
  </si>
  <si>
    <t>*The overall cost</t>
  </si>
  <si>
    <t>*Total cost of fruit:  $540,000</t>
  </si>
  <si>
    <t>Additional available</t>
  </si>
  <si>
    <t>Unit price</t>
  </si>
  <si>
    <t>A_add</t>
  </si>
  <si>
    <t>Purchase amount</t>
  </si>
  <si>
    <t>A after purchase</t>
  </si>
  <si>
    <t>B after purchase</t>
  </si>
  <si>
    <t>B_add</t>
  </si>
  <si>
    <t>Demand_add(Case)</t>
  </si>
  <si>
    <t>Resold Price</t>
  </si>
  <si>
    <t>Providing price suggestion base on product revenue</t>
  </si>
  <si>
    <t>Member from left to right</t>
  </si>
  <si>
    <t>Anna Liu</t>
  </si>
  <si>
    <t>Jing Ting Lin</t>
  </si>
  <si>
    <t>Kally Yu</t>
  </si>
  <si>
    <t>Yoonjin Bae</t>
  </si>
  <si>
    <r>
      <rPr>
        <b/>
        <sz val="24"/>
        <color theme="1"/>
        <rFont val="Calibri (Body)"/>
      </rPr>
      <t xml:space="preserve">Red Brand Canners </t>
    </r>
    <r>
      <rPr>
        <sz val="24"/>
        <color theme="1"/>
        <rFont val="Calibri (Body)"/>
      </rPr>
      <t xml:space="preserve">
</t>
    </r>
    <r>
      <rPr>
        <i/>
        <sz val="22"/>
        <color theme="1"/>
        <rFont val="Calibri (Body)"/>
      </rPr>
      <t>Pamplemousse Consultants</t>
    </r>
  </si>
  <si>
    <t>Include Allocation OHD</t>
  </si>
  <si>
    <t>Profit form resell</t>
  </si>
  <si>
    <t>With / without Allocation OHD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</si>
  <si>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</si>
  <si>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</si>
  <si>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</si>
  <si>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</si>
  <si>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</si>
  <si>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</si>
  <si>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</si>
  <si>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</si>
  <si>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</si>
  <si>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</si>
  <si>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</si>
  <si>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</si>
  <si>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</si>
  <si>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</si>
  <si>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</si>
  <si>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</si>
  <si>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</si>
  <si>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</si>
  <si>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$H$14</t>
  </si>
  <si>
    <t>A Whole tomatoes</t>
  </si>
  <si>
    <t>$I$14</t>
  </si>
  <si>
    <t>A Tomatoes juice</t>
  </si>
  <si>
    <t>$J$14</t>
  </si>
  <si>
    <t>A Tomato paste</t>
  </si>
  <si>
    <t>B Whole tomatoes</t>
  </si>
  <si>
    <t>B Tomatoes juice</t>
  </si>
  <si>
    <t>B Tomato paste</t>
  </si>
  <si>
    <t>$H$13</t>
  </si>
  <si>
    <t>$I$13</t>
  </si>
  <si>
    <t>$J$13</t>
  </si>
  <si>
    <t>$H$16</t>
  </si>
  <si>
    <t>$I$16</t>
  </si>
  <si>
    <t>$J$16</t>
  </si>
  <si>
    <t>Case Whole tomatoes</t>
  </si>
  <si>
    <t>Case Tomatoes juice</t>
  </si>
  <si>
    <t>Case Tomato paste</t>
  </si>
  <si>
    <t>$K$14</t>
  </si>
  <si>
    <t>A Total</t>
  </si>
  <si>
    <t>B Total</t>
  </si>
  <si>
    <t>Worksheet: [MGG633_CASE5_Red Brand Canners.xlsx]Model</t>
  </si>
  <si>
    <t>$K$13</t>
  </si>
  <si>
    <t>5. RBC will pay the campaign under the price of $3625.</t>
  </si>
  <si>
    <t>4. RBC will not pay for such campaign due to the increase in demand does not increase profit.</t>
  </si>
  <si>
    <t>6. The optimal production plan will not change but RBC can gain an extra of $1,500 due to the raise in price.</t>
  </si>
  <si>
    <t>Analysis</t>
  </si>
  <si>
    <t>Table of Content</t>
  </si>
  <si>
    <t>Model</t>
  </si>
  <si>
    <t>Sensitivity Report</t>
  </si>
  <si>
    <t>Further Analysis</t>
  </si>
  <si>
    <t>Tab To Play With</t>
  </si>
  <si>
    <t>Tab to Play With</t>
  </si>
  <si>
    <t>1. RBC should buy the extra 80,000 lbs of grade "A" tomatoes as long as the price is $0.27 per pound, and if more were being offered, RBC can purchase up to 600,000 lbs of grade "A" tomatoes.</t>
  </si>
  <si>
    <t>2. RBC should buy grade "B" tomatoes when it's $0.17 or below per pound.</t>
  </si>
  <si>
    <t>3. Given that grade "B" tomato has a shadow price of $0.17 per pound, RBC should resell grade "B" tomatoes as long as resell price is higher than $0.17.</t>
  </si>
  <si>
    <t>Report Created: 5/4/2022 4:38:34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</si>
</sst>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"/>
    <numFmt numFmtId="165" formatCode="_(&quot;$&quot;* #,##0_);_(&quot;$&quot;* \(#,##0\);_(&quot;$&quot;* &quot;-&quot;??_);_(@_)"/>
    <numFmt numFmtId="166" formatCode="#,##0.0000"/>
  </numFmts>
  <fonts count="28">
    <font>
      <sz val="6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10"/>
      <color indexed="9"/>
      <name val="Arial"/>
      <family val="2"/>
    </font>
    <font>
      <sz val="10"/>
      <color indexed="22"/>
      <name val="Arial"/>
      <family val="2"/>
    </font>
    <font>
      <b/>
      <sz val="10"/>
      <color indexed="2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9"/>
      <color theme="0" tint="-4.9989318521683403E-2"/>
      <name val="Arial"/>
      <family val="2"/>
    </font>
    <font>
      <sz val="11"/>
      <color theme="0" tint="-0.14999847407452621"/>
      <name val="Arial"/>
      <family val="2"/>
    </font>
    <font>
      <sz val="11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i/>
      <sz val="10"/>
      <name val="Calibri"/>
      <family val="2"/>
      <scheme val="minor"/>
    </font>
    <font>
      <sz val="24"/>
      <color theme="1"/>
      <name val="Calibri (Body)"/>
    </font>
    <font>
      <b/>
      <sz val="24"/>
      <color theme="1"/>
      <name val="Calibri (Body)"/>
    </font>
    <font>
      <i/>
      <sz val="22"/>
      <color theme="1"/>
      <name val="Calibri (Body)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6"/>
      <name val="Arial"/>
      <family val="2"/>
    </font>
    <font>
      <b/>
      <sz val="18"/>
      <name val="Calibri"/>
      <family val="2"/>
      <scheme val="minor"/>
    </font>
    <font>
      <u/>
      <sz val="6"/>
      <color theme="10"/>
      <name val="Arial"/>
      <family val="2"/>
    </font>
    <font>
      <u/>
      <sz val="11"/>
      <color theme="10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b/>
      <sz val="6"/>
      <color indexed="1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4" fontId="0" fillId="0" borderId="0">
      <alignment vertical="center"/>
    </xf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" fontId="4" fillId="0" borderId="0">
      <alignment vertical="center"/>
    </xf>
    <xf numFmtId="9" fontId="5" fillId="0" borderId="0" applyFont="0" applyFill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4" fontId="24" fillId="0" borderId="0" applyNumberFormat="0" applyFill="0" applyBorder="0" applyAlignment="0" applyProtection="0">
      <alignment vertical="center"/>
    </xf>
  </cellStyleXfs>
  <cellXfs count="272">
    <xf numFmtId="4" fontId="0" fillId="0" borderId="0" xfId="0">
      <alignment vertical="center"/>
    </xf>
    <xf numFmtId="4" fontId="4" fillId="0" borderId="0" xfId="0" applyFont="1">
      <alignment vertical="center"/>
    </xf>
    <xf numFmtId="4" fontId="4" fillId="0" borderId="0" xfId="0" applyFont="1" applyBorder="1" applyAlignment="1">
      <alignment horizontal="center" vertical="center"/>
    </xf>
    <xf numFmtId="3" fontId="4" fillId="0" borderId="0" xfId="0" applyNumberFormat="1" applyFont="1">
      <alignment vertical="center"/>
    </xf>
    <xf numFmtId="4" fontId="4" fillId="0" borderId="0" xfId="0" quotePrefix="1" applyFont="1" applyAlignment="1">
      <alignment horizontal="left" vertical="center"/>
    </xf>
    <xf numFmtId="4" fontId="5" fillId="0" borderId="0" xfId="0" applyFont="1" applyBorder="1" applyAlignment="1">
      <alignment horizontal="center" vertical="center" wrapText="1"/>
    </xf>
    <xf numFmtId="4" fontId="4" fillId="0" borderId="0" xfId="0" applyFont="1" applyAlignment="1">
      <alignment horizontal="left" vertical="center"/>
    </xf>
    <xf numFmtId="3" fontId="4" fillId="2" borderId="0" xfId="0" applyNumberFormat="1" applyFont="1" applyFill="1">
      <alignment vertical="center"/>
    </xf>
    <xf numFmtId="3" fontId="4" fillId="3" borderId="0" xfId="0" applyNumberFormat="1" applyFont="1" applyFill="1">
      <alignment vertical="center"/>
    </xf>
    <xf numFmtId="4" fontId="5" fillId="0" borderId="0" xfId="0" quotePrefix="1" applyFont="1" applyBorder="1" applyAlignment="1">
      <alignment horizontal="left" vertical="center"/>
    </xf>
    <xf numFmtId="3" fontId="4" fillId="0" borderId="0" xfId="0" applyNumberFormat="1" applyFont="1" applyBorder="1">
      <alignment vertical="center"/>
    </xf>
    <xf numFmtId="4" fontId="4" fillId="0" borderId="0" xfId="0" applyFont="1" applyBorder="1">
      <alignment vertical="center"/>
    </xf>
    <xf numFmtId="4" fontId="4" fillId="0" borderId="0" xfId="0" quotePrefix="1" applyFont="1" applyBorder="1" applyAlignment="1">
      <alignment horizontal="left" vertical="center" wrapText="1"/>
    </xf>
    <xf numFmtId="4" fontId="4" fillId="0" borderId="0" xfId="0" applyFont="1" applyBorder="1" applyAlignment="1">
      <alignment horizontal="left" vertical="center" wrapText="1"/>
    </xf>
    <xf numFmtId="3" fontId="4" fillId="4" borderId="0" xfId="0" applyNumberFormat="1" applyFont="1" applyFill="1">
      <alignment vertical="center"/>
    </xf>
    <xf numFmtId="3" fontId="4" fillId="5" borderId="0" xfId="0" applyNumberFormat="1" applyFont="1" applyFill="1">
      <alignment vertical="center"/>
    </xf>
    <xf numFmtId="3" fontId="6" fillId="6" borderId="0" xfId="0" applyNumberFormat="1" applyFont="1" applyFill="1">
      <alignment vertical="center"/>
    </xf>
    <xf numFmtId="3" fontId="4" fillId="0" borderId="1" xfId="0" applyNumberFormat="1" applyFont="1" applyBorder="1">
      <alignment vertical="center"/>
    </xf>
    <xf numFmtId="3" fontId="6" fillId="6" borderId="2" xfId="0" applyNumberFormat="1" applyFont="1" applyFill="1" applyBorder="1">
      <alignment vertical="center"/>
    </xf>
    <xf numFmtId="4" fontId="7" fillId="0" borderId="0" xfId="0" applyFont="1">
      <alignment vertical="center"/>
    </xf>
    <xf numFmtId="3" fontId="7" fillId="0" borderId="0" xfId="0" applyNumberFormat="1" applyFont="1">
      <alignment vertical="center"/>
    </xf>
    <xf numFmtId="4" fontId="7" fillId="0" borderId="0" xfId="0" quotePrefix="1" applyFont="1" applyAlignment="1">
      <alignment horizontal="left" vertical="center"/>
    </xf>
    <xf numFmtId="4" fontId="7" fillId="0" borderId="1" xfId="0" applyFont="1" applyBorder="1">
      <alignment vertical="center"/>
    </xf>
    <xf numFmtId="4" fontId="8" fillId="6" borderId="0" xfId="0" applyFont="1" applyFill="1">
      <alignment vertical="center"/>
    </xf>
    <xf numFmtId="4" fontId="7" fillId="0" borderId="2" xfId="0" applyFont="1" applyBorder="1">
      <alignment vertical="center"/>
    </xf>
    <xf numFmtId="4" fontId="9" fillId="0" borderId="44" xfId="0" applyFont="1" applyBorder="1" applyAlignment="1">
      <alignment horizontal="right" vertical="center"/>
    </xf>
    <xf numFmtId="165" fontId="10" fillId="0" borderId="45" xfId="2" applyNumberFormat="1" applyFont="1" applyBorder="1" applyAlignment="1">
      <alignment vertical="center"/>
    </xf>
    <xf numFmtId="4" fontId="9" fillId="0" borderId="31" xfId="0" applyFont="1" applyBorder="1" applyAlignment="1">
      <alignment horizontal="right" vertical="center"/>
    </xf>
    <xf numFmtId="165" fontId="10" fillId="0" borderId="32" xfId="2" applyNumberFormat="1" applyFont="1" applyBorder="1" applyAlignment="1">
      <alignment vertical="center"/>
    </xf>
    <xf numFmtId="4" fontId="10" fillId="0" borderId="36" xfId="0" applyFont="1" applyBorder="1">
      <alignment vertical="center"/>
    </xf>
    <xf numFmtId="4" fontId="10" fillId="7" borderId="37" xfId="0" applyFont="1" applyFill="1" applyBorder="1" applyAlignment="1">
      <alignment horizontal="left" vertical="center"/>
    </xf>
    <xf numFmtId="4" fontId="10" fillId="0" borderId="38" xfId="0" applyFont="1" applyBorder="1">
      <alignment vertical="center"/>
    </xf>
    <xf numFmtId="4" fontId="10" fillId="0" borderId="27" xfId="0" applyFont="1" applyBorder="1" applyAlignment="1">
      <alignment horizontal="center" vertical="center"/>
    </xf>
    <xf numFmtId="3" fontId="10" fillId="8" borderId="26" xfId="0" applyNumberFormat="1" applyFont="1" applyFill="1" applyBorder="1">
      <alignment vertical="center"/>
    </xf>
    <xf numFmtId="3" fontId="10" fillId="0" borderId="28" xfId="0" applyNumberFormat="1" applyFont="1" applyFill="1" applyBorder="1">
      <alignment vertical="center"/>
    </xf>
    <xf numFmtId="3" fontId="10" fillId="0" borderId="27" xfId="0" applyNumberFormat="1" applyFont="1" applyBorder="1" applyAlignment="1">
      <alignment horizontal="center" vertical="center"/>
    </xf>
    <xf numFmtId="3" fontId="10" fillId="0" borderId="26" xfId="0" applyNumberFormat="1" applyFont="1" applyBorder="1">
      <alignment vertical="center"/>
    </xf>
    <xf numFmtId="4" fontId="10" fillId="0" borderId="29" xfId="0" applyFont="1" applyBorder="1" applyAlignment="1">
      <alignment horizontal="center" vertical="center"/>
    </xf>
    <xf numFmtId="3" fontId="10" fillId="0" borderId="39" xfId="0" applyNumberFormat="1" applyFont="1" applyBorder="1">
      <alignment vertical="center"/>
    </xf>
    <xf numFmtId="3" fontId="10" fillId="0" borderId="33" xfId="0" applyNumberFormat="1" applyFont="1" applyBorder="1">
      <alignment vertical="center"/>
    </xf>
    <xf numFmtId="3" fontId="10" fillId="0" borderId="46" xfId="0" applyNumberFormat="1" applyFont="1" applyBorder="1">
      <alignment vertical="center"/>
    </xf>
    <xf numFmtId="4" fontId="11" fillId="0" borderId="0" xfId="0" applyFont="1">
      <alignment vertical="center"/>
    </xf>
    <xf numFmtId="4" fontId="11" fillId="0" borderId="0" xfId="0" applyFont="1" applyAlignment="1">
      <alignment horizontal="right" vertical="center"/>
    </xf>
    <xf numFmtId="4" fontId="11" fillId="0" borderId="40" xfId="0" applyFont="1" applyBorder="1" applyAlignment="1">
      <alignment horizontal="right" vertical="center"/>
    </xf>
    <xf numFmtId="4" fontId="11" fillId="0" borderId="41" xfId="0" applyFont="1" applyBorder="1" applyAlignment="1">
      <alignment horizontal="right" vertical="center"/>
    </xf>
    <xf numFmtId="4" fontId="11" fillId="0" borderId="42" xfId="0" applyFont="1" applyBorder="1" applyAlignment="1">
      <alignment horizontal="right" vertical="center"/>
    </xf>
    <xf numFmtId="4" fontId="9" fillId="7" borderId="11" xfId="0" quotePrefix="1" applyFont="1" applyFill="1" applyBorder="1" applyAlignment="1">
      <alignment horizontal="centerContinuous" vertical="center"/>
    </xf>
    <xf numFmtId="4" fontId="10" fillId="7" borderId="12" xfId="0" applyFont="1" applyFill="1" applyBorder="1" applyAlignment="1">
      <alignment horizontal="centerContinuous" vertical="center"/>
    </xf>
    <xf numFmtId="4" fontId="10" fillId="7" borderId="13" xfId="0" applyFont="1" applyFill="1" applyBorder="1" applyAlignment="1">
      <alignment horizontal="centerContinuous" vertical="center"/>
    </xf>
    <xf numFmtId="4" fontId="11" fillId="0" borderId="34" xfId="0" applyFont="1" applyBorder="1" applyAlignment="1">
      <alignment horizontal="left" vertical="center"/>
    </xf>
    <xf numFmtId="44" fontId="10" fillId="7" borderId="36" xfId="2" applyFont="1" applyFill="1" applyBorder="1" applyAlignment="1">
      <alignment horizontal="right" vertical="center"/>
    </xf>
    <xf numFmtId="44" fontId="10" fillId="7" borderId="37" xfId="2" applyFont="1" applyFill="1" applyBorder="1" applyAlignment="1">
      <alignment horizontal="right" vertical="center"/>
    </xf>
    <xf numFmtId="44" fontId="10" fillId="7" borderId="38" xfId="2" applyFont="1" applyFill="1" applyBorder="1" applyAlignment="1">
      <alignment horizontal="right" vertical="center"/>
    </xf>
    <xf numFmtId="4" fontId="10" fillId="7" borderId="14" xfId="0" applyFont="1" applyFill="1" applyBorder="1" applyAlignment="1">
      <alignment horizontal="centerContinuous" vertical="center"/>
    </xf>
    <xf numFmtId="4" fontId="10" fillId="7" borderId="7" xfId="0" applyFont="1" applyFill="1" applyBorder="1" applyAlignment="1">
      <alignment horizontal="centerContinuous" vertical="center"/>
    </xf>
    <xf numFmtId="4" fontId="10" fillId="7" borderId="15" xfId="0" applyFont="1" applyFill="1" applyBorder="1" applyAlignment="1">
      <alignment horizontal="centerContinuous" vertical="center"/>
    </xf>
    <xf numFmtId="4" fontId="11" fillId="0" borderId="43" xfId="0" applyFont="1" applyBorder="1" applyAlignment="1">
      <alignment horizontal="left" vertical="center"/>
    </xf>
    <xf numFmtId="3" fontId="10" fillId="0" borderId="27" xfId="0" applyNumberFormat="1" applyFont="1" applyBorder="1" applyAlignment="1">
      <alignment horizontal="right" vertical="center"/>
    </xf>
    <xf numFmtId="3" fontId="10" fillId="0" borderId="26" xfId="0" applyNumberFormat="1" applyFont="1" applyBorder="1" applyAlignment="1">
      <alignment horizontal="right" vertical="center"/>
    </xf>
    <xf numFmtId="3" fontId="10" fillId="0" borderId="28" xfId="0" applyNumberFormat="1" applyFont="1" applyBorder="1" applyAlignment="1">
      <alignment horizontal="right" vertical="center"/>
    </xf>
    <xf numFmtId="4" fontId="10" fillId="7" borderId="16" xfId="0" quotePrefix="1" applyFont="1" applyFill="1" applyBorder="1" applyAlignment="1">
      <alignment horizontal="left" vertical="center"/>
    </xf>
    <xf numFmtId="4" fontId="10" fillId="7" borderId="4" xfId="0" applyFont="1" applyFill="1" applyBorder="1" applyAlignment="1">
      <alignment horizontal="center" vertical="center" wrapText="1"/>
    </xf>
    <xf numFmtId="4" fontId="10" fillId="7" borderId="17" xfId="0" applyFont="1" applyFill="1" applyBorder="1" applyAlignment="1">
      <alignment horizontal="center" vertical="center" wrapText="1"/>
    </xf>
    <xf numFmtId="44" fontId="10" fillId="7" borderId="27" xfId="2" applyFont="1" applyFill="1" applyBorder="1" applyAlignment="1">
      <alignment horizontal="right" vertical="center"/>
    </xf>
    <xf numFmtId="44" fontId="10" fillId="7" borderId="26" xfId="2" applyFont="1" applyFill="1" applyBorder="1" applyAlignment="1">
      <alignment horizontal="right" vertical="center"/>
    </xf>
    <xf numFmtId="44" fontId="10" fillId="7" borderId="28" xfId="2" applyFont="1" applyFill="1" applyBorder="1" applyAlignment="1">
      <alignment horizontal="right" vertical="center"/>
    </xf>
    <xf numFmtId="4" fontId="10" fillId="7" borderId="20" xfId="0" applyFont="1" applyFill="1" applyBorder="1">
      <alignment vertical="center"/>
    </xf>
    <xf numFmtId="4" fontId="10" fillId="7" borderId="21" xfId="0" applyFont="1" applyFill="1" applyBorder="1" applyAlignment="1">
      <alignment horizontal="center" vertical="center"/>
    </xf>
    <xf numFmtId="4" fontId="10" fillId="7" borderId="18" xfId="0" quotePrefix="1" applyFont="1" applyFill="1" applyBorder="1" applyAlignment="1">
      <alignment horizontal="left" vertical="center" wrapText="1"/>
    </xf>
    <xf numFmtId="4" fontId="10" fillId="7" borderId="1" xfId="0" applyFont="1" applyFill="1" applyBorder="1" applyAlignment="1">
      <alignment horizontal="center" vertical="center"/>
    </xf>
    <xf numFmtId="4" fontId="10" fillId="7" borderId="19" xfId="0" applyFont="1" applyFill="1" applyBorder="1" applyAlignment="1">
      <alignment horizontal="center" vertical="center"/>
    </xf>
    <xf numFmtId="3" fontId="10" fillId="7" borderId="27" xfId="0" applyNumberFormat="1" applyFont="1" applyFill="1" applyBorder="1" applyAlignment="1">
      <alignment horizontal="right" vertical="center"/>
    </xf>
    <xf numFmtId="3" fontId="10" fillId="7" borderId="26" xfId="0" applyNumberFormat="1" applyFont="1" applyFill="1" applyBorder="1" applyAlignment="1">
      <alignment horizontal="right" vertical="center"/>
    </xf>
    <xf numFmtId="3" fontId="10" fillId="7" borderId="28" xfId="0" applyNumberFormat="1" applyFont="1" applyFill="1" applyBorder="1" applyAlignment="1">
      <alignment horizontal="right" vertical="center"/>
    </xf>
    <xf numFmtId="4" fontId="10" fillId="7" borderId="20" xfId="0" applyFont="1" applyFill="1" applyBorder="1" applyAlignment="1">
      <alignment horizontal="left" vertical="center" wrapText="1"/>
    </xf>
    <xf numFmtId="4" fontId="10" fillId="7" borderId="25" xfId="0" applyFont="1" applyFill="1" applyBorder="1">
      <alignment vertical="center"/>
    </xf>
    <xf numFmtId="4" fontId="11" fillId="0" borderId="35" xfId="0" applyFont="1" applyBorder="1" applyAlignment="1">
      <alignment horizontal="left" vertical="center"/>
    </xf>
    <xf numFmtId="3" fontId="10" fillId="0" borderId="29" xfId="0" applyNumberFormat="1" applyFont="1" applyBorder="1" applyAlignment="1">
      <alignment horizontal="right" vertical="center"/>
    </xf>
    <xf numFmtId="3" fontId="10" fillId="0" borderId="39" xfId="0" applyNumberFormat="1" applyFont="1" applyBorder="1" applyAlignment="1">
      <alignment horizontal="right" vertical="center"/>
    </xf>
    <xf numFmtId="3" fontId="10" fillId="0" borderId="30" xfId="0" applyNumberFormat="1" applyFont="1" applyBorder="1" applyAlignment="1">
      <alignment horizontal="right" vertical="center"/>
    </xf>
    <xf numFmtId="4" fontId="11" fillId="0" borderId="36" xfId="0" applyFont="1" applyBorder="1" applyAlignment="1">
      <alignment horizontal="left" vertical="center"/>
    </xf>
    <xf numFmtId="3" fontId="10" fillId="7" borderId="37" xfId="1" applyNumberFormat="1" applyFont="1" applyFill="1" applyBorder="1" applyAlignment="1">
      <alignment horizontal="right" vertical="center"/>
    </xf>
    <xf numFmtId="3" fontId="10" fillId="7" borderId="38" xfId="1" applyNumberFormat="1" applyFont="1" applyFill="1" applyBorder="1" applyAlignment="1">
      <alignment horizontal="right" vertical="center"/>
    </xf>
    <xf numFmtId="4" fontId="11" fillId="0" borderId="29" xfId="0" applyFont="1" applyBorder="1" applyAlignment="1">
      <alignment horizontal="left" vertical="center"/>
    </xf>
    <xf numFmtId="3" fontId="10" fillId="0" borderId="39" xfId="1" applyNumberFormat="1" applyFont="1" applyBorder="1" applyAlignment="1">
      <alignment horizontal="right" vertical="center"/>
    </xf>
    <xf numFmtId="3" fontId="10" fillId="0" borderId="30" xfId="1" applyNumberFormat="1" applyFont="1" applyBorder="1" applyAlignment="1">
      <alignment horizontal="right" vertical="center"/>
    </xf>
    <xf numFmtId="9" fontId="10" fillId="7" borderId="36" xfId="4" applyFont="1" applyFill="1" applyBorder="1" applyAlignment="1">
      <alignment horizontal="right" vertical="center"/>
    </xf>
    <xf numFmtId="9" fontId="10" fillId="7" borderId="37" xfId="4" applyFont="1" applyFill="1" applyBorder="1" applyAlignment="1">
      <alignment horizontal="right" vertical="center"/>
    </xf>
    <xf numFmtId="9" fontId="10" fillId="7" borderId="38" xfId="4" applyFont="1" applyFill="1" applyBorder="1" applyAlignment="1">
      <alignment horizontal="right" vertical="center"/>
    </xf>
    <xf numFmtId="9" fontId="10" fillId="0" borderId="29" xfId="4" applyFont="1" applyBorder="1" applyAlignment="1">
      <alignment horizontal="right" vertical="center"/>
    </xf>
    <xf numFmtId="9" fontId="10" fillId="0" borderId="39" xfId="4" applyFont="1" applyBorder="1" applyAlignment="1">
      <alignment horizontal="right" vertical="center"/>
    </xf>
    <xf numFmtId="9" fontId="10" fillId="0" borderId="30" xfId="4" applyFont="1" applyBorder="1" applyAlignment="1">
      <alignment horizontal="right" vertical="center"/>
    </xf>
    <xf numFmtId="4" fontId="10" fillId="7" borderId="9" xfId="0" quotePrefix="1" applyFont="1" applyFill="1" applyBorder="1" applyAlignment="1">
      <alignment horizontal="left" vertical="center"/>
    </xf>
    <xf numFmtId="4" fontId="10" fillId="7" borderId="0" xfId="0" applyFont="1" applyFill="1" applyBorder="1" applyAlignment="1">
      <alignment horizontal="center" vertical="center"/>
    </xf>
    <xf numFmtId="4" fontId="10" fillId="7" borderId="3" xfId="0" quotePrefix="1" applyFont="1" applyFill="1" applyBorder="1" applyAlignment="1">
      <alignment horizontal="left" vertical="center"/>
    </xf>
    <xf numFmtId="4" fontId="10" fillId="7" borderId="4" xfId="0" applyFont="1" applyFill="1" applyBorder="1">
      <alignment vertical="center"/>
    </xf>
    <xf numFmtId="4" fontId="10" fillId="7" borderId="5" xfId="0" applyFont="1" applyFill="1" applyBorder="1">
      <alignment vertical="center"/>
    </xf>
    <xf numFmtId="4" fontId="10" fillId="7" borderId="0" xfId="0" applyFont="1" applyFill="1">
      <alignment vertical="center"/>
    </xf>
    <xf numFmtId="4" fontId="10" fillId="7" borderId="10" xfId="0" applyFont="1" applyFill="1" applyBorder="1">
      <alignment vertical="center"/>
    </xf>
    <xf numFmtId="4" fontId="10" fillId="7" borderId="9" xfId="0" quotePrefix="1" applyFont="1" applyFill="1" applyBorder="1" applyAlignment="1">
      <alignment horizontal="right" vertical="center"/>
    </xf>
    <xf numFmtId="4" fontId="10" fillId="7" borderId="0" xfId="0" quotePrefix="1" applyFont="1" applyFill="1" applyAlignment="1">
      <alignment horizontal="left" vertical="center"/>
    </xf>
    <xf numFmtId="3" fontId="10" fillId="0" borderId="30" xfId="0" applyNumberFormat="1" applyFont="1" applyBorder="1">
      <alignment vertical="center"/>
    </xf>
    <xf numFmtId="164" fontId="10" fillId="7" borderId="6" xfId="0" quotePrefix="1" applyNumberFormat="1" applyFont="1" applyFill="1" applyBorder="1" applyAlignment="1">
      <alignment horizontal="right" vertical="center"/>
    </xf>
    <xf numFmtId="164" fontId="10" fillId="7" borderId="7" xfId="0" quotePrefix="1" applyNumberFormat="1" applyFont="1" applyFill="1" applyBorder="1" applyAlignment="1">
      <alignment horizontal="left" vertical="center"/>
    </xf>
    <xf numFmtId="4" fontId="10" fillId="7" borderId="22" xfId="0" applyFont="1" applyFill="1" applyBorder="1">
      <alignment vertical="center"/>
    </xf>
    <xf numFmtId="4" fontId="10" fillId="7" borderId="23" xfId="0" applyFont="1" applyFill="1" applyBorder="1" applyAlignment="1">
      <alignment horizontal="center" vertical="center"/>
    </xf>
    <xf numFmtId="4" fontId="10" fillId="7" borderId="24" xfId="0" applyFont="1" applyFill="1" applyBorder="1" applyAlignment="1">
      <alignment horizontal="center" vertical="center"/>
    </xf>
    <xf numFmtId="4" fontId="12" fillId="0" borderId="0" xfId="0" applyFont="1" applyAlignment="1">
      <alignment horizontal="center" vertical="center"/>
    </xf>
    <xf numFmtId="4" fontId="11" fillId="0" borderId="47" xfId="0" applyFont="1" applyBorder="1" applyAlignment="1">
      <alignment horizontal="left" vertical="center"/>
    </xf>
    <xf numFmtId="3" fontId="10" fillId="7" borderId="48" xfId="1" applyNumberFormat="1" applyFont="1" applyFill="1" applyBorder="1" applyAlignment="1">
      <alignment horizontal="right" vertical="center"/>
    </xf>
    <xf numFmtId="3" fontId="10" fillId="7" borderId="49" xfId="1" applyNumberFormat="1" applyFont="1" applyFill="1" applyBorder="1" applyAlignment="1">
      <alignment horizontal="right" vertical="center"/>
    </xf>
    <xf numFmtId="4" fontId="11" fillId="0" borderId="50" xfId="0" applyFont="1" applyBorder="1" applyAlignment="1">
      <alignment horizontal="left" vertical="center"/>
    </xf>
    <xf numFmtId="3" fontId="10" fillId="0" borderId="51" xfId="1" applyNumberFormat="1" applyFont="1" applyBorder="1" applyAlignment="1">
      <alignment horizontal="right" vertical="center"/>
    </xf>
    <xf numFmtId="3" fontId="10" fillId="0" borderId="52" xfId="1" applyNumberFormat="1" applyFont="1" applyBorder="1" applyAlignment="1">
      <alignment horizontal="right" vertical="center"/>
    </xf>
    <xf numFmtId="4" fontId="9" fillId="0" borderId="53" xfId="0" applyFont="1" applyBorder="1" applyAlignment="1">
      <alignment horizontal="center" vertical="center"/>
    </xf>
    <xf numFmtId="165" fontId="10" fillId="0" borderId="54" xfId="2" applyNumberFormat="1" applyFont="1" applyBorder="1" applyAlignment="1">
      <alignment vertical="center"/>
    </xf>
    <xf numFmtId="4" fontId="9" fillId="0" borderId="50" xfId="0" applyFont="1" applyBorder="1" applyAlignment="1">
      <alignment horizontal="center" vertical="center"/>
    </xf>
    <xf numFmtId="4" fontId="9" fillId="0" borderId="47" xfId="0" applyFont="1" applyBorder="1" applyAlignment="1">
      <alignment horizontal="center" vertical="center"/>
    </xf>
    <xf numFmtId="165" fontId="10" fillId="0" borderId="49" xfId="2" applyNumberFormat="1" applyFont="1" applyBorder="1" applyAlignment="1">
      <alignment vertical="center"/>
    </xf>
    <xf numFmtId="3" fontId="10" fillId="0" borderId="26" xfId="1" applyNumberFormat="1" applyFont="1" applyBorder="1" applyAlignment="1">
      <alignment horizontal="right" vertical="center"/>
    </xf>
    <xf numFmtId="9" fontId="10" fillId="7" borderId="26" xfId="4" applyFont="1" applyFill="1" applyBorder="1" applyAlignment="1">
      <alignment horizontal="right" vertical="center"/>
    </xf>
    <xf numFmtId="4" fontId="11" fillId="0" borderId="27" xfId="0" applyFont="1" applyBorder="1" applyAlignment="1">
      <alignment horizontal="left" vertical="center"/>
    </xf>
    <xf numFmtId="3" fontId="10" fillId="0" borderId="28" xfId="1" applyNumberFormat="1" applyFont="1" applyBorder="1" applyAlignment="1">
      <alignment horizontal="right" vertical="center"/>
    </xf>
    <xf numFmtId="9" fontId="10" fillId="7" borderId="28" xfId="4" applyFont="1" applyFill="1" applyBorder="1" applyAlignment="1">
      <alignment horizontal="right" vertical="center"/>
    </xf>
    <xf numFmtId="4" fontId="13" fillId="0" borderId="0" xfId="0" applyFont="1" applyBorder="1" applyAlignment="1">
      <alignment horizontal="left" vertical="center"/>
    </xf>
    <xf numFmtId="44" fontId="14" fillId="0" borderId="0" xfId="2" applyFont="1" applyBorder="1" applyAlignment="1">
      <alignment horizontal="right" vertical="center"/>
    </xf>
    <xf numFmtId="4" fontId="10" fillId="9" borderId="0" xfId="0" applyFont="1" applyFill="1" applyAlignment="1">
      <alignment horizontal="center" vertical="center"/>
    </xf>
    <xf numFmtId="4" fontId="10" fillId="9" borderId="7" xfId="0" applyFont="1" applyFill="1" applyBorder="1" applyAlignment="1">
      <alignment horizontal="center" vertical="center"/>
    </xf>
    <xf numFmtId="4" fontId="10" fillId="9" borderId="1" xfId="0" applyFont="1" applyFill="1" applyBorder="1" applyAlignment="1">
      <alignment horizontal="center" vertical="center"/>
    </xf>
    <xf numFmtId="4" fontId="10" fillId="9" borderId="19" xfId="0" applyFont="1" applyFill="1" applyBorder="1" applyAlignment="1">
      <alignment horizontal="center" vertical="center"/>
    </xf>
    <xf numFmtId="44" fontId="10" fillId="9" borderId="27" xfId="2" applyFont="1" applyFill="1" applyBorder="1" applyAlignment="1">
      <alignment horizontal="right" vertical="center"/>
    </xf>
    <xf numFmtId="44" fontId="10" fillId="9" borderId="26" xfId="2" applyFont="1" applyFill="1" applyBorder="1" applyAlignment="1">
      <alignment horizontal="right" vertical="center"/>
    </xf>
    <xf numFmtId="44" fontId="10" fillId="9" borderId="28" xfId="2" applyFont="1" applyFill="1" applyBorder="1" applyAlignment="1">
      <alignment horizontal="right" vertical="center"/>
    </xf>
    <xf numFmtId="4" fontId="15" fillId="7" borderId="10" xfId="0" applyFont="1" applyFill="1" applyBorder="1">
      <alignment vertical="center"/>
    </xf>
    <xf numFmtId="4" fontId="15" fillId="7" borderId="8" xfId="0" applyFont="1" applyFill="1" applyBorder="1">
      <alignment vertical="center"/>
    </xf>
    <xf numFmtId="4" fontId="10" fillId="0" borderId="3" xfId="0" applyFont="1" applyBorder="1" applyAlignment="1">
      <alignment horizontal="center" vertical="center"/>
    </xf>
    <xf numFmtId="4" fontId="10" fillId="0" borderId="5" xfId="0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vertical="center"/>
    </xf>
    <xf numFmtId="4" fontId="10" fillId="0" borderId="38" xfId="0" applyFont="1" applyBorder="1" applyAlignment="1">
      <alignment horizontal="center" vertical="center"/>
    </xf>
    <xf numFmtId="0" fontId="10" fillId="0" borderId="30" xfId="1" applyNumberFormat="1" applyFont="1" applyBorder="1" applyAlignment="1">
      <alignment horizontal="center" vertical="center"/>
    </xf>
    <xf numFmtId="9" fontId="10" fillId="0" borderId="38" xfId="4" applyFont="1" applyBorder="1" applyAlignment="1">
      <alignment horizontal="center" vertical="center"/>
    </xf>
    <xf numFmtId="9" fontId="10" fillId="0" borderId="55" xfId="0" applyNumberFormat="1" applyFont="1" applyBorder="1" applyAlignment="1">
      <alignment horizontal="center" vertical="center"/>
    </xf>
    <xf numFmtId="0" fontId="10" fillId="0" borderId="57" xfId="1" applyNumberFormat="1" applyFont="1" applyBorder="1" applyAlignment="1">
      <alignment horizontal="center" vertical="center"/>
    </xf>
    <xf numFmtId="9" fontId="10" fillId="0" borderId="34" xfId="4" applyFont="1" applyBorder="1" applyAlignment="1">
      <alignment horizontal="center" vertical="center"/>
    </xf>
    <xf numFmtId="4" fontId="10" fillId="0" borderId="35" xfId="0" applyFont="1" applyBorder="1" applyAlignment="1">
      <alignment horizontal="center" vertical="center"/>
    </xf>
    <xf numFmtId="9" fontId="10" fillId="0" borderId="51" xfId="4" applyFont="1" applyBorder="1" applyAlignment="1">
      <alignment horizontal="right" vertical="center"/>
    </xf>
    <xf numFmtId="9" fontId="10" fillId="0" borderId="52" xfId="4" applyFont="1" applyBorder="1" applyAlignment="1">
      <alignment horizontal="right" vertical="center"/>
    </xf>
    <xf numFmtId="9" fontId="10" fillId="0" borderId="59" xfId="4" applyFont="1" applyBorder="1" applyAlignment="1">
      <alignment horizontal="right" vertical="center"/>
    </xf>
    <xf numFmtId="9" fontId="10" fillId="7" borderId="60" xfId="4" applyFont="1" applyFill="1" applyBorder="1" applyAlignment="1">
      <alignment horizontal="right" vertical="center"/>
    </xf>
    <xf numFmtId="9" fontId="10" fillId="7" borderId="61" xfId="4" applyFont="1" applyFill="1" applyBorder="1" applyAlignment="1">
      <alignment horizontal="right" vertical="center"/>
    </xf>
    <xf numFmtId="9" fontId="10" fillId="7" borderId="62" xfId="4" applyFont="1" applyFill="1" applyBorder="1" applyAlignment="1">
      <alignment horizontal="right" vertical="center"/>
    </xf>
    <xf numFmtId="3" fontId="10" fillId="0" borderId="58" xfId="0" applyNumberFormat="1" applyFont="1" applyBorder="1" applyAlignment="1">
      <alignment horizontal="right" vertical="center"/>
    </xf>
    <xf numFmtId="3" fontId="10" fillId="7" borderId="58" xfId="0" applyNumberFormat="1" applyFont="1" applyFill="1" applyBorder="1" applyAlignment="1">
      <alignment horizontal="right" vertical="center"/>
    </xf>
    <xf numFmtId="3" fontId="10" fillId="8" borderId="58" xfId="0" applyNumberFormat="1" applyFont="1" applyFill="1" applyBorder="1">
      <alignment vertical="center"/>
    </xf>
    <xf numFmtId="3" fontId="10" fillId="0" borderId="58" xfId="0" applyNumberFormat="1" applyFont="1" applyBorder="1">
      <alignment vertical="center"/>
    </xf>
    <xf numFmtId="3" fontId="10" fillId="0" borderId="61" xfId="0" applyNumberFormat="1" applyFont="1" applyFill="1" applyBorder="1">
      <alignment vertical="center"/>
    </xf>
    <xf numFmtId="44" fontId="10" fillId="7" borderId="47" xfId="2" applyFont="1" applyFill="1" applyBorder="1" applyAlignment="1">
      <alignment horizontal="right" vertical="center"/>
    </xf>
    <xf numFmtId="44" fontId="10" fillId="7" borderId="48" xfId="2" applyFont="1" applyFill="1" applyBorder="1" applyAlignment="1">
      <alignment horizontal="right" vertical="center"/>
    </xf>
    <xf numFmtId="44" fontId="10" fillId="7" borderId="49" xfId="2" applyFont="1" applyFill="1" applyBorder="1" applyAlignment="1">
      <alignment horizontal="right" vertical="center"/>
    </xf>
    <xf numFmtId="3" fontId="10" fillId="0" borderId="53" xfId="0" applyNumberFormat="1" applyFont="1" applyBorder="1" applyAlignment="1">
      <alignment horizontal="right" vertical="center"/>
    </xf>
    <xf numFmtId="3" fontId="10" fillId="0" borderId="54" xfId="0" applyNumberFormat="1" applyFont="1" applyBorder="1" applyAlignment="1">
      <alignment horizontal="right" vertical="center"/>
    </xf>
    <xf numFmtId="3" fontId="10" fillId="7" borderId="53" xfId="0" applyNumberFormat="1" applyFont="1" applyFill="1" applyBorder="1" applyAlignment="1">
      <alignment horizontal="right" vertical="center"/>
    </xf>
    <xf numFmtId="3" fontId="10" fillId="7" borderId="54" xfId="0" applyNumberFormat="1" applyFont="1" applyFill="1" applyBorder="1" applyAlignment="1">
      <alignment horizontal="right" vertical="center"/>
    </xf>
    <xf numFmtId="3" fontId="10" fillId="0" borderId="50" xfId="0" applyNumberFormat="1" applyFont="1" applyBorder="1" applyAlignment="1">
      <alignment horizontal="right" vertical="center"/>
    </xf>
    <xf numFmtId="3" fontId="10" fillId="0" borderId="51" xfId="0" applyNumberFormat="1" applyFont="1" applyBorder="1" applyAlignment="1">
      <alignment horizontal="right" vertical="center"/>
    </xf>
    <xf numFmtId="3" fontId="10" fillId="0" borderId="52" xfId="0" applyNumberFormat="1" applyFont="1" applyBorder="1" applyAlignment="1">
      <alignment horizontal="right" vertical="center"/>
    </xf>
    <xf numFmtId="4" fontId="10" fillId="7" borderId="65" xfId="0" applyFont="1" applyFill="1" applyBorder="1">
      <alignment vertical="center"/>
    </xf>
    <xf numFmtId="4" fontId="10" fillId="7" borderId="66" xfId="0" applyFont="1" applyFill="1" applyBorder="1" applyAlignment="1">
      <alignment horizontal="center" vertical="center"/>
    </xf>
    <xf numFmtId="4" fontId="10" fillId="7" borderId="67" xfId="0" applyFont="1" applyFill="1" applyBorder="1" applyAlignment="1">
      <alignment horizontal="center" vertical="center"/>
    </xf>
    <xf numFmtId="4" fontId="10" fillId="0" borderId="47" xfId="0" applyFont="1" applyBorder="1">
      <alignment vertical="center"/>
    </xf>
    <xf numFmtId="4" fontId="10" fillId="7" borderId="48" xfId="0" applyFont="1" applyFill="1" applyBorder="1" applyAlignment="1">
      <alignment horizontal="left" vertical="center"/>
    </xf>
    <xf numFmtId="4" fontId="10" fillId="0" borderId="49" xfId="0" applyFont="1" applyBorder="1">
      <alignment vertical="center"/>
    </xf>
    <xf numFmtId="4" fontId="10" fillId="0" borderId="53" xfId="0" applyFont="1" applyBorder="1" applyAlignment="1">
      <alignment horizontal="center" vertical="center"/>
    </xf>
    <xf numFmtId="3" fontId="10" fillId="0" borderId="54" xfId="0" applyNumberFormat="1" applyFont="1" applyFill="1" applyBorder="1">
      <alignment vertical="center"/>
    </xf>
    <xf numFmtId="4" fontId="10" fillId="0" borderId="50" xfId="0" applyFont="1" applyBorder="1" applyAlignment="1">
      <alignment horizontal="center" vertical="center"/>
    </xf>
    <xf numFmtId="3" fontId="10" fillId="0" borderId="51" xfId="0" applyNumberFormat="1" applyFont="1" applyBorder="1">
      <alignment vertical="center"/>
    </xf>
    <xf numFmtId="3" fontId="10" fillId="0" borderId="52" xfId="0" applyNumberFormat="1" applyFont="1" applyBorder="1">
      <alignment vertical="center"/>
    </xf>
    <xf numFmtId="9" fontId="10" fillId="0" borderId="47" xfId="0" applyNumberFormat="1" applyFont="1" applyBorder="1" applyAlignment="1">
      <alignment horizontal="center" vertical="center"/>
    </xf>
    <xf numFmtId="9" fontId="10" fillId="0" borderId="49" xfId="4" applyFont="1" applyBorder="1" applyAlignment="1">
      <alignment horizontal="center" vertical="center"/>
    </xf>
    <xf numFmtId="165" fontId="10" fillId="0" borderId="63" xfId="2" applyNumberFormat="1" applyFont="1" applyBorder="1" applyAlignment="1">
      <alignment horizontal="center" vertical="center"/>
    </xf>
    <xf numFmtId="43" fontId="10" fillId="0" borderId="68" xfId="1" applyFont="1" applyBorder="1" applyAlignment="1">
      <alignment horizontal="center" vertical="center"/>
    </xf>
    <xf numFmtId="3" fontId="10" fillId="0" borderId="65" xfId="0" applyNumberFormat="1" applyFont="1" applyBorder="1" applyAlignment="1">
      <alignment horizontal="center" vertical="center"/>
    </xf>
    <xf numFmtId="4" fontId="10" fillId="0" borderId="67" xfId="0" applyFont="1" applyBorder="1" applyAlignment="1">
      <alignment horizontal="center" vertical="center"/>
    </xf>
    <xf numFmtId="9" fontId="10" fillId="0" borderId="63" xfId="4" applyFont="1" applyBorder="1" applyAlignment="1">
      <alignment horizontal="center" vertical="center"/>
    </xf>
    <xf numFmtId="4" fontId="10" fillId="0" borderId="69" xfId="0" applyFont="1" applyBorder="1" applyAlignment="1">
      <alignment horizontal="center" vertical="center"/>
    </xf>
    <xf numFmtId="3" fontId="10" fillId="0" borderId="62" xfId="0" applyNumberFormat="1" applyFont="1" applyFill="1" applyBorder="1">
      <alignment vertical="center"/>
    </xf>
    <xf numFmtId="3" fontId="10" fillId="8" borderId="71" xfId="0" applyNumberFormat="1" applyFont="1" applyFill="1" applyBorder="1">
      <alignment vertical="center"/>
    </xf>
    <xf numFmtId="3" fontId="10" fillId="0" borderId="72" xfId="0" applyNumberFormat="1" applyFont="1" applyFill="1" applyBorder="1">
      <alignment vertical="center"/>
    </xf>
    <xf numFmtId="3" fontId="10" fillId="0" borderId="68" xfId="0" applyNumberFormat="1" applyFont="1" applyBorder="1" applyAlignment="1">
      <alignment horizontal="center" vertical="center"/>
    </xf>
    <xf numFmtId="3" fontId="10" fillId="0" borderId="53" xfId="1" applyNumberFormat="1" applyFont="1" applyBorder="1" applyAlignment="1">
      <alignment horizontal="center" vertical="center"/>
    </xf>
    <xf numFmtId="3" fontId="10" fillId="0" borderId="54" xfId="1" applyNumberFormat="1" applyFont="1" applyBorder="1" applyAlignment="1">
      <alignment horizontal="center" vertical="center"/>
    </xf>
    <xf numFmtId="4" fontId="10" fillId="0" borderId="73" xfId="0" applyFont="1" applyBorder="1" applyAlignment="1">
      <alignment horizontal="center" vertical="center"/>
    </xf>
    <xf numFmtId="0" fontId="10" fillId="0" borderId="74" xfId="1" applyNumberFormat="1" applyFont="1" applyBorder="1" applyAlignment="1">
      <alignment horizontal="center" vertical="center"/>
    </xf>
    <xf numFmtId="0" fontId="10" fillId="0" borderId="75" xfId="1" applyNumberFormat="1" applyFont="1" applyBorder="1" applyAlignment="1">
      <alignment horizontal="center" vertical="center"/>
    </xf>
    <xf numFmtId="4" fontId="16" fillId="0" borderId="53" xfId="0" applyFont="1" applyBorder="1" applyAlignment="1">
      <alignment horizontal="right" vertical="center"/>
    </xf>
    <xf numFmtId="0" fontId="10" fillId="0" borderId="73" xfId="1" applyNumberFormat="1" applyFont="1" applyBorder="1" applyAlignment="1">
      <alignment horizontal="center" vertical="center"/>
    </xf>
    <xf numFmtId="0" fontId="2" fillId="0" borderId="0" xfId="5" applyAlignment="1">
      <alignment vertical="center" wrapText="1"/>
    </xf>
    <xf numFmtId="0" fontId="2" fillId="0" borderId="0" xfId="5" applyAlignment="1">
      <alignment vertical="center"/>
    </xf>
    <xf numFmtId="0" fontId="2" fillId="0" borderId="0" xfId="5"/>
    <xf numFmtId="0" fontId="2" fillId="0" borderId="0" xfId="5" applyAlignment="1">
      <alignment horizontal="left" vertical="center"/>
    </xf>
    <xf numFmtId="0" fontId="2" fillId="0" borderId="0" xfId="5" applyAlignment="1">
      <alignment horizontal="right"/>
    </xf>
    <xf numFmtId="0" fontId="2" fillId="0" borderId="0" xfId="5" applyAlignment="1">
      <alignment horizontal="center"/>
    </xf>
    <xf numFmtId="0" fontId="20" fillId="0" borderId="0" xfId="6"/>
    <xf numFmtId="0" fontId="21" fillId="0" borderId="0" xfId="5" applyFont="1"/>
    <xf numFmtId="4" fontId="10" fillId="7" borderId="18" xfId="0" applyFont="1" applyFill="1" applyBorder="1">
      <alignment vertical="center"/>
    </xf>
    <xf numFmtId="165" fontId="10" fillId="0" borderId="75" xfId="2" applyNumberFormat="1" applyFont="1" applyBorder="1" applyAlignment="1">
      <alignment vertical="center"/>
    </xf>
    <xf numFmtId="4" fontId="11" fillId="0" borderId="76" xfId="0" applyFont="1" applyBorder="1">
      <alignment vertical="center"/>
    </xf>
    <xf numFmtId="4" fontId="11" fillId="0" borderId="77" xfId="0" applyFont="1" applyBorder="1" applyAlignment="1">
      <alignment horizontal="center" vertical="center"/>
    </xf>
    <xf numFmtId="4" fontId="10" fillId="7" borderId="76" xfId="0" applyFont="1" applyFill="1" applyBorder="1">
      <alignment vertical="center"/>
    </xf>
    <xf numFmtId="4" fontId="10" fillId="7" borderId="78" xfId="0" applyFont="1" applyFill="1" applyBorder="1" applyAlignment="1">
      <alignment horizontal="center" vertical="center"/>
    </xf>
    <xf numFmtId="4" fontId="10" fillId="7" borderId="77" xfId="0" applyFont="1" applyFill="1" applyBorder="1" applyAlignment="1">
      <alignment horizontal="center" vertical="center"/>
    </xf>
    <xf numFmtId="9" fontId="10" fillId="0" borderId="79" xfId="4" applyFont="1" applyBorder="1" applyAlignment="1">
      <alignment horizontal="center" vertical="center"/>
    </xf>
    <xf numFmtId="165" fontId="10" fillId="0" borderId="34" xfId="2" applyNumberFormat="1" applyFont="1" applyBorder="1" applyAlignment="1">
      <alignment horizontal="center" vertical="center"/>
    </xf>
    <xf numFmtId="43" fontId="10" fillId="0" borderId="43" xfId="1" applyFont="1" applyBorder="1" applyAlignment="1">
      <alignment horizontal="center" vertical="center"/>
    </xf>
    <xf numFmtId="0" fontId="10" fillId="0" borderId="81" xfId="1" applyNumberFormat="1" applyFont="1" applyBorder="1" applyAlignment="1">
      <alignment horizontal="center" vertical="center"/>
    </xf>
    <xf numFmtId="0" fontId="10" fillId="0" borderId="35" xfId="1" applyNumberFormat="1" applyFont="1" applyBorder="1" applyAlignment="1">
      <alignment horizontal="center" vertical="center"/>
    </xf>
    <xf numFmtId="3" fontId="10" fillId="0" borderId="43" xfId="0" applyNumberFormat="1" applyFont="1" applyBorder="1" applyAlignment="1">
      <alignment horizontal="center" vertical="center"/>
    </xf>
    <xf numFmtId="3" fontId="10" fillId="0" borderId="56" xfId="1" applyNumberFormat="1" applyFont="1" applyBorder="1" applyAlignment="1">
      <alignment horizontal="center" vertical="center"/>
    </xf>
    <xf numFmtId="3" fontId="10" fillId="0" borderId="80" xfId="1" applyNumberFormat="1" applyFont="1" applyBorder="1" applyAlignment="1">
      <alignment horizontal="center" vertical="center"/>
    </xf>
    <xf numFmtId="3" fontId="10" fillId="0" borderId="28" xfId="1" applyNumberFormat="1" applyFont="1" applyBorder="1" applyAlignment="1">
      <alignment horizontal="center" vertical="center"/>
    </xf>
    <xf numFmtId="4" fontId="22" fillId="0" borderId="0" xfId="0" applyFont="1">
      <alignment vertical="center"/>
    </xf>
    <xf numFmtId="4" fontId="0" fillId="0" borderId="84" xfId="0" applyFill="1" applyBorder="1" applyAlignment="1">
      <alignment vertical="center"/>
    </xf>
    <xf numFmtId="4" fontId="0" fillId="0" borderId="85" xfId="0" applyFill="1" applyBorder="1" applyAlignment="1">
      <alignment vertical="center"/>
    </xf>
    <xf numFmtId="3" fontId="10" fillId="10" borderId="58" xfId="0" applyNumberFormat="1" applyFont="1" applyFill="1" applyBorder="1" applyAlignment="1">
      <alignment horizontal="right" vertical="center"/>
    </xf>
    <xf numFmtId="3" fontId="10" fillId="10" borderId="54" xfId="0" applyNumberFormat="1" applyFont="1" applyFill="1" applyBorder="1" applyAlignment="1">
      <alignment horizontal="right" vertical="center"/>
    </xf>
    <xf numFmtId="4" fontId="10" fillId="10" borderId="0" xfId="0" applyFont="1" applyFill="1" applyBorder="1" applyAlignment="1">
      <alignment horizontal="center" vertical="center"/>
    </xf>
    <xf numFmtId="165" fontId="9" fillId="0" borderId="52" xfId="2" applyNumberFormat="1" applyFont="1" applyBorder="1" applyAlignment="1">
      <alignment vertical="center"/>
    </xf>
    <xf numFmtId="4" fontId="23" fillId="0" borderId="0" xfId="0" applyFont="1">
      <alignment vertical="center"/>
    </xf>
    <xf numFmtId="4" fontId="10" fillId="0" borderId="0" xfId="0" applyFont="1">
      <alignment vertical="center"/>
    </xf>
    <xf numFmtId="0" fontId="25" fillId="0" borderId="0" xfId="7" quotePrefix="1" applyNumberFormat="1" applyFont="1" applyAlignment="1"/>
    <xf numFmtId="0" fontId="25" fillId="0" borderId="0" xfId="7" applyNumberFormat="1" applyFont="1" applyAlignment="1"/>
    <xf numFmtId="165" fontId="10" fillId="0" borderId="52" xfId="2" applyNumberFormat="1" applyFont="1" applyBorder="1" applyAlignment="1">
      <alignment vertical="center"/>
    </xf>
    <xf numFmtId="3" fontId="10" fillId="10" borderId="53" xfId="0" applyNumberFormat="1" applyFont="1" applyFill="1" applyBorder="1" applyAlignment="1">
      <alignment horizontal="right" vertical="center"/>
    </xf>
    <xf numFmtId="4" fontId="10" fillId="10" borderId="21" xfId="0" applyFont="1" applyFill="1" applyBorder="1" applyAlignment="1">
      <alignment horizontal="center" vertical="center"/>
    </xf>
    <xf numFmtId="4" fontId="16" fillId="0" borderId="70" xfId="0" applyFont="1" applyFill="1" applyBorder="1" applyAlignment="1">
      <alignment horizontal="right" vertical="center"/>
    </xf>
    <xf numFmtId="4" fontId="9" fillId="0" borderId="74" xfId="0" applyFont="1" applyFill="1" applyBorder="1" applyAlignment="1">
      <alignment horizontal="center" vertical="center"/>
    </xf>
    <xf numFmtId="3" fontId="10" fillId="10" borderId="86" xfId="0" applyNumberFormat="1" applyFont="1" applyFill="1" applyBorder="1">
      <alignment vertical="center"/>
    </xf>
    <xf numFmtId="4" fontId="10" fillId="0" borderId="63" xfId="0" applyFont="1" applyFill="1" applyBorder="1" applyAlignment="1">
      <alignment horizontal="center" vertical="center"/>
    </xf>
    <xf numFmtId="164" fontId="10" fillId="10" borderId="87" xfId="0" applyNumberFormat="1" applyFont="1" applyFill="1" applyBorder="1">
      <alignment vertical="center"/>
    </xf>
    <xf numFmtId="4" fontId="10" fillId="10" borderId="89" xfId="0" applyFont="1" applyFill="1" applyBorder="1">
      <alignment vertical="center"/>
    </xf>
    <xf numFmtId="4" fontId="10" fillId="10" borderId="68" xfId="0" applyFont="1" applyFill="1" applyBorder="1">
      <alignment vertical="center"/>
    </xf>
    <xf numFmtId="3" fontId="10" fillId="8" borderId="59" xfId="0" applyNumberFormat="1" applyFont="1" applyFill="1" applyBorder="1">
      <alignment vertical="center"/>
    </xf>
    <xf numFmtId="3" fontId="10" fillId="8" borderId="90" xfId="0" applyNumberFormat="1" applyFont="1" applyFill="1" applyBorder="1">
      <alignment vertical="center"/>
    </xf>
    <xf numFmtId="3" fontId="10" fillId="0" borderId="91" xfId="0" applyNumberFormat="1" applyFont="1" applyFill="1" applyBorder="1">
      <alignment vertical="center"/>
    </xf>
    <xf numFmtId="4" fontId="10" fillId="0" borderId="65" xfId="0" applyFont="1" applyBorder="1">
      <alignment vertical="center"/>
    </xf>
    <xf numFmtId="4" fontId="26" fillId="0" borderId="0" xfId="0" applyFont="1" applyAlignment="1">
      <alignment horizontal="center" vertical="center"/>
    </xf>
    <xf numFmtId="4" fontId="10" fillId="0" borderId="0" xfId="0" applyFont="1" applyAlignment="1">
      <alignment horizontal="right" vertical="center"/>
    </xf>
    <xf numFmtId="4" fontId="10" fillId="0" borderId="65" xfId="0" applyFont="1" applyBorder="1" applyAlignment="1">
      <alignment horizontal="right" vertical="center"/>
    </xf>
    <xf numFmtId="4" fontId="10" fillId="0" borderId="66" xfId="0" applyFont="1" applyBorder="1" applyAlignment="1">
      <alignment horizontal="right" vertical="center"/>
    </xf>
    <xf numFmtId="4" fontId="10" fillId="0" borderId="67" xfId="0" applyFont="1" applyBorder="1" applyAlignment="1">
      <alignment horizontal="right" vertical="center"/>
    </xf>
    <xf numFmtId="4" fontId="10" fillId="0" borderId="63" xfId="0" applyFont="1" applyBorder="1" applyAlignment="1">
      <alignment horizontal="left" vertical="center"/>
    </xf>
    <xf numFmtId="4" fontId="10" fillId="0" borderId="68" xfId="0" applyFont="1" applyBorder="1" applyAlignment="1">
      <alignment horizontal="left" vertical="center"/>
    </xf>
    <xf numFmtId="4" fontId="16" fillId="0" borderId="68" xfId="0" applyFont="1" applyBorder="1" applyAlignment="1">
      <alignment horizontal="right" vertical="center"/>
    </xf>
    <xf numFmtId="4" fontId="10" fillId="0" borderId="64" xfId="0" applyFont="1" applyBorder="1" applyAlignment="1">
      <alignment horizontal="left" vertical="center"/>
    </xf>
    <xf numFmtId="4" fontId="10" fillId="0" borderId="63" xfId="0" applyFont="1" applyBorder="1">
      <alignment vertical="center"/>
    </xf>
    <xf numFmtId="4" fontId="10" fillId="0" borderId="68" xfId="0" applyFont="1" applyBorder="1">
      <alignment vertical="center"/>
    </xf>
    <xf numFmtId="4" fontId="10" fillId="0" borderId="47" xfId="0" applyFont="1" applyBorder="1" applyAlignment="1">
      <alignment horizontal="left" vertical="center"/>
    </xf>
    <xf numFmtId="4" fontId="10" fillId="0" borderId="64" xfId="0" applyFont="1" applyBorder="1">
      <alignment vertical="center"/>
    </xf>
    <xf numFmtId="4" fontId="10" fillId="0" borderId="50" xfId="0" applyFont="1" applyBorder="1" applyAlignment="1">
      <alignment horizontal="left" vertical="center"/>
    </xf>
    <xf numFmtId="4" fontId="10" fillId="0" borderId="0" xfId="0" applyFont="1" applyFill="1">
      <alignment vertical="center"/>
    </xf>
    <xf numFmtId="3" fontId="10" fillId="10" borderId="88" xfId="0" applyNumberFormat="1" applyFont="1" applyFill="1" applyBorder="1">
      <alignment vertical="center"/>
    </xf>
    <xf numFmtId="4" fontId="0" fillId="11" borderId="84" xfId="0" applyFill="1" applyBorder="1" applyAlignment="1">
      <alignment vertical="center"/>
    </xf>
    <xf numFmtId="4" fontId="0" fillId="11" borderId="85" xfId="0" applyFill="1" applyBorder="1" applyAlignment="1">
      <alignment vertical="center"/>
    </xf>
    <xf numFmtId="4" fontId="0" fillId="12" borderId="84" xfId="0" applyFill="1" applyBorder="1" applyAlignment="1">
      <alignment vertical="center"/>
    </xf>
    <xf numFmtId="166" fontId="10" fillId="0" borderId="0" xfId="0" applyNumberFormat="1" applyFont="1">
      <alignment vertical="center"/>
    </xf>
    <xf numFmtId="0" fontId="17" fillId="0" borderId="0" xfId="5" applyFont="1" applyAlignment="1">
      <alignment horizontal="left" vertical="center" wrapText="1"/>
    </xf>
    <xf numFmtId="0" fontId="17" fillId="0" borderId="0" xfId="5" applyFont="1" applyAlignment="1">
      <alignment horizontal="center" vertical="center" wrapText="1"/>
    </xf>
    <xf numFmtId="4" fontId="10" fillId="0" borderId="0" xfId="0" applyFont="1" applyFill="1" applyAlignment="1">
      <alignment horizontal="left" vertical="center" wrapText="1"/>
    </xf>
    <xf numFmtId="4" fontId="10" fillId="0" borderId="0" xfId="0" applyFont="1" applyAlignment="1">
      <alignment horizontal="left" vertical="center" wrapText="1"/>
    </xf>
    <xf numFmtId="4" fontId="27" fillId="0" borderId="82" xfId="0" applyFont="1" applyFill="1" applyBorder="1" applyAlignment="1">
      <alignment horizontal="center" vertical="center"/>
    </xf>
    <xf numFmtId="4" fontId="27" fillId="0" borderId="83" xfId="0" applyFont="1" applyFill="1" applyBorder="1" applyAlignment="1">
      <alignment horizontal="center" vertical="center"/>
    </xf>
    <xf numFmtId="0" fontId="1" fillId="0" borderId="0" xfId="5" applyFont="1"/>
  </cellXfs>
  <cellStyles count="8">
    <cellStyle name="Comma" xfId="1" builtinId="3"/>
    <cellStyle name="Currency" xfId="2" builtinId="4"/>
    <cellStyle name="Frank" xfId="3" xr:uid="{00000000-0005-0000-0000-000002000000}"/>
    <cellStyle name="Hyperlink" xfId="7" builtinId="8"/>
    <cellStyle name="Hyperlink 2" xfId="6" xr:uid="{C5C6D851-2321-2E48-8973-B60606BCB804}"/>
    <cellStyle name="Normal" xfId="0" builtinId="0"/>
    <cellStyle name="Normal 2" xfId="5" xr:uid="{A05EE76C-7B80-D04C-A688-F70124741E27}"/>
    <cellStyle name="Percent" xfId="4" builtinId="5"/>
  </cellStyles>
  <dxfs count="0"/>
  <tableStyles count="0" defaultTableStyle="TableStyleMedium9" defaultPivotStyle="PivotStyleLight16"/>
  <colors>
    <mruColors>
      <color rgb="FF00FA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377136</xdr:colOff>
      <xdr:row>2</xdr:row>
      <xdr:rowOff>110435</xdr:rowOff>
    </xdr:from>
    <xdr:to>
      <xdr:col>5</xdr:col>
      <xdr:colOff>1131637</xdr:colOff>
      <xdr:row>8</xdr:row>
      <xdr:rowOff>309218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50294C-F396-424C-A567-AFB6ADCEA4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020" t="10266" b="5193"/>
        <a:stretch/>
      </xdr:blipFill>
      <xdr:spPr>
        <a:xfrm>
          <a:off x="4761397" y="508000"/>
          <a:ext cx="4200066" cy="2219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14F2-1CE8-774C-BE92-35F681EF461A}">
  <dimension ref="A1:G21"/>
  <sheetViews>
    <sheetView showGridLines="0" tabSelected="1" zoomScaleNormal="100" workbookViewId="0">
      <selection activeCell="B23" sqref="B23"/>
    </sheetView>
  </sheetViews>
  <sheetFormatPr defaultColWidth="11" defaultRowHeight="15.75"/>
  <cols>
    <col min="1" max="1" width="11" style="198"/>
    <col min="2" max="2" width="104" style="198" bestFit="1" customWidth="1"/>
    <col min="3" max="3" width="24.3984375" style="198" customWidth="1"/>
    <col min="4" max="6" width="33" style="198" customWidth="1"/>
    <col min="7" max="7" width="27.59765625" style="198" customWidth="1"/>
    <col min="8" max="16384" width="11" style="198"/>
  </cols>
  <sheetData>
    <row r="1" spans="1:7">
      <c r="A1" s="196"/>
      <c r="B1" s="197"/>
      <c r="C1" s="197"/>
      <c r="D1" s="197"/>
      <c r="E1" s="197"/>
      <c r="F1" s="197"/>
      <c r="G1" s="197"/>
    </row>
    <row r="2" spans="1:7">
      <c r="A2" s="197"/>
      <c r="B2" s="197"/>
      <c r="C2" s="197"/>
      <c r="D2" s="197"/>
      <c r="E2" s="197"/>
      <c r="F2" s="197"/>
      <c r="G2" s="197"/>
    </row>
    <row r="3" spans="1:7" ht="15.95" customHeight="1">
      <c r="A3" s="197"/>
      <c r="B3" s="265" t="s">
        <v>91</v>
      </c>
      <c r="C3" s="265"/>
      <c r="D3" s="266"/>
      <c r="E3" s="266"/>
      <c r="F3" s="199"/>
      <c r="G3" s="197"/>
    </row>
    <row r="4" spans="1:7" ht="29.1" customHeight="1">
      <c r="A4" s="197"/>
      <c r="B4" s="265"/>
      <c r="C4" s="265"/>
      <c r="D4" s="266"/>
      <c r="E4" s="266"/>
      <c r="F4" s="199"/>
      <c r="G4" s="197"/>
    </row>
    <row r="5" spans="1:7" ht="29.1" customHeight="1">
      <c r="A5" s="197"/>
      <c r="B5" s="265"/>
      <c r="C5" s="265"/>
      <c r="D5" s="266"/>
      <c r="E5" s="266"/>
      <c r="F5" s="199"/>
      <c r="G5" s="197"/>
    </row>
    <row r="6" spans="1:7" ht="29.1" customHeight="1">
      <c r="A6" s="197"/>
      <c r="B6" s="265"/>
      <c r="C6" s="265"/>
      <c r="D6" s="266"/>
      <c r="E6" s="266"/>
      <c r="F6" s="199"/>
      <c r="G6" s="197"/>
    </row>
    <row r="7" spans="1:7" ht="29.1" customHeight="1">
      <c r="A7" s="197"/>
      <c r="B7" s="265"/>
      <c r="C7" s="265"/>
      <c r="D7" s="266"/>
      <c r="E7" s="266"/>
      <c r="F7" s="199"/>
      <c r="G7" s="197"/>
    </row>
    <row r="8" spans="1:7" ht="29.1" customHeight="1">
      <c r="A8" s="197"/>
      <c r="B8" s="265"/>
      <c r="C8" s="265"/>
      <c r="D8" s="266"/>
      <c r="E8" s="266"/>
      <c r="F8" s="199"/>
      <c r="G8" s="197"/>
    </row>
    <row r="9" spans="1:7" ht="29.1" customHeight="1">
      <c r="A9" s="197"/>
      <c r="B9" s="203" t="s">
        <v>85</v>
      </c>
      <c r="C9" s="197"/>
      <c r="D9" s="197"/>
      <c r="E9" s="197"/>
      <c r="F9" s="197"/>
      <c r="G9" s="197"/>
    </row>
    <row r="11" spans="1:7">
      <c r="B11" s="200" t="s">
        <v>86</v>
      </c>
      <c r="C11" s="200" t="s">
        <v>87</v>
      </c>
      <c r="D11" s="200" t="s">
        <v>88</v>
      </c>
      <c r="E11" s="200" t="s">
        <v>89</v>
      </c>
      <c r="F11" s="200" t="s">
        <v>90</v>
      </c>
    </row>
    <row r="12" spans="1:7">
      <c r="B12" s="201"/>
      <c r="C12" s="201"/>
      <c r="D12" s="201"/>
      <c r="E12" s="201"/>
    </row>
    <row r="14" spans="1:7">
      <c r="B14" s="198" t="s">
        <v>140</v>
      </c>
      <c r="C14" s="200"/>
    </row>
    <row r="15" spans="1:7">
      <c r="B15" s="229" t="s">
        <v>139</v>
      </c>
      <c r="D15" s="202"/>
    </row>
    <row r="16" spans="1:7">
      <c r="B16" s="230" t="s">
        <v>141</v>
      </c>
      <c r="D16" s="202"/>
    </row>
    <row r="17" spans="2:4">
      <c r="B17" s="230" t="s">
        <v>142</v>
      </c>
      <c r="D17" s="202"/>
    </row>
    <row r="18" spans="2:4">
      <c r="B18" s="230" t="s">
        <v>144</v>
      </c>
    </row>
    <row r="19" spans="2:4">
      <c r="B19" s="230" t="s">
        <v>143</v>
      </c>
    </row>
    <row r="20" spans="2:4">
      <c r="B20" s="271"/>
    </row>
    <row r="21" spans="2:4">
      <c r="B21" s="271"/>
    </row>
  </sheetData>
  <mergeCells count="2">
    <mergeCell ref="B3:C8"/>
    <mergeCell ref="D3:E8"/>
  </mergeCells>
  <hyperlinks>
    <hyperlink ref="B15" location="Analysis!A1" display="Analysis" xr:uid="{518EC7FE-5E77-4759-9B6A-5BB2CAB2F16D}"/>
    <hyperlink ref="B16" location="Model!A1" display="Model" xr:uid="{CAF359A4-EECD-4B96-AB44-7D39B8B60974}"/>
    <hyperlink ref="B19" location="'Further Analysis'!A1" display="Further Analysis" xr:uid="{1A266849-3493-4EB4-9854-7700026DEDDC}"/>
    <hyperlink ref="B18" location="'Tab to Play With'!A1" display="Tab To Play With" xr:uid="{507047C2-1BC1-44FA-8334-AD79CE8E9487}"/>
    <hyperlink ref="B17" location="'Sensitivity Report'!A1" display="Sensitivity Report" xr:uid="{C389BB6F-15CF-4832-A962-CC34DAD6B342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80E7-53CC-D54F-9DF7-EDD39144EF6A}">
  <dimension ref="B1:P31"/>
  <sheetViews>
    <sheetView showGridLines="0" zoomScaleNormal="100" workbookViewId="0"/>
  </sheetViews>
  <sheetFormatPr defaultColWidth="30" defaultRowHeight="14.25"/>
  <cols>
    <col min="1" max="1" width="4.59765625" style="41" customWidth="1"/>
    <col min="2" max="2" width="45.3984375" style="41" customWidth="1"/>
    <col min="3" max="5" width="30" style="41"/>
    <col min="6" max="6" width="10" style="41" customWidth="1"/>
    <col min="7" max="7" width="62" style="41" customWidth="1"/>
    <col min="8" max="8" width="13.59765625" style="41" bestFit="1" customWidth="1"/>
    <col min="9" max="9" width="29.3984375" style="41" bestFit="1" customWidth="1"/>
    <col min="10" max="10" width="13.59765625" style="41" bestFit="1" customWidth="1"/>
    <col min="11" max="11" width="8.3984375" style="41" customWidth="1"/>
    <col min="12" max="12" width="40.59765625" style="41" customWidth="1"/>
    <col min="13" max="14" width="30" style="41"/>
    <col min="15" max="15" width="30" style="41" customWidth="1"/>
    <col min="16" max="16384" width="30" style="41"/>
  </cols>
  <sheetData>
    <row r="1" spans="2:16" ht="15" thickBot="1"/>
    <row r="2" spans="2:16" ht="16.5" thickTop="1" thickBot="1">
      <c r="B2" s="42"/>
      <c r="C2" s="43" t="s">
        <v>50</v>
      </c>
      <c r="D2" s="44" t="s">
        <v>51</v>
      </c>
      <c r="E2" s="45" t="s">
        <v>52</v>
      </c>
      <c r="G2" s="46" t="s">
        <v>59</v>
      </c>
      <c r="H2" s="47"/>
      <c r="I2" s="47"/>
      <c r="J2" s="48"/>
      <c r="L2" s="29"/>
      <c r="M2" s="30" t="s">
        <v>34</v>
      </c>
      <c r="N2" s="30" t="s">
        <v>35</v>
      </c>
      <c r="O2" s="30" t="s">
        <v>36</v>
      </c>
      <c r="P2" s="31" t="s">
        <v>21</v>
      </c>
    </row>
    <row r="3" spans="2:16" ht="15.75" thickBot="1">
      <c r="B3" s="49" t="s">
        <v>4</v>
      </c>
      <c r="C3" s="50">
        <v>12</v>
      </c>
      <c r="D3" s="51">
        <v>13.5</v>
      </c>
      <c r="E3" s="52">
        <v>11.399999999999999</v>
      </c>
      <c r="G3" s="53" t="s">
        <v>7</v>
      </c>
      <c r="H3" s="54"/>
      <c r="I3" s="54"/>
      <c r="J3" s="55"/>
      <c r="L3" s="32" t="s">
        <v>43</v>
      </c>
      <c r="M3" s="33">
        <v>600000</v>
      </c>
      <c r="N3" s="33">
        <v>0</v>
      </c>
      <c r="O3" s="33">
        <v>0</v>
      </c>
      <c r="P3" s="34">
        <f>SUM(M3:O3)</f>
        <v>600000</v>
      </c>
    </row>
    <row r="4" spans="2:16" ht="15">
      <c r="B4" s="56" t="s">
        <v>49</v>
      </c>
      <c r="C4" s="57">
        <v>18</v>
      </c>
      <c r="D4" s="58">
        <v>20</v>
      </c>
      <c r="E4" s="59">
        <v>25</v>
      </c>
      <c r="G4" s="60" t="s">
        <v>0</v>
      </c>
      <c r="H4" s="61" t="s">
        <v>39</v>
      </c>
      <c r="I4" s="61" t="s">
        <v>40</v>
      </c>
      <c r="J4" s="62" t="s">
        <v>41</v>
      </c>
      <c r="L4" s="35" t="s">
        <v>44</v>
      </c>
      <c r="M4" s="33">
        <v>200000</v>
      </c>
      <c r="N4" s="33">
        <v>0</v>
      </c>
      <c r="O4" s="33">
        <v>2000000</v>
      </c>
      <c r="P4" s="34">
        <f>SUM(M4:O4)</f>
        <v>2200000</v>
      </c>
    </row>
    <row r="5" spans="2:16" ht="15">
      <c r="B5" s="56" t="s">
        <v>53</v>
      </c>
      <c r="C5" s="63">
        <v>0.18</v>
      </c>
      <c r="D5" s="64">
        <v>0.18</v>
      </c>
      <c r="E5" s="65">
        <v>0.18</v>
      </c>
      <c r="G5" s="66" t="s">
        <v>4</v>
      </c>
      <c r="H5" s="93">
        <v>12</v>
      </c>
      <c r="I5" s="93">
        <v>13.5</v>
      </c>
      <c r="J5" s="67">
        <v>11.399999999999999</v>
      </c>
      <c r="L5" s="32" t="s">
        <v>11</v>
      </c>
      <c r="M5" s="36">
        <f>SUM(M3:M4)</f>
        <v>800000</v>
      </c>
      <c r="N5" s="36">
        <f>SUM(N3:N4)</f>
        <v>0</v>
      </c>
      <c r="O5" s="36">
        <f>SUM(O3:O4)</f>
        <v>2000000</v>
      </c>
      <c r="P5" s="34">
        <f>SUM(M5:O5)</f>
        <v>2800000</v>
      </c>
    </row>
    <row r="6" spans="2:16" ht="15.75" thickBot="1">
      <c r="B6" s="56" t="s">
        <v>60</v>
      </c>
      <c r="C6" s="130">
        <f>($C$25*C12+$C$26*C13)/100</f>
        <v>0.24854999999999997</v>
      </c>
      <c r="D6" s="131">
        <f>($C$25*D12+$C$26*D13)/100</f>
        <v>0.18645</v>
      </c>
      <c r="E6" s="132">
        <f>($C$25*E12+$C$26*E13)/100</f>
        <v>0.15539999999999998</v>
      </c>
      <c r="G6" s="68" t="s">
        <v>69</v>
      </c>
      <c r="H6" s="69">
        <v>7.56</v>
      </c>
      <c r="I6" s="69">
        <v>9.5399999999999991</v>
      </c>
      <c r="J6" s="70">
        <v>5.8500000000000005</v>
      </c>
      <c r="L6" s="37" t="s">
        <v>45</v>
      </c>
      <c r="M6" s="38">
        <f>M5/C4</f>
        <v>44444.444444444445</v>
      </c>
      <c r="N6" s="38">
        <f t="shared" ref="N6:O6" si="0">N5/D4</f>
        <v>0</v>
      </c>
      <c r="O6" s="39">
        <f t="shared" si="0"/>
        <v>80000</v>
      </c>
      <c r="P6" s="40"/>
    </row>
    <row r="7" spans="2:16" ht="15">
      <c r="B7" s="56" t="s">
        <v>37</v>
      </c>
      <c r="C7" s="71">
        <v>800000</v>
      </c>
      <c r="D7" s="72">
        <v>50000</v>
      </c>
      <c r="E7" s="73">
        <v>80000</v>
      </c>
      <c r="G7" s="74" t="s">
        <v>10</v>
      </c>
      <c r="H7" s="93">
        <f>H5-H6</f>
        <v>4.4400000000000004</v>
      </c>
      <c r="I7" s="93">
        <f t="shared" ref="I7:J7" si="1">I5-I6</f>
        <v>3.9600000000000009</v>
      </c>
      <c r="J7" s="67">
        <f t="shared" si="1"/>
        <v>5.549999999999998</v>
      </c>
      <c r="O7" s="25" t="s">
        <v>48</v>
      </c>
      <c r="P7" s="26">
        <f>SUMPRODUCT(M6:O6,H9:J9)</f>
        <v>137333.3333333332</v>
      </c>
    </row>
    <row r="8" spans="2:16" ht="15.75" thickBot="1">
      <c r="B8" s="56" t="s">
        <v>38</v>
      </c>
      <c r="C8" s="71">
        <f>C4*C7</f>
        <v>14400000</v>
      </c>
      <c r="D8" s="72">
        <f t="shared" ref="D8:E8" si="2">D4*D7</f>
        <v>1000000</v>
      </c>
      <c r="E8" s="73">
        <f t="shared" si="2"/>
        <v>2000000</v>
      </c>
      <c r="G8" s="75" t="s">
        <v>9</v>
      </c>
      <c r="H8" s="69">
        <f>C4*C5</f>
        <v>3.2399999999999998</v>
      </c>
      <c r="I8" s="69">
        <f>D4*D5</f>
        <v>3.5999999999999996</v>
      </c>
      <c r="J8" s="70">
        <f>E4*E5</f>
        <v>4.5</v>
      </c>
      <c r="O8" s="27" t="s">
        <v>62</v>
      </c>
      <c r="P8" s="28">
        <f>SUMPRODUCT(M6:O6,H11:J11)</f>
        <v>44799.999999999862</v>
      </c>
    </row>
    <row r="9" spans="2:16" ht="15.75" thickBot="1">
      <c r="B9" s="76" t="s">
        <v>47</v>
      </c>
      <c r="C9" s="77">
        <v>8</v>
      </c>
      <c r="D9" s="78">
        <v>6</v>
      </c>
      <c r="E9" s="79">
        <v>5</v>
      </c>
      <c r="G9" s="74" t="s">
        <v>65</v>
      </c>
      <c r="H9" s="93">
        <f>H7-H8</f>
        <v>1.2000000000000006</v>
      </c>
      <c r="I9" s="93">
        <f t="shared" ref="I9:J9" si="3">I7-I8</f>
        <v>0.36000000000000121</v>
      </c>
      <c r="J9" s="67">
        <f t="shared" si="3"/>
        <v>1.049999999999998</v>
      </c>
    </row>
    <row r="10" spans="2:16" ht="15.75" thickBot="1">
      <c r="G10" s="75" t="s">
        <v>56</v>
      </c>
      <c r="H10" s="69">
        <v>0.84000000000000008</v>
      </c>
      <c r="I10" s="69">
        <v>0.63</v>
      </c>
      <c r="J10" s="70">
        <v>0.69000000000000006</v>
      </c>
      <c r="L10" s="80" t="s">
        <v>57</v>
      </c>
      <c r="M10" s="81">
        <f t="shared" ref="M10:O11" si="4">M$5*C12</f>
        <v>600000</v>
      </c>
      <c r="N10" s="81">
        <f t="shared" si="4"/>
        <v>0</v>
      </c>
      <c r="O10" s="82">
        <f t="shared" si="4"/>
        <v>0</v>
      </c>
    </row>
    <row r="11" spans="2:16" ht="15.75" thickBot="1">
      <c r="B11" s="42"/>
      <c r="C11" s="43" t="s">
        <v>50</v>
      </c>
      <c r="D11" s="44" t="s">
        <v>51</v>
      </c>
      <c r="E11" s="45" t="s">
        <v>52</v>
      </c>
      <c r="G11" s="104" t="s">
        <v>6</v>
      </c>
      <c r="H11" s="105">
        <f>H9-H10</f>
        <v>0.36000000000000054</v>
      </c>
      <c r="I11" s="105">
        <f t="shared" ref="I11:J11" si="5">I9-I10</f>
        <v>-0.2699999999999988</v>
      </c>
      <c r="J11" s="106">
        <f t="shared" si="5"/>
        <v>0.35999999999999799</v>
      </c>
      <c r="L11" s="83" t="s">
        <v>58</v>
      </c>
      <c r="M11" s="84">
        <f t="shared" si="4"/>
        <v>200000</v>
      </c>
      <c r="N11" s="84">
        <f t="shared" si="4"/>
        <v>0</v>
      </c>
      <c r="O11" s="85">
        <f t="shared" si="4"/>
        <v>2000000</v>
      </c>
    </row>
    <row r="12" spans="2:16" ht="15.75" thickTop="1">
      <c r="B12" s="49" t="s">
        <v>55</v>
      </c>
      <c r="C12" s="86">
        <v>0.75</v>
      </c>
      <c r="D12" s="87">
        <v>0.25</v>
      </c>
      <c r="E12" s="88">
        <v>0</v>
      </c>
      <c r="G12" s="41" t="s">
        <v>75</v>
      </c>
    </row>
    <row r="13" spans="2:16" ht="15.75" thickBot="1">
      <c r="B13" s="76" t="s">
        <v>54</v>
      </c>
      <c r="C13" s="89">
        <f>1-C12</f>
        <v>0.25</v>
      </c>
      <c r="D13" s="90">
        <v>0.75</v>
      </c>
      <c r="E13" s="91">
        <v>1</v>
      </c>
    </row>
    <row r="14" spans="2:16" ht="15" thickBot="1"/>
    <row r="15" spans="2:16" ht="16.5" thickTop="1" thickBot="1">
      <c r="B15" s="135" t="s">
        <v>46</v>
      </c>
      <c r="C15" s="137" t="s">
        <v>43</v>
      </c>
      <c r="D15" s="138" t="s">
        <v>44</v>
      </c>
      <c r="G15" s="46" t="s">
        <v>61</v>
      </c>
      <c r="H15" s="47"/>
      <c r="I15" s="47"/>
      <c r="J15" s="48"/>
      <c r="L15" s="29"/>
      <c r="M15" s="30" t="s">
        <v>34</v>
      </c>
      <c r="N15" s="30" t="s">
        <v>35</v>
      </c>
      <c r="O15" s="30" t="s">
        <v>36</v>
      </c>
      <c r="P15" s="31" t="s">
        <v>21</v>
      </c>
    </row>
    <row r="16" spans="2:16" ht="15.75" thickBot="1">
      <c r="B16" s="143"/>
      <c r="C16" s="141">
        <v>0.2</v>
      </c>
      <c r="D16" s="140">
        <v>0.8</v>
      </c>
      <c r="G16" s="53" t="s">
        <v>7</v>
      </c>
      <c r="H16" s="54"/>
      <c r="I16" s="54"/>
      <c r="J16" s="55"/>
      <c r="L16" s="32" t="s">
        <v>43</v>
      </c>
      <c r="M16" s="33">
        <v>0</v>
      </c>
      <c r="N16" s="33">
        <v>600000</v>
      </c>
      <c r="O16" s="33">
        <v>0</v>
      </c>
      <c r="P16" s="34">
        <f>SUM(M16:O16)</f>
        <v>600000</v>
      </c>
    </row>
    <row r="17" spans="2:16" ht="15">
      <c r="B17" s="216">
        <v>3000000</v>
      </c>
      <c r="C17" s="217">
        <v>600000</v>
      </c>
      <c r="D17" s="219">
        <v>2400000</v>
      </c>
      <c r="G17" s="60" t="s">
        <v>0</v>
      </c>
      <c r="H17" s="61" t="s">
        <v>39</v>
      </c>
      <c r="I17" s="61" t="s">
        <v>40</v>
      </c>
      <c r="J17" s="62" t="s">
        <v>41</v>
      </c>
      <c r="L17" s="35" t="s">
        <v>44</v>
      </c>
      <c r="M17" s="33">
        <v>0</v>
      </c>
      <c r="N17" s="33">
        <v>400000</v>
      </c>
      <c r="O17" s="33">
        <v>2000000</v>
      </c>
      <c r="P17" s="34">
        <f>SUM(M17:O17)</f>
        <v>2400000</v>
      </c>
    </row>
    <row r="18" spans="2:16" ht="15.75" thickBot="1">
      <c r="B18" s="144" t="s">
        <v>47</v>
      </c>
      <c r="C18" s="142">
        <v>9</v>
      </c>
      <c r="D18" s="139">
        <v>5</v>
      </c>
      <c r="G18" s="66" t="s">
        <v>4</v>
      </c>
      <c r="H18" s="93">
        <v>12</v>
      </c>
      <c r="I18" s="93">
        <v>13.5</v>
      </c>
      <c r="J18" s="67">
        <v>11.399999999999999</v>
      </c>
      <c r="L18" s="32" t="s">
        <v>11</v>
      </c>
      <c r="M18" s="36">
        <f>SUM(M16:M17)</f>
        <v>0</v>
      </c>
      <c r="N18" s="36">
        <f>SUM(N16:N17)</f>
        <v>1000000</v>
      </c>
      <c r="O18" s="36">
        <f>SUM(O16:O17)</f>
        <v>2000000</v>
      </c>
      <c r="P18" s="34">
        <f>SUM(M18:O18)</f>
        <v>3000000</v>
      </c>
    </row>
    <row r="19" spans="2:16" ht="15.75" thickBot="1">
      <c r="G19" s="68" t="s">
        <v>69</v>
      </c>
      <c r="H19" s="69">
        <v>7.56</v>
      </c>
      <c r="I19" s="69">
        <v>9.5399999999999991</v>
      </c>
      <c r="J19" s="70">
        <v>5.8500000000000005</v>
      </c>
      <c r="L19" s="37" t="s">
        <v>45</v>
      </c>
      <c r="M19" s="38">
        <f>M18/C4</f>
        <v>0</v>
      </c>
      <c r="N19" s="38">
        <f>N18/D4</f>
        <v>50000</v>
      </c>
      <c r="O19" s="38">
        <f>O18/E4</f>
        <v>80000</v>
      </c>
      <c r="P19" s="101"/>
    </row>
    <row r="20" spans="2:16" ht="15.75" thickBot="1">
      <c r="G20" s="74" t="s">
        <v>10</v>
      </c>
      <c r="H20" s="93">
        <f>H18-H19</f>
        <v>4.4400000000000004</v>
      </c>
      <c r="I20" s="93">
        <f t="shared" ref="I20" si="6">I18-I19</f>
        <v>3.9600000000000009</v>
      </c>
      <c r="J20" s="67">
        <f t="shared" ref="J20" si="7">J18-J19</f>
        <v>5.549999999999998</v>
      </c>
      <c r="O20" s="25" t="s">
        <v>48</v>
      </c>
      <c r="P20" s="26">
        <f>SUMPRODUCT(M19:O19,H22:J22)</f>
        <v>143999.99999999988</v>
      </c>
    </row>
    <row r="21" spans="2:16" ht="15.75" thickBot="1">
      <c r="B21" s="94" t="s">
        <v>16</v>
      </c>
      <c r="C21" s="95"/>
      <c r="D21" s="95"/>
      <c r="E21" s="96"/>
      <c r="G21" s="75" t="s">
        <v>9</v>
      </c>
      <c r="H21" s="69">
        <f>C4*C6</f>
        <v>4.4738999999999995</v>
      </c>
      <c r="I21" s="128">
        <v>3.72</v>
      </c>
      <c r="J21" s="129">
        <v>3.9</v>
      </c>
      <c r="O21" s="27" t="s">
        <v>62</v>
      </c>
      <c r="P21" s="28">
        <f>SUMPRODUCT(M19:O19,H24:J24)</f>
        <v>143999.99999999988</v>
      </c>
    </row>
    <row r="22" spans="2:16" ht="15.75" thickBot="1">
      <c r="B22" s="92" t="s">
        <v>17</v>
      </c>
      <c r="C22" s="97"/>
      <c r="D22" s="97"/>
      <c r="E22" s="98"/>
      <c r="G22" s="74" t="s">
        <v>65</v>
      </c>
      <c r="H22" s="93">
        <f>H20-H21</f>
        <v>-3.3899999999999153E-2</v>
      </c>
      <c r="I22" s="93">
        <f t="shared" ref="I22:J22" si="8">I20-I21</f>
        <v>0.24000000000000066</v>
      </c>
      <c r="J22" s="67">
        <f t="shared" si="8"/>
        <v>1.6499999999999981</v>
      </c>
    </row>
    <row r="23" spans="2:16" ht="15">
      <c r="B23" s="92" t="s">
        <v>42</v>
      </c>
      <c r="C23" s="97"/>
      <c r="D23" s="97"/>
      <c r="E23" s="98"/>
      <c r="G23" s="75" t="s">
        <v>56</v>
      </c>
      <c r="H23" s="69">
        <v>0</v>
      </c>
      <c r="I23" s="69">
        <v>0</v>
      </c>
      <c r="J23" s="70">
        <v>0</v>
      </c>
      <c r="L23" s="80" t="s">
        <v>57</v>
      </c>
      <c r="M23" s="81">
        <f t="shared" ref="M23:O24" si="9">M$18*C12</f>
        <v>0</v>
      </c>
      <c r="N23" s="81">
        <f t="shared" si="9"/>
        <v>250000</v>
      </c>
      <c r="O23" s="82">
        <f t="shared" si="9"/>
        <v>0</v>
      </c>
    </row>
    <row r="24" spans="2:16" ht="15.75" thickBot="1">
      <c r="B24" s="92" t="s">
        <v>18</v>
      </c>
      <c r="C24" s="97"/>
      <c r="D24" s="97"/>
      <c r="E24" s="98"/>
      <c r="G24" s="104" t="s">
        <v>6</v>
      </c>
      <c r="H24" s="105">
        <f>H22-H23</f>
        <v>-3.3899999999999153E-2</v>
      </c>
      <c r="I24" s="105">
        <f t="shared" ref="I24" si="10">I22-I23</f>
        <v>0.24000000000000066</v>
      </c>
      <c r="J24" s="106">
        <f t="shared" ref="J24" si="11">J22-J23</f>
        <v>1.6499999999999981</v>
      </c>
      <c r="L24" s="121" t="s">
        <v>58</v>
      </c>
      <c r="M24" s="119">
        <f t="shared" si="9"/>
        <v>0</v>
      </c>
      <c r="N24" s="119">
        <f t="shared" si="9"/>
        <v>750000</v>
      </c>
      <c r="O24" s="122">
        <f t="shared" si="9"/>
        <v>2000000</v>
      </c>
    </row>
    <row r="25" spans="2:16" ht="15.75" thickTop="1">
      <c r="B25" s="99" t="s">
        <v>12</v>
      </c>
      <c r="C25" s="126">
        <v>27.96</v>
      </c>
      <c r="D25" s="100" t="s">
        <v>14</v>
      </c>
      <c r="E25" s="133">
        <v>27.931034482758619</v>
      </c>
      <c r="L25" s="121" t="s">
        <v>70</v>
      </c>
      <c r="M25" s="120">
        <f>IFERROR(M16/M$18,0)</f>
        <v>0</v>
      </c>
      <c r="N25" s="120">
        <f t="shared" ref="N25:O25" si="12">IFERROR(N16/N$18,0)</f>
        <v>0.6</v>
      </c>
      <c r="O25" s="123">
        <f t="shared" si="12"/>
        <v>0</v>
      </c>
    </row>
    <row r="26" spans="2:16" ht="15.75" thickBot="1">
      <c r="B26" s="102" t="s">
        <v>13</v>
      </c>
      <c r="C26" s="127">
        <v>15.54</v>
      </c>
      <c r="D26" s="103" t="s">
        <v>14</v>
      </c>
      <c r="E26" s="134">
        <v>15.517241379310345</v>
      </c>
      <c r="L26" s="83" t="s">
        <v>71</v>
      </c>
      <c r="M26" s="90">
        <f>IFERROR(M17/M$18,0)</f>
        <v>0</v>
      </c>
      <c r="N26" s="90">
        <f t="shared" ref="N26:O26" si="13">IFERROR(N17/N$18,0)</f>
        <v>0.4</v>
      </c>
      <c r="O26" s="91">
        <f t="shared" si="13"/>
        <v>1</v>
      </c>
    </row>
    <row r="28" spans="2:16" ht="15">
      <c r="B28" s="124" t="s">
        <v>60</v>
      </c>
      <c r="C28" s="125">
        <f>($C$25*$M$25+$C$26*$M$26)/100</f>
        <v>0</v>
      </c>
      <c r="D28" s="125">
        <f>($C$25*$N$25+$C$26*$N$26)/100</f>
        <v>0.22992000000000001</v>
      </c>
      <c r="E28" s="125">
        <f>($C$25*$O$25+$C$26*$O$26)/100</f>
        <v>0.15539999999999998</v>
      </c>
    </row>
    <row r="29" spans="2:16">
      <c r="B29" s="41" t="s">
        <v>72</v>
      </c>
    </row>
    <row r="30" spans="2:16">
      <c r="B30" s="41" t="s">
        <v>73</v>
      </c>
    </row>
    <row r="31" spans="2:16">
      <c r="B31" s="41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BD525-EFE2-4D10-A595-D0A686E2132D}">
  <dimension ref="B1:K23"/>
  <sheetViews>
    <sheetView showGridLines="0" zoomScaleNormal="100" workbookViewId="0"/>
  </sheetViews>
  <sheetFormatPr defaultColWidth="30" defaultRowHeight="14.25"/>
  <cols>
    <col min="1" max="1" width="4.59765625" style="41" customWidth="1"/>
    <col min="2" max="2" width="50.59765625" style="41" customWidth="1"/>
    <col min="3" max="5" width="30.3984375" style="41" bestFit="1" customWidth="1"/>
    <col min="6" max="6" width="10" style="41" customWidth="1"/>
    <col min="7" max="7" width="40" style="41" customWidth="1"/>
    <col min="8" max="8" width="28.3984375" style="41" bestFit="1" customWidth="1"/>
    <col min="9" max="9" width="25.59765625" style="41" bestFit="1" customWidth="1"/>
    <col min="10" max="10" width="31.59765625" style="41" bestFit="1" customWidth="1"/>
    <col min="11" max="11" width="19.59765625" style="41" bestFit="1" customWidth="1"/>
    <col min="12" max="12" width="22" style="41" customWidth="1"/>
    <col min="13" max="14" width="30" style="41"/>
    <col min="15" max="15" width="30" style="41" customWidth="1"/>
    <col min="16" max="16384" width="30" style="41"/>
  </cols>
  <sheetData>
    <row r="1" spans="2:11" ht="15" thickBot="1"/>
    <row r="2" spans="2:11" ht="16.5" thickTop="1" thickBot="1">
      <c r="B2" s="206" t="s">
        <v>94</v>
      </c>
      <c r="C2" s="207" t="s">
        <v>64</v>
      </c>
      <c r="D2" s="107" t="s">
        <v>63</v>
      </c>
      <c r="E2" s="107" t="s">
        <v>64</v>
      </c>
      <c r="G2" s="46" t="s">
        <v>68</v>
      </c>
      <c r="H2" s="47"/>
      <c r="I2" s="47"/>
      <c r="J2" s="48"/>
    </row>
    <row r="3" spans="2:11" ht="15.75" thickBot="1">
      <c r="B3" s="208" t="s">
        <v>56</v>
      </c>
      <c r="C3" s="209">
        <v>0.84000000000000008</v>
      </c>
      <c r="D3" s="209">
        <v>0.63</v>
      </c>
      <c r="E3" s="210">
        <v>0.69000000000000006</v>
      </c>
      <c r="G3" s="53" t="s">
        <v>7</v>
      </c>
      <c r="H3" s="54"/>
      <c r="I3" s="54"/>
      <c r="J3" s="55"/>
    </row>
    <row r="4" spans="2:11" ht="15.75" thickBot="1">
      <c r="G4" s="60" t="s">
        <v>0</v>
      </c>
      <c r="H4" s="61" t="s">
        <v>39</v>
      </c>
      <c r="I4" s="61" t="s">
        <v>40</v>
      </c>
      <c r="J4" s="62" t="s">
        <v>41</v>
      </c>
    </row>
    <row r="5" spans="2:11" ht="15.75" thickBot="1">
      <c r="B5" s="42"/>
      <c r="C5" s="43" t="s">
        <v>50</v>
      </c>
      <c r="D5" s="44" t="s">
        <v>51</v>
      </c>
      <c r="E5" s="45" t="s">
        <v>52</v>
      </c>
      <c r="G5" s="66" t="s">
        <v>4</v>
      </c>
      <c r="H5" s="93">
        <v>12</v>
      </c>
      <c r="I5" s="93">
        <v>13.5</v>
      </c>
      <c r="J5" s="67">
        <v>11.399999999999999</v>
      </c>
    </row>
    <row r="6" spans="2:11" ht="15">
      <c r="B6" s="49" t="s">
        <v>4</v>
      </c>
      <c r="C6" s="50">
        <v>12</v>
      </c>
      <c r="D6" s="51">
        <v>13.5</v>
      </c>
      <c r="E6" s="52">
        <v>11.399999999999999</v>
      </c>
      <c r="G6" s="68" t="s">
        <v>69</v>
      </c>
      <c r="H6" s="69">
        <v>7.56</v>
      </c>
      <c r="I6" s="69">
        <v>9.5399999999999991</v>
      </c>
      <c r="J6" s="70">
        <v>5.8500000000000005</v>
      </c>
    </row>
    <row r="7" spans="2:11" ht="15">
      <c r="B7" s="56" t="s">
        <v>49</v>
      </c>
      <c r="C7" s="57">
        <v>18</v>
      </c>
      <c r="D7" s="58">
        <v>20</v>
      </c>
      <c r="E7" s="59">
        <v>25</v>
      </c>
      <c r="G7" s="74" t="s">
        <v>10</v>
      </c>
      <c r="H7" s="93">
        <f>H5-H6</f>
        <v>4.4400000000000004</v>
      </c>
      <c r="I7" s="93">
        <f t="shared" ref="I7" si="0">I5-I6</f>
        <v>3.9600000000000009</v>
      </c>
      <c r="J7" s="67">
        <f>J5-J6</f>
        <v>5.549999999999998</v>
      </c>
    </row>
    <row r="8" spans="2:11" ht="15">
      <c r="B8" s="56" t="s">
        <v>37</v>
      </c>
      <c r="C8" s="71">
        <v>800000</v>
      </c>
      <c r="D8" s="72">
        <v>50000</v>
      </c>
      <c r="E8" s="73">
        <v>80000</v>
      </c>
      <c r="G8" s="204" t="s">
        <v>56</v>
      </c>
      <c r="H8" s="69">
        <f>IF($C$2 = "Yes",C3,0)</f>
        <v>0</v>
      </c>
      <c r="I8" s="69">
        <f>IF($C$2 = "Yes",D3,0)</f>
        <v>0</v>
      </c>
      <c r="J8" s="70">
        <f>IF($C$2 = "Yes",E3,0)</f>
        <v>0</v>
      </c>
    </row>
    <row r="9" spans="2:11" ht="15.75" thickBot="1">
      <c r="B9" s="56" t="s">
        <v>38</v>
      </c>
      <c r="C9" s="71">
        <f>C7*C8</f>
        <v>14400000</v>
      </c>
      <c r="D9" s="72">
        <f>D7*D8</f>
        <v>1000000</v>
      </c>
      <c r="E9" s="73">
        <f>E7*E8</f>
        <v>2000000</v>
      </c>
      <c r="G9" s="104" t="s">
        <v>66</v>
      </c>
      <c r="H9" s="105">
        <f>H7-H8</f>
        <v>4.4400000000000004</v>
      </c>
      <c r="I9" s="105">
        <f t="shared" ref="I9:J9" si="1">I7-I8</f>
        <v>3.9600000000000009</v>
      </c>
      <c r="J9" s="106">
        <f t="shared" si="1"/>
        <v>5.549999999999998</v>
      </c>
    </row>
    <row r="10" spans="2:11" ht="16.5" thickTop="1" thickBot="1">
      <c r="B10" s="76" t="s">
        <v>47</v>
      </c>
      <c r="C10" s="77">
        <v>8</v>
      </c>
      <c r="D10" s="78">
        <v>6</v>
      </c>
      <c r="E10" s="79">
        <v>5</v>
      </c>
    </row>
    <row r="11" spans="2:11" ht="15" thickBot="1"/>
    <row r="12" spans="2:11" ht="15.75" thickBot="1">
      <c r="B12" s="42"/>
      <c r="C12" s="43" t="s">
        <v>50</v>
      </c>
      <c r="D12" s="44" t="s">
        <v>51</v>
      </c>
      <c r="E12" s="45" t="s">
        <v>52</v>
      </c>
      <c r="G12" s="29"/>
      <c r="H12" s="30" t="s">
        <v>34</v>
      </c>
      <c r="I12" s="30" t="s">
        <v>35</v>
      </c>
      <c r="J12" s="30" t="s">
        <v>36</v>
      </c>
      <c r="K12" s="31" t="s">
        <v>21</v>
      </c>
    </row>
    <row r="13" spans="2:11" ht="15">
      <c r="B13" s="49" t="s">
        <v>55</v>
      </c>
      <c r="C13" s="86">
        <v>0.75</v>
      </c>
      <c r="D13" s="87">
        <v>0.25</v>
      </c>
      <c r="E13" s="88">
        <v>0</v>
      </c>
      <c r="G13" s="32" t="s">
        <v>43</v>
      </c>
      <c r="H13" s="33">
        <v>525000</v>
      </c>
      <c r="I13" s="33">
        <v>74999.999999999985</v>
      </c>
      <c r="J13" s="33">
        <v>0</v>
      </c>
      <c r="K13" s="34">
        <f>SUM(H13:J13)</f>
        <v>600000</v>
      </c>
    </row>
    <row r="14" spans="2:11" ht="15.75" thickBot="1">
      <c r="B14" s="76" t="s">
        <v>54</v>
      </c>
      <c r="C14" s="89">
        <f>1-C13</f>
        <v>0.25</v>
      </c>
      <c r="D14" s="90">
        <v>0.75</v>
      </c>
      <c r="E14" s="91">
        <v>1</v>
      </c>
      <c r="G14" s="35" t="s">
        <v>44</v>
      </c>
      <c r="H14" s="33">
        <v>175000</v>
      </c>
      <c r="I14" s="33">
        <v>224999.99999999994</v>
      </c>
      <c r="J14" s="33">
        <v>2000000</v>
      </c>
      <c r="K14" s="34">
        <f>SUM(H14:J14)</f>
        <v>2400000</v>
      </c>
    </row>
    <row r="15" spans="2:11" ht="15.75" thickBot="1">
      <c r="G15" s="32" t="s">
        <v>11</v>
      </c>
      <c r="H15" s="36">
        <f>SUM(H13:H14)</f>
        <v>700000</v>
      </c>
      <c r="I15" s="36">
        <f>SUM(I13:I14)</f>
        <v>299999.99999999994</v>
      </c>
      <c r="J15" s="36">
        <f>SUM(J13:J14)</f>
        <v>2000000</v>
      </c>
      <c r="K15" s="34">
        <f>SUM(H15:J15)</f>
        <v>3000000</v>
      </c>
    </row>
    <row r="16" spans="2:11" ht="15.75" thickBot="1">
      <c r="B16" s="135" t="s">
        <v>46</v>
      </c>
      <c r="C16" s="137" t="s">
        <v>43</v>
      </c>
      <c r="D16" s="138" t="s">
        <v>44</v>
      </c>
      <c r="E16" s="136" t="s">
        <v>67</v>
      </c>
      <c r="G16" s="37" t="s">
        <v>45</v>
      </c>
      <c r="H16" s="38">
        <f>H15/C7</f>
        <v>38888.888888888891</v>
      </c>
      <c r="I16" s="38">
        <f>I15/D7</f>
        <v>14999.999999999996</v>
      </c>
      <c r="J16" s="38">
        <f>J15/E7</f>
        <v>80000</v>
      </c>
      <c r="K16" s="101"/>
    </row>
    <row r="17" spans="2:10" ht="15.75" thickBot="1">
      <c r="B17" s="143"/>
      <c r="C17" s="141">
        <v>0.2</v>
      </c>
      <c r="D17" s="211">
        <v>0.8</v>
      </c>
      <c r="E17" s="212">
        <f>3000000*0.18</f>
        <v>540000</v>
      </c>
    </row>
    <row r="18" spans="2:10" ht="15">
      <c r="B18" s="216">
        <v>3000000</v>
      </c>
      <c r="C18" s="217">
        <v>600000</v>
      </c>
      <c r="D18" s="218">
        <v>2400000</v>
      </c>
      <c r="E18" s="213"/>
      <c r="G18" s="108" t="s">
        <v>57</v>
      </c>
      <c r="H18" s="109">
        <f t="shared" ref="H18:J19" si="2">H$15*C13</f>
        <v>525000</v>
      </c>
      <c r="I18" s="109">
        <f t="shared" si="2"/>
        <v>74999.999999999985</v>
      </c>
      <c r="J18" s="110">
        <f t="shared" si="2"/>
        <v>0</v>
      </c>
    </row>
    <row r="19" spans="2:10" ht="15.75" thickBot="1">
      <c r="B19" s="144" t="s">
        <v>47</v>
      </c>
      <c r="C19" s="142">
        <v>9</v>
      </c>
      <c r="D19" s="214">
        <v>5</v>
      </c>
      <c r="E19" s="215"/>
      <c r="G19" s="111" t="s">
        <v>58</v>
      </c>
      <c r="H19" s="112">
        <f t="shared" si="2"/>
        <v>175000</v>
      </c>
      <c r="I19" s="112">
        <f t="shared" si="2"/>
        <v>224999.99999999994</v>
      </c>
      <c r="J19" s="113">
        <f t="shared" si="2"/>
        <v>2000000</v>
      </c>
    </row>
    <row r="20" spans="2:10" ht="15" thickBot="1"/>
    <row r="21" spans="2:10" ht="15">
      <c r="G21" s="117" t="s">
        <v>66</v>
      </c>
      <c r="H21" s="118">
        <f>SUMPRODUCT(H9:J9,H16:J16)</f>
        <v>676066.66666666651</v>
      </c>
    </row>
    <row r="22" spans="2:10" ht="15">
      <c r="G22" s="114" t="s">
        <v>67</v>
      </c>
      <c r="H22" s="115">
        <f>E17</f>
        <v>540000</v>
      </c>
    </row>
    <row r="23" spans="2:10" ht="15.75" thickBot="1">
      <c r="G23" s="116" t="s">
        <v>62</v>
      </c>
      <c r="H23" s="226">
        <f>H21-H22</f>
        <v>136066.66666666651</v>
      </c>
    </row>
  </sheetData>
  <dataValidations count="1">
    <dataValidation type="list" allowBlank="1" showInputMessage="1" showErrorMessage="1" sqref="C2" xr:uid="{EB428CB9-7C0A-440A-A705-E109CEFF260D}">
      <formula1>$D$2:$E$2</formula1>
    </dataValidation>
  </dataValidations>
  <pageMargins left="0.7" right="0.7" top="0.75" bottom="0.75" header="0.3" footer="0.3"/>
  <pageSetup orientation="portrait" r:id="rId1"/>
  <ignoredErrors>
    <ignoredError sqref="H8:J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DE36-4448-4B43-BB1A-AAE7879DCDAE}">
  <dimension ref="A1:H29"/>
  <sheetViews>
    <sheetView showGridLines="0" zoomScale="172" zoomScaleNormal="172" workbookViewId="0">
      <selection activeCell="E38" sqref="E38"/>
    </sheetView>
  </sheetViews>
  <sheetFormatPr defaultRowHeight="8.25"/>
  <cols>
    <col min="1" max="1" width="2.59765625" customWidth="1"/>
    <col min="2" max="2" width="5.59765625" bestFit="1" customWidth="1"/>
    <col min="3" max="3" width="17.3984375" bestFit="1" customWidth="1"/>
    <col min="4" max="4" width="11.59765625" bestFit="1" customWidth="1"/>
    <col min="5" max="5" width="9.59765625" bestFit="1" customWidth="1"/>
    <col min="6" max="6" width="12" bestFit="1" customWidth="1"/>
    <col min="7" max="8" width="39.796875" bestFit="1" customWidth="1"/>
  </cols>
  <sheetData>
    <row r="1" spans="1:8">
      <c r="A1" s="220" t="s">
        <v>95</v>
      </c>
    </row>
    <row r="2" spans="1:8">
      <c r="A2" s="220" t="s">
        <v>134</v>
      </c>
    </row>
    <row r="3" spans="1:8">
      <c r="A3" s="220" t="s">
        <v>149</v>
      </c>
    </row>
    <row r="6" spans="1:8" ht="9" thickBot="1">
      <c r="A6" t="s">
        <v>96</v>
      </c>
    </row>
    <row r="7" spans="1:8">
      <c r="B7" s="269"/>
      <c r="C7" s="269"/>
      <c r="D7" s="269" t="s">
        <v>99</v>
      </c>
      <c r="E7" s="269" t="s">
        <v>101</v>
      </c>
      <c r="F7" s="269" t="s">
        <v>103</v>
      </c>
      <c r="G7" s="269" t="s">
        <v>105</v>
      </c>
      <c r="H7" s="269" t="s">
        <v>105</v>
      </c>
    </row>
    <row r="8" spans="1:8" ht="9" thickBot="1">
      <c r="B8" s="270" t="s">
        <v>97</v>
      </c>
      <c r="C8" s="270" t="s">
        <v>98</v>
      </c>
      <c r="D8" s="270" t="s">
        <v>100</v>
      </c>
      <c r="E8" s="270" t="s">
        <v>102</v>
      </c>
      <c r="F8" s="270" t="s">
        <v>104</v>
      </c>
      <c r="G8" s="270" t="s">
        <v>106</v>
      </c>
      <c r="H8" s="270" t="s">
        <v>107</v>
      </c>
    </row>
    <row r="9" spans="1:8">
      <c r="B9" s="221" t="s">
        <v>122</v>
      </c>
      <c r="C9" s="221" t="s">
        <v>114</v>
      </c>
      <c r="D9" s="221">
        <v>525000</v>
      </c>
      <c r="E9" s="221">
        <v>0</v>
      </c>
      <c r="F9" s="221">
        <v>0.24666666670236737</v>
      </c>
      <c r="G9" s="221">
        <v>1E+30</v>
      </c>
      <c r="H9" s="221">
        <v>6.4888888970017433E-2</v>
      </c>
    </row>
    <row r="10" spans="1:8">
      <c r="B10" s="221" t="s">
        <v>123</v>
      </c>
      <c r="C10" s="221" t="s">
        <v>116</v>
      </c>
      <c r="D10" s="221">
        <v>74999.999999999985</v>
      </c>
      <c r="E10" s="221">
        <v>0</v>
      </c>
      <c r="F10" s="221">
        <v>0.19799999997485429</v>
      </c>
      <c r="G10" s="221">
        <v>6.4888888970017433E-2</v>
      </c>
      <c r="H10" s="221">
        <v>1E+30</v>
      </c>
    </row>
    <row r="11" spans="1:8">
      <c r="B11" s="221" t="s">
        <v>124</v>
      </c>
      <c r="C11" s="221" t="s">
        <v>118</v>
      </c>
      <c r="D11" s="221">
        <v>0</v>
      </c>
      <c r="E11" s="221">
        <v>0</v>
      </c>
      <c r="F11" s="221">
        <v>0.2219999999506399</v>
      </c>
      <c r="G11" s="221">
        <v>9.7333333571441472E-2</v>
      </c>
      <c r="H11" s="221">
        <v>1E+30</v>
      </c>
    </row>
    <row r="12" spans="1:8">
      <c r="B12" s="221" t="s">
        <v>113</v>
      </c>
      <c r="C12" s="221" t="s">
        <v>119</v>
      </c>
      <c r="D12" s="221">
        <v>175000</v>
      </c>
      <c r="E12" s="221">
        <v>0</v>
      </c>
      <c r="F12" s="221">
        <v>0.24666666670236737</v>
      </c>
      <c r="G12" s="221">
        <v>1E+30</v>
      </c>
      <c r="H12" s="221">
        <v>6.4888888970017433E-2</v>
      </c>
    </row>
    <row r="13" spans="1:8">
      <c r="B13" s="221" t="s">
        <v>115</v>
      </c>
      <c r="C13" s="221" t="s">
        <v>120</v>
      </c>
      <c r="D13" s="221">
        <v>224999.99999999994</v>
      </c>
      <c r="E13" s="221">
        <v>0</v>
      </c>
      <c r="F13" s="221">
        <v>0.19799999997485429</v>
      </c>
      <c r="G13" s="221">
        <v>4.29629630719622E-2</v>
      </c>
      <c r="H13" s="221">
        <v>1E+30</v>
      </c>
    </row>
    <row r="14" spans="1:8" ht="9" thickBot="1">
      <c r="B14" s="222" t="s">
        <v>117</v>
      </c>
      <c r="C14" s="222" t="s">
        <v>121</v>
      </c>
      <c r="D14" s="222">
        <v>2000000</v>
      </c>
      <c r="E14" s="222">
        <v>0</v>
      </c>
      <c r="F14" s="222">
        <v>0.22200000006705523</v>
      </c>
      <c r="G14" s="222">
        <v>1E+30</v>
      </c>
      <c r="H14" s="222">
        <v>4.8333333455957472E-2</v>
      </c>
    </row>
    <row r="16" spans="1:8" ht="9" thickBot="1">
      <c r="A16" t="s">
        <v>108</v>
      </c>
    </row>
    <row r="17" spans="2:8">
      <c r="B17" s="269"/>
      <c r="C17" s="269"/>
      <c r="D17" s="269" t="s">
        <v>99</v>
      </c>
      <c r="E17" s="269" t="s">
        <v>109</v>
      </c>
      <c r="F17" s="269" t="s">
        <v>111</v>
      </c>
      <c r="G17" s="269" t="s">
        <v>105</v>
      </c>
      <c r="H17" s="269" t="s">
        <v>105</v>
      </c>
    </row>
    <row r="18" spans="2:8" ht="9" thickBot="1">
      <c r="B18" s="270" t="s">
        <v>97</v>
      </c>
      <c r="C18" s="270" t="s">
        <v>98</v>
      </c>
      <c r="D18" s="270" t="s">
        <v>100</v>
      </c>
      <c r="E18" s="270" t="s">
        <v>110</v>
      </c>
      <c r="F18" s="270" t="s">
        <v>112</v>
      </c>
      <c r="G18" s="270" t="s">
        <v>106</v>
      </c>
      <c r="H18" s="270" t="s">
        <v>107</v>
      </c>
    </row>
    <row r="19" spans="2:8">
      <c r="B19" s="221" t="s">
        <v>122</v>
      </c>
      <c r="C19" s="221" t="s">
        <v>114</v>
      </c>
      <c r="D19" s="221">
        <v>525000</v>
      </c>
      <c r="E19" s="221">
        <v>0</v>
      </c>
      <c r="F19" s="221">
        <v>0</v>
      </c>
      <c r="G19" s="221">
        <v>1.4551915228366852E-11</v>
      </c>
      <c r="H19" s="221">
        <v>1E+30</v>
      </c>
    </row>
    <row r="20" spans="2:8">
      <c r="B20" s="221" t="s">
        <v>123</v>
      </c>
      <c r="C20" s="221" t="s">
        <v>116</v>
      </c>
      <c r="D20" s="221">
        <v>74999.999999999985</v>
      </c>
      <c r="E20" s="221">
        <v>-9.733333345502615E-2</v>
      </c>
      <c r="F20" s="221">
        <v>0</v>
      </c>
      <c r="G20" s="221">
        <v>350000</v>
      </c>
      <c r="H20" s="221">
        <v>0</v>
      </c>
    </row>
    <row r="21" spans="2:8">
      <c r="B21" s="221" t="s">
        <v>124</v>
      </c>
      <c r="C21" s="221" t="s">
        <v>118</v>
      </c>
      <c r="D21" s="221">
        <v>0</v>
      </c>
      <c r="E21" s="221">
        <v>-9.7333333571441472E-2</v>
      </c>
      <c r="F21" s="221">
        <v>0</v>
      </c>
      <c r="G21" s="221">
        <v>350000</v>
      </c>
      <c r="H21" s="221">
        <v>0</v>
      </c>
    </row>
    <row r="22" spans="2:8">
      <c r="B22" s="221" t="s">
        <v>113</v>
      </c>
      <c r="C22" s="221" t="s">
        <v>119</v>
      </c>
      <c r="D22" s="221">
        <v>175000</v>
      </c>
      <c r="E22" s="221">
        <v>9.733333345502615E-2</v>
      </c>
      <c r="F22" s="221">
        <v>0</v>
      </c>
      <c r="G22" s="221">
        <v>1.4551915228366852E-11</v>
      </c>
      <c r="H22" s="221">
        <v>116666.66666666667</v>
      </c>
    </row>
    <row r="23" spans="2:8">
      <c r="B23" s="221" t="s">
        <v>115</v>
      </c>
      <c r="C23" s="221" t="s">
        <v>120</v>
      </c>
      <c r="D23" s="221">
        <v>224999.99999999994</v>
      </c>
      <c r="E23" s="221">
        <v>0</v>
      </c>
      <c r="F23" s="221">
        <v>0</v>
      </c>
      <c r="G23" s="221">
        <v>1E+30</v>
      </c>
      <c r="H23" s="221">
        <v>0</v>
      </c>
    </row>
    <row r="24" spans="2:8">
      <c r="B24" s="221" t="s">
        <v>117</v>
      </c>
      <c r="C24" s="221" t="s">
        <v>121</v>
      </c>
      <c r="D24" s="221">
        <v>2000000</v>
      </c>
      <c r="E24" s="221">
        <v>0</v>
      </c>
      <c r="F24" s="221">
        <v>0</v>
      </c>
      <c r="G24" s="221">
        <v>1E+30</v>
      </c>
      <c r="H24" s="221">
        <v>0</v>
      </c>
    </row>
    <row r="25" spans="2:8">
      <c r="B25" s="221" t="s">
        <v>125</v>
      </c>
      <c r="C25" s="221" t="s">
        <v>128</v>
      </c>
      <c r="D25" s="221">
        <v>38888.888888888891</v>
      </c>
      <c r="E25" s="221">
        <v>0</v>
      </c>
      <c r="F25" s="221">
        <v>800000</v>
      </c>
      <c r="G25" s="221">
        <v>1E+30</v>
      </c>
      <c r="H25" s="221">
        <v>761111.11111111112</v>
      </c>
    </row>
    <row r="26" spans="2:8">
      <c r="B26" s="221" t="s">
        <v>126</v>
      </c>
      <c r="C26" s="221" t="s">
        <v>129</v>
      </c>
      <c r="D26" s="221">
        <v>14999.999999999996</v>
      </c>
      <c r="E26" s="263">
        <v>0</v>
      </c>
      <c r="F26" s="221">
        <v>50000</v>
      </c>
      <c r="G26" s="263">
        <v>1E+30</v>
      </c>
      <c r="H26" s="221">
        <v>35000</v>
      </c>
    </row>
    <row r="27" spans="2:8">
      <c r="B27" s="221" t="s">
        <v>127</v>
      </c>
      <c r="C27" s="221" t="s">
        <v>130</v>
      </c>
      <c r="D27" s="221">
        <v>80000</v>
      </c>
      <c r="E27" s="263">
        <v>1.2083333363989368</v>
      </c>
      <c r="F27" s="221">
        <v>80000</v>
      </c>
      <c r="G27" s="263">
        <v>7999.9999999999982</v>
      </c>
      <c r="H27" s="221">
        <v>18666.666666666668</v>
      </c>
    </row>
    <row r="28" spans="2:8">
      <c r="B28" s="221" t="s">
        <v>135</v>
      </c>
      <c r="C28" s="221" t="s">
        <v>132</v>
      </c>
      <c r="D28" s="221">
        <v>600000</v>
      </c>
      <c r="E28" s="261">
        <v>0.2710000000661239</v>
      </c>
      <c r="F28" s="221">
        <v>600000</v>
      </c>
      <c r="G28" s="261">
        <v>599999.99999999988</v>
      </c>
      <c r="H28" s="221">
        <v>466666.66666666669</v>
      </c>
    </row>
    <row r="29" spans="2:8" ht="9" thickBot="1">
      <c r="B29" s="222" t="s">
        <v>131</v>
      </c>
      <c r="C29" s="222" t="s">
        <v>133</v>
      </c>
      <c r="D29" s="222">
        <v>2400000</v>
      </c>
      <c r="E29" s="262">
        <v>0.17366666661109775</v>
      </c>
      <c r="F29" s="222">
        <v>2400000</v>
      </c>
      <c r="G29" s="262">
        <v>466666.66666666669</v>
      </c>
      <c r="H29" s="222">
        <v>199999.99999999994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09F4-013A-4D0B-8FAC-9B9114563463}">
  <dimension ref="B1:K28"/>
  <sheetViews>
    <sheetView showGridLines="0" topLeftCell="B1" zoomScaleNormal="100" workbookViewId="0">
      <selection activeCell="I32" sqref="I32"/>
    </sheetView>
  </sheetViews>
  <sheetFormatPr defaultColWidth="30" defaultRowHeight="15"/>
  <cols>
    <col min="1" max="1" width="4.59765625" style="228" customWidth="1"/>
    <col min="2" max="2" width="50.59765625" style="228" customWidth="1"/>
    <col min="3" max="5" width="30.3984375" style="228" bestFit="1" customWidth="1"/>
    <col min="6" max="6" width="10" style="228" customWidth="1"/>
    <col min="7" max="7" width="40" style="228" customWidth="1"/>
    <col min="8" max="8" width="28.3984375" style="228" bestFit="1" customWidth="1"/>
    <col min="9" max="9" width="25.59765625" style="228" bestFit="1" customWidth="1"/>
    <col min="10" max="10" width="31.59765625" style="228" bestFit="1" customWidth="1"/>
    <col min="11" max="11" width="19.59765625" style="228" bestFit="1" customWidth="1"/>
    <col min="12" max="12" width="22" style="228" customWidth="1"/>
    <col min="13" max="14" width="30" style="228"/>
    <col min="15" max="15" width="30" style="228" customWidth="1"/>
    <col min="16" max="16384" width="30" style="228"/>
  </cols>
  <sheetData>
    <row r="1" spans="2:11" ht="24" thickBot="1">
      <c r="B1" s="227" t="s">
        <v>145</v>
      </c>
    </row>
    <row r="2" spans="2:11" ht="16.5" thickTop="1" thickBot="1">
      <c r="B2" s="244" t="s">
        <v>92</v>
      </c>
      <c r="C2" s="182" t="s">
        <v>64</v>
      </c>
      <c r="D2" s="245" t="s">
        <v>63</v>
      </c>
      <c r="E2" s="245" t="s">
        <v>64</v>
      </c>
      <c r="G2" s="46" t="s">
        <v>68</v>
      </c>
      <c r="H2" s="47"/>
      <c r="I2" s="47"/>
      <c r="J2" s="48"/>
    </row>
    <row r="3" spans="2:11" ht="15.75" thickBot="1">
      <c r="B3" s="166" t="s">
        <v>29</v>
      </c>
      <c r="C3" s="167">
        <v>0.84000000000000008</v>
      </c>
      <c r="D3" s="167">
        <v>0.63</v>
      </c>
      <c r="E3" s="168">
        <v>0.69000000000000006</v>
      </c>
      <c r="G3" s="53" t="s">
        <v>7</v>
      </c>
      <c r="H3" s="54"/>
      <c r="I3" s="54"/>
      <c r="J3" s="55"/>
    </row>
    <row r="4" spans="2:11" ht="15.75" thickBot="1">
      <c r="G4" s="60" t="s">
        <v>0</v>
      </c>
      <c r="H4" s="61" t="s">
        <v>39</v>
      </c>
      <c r="I4" s="61" t="s">
        <v>40</v>
      </c>
      <c r="J4" s="62" t="s">
        <v>41</v>
      </c>
    </row>
    <row r="5" spans="2:11" ht="15.75" thickBot="1">
      <c r="B5" s="246"/>
      <c r="C5" s="247" t="s">
        <v>50</v>
      </c>
      <c r="D5" s="248" t="s">
        <v>51</v>
      </c>
      <c r="E5" s="249" t="s">
        <v>52</v>
      </c>
      <c r="G5" s="66" t="s">
        <v>4</v>
      </c>
      <c r="H5" s="225">
        <v>12</v>
      </c>
      <c r="I5" s="225">
        <v>13.5</v>
      </c>
      <c r="J5" s="233">
        <v>11.399999999999999</v>
      </c>
    </row>
    <row r="6" spans="2:11">
      <c r="B6" s="250" t="s">
        <v>4</v>
      </c>
      <c r="C6" s="156">
        <v>12</v>
      </c>
      <c r="D6" s="157">
        <v>13.5</v>
      </c>
      <c r="E6" s="158">
        <v>11.399999999999999</v>
      </c>
      <c r="G6" s="68" t="s">
        <v>69</v>
      </c>
      <c r="H6" s="69">
        <v>7.56</v>
      </c>
      <c r="I6" s="69">
        <v>9.5399999999999991</v>
      </c>
      <c r="J6" s="70">
        <v>5.8500000000000005</v>
      </c>
    </row>
    <row r="7" spans="2:11">
      <c r="B7" s="251" t="s">
        <v>49</v>
      </c>
      <c r="C7" s="159">
        <v>18</v>
      </c>
      <c r="D7" s="151">
        <v>20</v>
      </c>
      <c r="E7" s="160">
        <v>25</v>
      </c>
      <c r="G7" s="74" t="s">
        <v>10</v>
      </c>
      <c r="H7" s="93">
        <f>H5-H6</f>
        <v>4.4400000000000004</v>
      </c>
      <c r="I7" s="93">
        <f t="shared" ref="I7" si="0">I5-I6</f>
        <v>3.9600000000000009</v>
      </c>
      <c r="J7" s="67">
        <f>J5-J6</f>
        <v>5.549999999999998</v>
      </c>
    </row>
    <row r="8" spans="2:11">
      <c r="B8" s="251" t="s">
        <v>37</v>
      </c>
      <c r="C8" s="161">
        <f>SUM(C9:C10)</f>
        <v>800000</v>
      </c>
      <c r="D8" s="152">
        <f t="shared" ref="D8:E8" si="1">SUM(D9:D10)</f>
        <v>50000</v>
      </c>
      <c r="E8" s="162">
        <f t="shared" si="1"/>
        <v>80000</v>
      </c>
      <c r="G8" s="204" t="s">
        <v>56</v>
      </c>
      <c r="H8" s="69">
        <f>IF($C$2 = "Yes",C3,0)</f>
        <v>0</v>
      </c>
      <c r="I8" s="69">
        <f>IF($C$2 = "Yes",D3,0)</f>
        <v>0</v>
      </c>
      <c r="J8" s="70">
        <f>IF($C$2 = "Yes",E3,0)</f>
        <v>0</v>
      </c>
    </row>
    <row r="9" spans="2:11" ht="15.75" thickBot="1">
      <c r="B9" s="252" t="s">
        <v>37</v>
      </c>
      <c r="C9" s="161">
        <v>800000</v>
      </c>
      <c r="D9" s="152">
        <v>50000</v>
      </c>
      <c r="E9" s="162">
        <v>80000</v>
      </c>
      <c r="G9" s="104" t="s">
        <v>66</v>
      </c>
      <c r="H9" s="105">
        <f>H7-H8</f>
        <v>4.4400000000000004</v>
      </c>
      <c r="I9" s="105">
        <f t="shared" ref="I9:J9" si="2">I7-I8</f>
        <v>3.9600000000000009</v>
      </c>
      <c r="J9" s="106">
        <f t="shared" si="2"/>
        <v>5.549999999999998</v>
      </c>
    </row>
    <row r="10" spans="2:11" ht="15.75" thickTop="1">
      <c r="B10" s="252" t="s">
        <v>83</v>
      </c>
      <c r="C10" s="232"/>
      <c r="D10" s="223"/>
      <c r="E10" s="224"/>
    </row>
    <row r="11" spans="2:11" ht="15.75" thickBot="1">
      <c r="B11" s="253" t="s">
        <v>47</v>
      </c>
      <c r="C11" s="163">
        <v>8</v>
      </c>
      <c r="D11" s="164">
        <v>6</v>
      </c>
      <c r="E11" s="165">
        <v>5</v>
      </c>
    </row>
    <row r="12" spans="2:11" ht="15.75" thickBot="1">
      <c r="G12" s="169"/>
      <c r="H12" s="170" t="s">
        <v>34</v>
      </c>
      <c r="I12" s="170" t="s">
        <v>35</v>
      </c>
      <c r="J12" s="170" t="s">
        <v>36</v>
      </c>
      <c r="K12" s="171" t="s">
        <v>21</v>
      </c>
    </row>
    <row r="13" spans="2:11" ht="15.75" thickBot="1">
      <c r="B13" s="246"/>
      <c r="C13" s="247" t="s">
        <v>50</v>
      </c>
      <c r="D13" s="248" t="s">
        <v>51</v>
      </c>
      <c r="E13" s="249" t="s">
        <v>52</v>
      </c>
      <c r="G13" s="184" t="s">
        <v>80</v>
      </c>
      <c r="H13" s="155">
        <f>SUM(H14:H15)</f>
        <v>525000.00000000012</v>
      </c>
      <c r="I13" s="155">
        <f>SUM(I14:I15)</f>
        <v>74999.999999999913</v>
      </c>
      <c r="J13" s="155">
        <f>SUM(J14:J15)</f>
        <v>0</v>
      </c>
      <c r="K13" s="185">
        <f>SUM(K14:K15)</f>
        <v>600000</v>
      </c>
    </row>
    <row r="14" spans="2:11">
      <c r="B14" s="250" t="s">
        <v>55</v>
      </c>
      <c r="C14" s="148">
        <v>0.75</v>
      </c>
      <c r="D14" s="149">
        <v>0.25</v>
      </c>
      <c r="E14" s="150">
        <v>0</v>
      </c>
      <c r="G14" s="194" t="s">
        <v>43</v>
      </c>
      <c r="H14" s="153">
        <v>525000.00000000012</v>
      </c>
      <c r="I14" s="153">
        <v>74999.999999999913</v>
      </c>
      <c r="J14" s="153">
        <v>0</v>
      </c>
      <c r="K14" s="173">
        <f>SUM(H14:J14)</f>
        <v>600000</v>
      </c>
    </row>
    <row r="15" spans="2:11" ht="15.75" thickBot="1">
      <c r="B15" s="253" t="s">
        <v>54</v>
      </c>
      <c r="C15" s="147">
        <f>1-C14</f>
        <v>0.25</v>
      </c>
      <c r="D15" s="145">
        <v>0.75</v>
      </c>
      <c r="E15" s="146">
        <v>1</v>
      </c>
      <c r="G15" s="234" t="s">
        <v>78</v>
      </c>
      <c r="H15" s="186">
        <v>0</v>
      </c>
      <c r="I15" s="186">
        <v>0</v>
      </c>
      <c r="J15" s="186">
        <v>0</v>
      </c>
      <c r="K15" s="187">
        <f>SUM(H15:J15)</f>
        <v>0</v>
      </c>
    </row>
    <row r="16" spans="2:11" ht="15.75" thickBot="1">
      <c r="G16" s="184" t="s">
        <v>81</v>
      </c>
      <c r="H16" s="155">
        <f>SUM(H17:H18)</f>
        <v>175000.00000000003</v>
      </c>
      <c r="I16" s="155">
        <f>SUM(I17:I18)</f>
        <v>224999.99999999974</v>
      </c>
      <c r="J16" s="155">
        <f>SUM(J17:J18)</f>
        <v>2000000.0000000002</v>
      </c>
      <c r="K16" s="185">
        <f>SUM(K17:K18)</f>
        <v>2400000</v>
      </c>
    </row>
    <row r="17" spans="2:11" ht="15.75" thickBot="1">
      <c r="B17" s="135" t="s">
        <v>46</v>
      </c>
      <c r="C17" s="181" t="s">
        <v>43</v>
      </c>
      <c r="D17" s="182" t="s">
        <v>44</v>
      </c>
      <c r="E17" s="136" t="s">
        <v>67</v>
      </c>
      <c r="G17" s="194" t="s">
        <v>44</v>
      </c>
      <c r="H17" s="153">
        <v>175000.00000000003</v>
      </c>
      <c r="I17" s="153">
        <v>224999.99999999974</v>
      </c>
      <c r="J17" s="153">
        <v>2000000.0000000002</v>
      </c>
      <c r="K17" s="173">
        <f>SUM(H17:J17)</f>
        <v>2400000</v>
      </c>
    </row>
    <row r="18" spans="2:11" ht="15.75" thickBot="1">
      <c r="B18" s="183"/>
      <c r="C18" s="177">
        <v>0.2</v>
      </c>
      <c r="D18" s="178">
        <v>0.8</v>
      </c>
      <c r="E18" s="179">
        <f>3000000*0.18</f>
        <v>540000</v>
      </c>
      <c r="G18" s="234" t="s">
        <v>82</v>
      </c>
      <c r="H18" s="186">
        <v>0</v>
      </c>
      <c r="I18" s="186">
        <v>0</v>
      </c>
      <c r="J18" s="186">
        <v>0</v>
      </c>
      <c r="K18" s="187">
        <f>SUM(H18:J18)</f>
        <v>0</v>
      </c>
    </row>
    <row r="19" spans="2:11" ht="15.75" thickTop="1">
      <c r="B19" s="188">
        <v>3000000</v>
      </c>
      <c r="C19" s="189">
        <v>600000</v>
      </c>
      <c r="D19" s="190">
        <v>2400000</v>
      </c>
      <c r="E19" s="180"/>
      <c r="G19" s="172" t="s">
        <v>11</v>
      </c>
      <c r="H19" s="154">
        <f>SUM(H13,H16)</f>
        <v>700000.00000000012</v>
      </c>
      <c r="I19" s="154">
        <f t="shared" ref="I19:J19" si="3">SUM(I13,I16)</f>
        <v>299999.99999999965</v>
      </c>
      <c r="J19" s="154">
        <f t="shared" si="3"/>
        <v>2000000.0000000002</v>
      </c>
      <c r="K19" s="173">
        <f>SUM(H19:J19)</f>
        <v>3000000</v>
      </c>
    </row>
    <row r="20" spans="2:11" ht="15.75" thickBot="1">
      <c r="B20" s="191" t="s">
        <v>47</v>
      </c>
      <c r="C20" s="192">
        <v>9</v>
      </c>
      <c r="D20" s="193">
        <v>5</v>
      </c>
      <c r="E20" s="195"/>
      <c r="G20" s="174" t="s">
        <v>45</v>
      </c>
      <c r="H20" s="175">
        <f>H19/C7</f>
        <v>38888.888888888898</v>
      </c>
      <c r="I20" s="175">
        <f>I19/D7</f>
        <v>14999.999999999982</v>
      </c>
      <c r="J20" s="175">
        <f>J19/E7</f>
        <v>80000.000000000015</v>
      </c>
      <c r="K20" s="176"/>
    </row>
    <row r="21" spans="2:11" ht="15.75" thickBot="1">
      <c r="B21" s="254" t="s">
        <v>76</v>
      </c>
      <c r="C21" s="236">
        <v>0</v>
      </c>
      <c r="D21" s="260">
        <v>0</v>
      </c>
      <c r="E21" s="237" t="s">
        <v>84</v>
      </c>
    </row>
    <row r="22" spans="2:11">
      <c r="B22" s="255" t="s">
        <v>77</v>
      </c>
      <c r="C22" s="238"/>
      <c r="D22" s="239"/>
      <c r="E22" s="240">
        <v>0</v>
      </c>
      <c r="G22" s="256" t="s">
        <v>57</v>
      </c>
      <c r="H22" s="109">
        <f t="shared" ref="H22:J23" si="4">H$19*C14</f>
        <v>525000.00000000012</v>
      </c>
      <c r="I22" s="109">
        <f t="shared" si="4"/>
        <v>74999.999999999913</v>
      </c>
      <c r="J22" s="110">
        <f t="shared" si="4"/>
        <v>0</v>
      </c>
    </row>
    <row r="23" spans="2:11" ht="15.75" thickBot="1">
      <c r="B23" s="257" t="s">
        <v>79</v>
      </c>
      <c r="C23" s="241">
        <v>0</v>
      </c>
      <c r="D23" s="242">
        <v>0</v>
      </c>
      <c r="E23" s="243">
        <f>SUM(B19,C23:D23)-K19</f>
        <v>0</v>
      </c>
      <c r="G23" s="258" t="s">
        <v>58</v>
      </c>
      <c r="H23" s="112">
        <f>H$19*C15</f>
        <v>175000.00000000003</v>
      </c>
      <c r="I23" s="112">
        <f t="shared" si="4"/>
        <v>224999.99999999974</v>
      </c>
      <c r="J23" s="113">
        <f t="shared" si="4"/>
        <v>2000000.0000000002</v>
      </c>
    </row>
    <row r="24" spans="2:11" ht="15.75" thickBot="1">
      <c r="C24" s="259"/>
      <c r="D24" s="259"/>
    </row>
    <row r="25" spans="2:11">
      <c r="G25" s="117" t="s">
        <v>66</v>
      </c>
      <c r="H25" s="118">
        <f>SUMPRODUCT(H9:J9,H20:J20)</f>
        <v>676066.66666666663</v>
      </c>
    </row>
    <row r="26" spans="2:11">
      <c r="G26" s="235" t="s">
        <v>93</v>
      </c>
      <c r="H26" s="205">
        <f>E23*E22</f>
        <v>0</v>
      </c>
    </row>
    <row r="27" spans="2:11">
      <c r="G27" s="114" t="s">
        <v>67</v>
      </c>
      <c r="H27" s="115">
        <f>E18+SUMPRODUCT(C22:D22,C23:D23)</f>
        <v>540000</v>
      </c>
      <c r="J27" s="264"/>
    </row>
    <row r="28" spans="2:11" ht="15.75" thickBot="1">
      <c r="G28" s="116" t="s">
        <v>62</v>
      </c>
      <c r="H28" s="231">
        <f>SUM(H25:H26)-H27</f>
        <v>136066.66666666663</v>
      </c>
    </row>
  </sheetData>
  <dataValidations count="1">
    <dataValidation type="list" allowBlank="1" showInputMessage="1" showErrorMessage="1" sqref="C2" xr:uid="{C808D3B7-BD8D-4058-841D-436B0EE09A56}">
      <formula1>$D$2:$E$2</formula1>
    </dataValidation>
  </dataValidations>
  <pageMargins left="0.7" right="0.7" top="0.75" bottom="0.75" header="0.3" footer="0.3"/>
  <ignoredErrors>
    <ignoredError sqref="H27 C8:E8" formulaRange="1"/>
    <ignoredError sqref="H8:J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1426-491F-444B-9BE3-059197EC5819}">
  <dimension ref="A1:E14"/>
  <sheetViews>
    <sheetView showGridLines="0" workbookViewId="0">
      <selection sqref="A1:E3"/>
    </sheetView>
  </sheetViews>
  <sheetFormatPr defaultColWidth="21" defaultRowHeight="15" customHeight="1"/>
  <cols>
    <col min="1" max="16384" width="21" style="228"/>
  </cols>
  <sheetData>
    <row r="1" spans="1:5">
      <c r="A1" s="267" t="s">
        <v>146</v>
      </c>
      <c r="B1" s="267"/>
      <c r="C1" s="267"/>
      <c r="D1" s="267"/>
      <c r="E1" s="267"/>
    </row>
    <row r="2" spans="1:5" ht="15" customHeight="1">
      <c r="A2" s="267"/>
      <c r="B2" s="267"/>
      <c r="C2" s="267"/>
      <c r="D2" s="267"/>
      <c r="E2" s="267"/>
    </row>
    <row r="3" spans="1:5" ht="15" customHeight="1">
      <c r="A3" s="267"/>
      <c r="B3" s="267"/>
      <c r="C3" s="267"/>
      <c r="D3" s="267"/>
      <c r="E3" s="267"/>
    </row>
    <row r="5" spans="1:5" ht="15" customHeight="1">
      <c r="A5" s="228" t="s">
        <v>147</v>
      </c>
    </row>
    <row r="7" spans="1:5" ht="15" customHeight="1">
      <c r="A7" s="268" t="s">
        <v>148</v>
      </c>
      <c r="B7" s="268"/>
      <c r="C7" s="268"/>
      <c r="D7" s="268"/>
      <c r="E7" s="268"/>
    </row>
    <row r="8" spans="1:5" ht="15" customHeight="1">
      <c r="A8" s="268"/>
      <c r="B8" s="268"/>
      <c r="C8" s="268"/>
      <c r="D8" s="268"/>
      <c r="E8" s="268"/>
    </row>
    <row r="10" spans="1:5" ht="15" customHeight="1">
      <c r="A10" s="228" t="s">
        <v>137</v>
      </c>
    </row>
    <row r="12" spans="1:5" ht="15" customHeight="1">
      <c r="A12" s="228" t="s">
        <v>136</v>
      </c>
    </row>
    <row r="14" spans="1:5" ht="15" customHeight="1">
      <c r="A14" s="228" t="s">
        <v>138</v>
      </c>
    </row>
  </sheetData>
  <mergeCells count="2">
    <mergeCell ref="A1:E3"/>
    <mergeCell ref="A7: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showGridLines="0" zoomScale="150" workbookViewId="0">
      <selection activeCell="E24" sqref="E24"/>
    </sheetView>
  </sheetViews>
  <sheetFormatPr defaultColWidth="12.59765625" defaultRowHeight="12.75"/>
  <cols>
    <col min="1" max="1" width="19.3984375" style="1" customWidth="1"/>
    <col min="2" max="5" width="18" style="1" customWidth="1"/>
    <col min="6" max="6" width="13.59765625" style="3" bestFit="1" customWidth="1"/>
    <col min="7" max="7" width="9.59765625" style="1" bestFit="1" customWidth="1"/>
    <col min="8" max="16384" width="12.59765625" style="1"/>
  </cols>
  <sheetData>
    <row r="1" spans="1:7" s="11" customFormat="1" ht="16.5">
      <c r="A1" s="9" t="s">
        <v>0</v>
      </c>
      <c r="B1" s="5" t="s">
        <v>1</v>
      </c>
      <c r="C1" s="5" t="s">
        <v>2</v>
      </c>
      <c r="D1" s="5" t="s">
        <v>3</v>
      </c>
      <c r="E1" s="5"/>
      <c r="F1" s="10" t="s">
        <v>21</v>
      </c>
      <c r="G1" s="11" t="s">
        <v>22</v>
      </c>
    </row>
    <row r="2" spans="1:7" s="11" customFormat="1">
      <c r="A2" s="11" t="s">
        <v>4</v>
      </c>
      <c r="B2" s="2">
        <v>4</v>
      </c>
      <c r="C2" s="2">
        <v>4.5</v>
      </c>
      <c r="D2" s="2">
        <v>3.8</v>
      </c>
      <c r="E2" s="2"/>
      <c r="F2" s="10"/>
    </row>
    <row r="3" spans="1:7" s="11" customFormat="1" ht="38.25">
      <c r="A3" s="12" t="s">
        <v>8</v>
      </c>
      <c r="B3" s="2">
        <v>2.52</v>
      </c>
      <c r="C3" s="2">
        <v>3.18</v>
      </c>
      <c r="D3" s="2">
        <v>1.95</v>
      </c>
      <c r="E3" s="2"/>
      <c r="F3" s="10"/>
    </row>
    <row r="4" spans="1:7" s="11" customFormat="1">
      <c r="A4" s="13" t="s">
        <v>29</v>
      </c>
      <c r="B4" s="2" t="e">
        <f>#REF!</f>
        <v>#REF!</v>
      </c>
      <c r="C4" s="2" t="e">
        <f>#REF!</f>
        <v>#REF!</v>
      </c>
      <c r="D4" s="2" t="e">
        <f>#REF!</f>
        <v>#REF!</v>
      </c>
      <c r="E4" s="2"/>
      <c r="F4" s="10"/>
    </row>
    <row r="5" spans="1:7" s="11" customFormat="1">
      <c r="A5" s="13" t="s">
        <v>10</v>
      </c>
      <c r="B5" s="2" t="e">
        <f>B2-B3-B4</f>
        <v>#REF!</v>
      </c>
      <c r="C5" s="2" t="e">
        <f>C2-C3-C4</f>
        <v>#REF!</v>
      </c>
      <c r="D5" s="2" t="e">
        <f>D2-D3-D4</f>
        <v>#REF!</v>
      </c>
      <c r="E5" s="2"/>
      <c r="F5" s="10"/>
    </row>
    <row r="7" spans="1:7">
      <c r="A7" s="1" t="s">
        <v>19</v>
      </c>
      <c r="B7" s="14">
        <v>525000</v>
      </c>
      <c r="C7" s="14">
        <v>75000</v>
      </c>
      <c r="D7" s="14">
        <v>0</v>
      </c>
      <c r="E7" s="8">
        <f>SUM(B7:D7)</f>
        <v>600000</v>
      </c>
      <c r="F7" s="8">
        <f>0.2*F10</f>
        <v>600000</v>
      </c>
      <c r="G7" s="1">
        <v>9</v>
      </c>
    </row>
    <row r="8" spans="1:7">
      <c r="A8" s="1" t="s">
        <v>20</v>
      </c>
      <c r="B8" s="14">
        <v>175000</v>
      </c>
      <c r="C8" s="14">
        <v>225000</v>
      </c>
      <c r="D8" s="14">
        <v>2000000</v>
      </c>
      <c r="E8" s="8">
        <f>SUM(B8:D8)</f>
        <v>2400000</v>
      </c>
      <c r="F8" s="8">
        <f>F10-F7</f>
        <v>2400000</v>
      </c>
      <c r="G8" s="1">
        <v>5</v>
      </c>
    </row>
    <row r="9" spans="1:7">
      <c r="A9" s="1" t="s">
        <v>25</v>
      </c>
      <c r="B9" s="3">
        <f>B7+B8</f>
        <v>700000</v>
      </c>
      <c r="C9" s="3">
        <f>C7+C8</f>
        <v>300000</v>
      </c>
      <c r="D9" s="3">
        <f>D7+D8</f>
        <v>2000000</v>
      </c>
      <c r="E9" s="3"/>
    </row>
    <row r="10" spans="1:7">
      <c r="A10" s="4" t="s">
        <v>24</v>
      </c>
      <c r="B10" s="3">
        <v>18</v>
      </c>
      <c r="C10" s="3">
        <v>20</v>
      </c>
      <c r="D10" s="3">
        <v>25</v>
      </c>
      <c r="E10" s="3"/>
      <c r="F10" s="3">
        <v>3000000</v>
      </c>
    </row>
    <row r="11" spans="1:7">
      <c r="A11" s="4"/>
      <c r="B11" s="3"/>
      <c r="C11" s="3"/>
      <c r="D11" s="3"/>
      <c r="E11" s="3"/>
    </row>
    <row r="12" spans="1:7">
      <c r="A12" s="6" t="s">
        <v>26</v>
      </c>
      <c r="B12" s="7">
        <f>B9/B10</f>
        <v>38888.888888888891</v>
      </c>
      <c r="C12" s="7">
        <f>C9/C10</f>
        <v>15000</v>
      </c>
      <c r="D12" s="7">
        <f>D9/D10</f>
        <v>80000</v>
      </c>
      <c r="E12" s="3"/>
    </row>
    <row r="13" spans="1:7">
      <c r="A13" s="4"/>
      <c r="B13" s="3"/>
      <c r="C13" s="3"/>
      <c r="D13" s="3"/>
      <c r="E13" s="3"/>
    </row>
    <row r="14" spans="1:7">
      <c r="A14" s="1" t="s">
        <v>27</v>
      </c>
      <c r="B14" s="15">
        <f>0.75*B9</f>
        <v>525000</v>
      </c>
      <c r="C14" s="15">
        <f>0.25*C9</f>
        <v>75000</v>
      </c>
      <c r="D14" s="15">
        <f>0*D9</f>
        <v>0</v>
      </c>
      <c r="E14" s="3"/>
    </row>
    <row r="15" spans="1:7">
      <c r="A15" s="1" t="s">
        <v>23</v>
      </c>
      <c r="B15" s="7">
        <v>800000</v>
      </c>
      <c r="C15" s="7">
        <v>50000</v>
      </c>
      <c r="D15" s="7">
        <v>80000</v>
      </c>
      <c r="E15" s="3"/>
    </row>
    <row r="16" spans="1:7">
      <c r="B16" s="3"/>
      <c r="C16" s="3"/>
      <c r="D16" s="3"/>
      <c r="E16" s="3"/>
    </row>
    <row r="17" spans="1:6">
      <c r="A17" s="1" t="s">
        <v>28</v>
      </c>
      <c r="B17" s="3" t="e">
        <f>B5*B12</f>
        <v>#REF!</v>
      </c>
      <c r="C17" s="3" t="e">
        <f>C5*C12</f>
        <v>#REF!</v>
      </c>
      <c r="D17" s="3" t="e">
        <f>D5*D12</f>
        <v>#REF!</v>
      </c>
      <c r="E17" s="16" t="e">
        <f>SUM(B17:D17)</f>
        <v>#REF!</v>
      </c>
    </row>
    <row r="18" spans="1:6">
      <c r="A18" s="1" t="s">
        <v>15</v>
      </c>
      <c r="B18" s="3"/>
      <c r="C18" s="3"/>
      <c r="D18" s="3"/>
      <c r="E18" s="17">
        <v>180000</v>
      </c>
    </row>
    <row r="19" spans="1:6" ht="13.5" thickBot="1">
      <c r="A19" s="1" t="s">
        <v>5</v>
      </c>
      <c r="B19" s="3"/>
      <c r="C19" s="3"/>
      <c r="D19" s="3"/>
      <c r="E19" s="18" t="e">
        <f>E17-E18</f>
        <v>#REF!</v>
      </c>
    </row>
    <row r="20" spans="1:6" ht="13.5" thickTop="1"/>
    <row r="21" spans="1:6" s="19" customFormat="1">
      <c r="A21" s="19" t="s">
        <v>28</v>
      </c>
      <c r="B21" s="19">
        <f>B12*B2</f>
        <v>155555.55555555556</v>
      </c>
      <c r="C21" s="19">
        <f>C12*C2</f>
        <v>67500</v>
      </c>
      <c r="D21" s="19">
        <f>D12*D2</f>
        <v>304000</v>
      </c>
      <c r="E21" s="19">
        <f>SUM(B21:D21)</f>
        <v>527055.5555555555</v>
      </c>
      <c r="F21" s="20"/>
    </row>
    <row r="22" spans="1:6" s="19" customFormat="1">
      <c r="A22" s="19" t="s">
        <v>30</v>
      </c>
      <c r="B22" s="22">
        <f>B12*B3</f>
        <v>98000</v>
      </c>
      <c r="C22" s="22">
        <f>C12*C3</f>
        <v>47700</v>
      </c>
      <c r="D22" s="22">
        <f>D12*D3</f>
        <v>156000</v>
      </c>
      <c r="E22" s="22">
        <f>SUM(B22:D22)</f>
        <v>301700</v>
      </c>
      <c r="F22" s="20"/>
    </row>
    <row r="23" spans="1:6" s="19" customFormat="1">
      <c r="A23" s="19" t="s">
        <v>31</v>
      </c>
      <c r="B23" s="19">
        <f>B21-B22</f>
        <v>57555.555555555562</v>
      </c>
      <c r="C23" s="19">
        <f>C21-C22</f>
        <v>19800</v>
      </c>
      <c r="D23" s="19">
        <f>D21-D22</f>
        <v>148000</v>
      </c>
      <c r="E23" s="23">
        <f>SUM(B23:D23)</f>
        <v>225355.55555555556</v>
      </c>
      <c r="F23" s="20"/>
    </row>
    <row r="24" spans="1:6" s="19" customFormat="1">
      <c r="A24" s="19" t="s">
        <v>32</v>
      </c>
      <c r="E24" s="19">
        <v>180000</v>
      </c>
      <c r="F24" s="20"/>
    </row>
    <row r="25" spans="1:6" s="19" customFormat="1">
      <c r="A25" s="22" t="s">
        <v>33</v>
      </c>
      <c r="B25" s="22" t="e">
        <f>B4</f>
        <v>#REF!</v>
      </c>
      <c r="C25" s="22" t="e">
        <f>C4</f>
        <v>#REF!</v>
      </c>
      <c r="D25" s="22" t="e">
        <f>D4</f>
        <v>#REF!</v>
      </c>
      <c r="E25" s="22" t="e">
        <f>SUMPRODUCT(B12:D12,B25:D25)</f>
        <v>#REF!</v>
      </c>
      <c r="F25" s="20"/>
    </row>
    <row r="26" spans="1:6" s="19" customFormat="1" ht="13.5" thickBot="1">
      <c r="A26" s="21"/>
      <c r="E26" s="24" t="e">
        <f>E23-E24-E25</f>
        <v>#REF!</v>
      </c>
      <c r="F26" s="20"/>
    </row>
    <row r="27" spans="1:6" ht="13.5" thickTop="1"/>
  </sheetData>
  <phoneticPr fontId="0" type="noConversion"/>
  <printOptions headings="1"/>
  <pageMargins left="0.75" right="0.75" top="0.75" bottom="0.75" header="0.35" footer="0.35"/>
  <pageSetup pageOrder="overThenDown" orientation="landscape" blackAndWhite="1" cellComments="asDisplayed" r:id="rId1"/>
  <headerFooter alignWithMargins="0">
    <oddHeader>&amp;LDate: &amp;D &amp;T&amp;RPage: &amp;P of &amp;N</oddHeader>
    <oddFooter>&amp;LFile: &amp;F
Sheet: &amp;A&amp;RFrank Krzystofiak
School of Management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Home page</vt:lpstr>
      <vt:lpstr>Analysis</vt:lpstr>
      <vt:lpstr>Model</vt:lpstr>
      <vt:lpstr>Sensitivity Report</vt:lpstr>
      <vt:lpstr>Tab to Play With</vt:lpstr>
      <vt:lpstr>Further Analysis</vt:lpstr>
      <vt:lpstr>Profit</vt:lpstr>
      <vt:lpstr>Scenarios_table</vt:lpstr>
      <vt:lpstr>Single_variable_sensitivity_analysis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Krzystofiak</dc:creator>
  <cp:lastModifiedBy>Kally Yu</cp:lastModifiedBy>
  <cp:lastPrinted>2002-10-15T11:07:19Z</cp:lastPrinted>
  <dcterms:created xsi:type="dcterms:W3CDTF">1998-11-22T16:23:23Z</dcterms:created>
  <dcterms:modified xsi:type="dcterms:W3CDTF">2022-05-04T21:01:33Z</dcterms:modified>
</cp:coreProperties>
</file>