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uned_Radio_Frequency_AM_Receiver\sim\"/>
    </mc:Choice>
  </mc:AlternateContent>
  <xr:revisionPtr revIDLastSave="0" documentId="13_ncr:1_{39EF7D46-A304-49CD-AC62-6DC24CC91F9C}" xr6:coauthVersionLast="47" xr6:coauthVersionMax="47" xr10:uidLastSave="{00000000-0000-0000-0000-000000000000}"/>
  <bookViews>
    <workbookView xWindow="-120" yWindow="-120" windowWidth="29040" windowHeight="15720" xr2:uid="{377D7E50-E70E-4C47-9094-A71C757E4600}"/>
  </bookViews>
  <sheets>
    <sheet name="bandpass" sheetId="1" r:id="rId1"/>
    <sheet name="anten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29" i="3" s="1"/>
  <c r="E22" i="3"/>
  <c r="E21" i="3"/>
  <c r="E19" i="3"/>
  <c r="E14" i="3"/>
  <c r="G14" i="3" s="1"/>
  <c r="C9" i="1"/>
  <c r="C10" i="1"/>
  <c r="L33" i="1"/>
  <c r="H14" i="1"/>
  <c r="P19" i="1"/>
  <c r="C20" i="1"/>
  <c r="L32" i="1"/>
  <c r="L34" i="1"/>
  <c r="L35" i="1"/>
  <c r="L31" i="1"/>
  <c r="G16" i="1"/>
  <c r="G14" i="1"/>
  <c r="I16" i="1"/>
  <c r="I14" i="1"/>
  <c r="H16" i="1"/>
  <c r="C8" i="1"/>
  <c r="G9" i="1"/>
  <c r="H42" i="1" s="1"/>
  <c r="G8" i="1"/>
  <c r="I34" i="1"/>
  <c r="I35" i="1"/>
  <c r="I32" i="1"/>
  <c r="I31" i="1"/>
  <c r="I33" i="1"/>
  <c r="H17" i="1" l="1"/>
  <c r="H18" i="1" s="1"/>
  <c r="G17" i="1"/>
  <c r="G18" i="1" s="1"/>
  <c r="I17" i="1"/>
  <c r="I18" i="1" s="1"/>
  <c r="J33" i="1"/>
  <c r="J34" i="1"/>
  <c r="J31" i="1"/>
  <c r="J32" i="1"/>
  <c r="J35" i="1"/>
  <c r="G42" i="1"/>
  <c r="I42" i="1"/>
</calcChain>
</file>

<file path=xl/sharedStrings.xml><?xml version="1.0" encoding="utf-8"?>
<sst xmlns="http://schemas.openxmlformats.org/spreadsheetml/2006/main" count="87" uniqueCount="77">
  <si>
    <t>R</t>
  </si>
  <si>
    <t>X</t>
  </si>
  <si>
    <t>f</t>
  </si>
  <si>
    <t>f[kHz]</t>
  </si>
  <si>
    <t>Zant</t>
  </si>
  <si>
    <t>BAT54</t>
  </si>
  <si>
    <t>1N34A</t>
  </si>
  <si>
    <t>AAP153</t>
  </si>
  <si>
    <t>Antenna Impedance [ohm]</t>
  </si>
  <si>
    <t>Zd [ohm]</t>
  </si>
  <si>
    <t>Detector 
input impedance</t>
  </si>
  <si>
    <t>LTSpice diode model used:</t>
  </si>
  <si>
    <t>Random Wire Antenna Measurements (nanoVNA used):</t>
  </si>
  <si>
    <t>Np</t>
  </si>
  <si>
    <t>Ns</t>
  </si>
  <si>
    <t>(Ns/Np)^2</t>
  </si>
  <si>
    <t>Zd' [ohm]</t>
  </si>
  <si>
    <t>(Np/Ns)*2</t>
  </si>
  <si>
    <t>Zd'=Zd*(Np/Ns)^2</t>
  </si>
  <si>
    <t>Zant'=Zant*(Ns/Np)^2</t>
  </si>
  <si>
    <t>Wire spread parallel to earth on 3m height. Wire length=15m (spread) and additional 5m connecting antenna to radio
Lack of earth did not impact antenna impedance measurements.
Ground connection made via 10.5 metal rod inserted into the Earth.</t>
  </si>
  <si>
    <t>Lp/Ls = (Np/Ns)^2</t>
  </si>
  <si>
    <t>Windings Inductance
(measured with NanoVNA)</t>
  </si>
  <si>
    <t>windings</t>
  </si>
  <si>
    <t># of turns</t>
  </si>
  <si>
    <t>fr=1/(2*PI*SQRT(LC))</t>
  </si>
  <si>
    <t>fr</t>
  </si>
  <si>
    <t>L</t>
  </si>
  <si>
    <t>kHz</t>
  </si>
  <si>
    <t>mH</t>
  </si>
  <si>
    <t>pF</t>
  </si>
  <si>
    <t>center</t>
  </si>
  <si>
    <t>left</t>
  </si>
  <si>
    <t>right</t>
  </si>
  <si>
    <t>k=M/SQRT(L1*L2)</t>
  </si>
  <si>
    <t>k</t>
  </si>
  <si>
    <t>Antenna 
Capacitance 
[pF]</t>
  </si>
  <si>
    <t>Coil position on ferrite rod</t>
  </si>
  <si>
    <t>LC Circuit Resonance Frequency</t>
  </si>
  <si>
    <t>lambda</t>
  </si>
  <si>
    <t>c (speed of light in free space)</t>
  </si>
  <si>
    <t>m/s</t>
  </si>
  <si>
    <t>m</t>
  </si>
  <si>
    <t>R1</t>
  </si>
  <si>
    <t>R2</t>
  </si>
  <si>
    <t>R1IIR2</t>
  </si>
  <si>
    <t>Lp [H]</t>
  </si>
  <si>
    <t>M [H]</t>
  </si>
  <si>
    <t>Cant</t>
  </si>
  <si>
    <t>frtarget</t>
  </si>
  <si>
    <t>fcalculated</t>
  </si>
  <si>
    <t>Austin's equation</t>
  </si>
  <si>
    <t>Erms</t>
  </si>
  <si>
    <t>P</t>
  </si>
  <si>
    <t>Esk</t>
  </si>
  <si>
    <t>kW</t>
  </si>
  <si>
    <t>km</t>
  </si>
  <si>
    <t>mV/m</t>
  </si>
  <si>
    <t>Uant=E*Lant</t>
  </si>
  <si>
    <t>Uant</t>
  </si>
  <si>
    <t>V</t>
  </si>
  <si>
    <t>Esk=[300*SQRT(P)/R]*[SQRT(Theta/sin(Theta))]*exp[(-0.0014/lambda^0.6)*R]</t>
  </si>
  <si>
    <t>Transmitter effeciency</t>
  </si>
  <si>
    <t>Theta=R/a</t>
  </si>
  <si>
    <t>a= Earth Radius</t>
  </si>
  <si>
    <t>rad</t>
  </si>
  <si>
    <t>deg</t>
  </si>
  <si>
    <t>c</t>
  </si>
  <si>
    <t>SQRT(Theta/sin(Theta)</t>
  </si>
  <si>
    <t>exp[(-0.0014/lambda^0.6)*R]</t>
  </si>
  <si>
    <t>L2 [H]</t>
  </si>
  <si>
    <t>L1 [H]</t>
  </si>
  <si>
    <t>Lp=L1+L2+2M</t>
  </si>
  <si>
    <t>M=(Lp-L1-L2)/2</t>
  </si>
  <si>
    <t>Ls=L1</t>
  </si>
  <si>
    <t>LC Circuit Autotransformer parameters: (ideal transformer)</t>
  </si>
  <si>
    <t>Zant'
(ideal
 transformer)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</si>
</sst>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2" fontId="2" fillId="2" borderId="0" xfId="0" applyNumberFormat="1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44B3-59E2-438D-A3CA-E8230FF57B8A}">
  <dimension ref="B2:T49"/>
  <sheetViews>
    <sheetView tabSelected="1" zoomScale="78" zoomScaleNormal="78" workbookViewId="0">
      <selection activeCell="C23" sqref="C23"/>
    </sheetView>
  </sheetViews>
  <sheetFormatPr defaultRowHeight="15" x14ac:dyDescent="0.25"/>
  <cols>
    <col min="2" max="2" width="29.42578125" bestFit="1" customWidth="1"/>
    <col min="3" max="3" width="26" customWidth="1"/>
    <col min="6" max="6" width="25.5703125" customWidth="1"/>
    <col min="7" max="7" width="10.140625" bestFit="1" customWidth="1"/>
    <col min="10" max="10" width="14.5703125" customWidth="1"/>
    <col min="12" max="12" width="13" customWidth="1"/>
  </cols>
  <sheetData>
    <row r="2" spans="2:16" x14ac:dyDescent="0.25">
      <c r="B2" s="3" t="s">
        <v>38</v>
      </c>
      <c r="F2" s="3" t="s">
        <v>75</v>
      </c>
    </row>
    <row r="4" spans="2:16" x14ac:dyDescent="0.25">
      <c r="B4" t="s">
        <v>25</v>
      </c>
      <c r="F4" s="10" t="s">
        <v>23</v>
      </c>
      <c r="G4" s="4" t="s">
        <v>24</v>
      </c>
      <c r="H4" s="1"/>
    </row>
    <row r="5" spans="2:16" x14ac:dyDescent="0.25">
      <c r="F5" t="s">
        <v>14</v>
      </c>
      <c r="G5" s="1">
        <v>50</v>
      </c>
    </row>
    <row r="6" spans="2:16" x14ac:dyDescent="0.25">
      <c r="B6" t="s">
        <v>49</v>
      </c>
      <c r="C6" s="1">
        <v>225</v>
      </c>
      <c r="D6" t="s">
        <v>28</v>
      </c>
      <c r="F6" t="s">
        <v>13</v>
      </c>
      <c r="G6" s="1">
        <v>150</v>
      </c>
    </row>
    <row r="7" spans="2:16" x14ac:dyDescent="0.25">
      <c r="G7" s="1"/>
    </row>
    <row r="8" spans="2:16" x14ac:dyDescent="0.25">
      <c r="B8" t="s">
        <v>27</v>
      </c>
      <c r="C8" s="1">
        <f>1.58</f>
        <v>1.58</v>
      </c>
      <c r="D8" t="s">
        <v>29</v>
      </c>
      <c r="F8" t="s">
        <v>15</v>
      </c>
      <c r="G8" s="1">
        <f>(G5/G6)^2</f>
        <v>0.1111111111111111</v>
      </c>
    </row>
    <row r="9" spans="2:16" x14ac:dyDescent="0.25">
      <c r="B9" t="s">
        <v>48</v>
      </c>
      <c r="C9" s="12">
        <f>L33</f>
        <v>281.31176310077655</v>
      </c>
      <c r="D9" t="s">
        <v>30</v>
      </c>
      <c r="F9" t="s">
        <v>17</v>
      </c>
      <c r="G9" s="1">
        <f>((G6/G5)^2)</f>
        <v>9</v>
      </c>
    </row>
    <row r="10" spans="2:16" x14ac:dyDescent="0.25">
      <c r="B10" t="s">
        <v>50</v>
      </c>
      <c r="C10" s="11">
        <f>1/(2*PI()*SQRT(C8*C9*10^-15))/1000</f>
        <v>238.72485698832324</v>
      </c>
      <c r="D10" t="s">
        <v>28</v>
      </c>
      <c r="G10" s="1"/>
    </row>
    <row r="11" spans="2:16" x14ac:dyDescent="0.25">
      <c r="C11" s="1"/>
      <c r="G11" s="1"/>
    </row>
    <row r="12" spans="2:16" x14ac:dyDescent="0.25">
      <c r="F12" s="26" t="s">
        <v>22</v>
      </c>
      <c r="G12" s="27" t="s">
        <v>37</v>
      </c>
      <c r="H12" s="27"/>
      <c r="I12" s="27"/>
    </row>
    <row r="13" spans="2:16" x14ac:dyDescent="0.25">
      <c r="F13" s="27"/>
      <c r="G13" s="4" t="s">
        <v>32</v>
      </c>
      <c r="H13" s="18" t="s">
        <v>31</v>
      </c>
      <c r="I13" s="4" t="s">
        <v>33</v>
      </c>
    </row>
    <row r="14" spans="2:16" x14ac:dyDescent="0.25">
      <c r="F14" t="s">
        <v>71</v>
      </c>
      <c r="G14" s="16">
        <f>160*10^-6</f>
        <v>1.5999999999999999E-4</v>
      </c>
      <c r="H14" s="16">
        <f>231*10^-6</f>
        <v>2.3099999999999998E-4</v>
      </c>
      <c r="I14" s="16">
        <f>233*10^-6</f>
        <v>2.33E-4</v>
      </c>
    </row>
    <row r="15" spans="2:16" x14ac:dyDescent="0.25">
      <c r="F15" t="s">
        <v>70</v>
      </c>
      <c r="G15" s="16">
        <v>7.7700000000000002E-4</v>
      </c>
      <c r="H15" s="16">
        <v>8.1400000000000005E-4</v>
      </c>
      <c r="I15" s="16">
        <v>6.38E-4</v>
      </c>
    </row>
    <row r="16" spans="2:16" x14ac:dyDescent="0.25">
      <c r="F16" s="19" t="s">
        <v>46</v>
      </c>
      <c r="G16" s="21">
        <f>1.33*10^-3</f>
        <v>1.33E-3</v>
      </c>
      <c r="H16" s="21">
        <f>1.58*10^-3</f>
        <v>1.58E-3</v>
      </c>
      <c r="I16" s="21">
        <f>1.34*10^-3</f>
        <v>1.34E-3</v>
      </c>
      <c r="O16" t="s">
        <v>43</v>
      </c>
      <c r="P16">
        <v>2500</v>
      </c>
    </row>
    <row r="17" spans="2:20" x14ac:dyDescent="0.25">
      <c r="F17" t="s">
        <v>47</v>
      </c>
      <c r="G17" s="15">
        <f>(G16-G14-G15)/2</f>
        <v>1.9650000000000001E-4</v>
      </c>
      <c r="H17" s="15">
        <f>(H16-H14-H15)/2</f>
        <v>2.6749999999999994E-4</v>
      </c>
      <c r="I17" s="15">
        <f>(I16-I14-I15)/2</f>
        <v>2.3450000000000006E-4</v>
      </c>
      <c r="O17" t="s">
        <v>44</v>
      </c>
      <c r="P17">
        <v>1000000</v>
      </c>
    </row>
    <row r="18" spans="2:20" x14ac:dyDescent="0.25">
      <c r="B18" t="s">
        <v>26</v>
      </c>
      <c r="C18">
        <v>225</v>
      </c>
      <c r="D18" t="s">
        <v>28</v>
      </c>
      <c r="F18" s="19" t="s">
        <v>35</v>
      </c>
      <c r="G18" s="20">
        <f>G17/SQRT(G14*G15)</f>
        <v>0.55730386372704843</v>
      </c>
      <c r="H18" s="20">
        <f>H17/SQRT(H14*H15)</f>
        <v>0.61688696555917022</v>
      </c>
      <c r="I18" s="20">
        <f>I17/SQRT(I14*I15)</f>
        <v>0.60821138753857584</v>
      </c>
    </row>
    <row r="19" spans="2:20" x14ac:dyDescent="0.25">
      <c r="B19" t="s">
        <v>40</v>
      </c>
      <c r="C19">
        <v>299792458</v>
      </c>
      <c r="D19" t="s">
        <v>41</v>
      </c>
      <c r="F19" t="s">
        <v>72</v>
      </c>
      <c r="G19" s="13"/>
      <c r="O19" t="s">
        <v>45</v>
      </c>
      <c r="P19">
        <f>(P16*P17)/(P16+P17)</f>
        <v>2493.7655860349128</v>
      </c>
    </row>
    <row r="20" spans="2:20" x14ac:dyDescent="0.25">
      <c r="B20" t="s">
        <v>39</v>
      </c>
      <c r="C20" s="17">
        <f>C19/(C18*10^3)</f>
        <v>1332.4109244444444</v>
      </c>
      <c r="D20" t="s">
        <v>42</v>
      </c>
      <c r="F20" t="s">
        <v>73</v>
      </c>
      <c r="G20" s="13"/>
    </row>
    <row r="21" spans="2:20" x14ac:dyDescent="0.25">
      <c r="F21" t="s">
        <v>34</v>
      </c>
    </row>
    <row r="22" spans="2:20" x14ac:dyDescent="0.25">
      <c r="F22" t="s">
        <v>74</v>
      </c>
    </row>
    <row r="23" spans="2:20" x14ac:dyDescent="0.25">
      <c r="F23" t="s">
        <v>21</v>
      </c>
      <c r="G23" s="1"/>
    </row>
    <row r="24" spans="2:20" x14ac:dyDescent="0.25">
      <c r="P24" s="16"/>
      <c r="Q24" s="1"/>
    </row>
    <row r="25" spans="2:20" x14ac:dyDescent="0.25">
      <c r="F25" s="3" t="s">
        <v>12</v>
      </c>
      <c r="T25" s="13"/>
    </row>
    <row r="26" spans="2:20" x14ac:dyDescent="0.25">
      <c r="Q26" s="13"/>
    </row>
    <row r="27" spans="2:20" x14ac:dyDescent="0.25">
      <c r="F27" s="29" t="s">
        <v>20</v>
      </c>
      <c r="G27" s="29"/>
      <c r="H27" s="29"/>
      <c r="I27" s="29"/>
      <c r="J27" s="29"/>
      <c r="K27" s="9"/>
      <c r="P27" s="1"/>
    </row>
    <row r="28" spans="2:20" x14ac:dyDescent="0.25">
      <c r="Q28" s="13"/>
    </row>
    <row r="29" spans="2:20" x14ac:dyDescent="0.25">
      <c r="F29" s="28" t="s">
        <v>3</v>
      </c>
      <c r="G29" s="28" t="s">
        <v>8</v>
      </c>
      <c r="H29" s="28"/>
      <c r="I29" s="28"/>
      <c r="J29" s="28"/>
      <c r="L29" s="30" t="s">
        <v>36</v>
      </c>
      <c r="Q29" s="13"/>
    </row>
    <row r="30" spans="2:20" ht="88.5" customHeight="1" x14ac:dyDescent="0.25">
      <c r="F30" s="28"/>
      <c r="G30" s="5" t="s">
        <v>0</v>
      </c>
      <c r="H30" s="5" t="s">
        <v>1</v>
      </c>
      <c r="I30" s="5" t="s">
        <v>4</v>
      </c>
      <c r="J30" s="24" t="s">
        <v>76</v>
      </c>
      <c r="L30" s="28"/>
    </row>
    <row r="31" spans="2:20" ht="15" hidden="1" customHeight="1" x14ac:dyDescent="0.25">
      <c r="F31" s="1">
        <v>154</v>
      </c>
      <c r="G31" s="1">
        <v>471</v>
      </c>
      <c r="H31" s="1">
        <v>3540</v>
      </c>
      <c r="I31">
        <f>SQRT(G31^2+H31^2)</f>
        <v>3571.1960181429413</v>
      </c>
      <c r="J31">
        <f>I31*$G$8</f>
        <v>396.7995575714379</v>
      </c>
      <c r="L31" s="14">
        <f>ABS(1/(2*PI()*F31*10^3*H31))/10^-12</f>
        <v>291.94171085900535</v>
      </c>
    </row>
    <row r="32" spans="2:20" ht="19.5" hidden="1" customHeight="1" x14ac:dyDescent="0.25">
      <c r="F32" s="1">
        <v>180</v>
      </c>
      <c r="G32" s="1">
        <v>340</v>
      </c>
      <c r="H32" s="1">
        <v>-3006</v>
      </c>
      <c r="I32">
        <f>SQRT(G32^2+H32^2)</f>
        <v>3025.167102822586</v>
      </c>
      <c r="J32">
        <f>I32*$G$8</f>
        <v>336.12967809139843</v>
      </c>
      <c r="L32" s="14">
        <f>ABS(1/(2*PI()*F32*10^3*H32))/10^-12</f>
        <v>294.14308991626996</v>
      </c>
    </row>
    <row r="33" spans="4:12" ht="30.75" customHeight="1" x14ac:dyDescent="0.25">
      <c r="F33" s="2">
        <v>221</v>
      </c>
      <c r="G33" s="2">
        <v>261</v>
      </c>
      <c r="H33" s="2">
        <v>-2560</v>
      </c>
      <c r="I33" s="23">
        <f>SQRT(G33^2+H33^2)</f>
        <v>2573.2704871427723</v>
      </c>
      <c r="J33" s="23">
        <f>I33*$G$8</f>
        <v>285.91894301586359</v>
      </c>
      <c r="L33" s="14">
        <f>ABS(1/(2*PI()*F33*10^3*H33))/10^-12</f>
        <v>281.31176310077655</v>
      </c>
    </row>
    <row r="34" spans="4:12" hidden="1" x14ac:dyDescent="0.25">
      <c r="F34" s="1">
        <v>260</v>
      </c>
      <c r="G34" s="1">
        <v>202</v>
      </c>
      <c r="H34" s="1">
        <v>-2019</v>
      </c>
      <c r="I34">
        <f>SQRT(G34^2+H34^2)</f>
        <v>2029.0798407159832</v>
      </c>
      <c r="J34">
        <f>I34*$G$8</f>
        <v>225.45331563510922</v>
      </c>
      <c r="L34" s="14">
        <f>ABS(1/(2*PI()*F34*10^3*H34))/10^-12</f>
        <v>303.18692248998997</v>
      </c>
    </row>
    <row r="35" spans="4:12" hidden="1" x14ac:dyDescent="0.25">
      <c r="F35" s="8">
        <v>297</v>
      </c>
      <c r="G35" s="8">
        <v>168</v>
      </c>
      <c r="H35" s="8">
        <v>-1902</v>
      </c>
      <c r="I35" s="19">
        <f>SQRT(G35^2+H35^2)</f>
        <v>1909.405142969925</v>
      </c>
      <c r="J35" s="19">
        <f>I35*$G$8</f>
        <v>212.15612699665832</v>
      </c>
      <c r="L35" s="14">
        <f>ABS(1/(2*PI()*F35*10^3*H35))/10^-12</f>
        <v>281.74302274744525</v>
      </c>
    </row>
    <row r="36" spans="4:12" x14ac:dyDescent="0.25">
      <c r="F36" s="7" t="s">
        <v>19</v>
      </c>
      <c r="G36" s="1"/>
      <c r="H36" s="1"/>
    </row>
    <row r="37" spans="4:12" x14ac:dyDescent="0.25">
      <c r="G37" s="1"/>
      <c r="H37" s="1"/>
    </row>
    <row r="38" spans="4:12" x14ac:dyDescent="0.25">
      <c r="F38" s="1"/>
      <c r="G38" s="1"/>
      <c r="H38" s="1"/>
    </row>
    <row r="39" spans="4:12" x14ac:dyDescent="0.25">
      <c r="F39" s="30" t="s">
        <v>10</v>
      </c>
      <c r="G39" s="27" t="s">
        <v>11</v>
      </c>
      <c r="H39" s="27"/>
      <c r="I39" s="27"/>
    </row>
    <row r="40" spans="4:12" x14ac:dyDescent="0.25">
      <c r="F40" s="30"/>
      <c r="G40" s="5" t="s">
        <v>5</v>
      </c>
      <c r="H40" s="5" t="s">
        <v>6</v>
      </c>
      <c r="I40" s="6" t="s">
        <v>7</v>
      </c>
    </row>
    <row r="41" spans="4:12" x14ac:dyDescent="0.25">
      <c r="F41" s="1" t="s">
        <v>9</v>
      </c>
      <c r="G41" s="1">
        <v>29200</v>
      </c>
      <c r="H41" s="1">
        <v>8000</v>
      </c>
      <c r="I41" s="2">
        <v>295</v>
      </c>
    </row>
    <row r="42" spans="4:12" x14ac:dyDescent="0.25">
      <c r="F42" s="8" t="s">
        <v>16</v>
      </c>
      <c r="G42" s="8">
        <f>G41*$G$9</f>
        <v>262800</v>
      </c>
      <c r="H42" s="8">
        <f>H41*$G$9</f>
        <v>72000</v>
      </c>
      <c r="I42" s="22">
        <f>I41*$G$9</f>
        <v>2655</v>
      </c>
    </row>
    <row r="43" spans="4:12" x14ac:dyDescent="0.25">
      <c r="F43" t="s">
        <v>18</v>
      </c>
    </row>
    <row r="46" spans="4:12" x14ac:dyDescent="0.25">
      <c r="G46" s="1"/>
    </row>
    <row r="47" spans="4:12" x14ac:dyDescent="0.25">
      <c r="D47" s="13"/>
      <c r="G47" s="1"/>
    </row>
    <row r="48" spans="4:12" x14ac:dyDescent="0.25">
      <c r="G48" s="1"/>
    </row>
    <row r="49" spans="7:7" x14ac:dyDescent="0.25">
      <c r="G49" s="1"/>
    </row>
  </sheetData>
  <mergeCells count="8">
    <mergeCell ref="F12:F13"/>
    <mergeCell ref="G39:I39"/>
    <mergeCell ref="G29:J29"/>
    <mergeCell ref="F27:J27"/>
    <mergeCell ref="L29:L30"/>
    <mergeCell ref="G12:I12"/>
    <mergeCell ref="F29:F30"/>
    <mergeCell ref="F39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529F-E87C-42BD-9C55-20458AB758A4}">
  <dimension ref="D3:H29"/>
  <sheetViews>
    <sheetView topLeftCell="A13" workbookViewId="0">
      <selection activeCell="K38" sqref="K38"/>
    </sheetView>
  </sheetViews>
  <sheetFormatPr defaultRowHeight="15" x14ac:dyDescent="0.25"/>
  <cols>
    <col min="4" max="4" width="30.140625" customWidth="1"/>
    <col min="5" max="5" width="14.85546875" customWidth="1"/>
  </cols>
  <sheetData>
    <row r="3" spans="4:8" x14ac:dyDescent="0.25">
      <c r="D3" t="s">
        <v>51</v>
      </c>
    </row>
    <row r="4" spans="4:8" x14ac:dyDescent="0.25">
      <c r="D4" t="s">
        <v>61</v>
      </c>
    </row>
    <row r="6" spans="4:8" x14ac:dyDescent="0.25">
      <c r="D6" t="s">
        <v>52</v>
      </c>
    </row>
    <row r="8" spans="4:8" x14ac:dyDescent="0.25">
      <c r="D8" t="s">
        <v>53</v>
      </c>
      <c r="E8">
        <v>1200</v>
      </c>
      <c r="F8" t="s">
        <v>55</v>
      </c>
    </row>
    <row r="9" spans="4:8" x14ac:dyDescent="0.25">
      <c r="D9" t="s">
        <v>62</v>
      </c>
      <c r="E9">
        <v>0.88</v>
      </c>
    </row>
    <row r="10" spans="4:8" x14ac:dyDescent="0.25">
      <c r="D10" t="s">
        <v>0</v>
      </c>
      <c r="E10">
        <v>228</v>
      </c>
      <c r="F10" t="s">
        <v>56</v>
      </c>
    </row>
    <row r="12" spans="4:8" x14ac:dyDescent="0.25">
      <c r="D12" t="s">
        <v>54</v>
      </c>
      <c r="E12">
        <f>300*SQRT(E9*E8)/(E10)</f>
        <v>42.758096866505056</v>
      </c>
      <c r="F12" t="s">
        <v>57</v>
      </c>
    </row>
    <row r="14" spans="4:8" x14ac:dyDescent="0.25">
      <c r="D14" t="s">
        <v>63</v>
      </c>
      <c r="E14">
        <f>E10/E15</f>
        <v>3.579277864992151E-2</v>
      </c>
      <c r="F14" t="s">
        <v>65</v>
      </c>
      <c r="G14">
        <f>E14*180/PI()</f>
        <v>2.0507751536864633</v>
      </c>
      <c r="H14" t="s">
        <v>66</v>
      </c>
    </row>
    <row r="15" spans="4:8" x14ac:dyDescent="0.25">
      <c r="D15" t="s">
        <v>64</v>
      </c>
      <c r="E15">
        <v>6370</v>
      </c>
      <c r="F15" t="s">
        <v>56</v>
      </c>
    </row>
    <row r="17" spans="4:6" x14ac:dyDescent="0.25">
      <c r="D17" t="s">
        <v>2</v>
      </c>
      <c r="E17">
        <v>225</v>
      </c>
      <c r="F17" t="s">
        <v>28</v>
      </c>
    </row>
    <row r="18" spans="4:6" x14ac:dyDescent="0.25">
      <c r="D18" t="s">
        <v>67</v>
      </c>
      <c r="E18">
        <v>299792458</v>
      </c>
      <c r="F18" t="s">
        <v>41</v>
      </c>
    </row>
    <row r="19" spans="4:6" x14ac:dyDescent="0.25">
      <c r="D19" t="s">
        <v>39</v>
      </c>
      <c r="E19">
        <f>E18/(E17*1000)/1000</f>
        <v>1.3324109244444444</v>
      </c>
      <c r="F19" t="s">
        <v>56</v>
      </c>
    </row>
    <row r="21" spans="4:6" x14ac:dyDescent="0.25">
      <c r="D21" t="s">
        <v>68</v>
      </c>
      <c r="E21">
        <f>SQRT(E14/SIN(E14))</f>
        <v>1.0001067705093265</v>
      </c>
    </row>
    <row r="22" spans="4:6" x14ac:dyDescent="0.25">
      <c r="D22" t="s">
        <v>69</v>
      </c>
      <c r="E22" s="25">
        <f>EXP((-0.0014/((E19*1000)^6))*228*1000)</f>
        <v>0.99999999999999989</v>
      </c>
    </row>
    <row r="25" spans="4:6" x14ac:dyDescent="0.25">
      <c r="D25" t="s">
        <v>58</v>
      </c>
    </row>
    <row r="27" spans="4:6" x14ac:dyDescent="0.25">
      <c r="D27" t="s">
        <v>27</v>
      </c>
      <c r="E27">
        <v>25</v>
      </c>
      <c r="F27" t="s">
        <v>42</v>
      </c>
    </row>
    <row r="29" spans="4:6" x14ac:dyDescent="0.25">
      <c r="D29" t="s">
        <v>59</v>
      </c>
      <c r="E29">
        <f>E27*E12/1000</f>
        <v>1.0689524216626265</v>
      </c>
      <c r="F2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bandpass</vt:lpstr>
      <vt:lpstr>antenna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2023-12-16T13:07:15Z</dcterms:created>
  <dcterms:modified xsi:type="dcterms:W3CDTF">2024-01-07T14:04:03Z</dcterms:modified>
</cp:coreProperties>
</file>