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Tap\"/>
    </mc:Choice>
  </mc:AlternateContent>
  <xr:revisionPtr revIDLastSave="0" documentId="13_ncr:1_{07A086CF-E1AD-4AA4-AE45-423307EEC125}" xr6:coauthVersionLast="47" xr6:coauthVersionMax="47" xr10:uidLastSave="{00000000-0000-0000-0000-000000000000}"/>
  <bookViews>
    <workbookView xWindow="-120" yWindow="-120" windowWidth="29040" windowHeight="15720" xr2:uid="{14D1D72B-EE71-4E4C-A43A-C8F3F4295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5" i="1"/>
  <c r="E27" i="1" s="1"/>
  <c r="E29" i="1" s="1"/>
  <c r="F29" i="1"/>
  <c r="E33" i="1"/>
  <c r="F34" i="1" s="1"/>
  <c r="F35" i="1"/>
  <c r="F36" i="1" s="1"/>
  <c r="G36" i="1" s="1"/>
  <c r="F45" i="1"/>
  <c r="H45" i="1"/>
  <c r="F46" i="1"/>
  <c r="D50" i="1"/>
  <c r="F50" i="1"/>
  <c r="H52" i="1"/>
  <c r="H54" i="1" s="1"/>
  <c r="O43" i="1"/>
  <c r="O55" i="1"/>
  <c r="O56" i="1"/>
  <c r="R16" i="1"/>
  <c r="R5" i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5" i="1"/>
  <c r="H56" i="1" l="1"/>
  <c r="N25" i="1"/>
  <c r="N17" i="1"/>
  <c r="N28" i="1"/>
  <c r="N20" i="1"/>
  <c r="N12" i="1"/>
  <c r="N31" i="1"/>
  <c r="N27" i="1"/>
  <c r="N23" i="1"/>
  <c r="N19" i="1"/>
  <c r="N15" i="1"/>
  <c r="N11" i="1"/>
  <c r="N7" i="1"/>
  <c r="N29" i="1"/>
  <c r="N21" i="1"/>
  <c r="N13" i="1"/>
  <c r="N9" i="1"/>
  <c r="N5" i="1"/>
  <c r="N24" i="1"/>
  <c r="N16" i="1"/>
  <c r="N8" i="1"/>
  <c r="N30" i="1"/>
  <c r="N26" i="1"/>
  <c r="N22" i="1"/>
  <c r="N18" i="1"/>
  <c r="N14" i="1"/>
  <c r="N10" i="1"/>
  <c r="N6" i="1"/>
  <c r="S18" i="1" l="1"/>
  <c r="O18" i="1"/>
  <c r="S8" i="1"/>
  <c r="O8" i="1"/>
  <c r="O9" i="1"/>
  <c r="S9" i="1"/>
  <c r="S7" i="1"/>
  <c r="O7" i="1"/>
  <c r="S23" i="1"/>
  <c r="O23" i="1"/>
  <c r="O20" i="1"/>
  <c r="S20" i="1"/>
  <c r="O6" i="1"/>
  <c r="S6" i="1"/>
  <c r="O22" i="1"/>
  <c r="S22" i="1"/>
  <c r="S16" i="1"/>
  <c r="O16" i="1"/>
  <c r="O13" i="1"/>
  <c r="S13" i="1"/>
  <c r="S11" i="1"/>
  <c r="O11" i="1"/>
  <c r="S27" i="1"/>
  <c r="O27" i="1"/>
  <c r="O28" i="1"/>
  <c r="S28" i="1"/>
  <c r="S10" i="1"/>
  <c r="O10" i="1"/>
  <c r="S26" i="1"/>
  <c r="O26" i="1"/>
  <c r="S24" i="1"/>
  <c r="O24" i="1"/>
  <c r="O21" i="1"/>
  <c r="S21" i="1"/>
  <c r="S15" i="1"/>
  <c r="O15" i="1"/>
  <c r="S31" i="1"/>
  <c r="O31" i="1"/>
  <c r="O17" i="1"/>
  <c r="S17" i="1"/>
  <c r="O14" i="1"/>
  <c r="S14" i="1"/>
  <c r="S30" i="1"/>
  <c r="O30" i="1"/>
  <c r="S5" i="1"/>
  <c r="O5" i="1"/>
  <c r="O29" i="1"/>
  <c r="S29" i="1"/>
  <c r="S19" i="1"/>
  <c r="O19" i="1"/>
  <c r="O12" i="1"/>
  <c r="S12" i="1"/>
  <c r="O25" i="1"/>
  <c r="S25" i="1"/>
  <c r="U29" i="1" l="1"/>
  <c r="T29" i="1"/>
  <c r="U17" i="1"/>
  <c r="T17" i="1"/>
  <c r="U22" i="1"/>
  <c r="T22" i="1"/>
  <c r="U30" i="1"/>
  <c r="T30" i="1"/>
  <c r="U15" i="1"/>
  <c r="T15" i="1"/>
  <c r="U24" i="1"/>
  <c r="T24" i="1"/>
  <c r="U10" i="1"/>
  <c r="T10" i="1"/>
  <c r="U27" i="1"/>
  <c r="T27" i="1"/>
  <c r="U7" i="1"/>
  <c r="T7" i="1"/>
  <c r="U8" i="1"/>
  <c r="T8" i="1"/>
  <c r="U12" i="1"/>
  <c r="T12" i="1"/>
  <c r="U13" i="1"/>
  <c r="T13" i="1"/>
  <c r="U25" i="1"/>
  <c r="T25" i="1"/>
  <c r="U14" i="1"/>
  <c r="T14" i="1"/>
  <c r="U21" i="1"/>
  <c r="T21" i="1"/>
  <c r="U28" i="1"/>
  <c r="T28" i="1"/>
  <c r="U6" i="1"/>
  <c r="T6" i="1"/>
  <c r="U9" i="1"/>
  <c r="T9" i="1"/>
  <c r="U20" i="1"/>
  <c r="T20" i="1"/>
  <c r="U19" i="1"/>
  <c r="T19" i="1"/>
  <c r="U5" i="1"/>
  <c r="T5" i="1"/>
  <c r="U31" i="1"/>
  <c r="T31" i="1"/>
  <c r="U26" i="1"/>
  <c r="T26" i="1"/>
  <c r="U11" i="1"/>
  <c r="T11" i="1"/>
  <c r="U16" i="1"/>
  <c r="T16" i="1"/>
  <c r="U23" i="1"/>
  <c r="T23" i="1"/>
  <c r="U18" i="1"/>
  <c r="T18" i="1"/>
</calcChain>
</file>

<file path=xl/sharedStrings.xml><?xml version="1.0" encoding="utf-8"?>
<sst xmlns="http://schemas.openxmlformats.org/spreadsheetml/2006/main" count="40" uniqueCount="33">
  <si>
    <t>In</t>
  </si>
  <si>
    <t>R1A</t>
  </si>
  <si>
    <t>R1B</t>
  </si>
  <si>
    <t>R1C</t>
  </si>
  <si>
    <t>I</t>
  </si>
  <si>
    <t>R2</t>
  </si>
  <si>
    <t>GND</t>
  </si>
  <si>
    <t>RF Tap Out</t>
  </si>
  <si>
    <t>R1</t>
  </si>
  <si>
    <t>[ohm]</t>
  </si>
  <si>
    <r>
      <t>U</t>
    </r>
    <r>
      <rPr>
        <sz val="8"/>
        <color theme="1"/>
        <rFont val="Aptos Narrow"/>
        <family val="2"/>
        <scheme val="minor"/>
      </rPr>
      <t>RFTapOut</t>
    </r>
    <r>
      <rPr>
        <sz val="12"/>
        <color theme="1"/>
        <rFont val="Aptos Narrow"/>
        <family val="2"/>
        <scheme val="minor"/>
      </rPr>
      <t>=[R2/(R1+R2)]*U</t>
    </r>
    <r>
      <rPr>
        <sz val="8"/>
        <color theme="1"/>
        <rFont val="Aptos Narrow"/>
        <family val="2"/>
        <scheme val="minor"/>
      </rPr>
      <t>in</t>
    </r>
  </si>
  <si>
    <t>Uin=I*(R1+R2) =&gt; I=Uin/(R1+R2)</t>
  </si>
  <si>
    <r>
      <t>U</t>
    </r>
    <r>
      <rPr>
        <sz val="8"/>
        <color theme="1"/>
        <rFont val="Aptos Narrow"/>
        <family val="2"/>
        <scheme val="minor"/>
      </rPr>
      <t>RFTapOut</t>
    </r>
    <r>
      <rPr>
        <sz val="11"/>
        <color theme="1"/>
        <rFont val="Aptos Narrow"/>
        <family val="2"/>
        <charset val="238"/>
        <scheme val="minor"/>
      </rPr>
      <t>=I*R2</t>
    </r>
  </si>
  <si>
    <t>Uin [V]</t>
  </si>
  <si>
    <r>
      <t>U</t>
    </r>
    <r>
      <rPr>
        <sz val="8"/>
        <color theme="1"/>
        <rFont val="Aptos Narrow"/>
        <family val="2"/>
        <scheme val="minor"/>
      </rPr>
      <t xml:space="preserve">RFTapOut </t>
    </r>
    <r>
      <rPr>
        <sz val="11"/>
        <color theme="1"/>
        <rFont val="Aptos Narrow"/>
        <family val="2"/>
        <charset val="238"/>
        <scheme val="minor"/>
      </rPr>
      <t>[V]</t>
    </r>
  </si>
  <si>
    <t>Att[dBV]</t>
  </si>
  <si>
    <t>Pin[W]</t>
  </si>
  <si>
    <r>
      <t>P</t>
    </r>
    <r>
      <rPr>
        <sz val="8"/>
        <color theme="1"/>
        <rFont val="Aptos Narrow"/>
        <family val="2"/>
        <scheme val="minor"/>
      </rPr>
      <t>RFTapOut</t>
    </r>
    <r>
      <rPr>
        <sz val="11"/>
        <color theme="1"/>
        <rFont val="Aptos Narrow"/>
        <family val="2"/>
        <charset val="238"/>
        <scheme val="minor"/>
      </rPr>
      <t>[W]</t>
    </r>
  </si>
  <si>
    <t>Att[dB]</t>
  </si>
  <si>
    <t>Power Calculation for  R=</t>
  </si>
  <si>
    <t>ohm</t>
  </si>
  <si>
    <t>Pin[dBm]</t>
  </si>
  <si>
    <r>
      <t>P</t>
    </r>
    <r>
      <rPr>
        <sz val="8"/>
        <color theme="1"/>
        <rFont val="Aptos Narrow"/>
        <family val="2"/>
        <scheme val="minor"/>
      </rPr>
      <t>RFtapOut</t>
    </r>
    <r>
      <rPr>
        <sz val="11"/>
        <color theme="1"/>
        <rFont val="Aptos Narrow"/>
        <family val="2"/>
        <charset val="238"/>
        <scheme val="minor"/>
      </rPr>
      <t>[dBm]</t>
    </r>
  </si>
  <si>
    <t>R</t>
  </si>
  <si>
    <t>U</t>
  </si>
  <si>
    <t>P</t>
  </si>
  <si>
    <t>U=</t>
  </si>
  <si>
    <t>I=</t>
  </si>
  <si>
    <t>Ppot</t>
  </si>
  <si>
    <t>P=UI</t>
  </si>
  <si>
    <t>R=U/I=&gt; U=IR</t>
  </si>
  <si>
    <t>P=I^2R</t>
  </si>
  <si>
    <t>Pr2.2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</si>
</sst>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000000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4859-422B-4272-B810-4C51CBA49392}">
  <dimension ref="D4:W56"/>
  <sheetViews>
    <sheetView tabSelected="1" topLeftCell="A2" workbookViewId="0">
      <selection activeCell="K13" sqref="K13"/>
    </sheetView>
  </sheetViews>
  <sheetFormatPr defaultRowHeight="15" x14ac:dyDescent="0.25"/>
  <cols>
    <col min="10" max="10" width="10.42578125" bestFit="1" customWidth="1"/>
    <col min="14" max="14" width="13.85546875" customWidth="1"/>
    <col min="15" max="15" width="12.140625" bestFit="1" customWidth="1"/>
    <col min="17" max="17" width="11" bestFit="1" customWidth="1"/>
    <col min="18" max="18" width="11" customWidth="1"/>
    <col min="19" max="19" width="14.7109375" bestFit="1" customWidth="1"/>
    <col min="20" max="20" width="14.7109375" customWidth="1"/>
    <col min="21" max="21" width="20.140625" customWidth="1"/>
  </cols>
  <sheetData>
    <row r="4" spans="5:21" x14ac:dyDescent="0.25">
      <c r="E4" t="s">
        <v>0</v>
      </c>
      <c r="F4" s="1" t="s">
        <v>1</v>
      </c>
      <c r="G4" s="1" t="s">
        <v>2</v>
      </c>
      <c r="H4" s="1" t="s">
        <v>3</v>
      </c>
      <c r="J4" s="1" t="s">
        <v>7</v>
      </c>
      <c r="M4" t="s">
        <v>13</v>
      </c>
      <c r="N4" t="s">
        <v>14</v>
      </c>
      <c r="O4" s="1" t="s">
        <v>15</v>
      </c>
      <c r="Q4" s="1" t="s">
        <v>16</v>
      </c>
      <c r="R4" s="1" t="s">
        <v>21</v>
      </c>
      <c r="S4" s="1" t="s">
        <v>17</v>
      </c>
      <c r="T4" s="1" t="s">
        <v>22</v>
      </c>
      <c r="U4" s="1" t="s">
        <v>18</v>
      </c>
    </row>
    <row r="5" spans="5:21" x14ac:dyDescent="0.25">
      <c r="I5" s="1" t="s">
        <v>4</v>
      </c>
      <c r="M5" s="7">
        <v>1E-3</v>
      </c>
      <c r="N5" s="8">
        <f>M5*($F$17/($F$15+$F$17))</f>
        <v>2.0310633213859019E-5</v>
      </c>
      <c r="O5" s="6">
        <f>20*LOG(N5/M5)</f>
        <v>-33.845530732299721</v>
      </c>
      <c r="Q5" s="1">
        <f>M5^2/$V$32</f>
        <v>2E-8</v>
      </c>
      <c r="R5" s="11">
        <f>10*LOG(Q5/0.001)</f>
        <v>-46.989700043360187</v>
      </c>
      <c r="S5" s="9">
        <f>N5^2/$V$32</f>
        <v>8.2504364309582624E-12</v>
      </c>
      <c r="T5" s="11">
        <f>10*LOG(S5/0.001)</f>
        <v>-80.835230775659909</v>
      </c>
      <c r="U5" s="6">
        <f>10*LOG(S5/Q5)</f>
        <v>-33.845530732299721</v>
      </c>
    </row>
    <row r="6" spans="5:21" x14ac:dyDescent="0.25">
      <c r="I6" s="1" t="s">
        <v>4</v>
      </c>
      <c r="M6" s="7">
        <v>5.0000000000000001E-3</v>
      </c>
      <c r="N6" s="8">
        <f>M6*($F$17/($F$15+$F$17))</f>
        <v>1.015531660692951E-4</v>
      </c>
      <c r="O6" s="6">
        <f t="shared" ref="O6:O31" si="0">20*LOG(N6/M6)</f>
        <v>-33.845530732299721</v>
      </c>
      <c r="Q6" s="1">
        <f t="shared" ref="Q6:Q31" si="1">M6^2/$V$32</f>
        <v>4.9999999999999998E-7</v>
      </c>
      <c r="R6" s="11">
        <f t="shared" ref="R6:T31" si="2">10*LOG(Q6/0.001)</f>
        <v>-33.010299956639813</v>
      </c>
      <c r="S6" s="9">
        <f t="shared" ref="S6:S31" si="3">N6^2/$V$32</f>
        <v>2.062609107739566E-10</v>
      </c>
      <c r="T6" s="11">
        <f t="shared" si="2"/>
        <v>-66.855830688939534</v>
      </c>
      <c r="U6" s="6">
        <f t="shared" ref="U6:U31" si="4">10*LOG(S6/Q6)</f>
        <v>-33.845530732299721</v>
      </c>
    </row>
    <row r="7" spans="5:21" x14ac:dyDescent="0.25">
      <c r="I7" s="1" t="s">
        <v>5</v>
      </c>
      <c r="M7" s="7">
        <v>0.01</v>
      </c>
      <c r="N7" s="8">
        <f>M7*($F$17/($F$15+$F$17))</f>
        <v>2.0310633213859019E-4</v>
      </c>
      <c r="O7" s="6">
        <f t="shared" si="0"/>
        <v>-33.845530732299721</v>
      </c>
      <c r="Q7" s="1">
        <f t="shared" si="1"/>
        <v>1.9999999999999999E-6</v>
      </c>
      <c r="R7" s="11">
        <f t="shared" si="2"/>
        <v>-26.989700043360187</v>
      </c>
      <c r="S7" s="9">
        <f t="shared" si="3"/>
        <v>8.2504364309582638E-10</v>
      </c>
      <c r="T7" s="11">
        <f t="shared" si="2"/>
        <v>-60.835230775659909</v>
      </c>
      <c r="U7" s="6">
        <f t="shared" si="4"/>
        <v>-33.845530732299721</v>
      </c>
    </row>
    <row r="8" spans="5:21" x14ac:dyDescent="0.25">
      <c r="I8" s="1" t="s">
        <v>4</v>
      </c>
      <c r="M8" s="7">
        <v>0.05</v>
      </c>
      <c r="N8" s="8">
        <f>M8*($F$17/($F$15+$F$17))</f>
        <v>1.0155316606929509E-3</v>
      </c>
      <c r="O8" s="6">
        <f t="shared" si="0"/>
        <v>-33.845530732299721</v>
      </c>
      <c r="Q8" s="1">
        <f t="shared" si="1"/>
        <v>5.0000000000000009E-5</v>
      </c>
      <c r="R8" s="11">
        <f t="shared" si="2"/>
        <v>-13.010299956639811</v>
      </c>
      <c r="S8" s="9">
        <f t="shared" si="3"/>
        <v>2.0626091077395658E-8</v>
      </c>
      <c r="T8" s="11">
        <f t="shared" si="2"/>
        <v>-46.855830688939534</v>
      </c>
      <c r="U8" s="6">
        <f t="shared" si="4"/>
        <v>-33.845530732299721</v>
      </c>
    </row>
    <row r="9" spans="5:21" x14ac:dyDescent="0.25">
      <c r="I9" s="1" t="s">
        <v>4</v>
      </c>
      <c r="M9" s="7">
        <v>0.1</v>
      </c>
      <c r="N9" s="8">
        <f>M9*($F$17/($F$15+$F$17))</f>
        <v>2.0310633213859019E-3</v>
      </c>
      <c r="O9" s="6">
        <f t="shared" si="0"/>
        <v>-33.845530732299721</v>
      </c>
      <c r="Q9" s="1">
        <f t="shared" si="1"/>
        <v>2.0000000000000004E-4</v>
      </c>
      <c r="R9" s="11">
        <f t="shared" si="2"/>
        <v>-6.9897000433601875</v>
      </c>
      <c r="S9" s="9">
        <f t="shared" si="3"/>
        <v>8.2504364309582633E-8</v>
      </c>
      <c r="T9" s="11">
        <f t="shared" si="2"/>
        <v>-40.835230775659909</v>
      </c>
      <c r="U9" s="6">
        <f t="shared" si="4"/>
        <v>-33.845530732299721</v>
      </c>
    </row>
    <row r="10" spans="5:21" x14ac:dyDescent="0.25">
      <c r="I10" s="1" t="s">
        <v>6</v>
      </c>
      <c r="M10" s="7">
        <v>0.5</v>
      </c>
      <c r="N10" s="8">
        <f>M10*($F$17/($F$15+$F$17))</f>
        <v>1.0155316606929509E-2</v>
      </c>
      <c r="O10" s="6">
        <f t="shared" si="0"/>
        <v>-33.845530732299721</v>
      </c>
      <c r="Q10" s="1">
        <f t="shared" si="1"/>
        <v>5.0000000000000001E-3</v>
      </c>
      <c r="R10" s="11">
        <f t="shared" si="2"/>
        <v>6.9897000433601884</v>
      </c>
      <c r="S10" s="9">
        <f t="shared" si="3"/>
        <v>2.0626091077395657E-6</v>
      </c>
      <c r="T10" s="11">
        <f t="shared" si="2"/>
        <v>-26.855830688939534</v>
      </c>
      <c r="U10" s="6">
        <f t="shared" si="4"/>
        <v>-33.845530732299721</v>
      </c>
    </row>
    <row r="11" spans="5:21" x14ac:dyDescent="0.25">
      <c r="F11" s="1" t="s">
        <v>9</v>
      </c>
      <c r="M11" s="7">
        <v>1</v>
      </c>
      <c r="N11" s="8">
        <f>M11*($F$17/($F$15+$F$17))</f>
        <v>2.0310633213859019E-2</v>
      </c>
      <c r="O11" s="6">
        <f t="shared" si="0"/>
        <v>-33.845530732299721</v>
      </c>
      <c r="Q11" s="1">
        <f t="shared" si="1"/>
        <v>0.02</v>
      </c>
      <c r="R11" s="11">
        <f t="shared" si="2"/>
        <v>13.010299956639813</v>
      </c>
      <c r="S11" s="9">
        <f t="shared" si="3"/>
        <v>8.2504364309582628E-6</v>
      </c>
      <c r="T11" s="11">
        <f t="shared" si="2"/>
        <v>-20.835230775659909</v>
      </c>
      <c r="U11" s="6">
        <f t="shared" si="4"/>
        <v>-33.845530732299721</v>
      </c>
    </row>
    <row r="12" spans="5:21" x14ac:dyDescent="0.25">
      <c r="E12" t="s">
        <v>1</v>
      </c>
      <c r="F12" s="1">
        <f>820</f>
        <v>820</v>
      </c>
      <c r="M12" s="7">
        <v>5</v>
      </c>
      <c r="N12" s="8">
        <f>M12*($F$17/($F$15+$F$17))</f>
        <v>0.1015531660692951</v>
      </c>
      <c r="O12" s="6">
        <f t="shared" si="0"/>
        <v>-33.845530732299721</v>
      </c>
      <c r="Q12" s="1">
        <f t="shared" si="1"/>
        <v>0.5</v>
      </c>
      <c r="R12" s="11">
        <f t="shared" si="2"/>
        <v>26.989700043360187</v>
      </c>
      <c r="S12" s="9">
        <f t="shared" si="3"/>
        <v>2.0626091077395657E-4</v>
      </c>
      <c r="T12" s="11">
        <f t="shared" si="2"/>
        <v>-6.855830688939534</v>
      </c>
      <c r="U12" s="6">
        <f t="shared" si="4"/>
        <v>-33.845530732299721</v>
      </c>
    </row>
    <row r="13" spans="5:21" x14ac:dyDescent="0.25">
      <c r="E13" t="s">
        <v>2</v>
      </c>
      <c r="F13" s="1">
        <v>820</v>
      </c>
      <c r="M13" s="7">
        <v>10</v>
      </c>
      <c r="N13" s="8">
        <f>M13*($F$17/($F$15+$F$17))</f>
        <v>0.2031063321385902</v>
      </c>
      <c r="O13" s="6">
        <f t="shared" si="0"/>
        <v>-33.845530732299721</v>
      </c>
      <c r="Q13" s="1">
        <f t="shared" si="1"/>
        <v>2</v>
      </c>
      <c r="R13" s="11">
        <f t="shared" si="2"/>
        <v>33.010299956639813</v>
      </c>
      <c r="S13" s="9">
        <f t="shared" si="3"/>
        <v>8.2504364309582629E-4</v>
      </c>
      <c r="T13" s="11">
        <f t="shared" si="2"/>
        <v>-0.83523077565991022</v>
      </c>
      <c r="U13" s="6">
        <f t="shared" si="4"/>
        <v>-33.845530732299721</v>
      </c>
    </row>
    <row r="14" spans="5:21" ht="15.75" thickBot="1" x14ac:dyDescent="0.3">
      <c r="E14" s="2" t="s">
        <v>3</v>
      </c>
      <c r="F14" s="4">
        <v>820</v>
      </c>
      <c r="M14" s="7">
        <v>15</v>
      </c>
      <c r="N14" s="8">
        <f>M14*($F$17/($F$15+$F$17))</f>
        <v>0.30465949820788529</v>
      </c>
      <c r="O14" s="6">
        <f t="shared" si="0"/>
        <v>-33.845530732299721</v>
      </c>
      <c r="Q14" s="1">
        <f t="shared" si="1"/>
        <v>4.5</v>
      </c>
      <c r="R14" s="11">
        <f t="shared" si="2"/>
        <v>36.532125137753432</v>
      </c>
      <c r="S14" s="9">
        <f t="shared" si="3"/>
        <v>1.8563481969656093E-3</v>
      </c>
      <c r="T14" s="11">
        <f t="shared" si="2"/>
        <v>2.6865944054537154</v>
      </c>
      <c r="U14" s="6">
        <f t="shared" si="4"/>
        <v>-33.845530732299721</v>
      </c>
    </row>
    <row r="15" spans="5:21" ht="15.75" thickTop="1" x14ac:dyDescent="0.25">
      <c r="E15" s="3" t="s">
        <v>8</v>
      </c>
      <c r="F15" s="5">
        <f>SUM(F12:F14)</f>
        <v>2460</v>
      </c>
      <c r="M15" s="7">
        <v>20</v>
      </c>
      <c r="N15" s="8">
        <f>M15*($F$17/($F$15+$F$17))</f>
        <v>0.40621266427718039</v>
      </c>
      <c r="O15" s="6">
        <f t="shared" si="0"/>
        <v>-33.845530732299721</v>
      </c>
      <c r="Q15" s="1">
        <f t="shared" si="1"/>
        <v>8</v>
      </c>
      <c r="R15" s="11">
        <f t="shared" si="2"/>
        <v>39.030899869919438</v>
      </c>
      <c r="S15" s="9">
        <f t="shared" si="3"/>
        <v>3.3001745723833052E-3</v>
      </c>
      <c r="T15" s="11">
        <f t="shared" si="2"/>
        <v>5.1853691376197144</v>
      </c>
      <c r="U15" s="6">
        <f t="shared" si="4"/>
        <v>-33.845530732299721</v>
      </c>
    </row>
    <row r="16" spans="5:21" x14ac:dyDescent="0.25">
      <c r="F16" s="1"/>
      <c r="M16" s="7">
        <v>25</v>
      </c>
      <c r="N16" s="8">
        <f>M16*($F$17/($F$15+$F$17))</f>
        <v>0.50776583034647549</v>
      </c>
      <c r="O16" s="6">
        <f t="shared" si="0"/>
        <v>-33.845530732299721</v>
      </c>
      <c r="Q16" s="1">
        <f t="shared" si="1"/>
        <v>12.5</v>
      </c>
      <c r="R16" s="11">
        <f t="shared" si="2"/>
        <v>40.969100130080562</v>
      </c>
      <c r="S16" s="9">
        <f t="shared" si="3"/>
        <v>5.1565227693489146E-3</v>
      </c>
      <c r="T16" s="11">
        <f t="shared" si="2"/>
        <v>7.1235693977808427</v>
      </c>
      <c r="U16" s="6">
        <f t="shared" si="4"/>
        <v>-33.845530732299721</v>
      </c>
    </row>
    <row r="17" spans="5:23" x14ac:dyDescent="0.25">
      <c r="E17" s="3" t="s">
        <v>5</v>
      </c>
      <c r="F17" s="5">
        <v>51</v>
      </c>
      <c r="M17" s="7">
        <v>30</v>
      </c>
      <c r="N17" s="8">
        <f>M17*($F$17/($F$15+$F$17))</f>
        <v>0.60931899641577059</v>
      </c>
      <c r="O17" s="6">
        <f t="shared" si="0"/>
        <v>-33.845530732299721</v>
      </c>
      <c r="Q17" s="1">
        <f t="shared" si="1"/>
        <v>18</v>
      </c>
      <c r="R17" s="11">
        <f t="shared" si="2"/>
        <v>42.552725051033065</v>
      </c>
      <c r="S17" s="9">
        <f t="shared" si="3"/>
        <v>7.425392787862437E-3</v>
      </c>
      <c r="T17" s="11">
        <f t="shared" si="2"/>
        <v>8.7071943187333396</v>
      </c>
      <c r="U17" s="6">
        <f t="shared" si="4"/>
        <v>-33.845530732299721</v>
      </c>
    </row>
    <row r="18" spans="5:23" x14ac:dyDescent="0.25">
      <c r="M18" s="7">
        <v>35</v>
      </c>
      <c r="N18" s="8">
        <f>M18*($F$17/($F$15+$F$17))</f>
        <v>0.71087216248506568</v>
      </c>
      <c r="O18" s="6">
        <f t="shared" si="0"/>
        <v>-33.845530732299721</v>
      </c>
      <c r="Q18" s="1">
        <f t="shared" si="1"/>
        <v>24.5</v>
      </c>
      <c r="R18" s="11">
        <f t="shared" si="2"/>
        <v>43.891660843645326</v>
      </c>
      <c r="S18" s="9">
        <f t="shared" si="3"/>
        <v>1.0106784627923873E-2</v>
      </c>
      <c r="T18" s="11">
        <f t="shared" si="2"/>
        <v>10.046130111345605</v>
      </c>
      <c r="U18" s="6">
        <f t="shared" si="4"/>
        <v>-33.845530732299721</v>
      </c>
    </row>
    <row r="19" spans="5:23" x14ac:dyDescent="0.25">
      <c r="M19" s="7">
        <v>40</v>
      </c>
      <c r="N19" s="8">
        <f>M19*($F$17/($F$15+$F$17))</f>
        <v>0.81242532855436078</v>
      </c>
      <c r="O19" s="6">
        <f t="shared" si="0"/>
        <v>-33.845530732299721</v>
      </c>
      <c r="Q19" s="1">
        <f t="shared" si="1"/>
        <v>32</v>
      </c>
      <c r="R19" s="11">
        <f t="shared" si="2"/>
        <v>45.051499783199063</v>
      </c>
      <c r="S19" s="9">
        <f t="shared" si="3"/>
        <v>1.3200698289533221E-2</v>
      </c>
      <c r="T19" s="11">
        <f t="shared" si="2"/>
        <v>11.205969050899338</v>
      </c>
      <c r="U19" s="6">
        <f t="shared" si="4"/>
        <v>-33.845530732299721</v>
      </c>
    </row>
    <row r="20" spans="5:23" x14ac:dyDescent="0.25">
      <c r="M20" s="7">
        <v>45</v>
      </c>
      <c r="N20" s="8">
        <f>M20*($F$17/($F$15+$F$17))</f>
        <v>0.91397849462365588</v>
      </c>
      <c r="O20" s="6">
        <f t="shared" si="0"/>
        <v>-33.845530732299721</v>
      </c>
      <c r="Q20" s="1">
        <f t="shared" si="1"/>
        <v>40.5</v>
      </c>
      <c r="R20" s="11">
        <f t="shared" si="2"/>
        <v>46.074550232146684</v>
      </c>
      <c r="S20" s="9">
        <f t="shared" si="3"/>
        <v>1.6707133772690484E-2</v>
      </c>
      <c r="T20" s="11">
        <f t="shared" si="2"/>
        <v>12.229019499846965</v>
      </c>
      <c r="U20" s="6">
        <f t="shared" si="4"/>
        <v>-33.845530732299721</v>
      </c>
    </row>
    <row r="21" spans="5:23" x14ac:dyDescent="0.25">
      <c r="E21" t="s">
        <v>11</v>
      </c>
      <c r="M21" s="7">
        <v>50</v>
      </c>
      <c r="N21" s="8">
        <f>M21*($F$17/($F$15+$F$17))</f>
        <v>1.015531660692951</v>
      </c>
      <c r="O21" s="6">
        <f t="shared" si="0"/>
        <v>-33.845530732299721</v>
      </c>
      <c r="Q21" s="1">
        <f t="shared" si="1"/>
        <v>50</v>
      </c>
      <c r="R21" s="11">
        <f t="shared" si="2"/>
        <v>46.989700043360187</v>
      </c>
      <c r="S21" s="9">
        <f t="shared" si="3"/>
        <v>2.0626091077395659E-2</v>
      </c>
      <c r="T21" s="11">
        <f t="shared" si="2"/>
        <v>13.144169311060466</v>
      </c>
      <c r="U21" s="6">
        <f t="shared" si="4"/>
        <v>-33.845530732299721</v>
      </c>
    </row>
    <row r="22" spans="5:23" x14ac:dyDescent="0.25">
      <c r="E22" t="s">
        <v>12</v>
      </c>
      <c r="M22" s="7">
        <v>55</v>
      </c>
      <c r="N22" s="8">
        <f>M22*($F$17/($F$15+$F$17))</f>
        <v>1.117084826762246</v>
      </c>
      <c r="O22" s="6">
        <f t="shared" si="0"/>
        <v>-33.845530732299721</v>
      </c>
      <c r="Q22" s="1">
        <f t="shared" si="1"/>
        <v>60.5</v>
      </c>
      <c r="R22" s="11">
        <f t="shared" si="2"/>
        <v>47.817553746524688</v>
      </c>
      <c r="S22" s="9">
        <f t="shared" si="3"/>
        <v>2.4957570203648739E-2</v>
      </c>
      <c r="T22" s="11">
        <f t="shared" si="2"/>
        <v>13.972023014224966</v>
      </c>
      <c r="U22" s="6">
        <f t="shared" si="4"/>
        <v>-33.845530732299721</v>
      </c>
    </row>
    <row r="23" spans="5:23" x14ac:dyDescent="0.25">
      <c r="M23" s="7">
        <v>60</v>
      </c>
      <c r="N23" s="8">
        <f>M23*($F$17/($F$15+$F$17))</f>
        <v>1.2186379928315412</v>
      </c>
      <c r="O23" s="6">
        <f t="shared" si="0"/>
        <v>-33.845530732299721</v>
      </c>
      <c r="Q23" s="1">
        <f t="shared" si="1"/>
        <v>72</v>
      </c>
      <c r="R23" s="11">
        <f t="shared" si="2"/>
        <v>48.573324964312683</v>
      </c>
      <c r="S23" s="9">
        <f t="shared" si="3"/>
        <v>2.9701571151449748E-2</v>
      </c>
      <c r="T23" s="11">
        <f t="shared" si="2"/>
        <v>14.727794232012963</v>
      </c>
      <c r="U23" s="6">
        <f t="shared" si="4"/>
        <v>-33.845530732299721</v>
      </c>
    </row>
    <row r="24" spans="5:23" ht="15.75" x14ac:dyDescent="0.25">
      <c r="E24" t="s">
        <v>10</v>
      </c>
      <c r="M24" s="7">
        <v>65</v>
      </c>
      <c r="N24" s="8">
        <f>M24*($F$17/($F$15+$F$17))</f>
        <v>1.3201911589008362</v>
      </c>
      <c r="O24" s="6">
        <f t="shared" si="0"/>
        <v>-33.845530732299721</v>
      </c>
      <c r="Q24" s="1">
        <f t="shared" si="1"/>
        <v>84.5</v>
      </c>
      <c r="R24" s="11">
        <f t="shared" si="2"/>
        <v>49.268567089496926</v>
      </c>
      <c r="S24" s="9">
        <f t="shared" si="3"/>
        <v>3.4858093920798659E-2</v>
      </c>
      <c r="T24" s="11">
        <f t="shared" si="2"/>
        <v>15.423036357197201</v>
      </c>
      <c r="U24" s="6">
        <f t="shared" si="4"/>
        <v>-33.845530732299721</v>
      </c>
    </row>
    <row r="25" spans="5:23" x14ac:dyDescent="0.25">
      <c r="M25" s="7">
        <v>70</v>
      </c>
      <c r="N25" s="8">
        <f>M25*($F$17/($F$15+$F$17))</f>
        <v>1.4217443249701314</v>
      </c>
      <c r="O25" s="6">
        <f t="shared" si="0"/>
        <v>-33.845530732299721</v>
      </c>
      <c r="Q25" s="1">
        <f t="shared" si="1"/>
        <v>98</v>
      </c>
      <c r="R25" s="11">
        <f t="shared" si="2"/>
        <v>49.912260756924951</v>
      </c>
      <c r="S25" s="9">
        <f t="shared" si="3"/>
        <v>4.0427138511695493E-2</v>
      </c>
      <c r="T25" s="11">
        <f t="shared" si="2"/>
        <v>16.066730024625226</v>
      </c>
      <c r="U25" s="6">
        <f t="shared" si="4"/>
        <v>-33.845530732299721</v>
      </c>
    </row>
    <row r="26" spans="5:23" x14ac:dyDescent="0.25">
      <c r="M26" s="7">
        <v>75</v>
      </c>
      <c r="N26" s="8">
        <f>M26*($F$17/($F$15+$F$17))</f>
        <v>1.5232974910394264</v>
      </c>
      <c r="O26" s="6">
        <f t="shared" si="0"/>
        <v>-33.845530732299721</v>
      </c>
      <c r="Q26" s="1">
        <f t="shared" si="1"/>
        <v>112.5</v>
      </c>
      <c r="R26" s="11">
        <f t="shared" si="2"/>
        <v>50.511525224473814</v>
      </c>
      <c r="S26" s="9">
        <f t="shared" si="3"/>
        <v>4.6408704924140218E-2</v>
      </c>
      <c r="T26" s="11">
        <f t="shared" si="2"/>
        <v>16.665994492174089</v>
      </c>
      <c r="U26" s="6">
        <f t="shared" si="4"/>
        <v>-33.845530732299721</v>
      </c>
    </row>
    <row r="27" spans="5:23" x14ac:dyDescent="0.25">
      <c r="E27">
        <f>F17/(F15+F17)</f>
        <v>2.0310633213859019E-2</v>
      </c>
      <c r="F27">
        <v>0.01</v>
      </c>
      <c r="M27" s="7">
        <v>80</v>
      </c>
      <c r="N27" s="8">
        <f>M27*($F$17/($F$15+$F$17))</f>
        <v>1.6248506571087216</v>
      </c>
      <c r="O27" s="6">
        <f t="shared" si="0"/>
        <v>-33.845530732299721</v>
      </c>
      <c r="Q27" s="1">
        <f t="shared" si="1"/>
        <v>128</v>
      </c>
      <c r="R27" s="11">
        <f t="shared" si="2"/>
        <v>51.072099696478688</v>
      </c>
      <c r="S27" s="9">
        <f t="shared" si="3"/>
        <v>5.2802793158132882E-2</v>
      </c>
      <c r="T27" s="11">
        <f t="shared" si="2"/>
        <v>17.226568964178959</v>
      </c>
      <c r="U27" s="6">
        <f t="shared" si="4"/>
        <v>-33.845530732299721</v>
      </c>
    </row>
    <row r="28" spans="5:23" x14ac:dyDescent="0.25">
      <c r="M28" s="7">
        <v>85</v>
      </c>
      <c r="N28" s="8">
        <f>M28*($F$17/($F$15+$F$17))</f>
        <v>1.7264038231780165</v>
      </c>
      <c r="O28" s="6">
        <f t="shared" si="0"/>
        <v>-33.845530732299721</v>
      </c>
      <c r="Q28" s="1">
        <f t="shared" si="1"/>
        <v>144.5</v>
      </c>
      <c r="R28" s="11">
        <f t="shared" si="2"/>
        <v>51.59867847092567</v>
      </c>
      <c r="S28" s="9">
        <f t="shared" si="3"/>
        <v>5.9609403213673445E-2</v>
      </c>
      <c r="T28" s="11">
        <f t="shared" si="2"/>
        <v>17.753147738625945</v>
      </c>
      <c r="U28" s="6">
        <f t="shared" si="4"/>
        <v>-33.845530732299721</v>
      </c>
    </row>
    <row r="29" spans="5:23" x14ac:dyDescent="0.25">
      <c r="E29">
        <f>20*LOG(E27)</f>
        <v>-33.845530732299721</v>
      </c>
      <c r="F29">
        <f>20*LOG(F27)</f>
        <v>-40</v>
      </c>
      <c r="M29" s="7">
        <v>90</v>
      </c>
      <c r="N29" s="8">
        <f>M29*($F$17/($F$15+$F$17))</f>
        <v>1.8279569892473118</v>
      </c>
      <c r="O29" s="6">
        <f t="shared" si="0"/>
        <v>-33.845530732299721</v>
      </c>
      <c r="Q29" s="1">
        <f t="shared" si="1"/>
        <v>162</v>
      </c>
      <c r="R29" s="11">
        <f t="shared" si="2"/>
        <v>52.09515014542631</v>
      </c>
      <c r="S29" s="9">
        <f t="shared" si="3"/>
        <v>6.6828535090761934E-2</v>
      </c>
      <c r="T29" s="11">
        <f t="shared" si="2"/>
        <v>18.249619413126588</v>
      </c>
      <c r="U29" s="6">
        <f t="shared" si="4"/>
        <v>-33.845530732299721</v>
      </c>
    </row>
    <row r="30" spans="5:23" x14ac:dyDescent="0.25">
      <c r="M30" s="7">
        <v>95</v>
      </c>
      <c r="N30" s="8">
        <f>M30*($F$17/($F$15+$F$17))</f>
        <v>1.9295101553166067</v>
      </c>
      <c r="O30" s="6">
        <f t="shared" si="0"/>
        <v>-33.845530732299721</v>
      </c>
      <c r="Q30" s="1">
        <f t="shared" si="1"/>
        <v>180.5</v>
      </c>
      <c r="R30" s="11">
        <f t="shared" si="2"/>
        <v>52.564772062416765</v>
      </c>
      <c r="S30" s="9">
        <f t="shared" si="3"/>
        <v>7.4460188789398321E-2</v>
      </c>
      <c r="T30" s="11">
        <f t="shared" si="2"/>
        <v>18.719241330117043</v>
      </c>
      <c r="U30" s="6">
        <f t="shared" si="4"/>
        <v>-33.845530732299721</v>
      </c>
    </row>
    <row r="31" spans="5:23" x14ac:dyDescent="0.25">
      <c r="M31" s="7">
        <v>100</v>
      </c>
      <c r="N31" s="8">
        <f>M31*($F$17/($F$15+$F$17))</f>
        <v>2.031063321385902</v>
      </c>
      <c r="O31" s="6">
        <f t="shared" si="0"/>
        <v>-33.845530732299721</v>
      </c>
      <c r="Q31" s="1">
        <f t="shared" si="1"/>
        <v>200</v>
      </c>
      <c r="R31" s="11">
        <f t="shared" si="2"/>
        <v>53.010299956639813</v>
      </c>
      <c r="S31" s="9">
        <f t="shared" si="3"/>
        <v>8.2504364309582634E-2</v>
      </c>
      <c r="T31" s="11">
        <f t="shared" si="2"/>
        <v>19.164769224340091</v>
      </c>
      <c r="U31" s="6">
        <f t="shared" si="4"/>
        <v>-33.845530732299721</v>
      </c>
    </row>
    <row r="32" spans="5:23" x14ac:dyDescent="0.25">
      <c r="U32" s="10" t="s">
        <v>19</v>
      </c>
      <c r="V32" s="1">
        <v>50</v>
      </c>
      <c r="W32" t="s">
        <v>20</v>
      </c>
    </row>
    <row r="33" spans="4:15" x14ac:dyDescent="0.25">
      <c r="E33">
        <f>51*99</f>
        <v>5049</v>
      </c>
    </row>
    <row r="34" spans="4:15" x14ac:dyDescent="0.25">
      <c r="F34">
        <f>E33/820</f>
        <v>6.1573170731707316</v>
      </c>
    </row>
    <row r="35" spans="4:15" x14ac:dyDescent="0.25">
      <c r="F35">
        <f>820*6</f>
        <v>4920</v>
      </c>
    </row>
    <row r="36" spans="4:15" x14ac:dyDescent="0.25">
      <c r="F36">
        <f>E33-F35</f>
        <v>129</v>
      </c>
      <c r="G36" s="12">
        <f>F36/E33</f>
        <v>2.5549613784907901E-2</v>
      </c>
    </row>
    <row r="41" spans="4:15" x14ac:dyDescent="0.25">
      <c r="N41" t="s">
        <v>23</v>
      </c>
      <c r="O41">
        <v>51</v>
      </c>
    </row>
    <row r="42" spans="4:15" x14ac:dyDescent="0.25">
      <c r="N42" t="s">
        <v>24</v>
      </c>
      <c r="O42">
        <v>5</v>
      </c>
    </row>
    <row r="43" spans="4:15" x14ac:dyDescent="0.25">
      <c r="N43" t="s">
        <v>25</v>
      </c>
      <c r="O43" s="13">
        <f>O42*2/O41</f>
        <v>0.19607843137254902</v>
      </c>
    </row>
    <row r="45" spans="4:15" x14ac:dyDescent="0.25">
      <c r="D45">
        <v>1460</v>
      </c>
      <c r="E45">
        <v>3</v>
      </c>
      <c r="F45">
        <f>D45*E45</f>
        <v>4380</v>
      </c>
      <c r="G45">
        <v>820</v>
      </c>
      <c r="H45">
        <f>F45+G45</f>
        <v>5200</v>
      </c>
    </row>
    <row r="46" spans="4:15" x14ac:dyDescent="0.25">
      <c r="D46">
        <v>1700</v>
      </c>
      <c r="E46">
        <v>3</v>
      </c>
      <c r="F46">
        <f>D46*E46</f>
        <v>5100</v>
      </c>
    </row>
    <row r="47" spans="4:15" x14ac:dyDescent="0.25">
      <c r="D47">
        <v>2200</v>
      </c>
    </row>
    <row r="48" spans="4:15" x14ac:dyDescent="0.25">
      <c r="D48">
        <v>1000</v>
      </c>
    </row>
    <row r="49" spans="4:15" x14ac:dyDescent="0.25">
      <c r="M49" t="s">
        <v>29</v>
      </c>
      <c r="N49" t="s">
        <v>30</v>
      </c>
    </row>
    <row r="50" spans="4:15" x14ac:dyDescent="0.25">
      <c r="D50">
        <f>51*99</f>
        <v>5049</v>
      </c>
      <c r="F50">
        <f>D46+D45+D48+G45+60</f>
        <v>5040</v>
      </c>
      <c r="M50" t="s">
        <v>31</v>
      </c>
    </row>
    <row r="51" spans="4:15" x14ac:dyDescent="0.25">
      <c r="G51" t="s">
        <v>26</v>
      </c>
      <c r="H51">
        <v>70</v>
      </c>
    </row>
    <row r="52" spans="4:15" x14ac:dyDescent="0.25">
      <c r="G52" t="s">
        <v>27</v>
      </c>
      <c r="H52">
        <f>H51/F50</f>
        <v>1.3888888888888888E-2</v>
      </c>
    </row>
    <row r="54" spans="4:15" x14ac:dyDescent="0.25">
      <c r="G54" t="s">
        <v>28</v>
      </c>
      <c r="H54">
        <f>H52^2*650</f>
        <v>0.1253858024691358</v>
      </c>
    </row>
    <row r="55" spans="4:15" x14ac:dyDescent="0.25">
      <c r="O55">
        <f>2*820</f>
        <v>1640</v>
      </c>
    </row>
    <row r="56" spans="4:15" x14ac:dyDescent="0.25">
      <c r="G56" t="s">
        <v>32</v>
      </c>
      <c r="H56">
        <f>H52^2*2200</f>
        <v>0.42438271604938271</v>
      </c>
      <c r="O56">
        <f>2500-O55</f>
        <v>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2024-02-14T21:22:54Z</dcterms:created>
  <dcterms:modified xsi:type="dcterms:W3CDTF">2024-03-03T20:05:09Z</dcterms:modified>
</cp:coreProperties>
</file>