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egenerative_Radio_Receiver\docs\"/>
    </mc:Choice>
  </mc:AlternateContent>
  <xr:revisionPtr revIDLastSave="0" documentId="13_ncr:1_{8763F18E-A222-4C99-B486-DEDC750832EF}" xr6:coauthVersionLast="47" xr6:coauthVersionMax="47" xr10:uidLastSave="{00000000-0000-0000-0000-000000000000}"/>
  <bookViews>
    <workbookView xWindow="-120" yWindow="-120" windowWidth="29040" windowHeight="15720" xr2:uid="{8DE5C065-F520-4388-BEF7-72D54EBBA6E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1" l="1"/>
  <c r="X20" i="1"/>
  <c r="P27" i="1"/>
  <c r="P29" i="1" s="1"/>
  <c r="P46" i="1" s="1"/>
  <c r="P18" i="1"/>
  <c r="P38" i="1" s="1"/>
  <c r="P40" i="1" s="1"/>
  <c r="P47" i="1" s="1"/>
  <c r="H27" i="1"/>
  <c r="H26" i="1"/>
  <c r="H18" i="1"/>
  <c r="E37" i="1" s="1"/>
  <c r="H37" i="1" s="1"/>
  <c r="H36" i="1"/>
  <c r="H35" i="1"/>
  <c r="X31" i="1" s="1"/>
  <c r="P49" i="1" l="1"/>
  <c r="X26" i="1" l="1"/>
  <c r="X29" i="1" s="1"/>
  <c r="X33" i="1" s="1"/>
  <c r="X34" i="1" s="1"/>
  <c r="P50" i="1"/>
</calcChain>
</file>

<file path=xl/sharedStrings.xml><?xml version="1.0" encoding="utf-8"?>
<sst xmlns="http://schemas.openxmlformats.org/spreadsheetml/2006/main" count="61" uniqueCount="46">
  <si>
    <t>k</t>
  </si>
  <si>
    <t>f [kHz]</t>
  </si>
  <si>
    <t>L2[mH]</t>
  </si>
  <si>
    <t>fres=1/(2*PI*SQRT(L2C1))</t>
  </si>
  <si>
    <t>C1=1/(L*(2*PI*f)^2)</t>
  </si>
  <si>
    <t>C1[pF]</t>
  </si>
  <si>
    <t>Calculate C1 for given frequency f and inductance L:</t>
  </si>
  <si>
    <t>Calculate reactance of C1, L1 and L2 for given frequency:</t>
  </si>
  <si>
    <t>f[kHz]</t>
  </si>
  <si>
    <t>L1[mH]</t>
  </si>
  <si>
    <t>X1[ohm]</t>
  </si>
  <si>
    <t>Xl1[ohm]</t>
  </si>
  <si>
    <t>Xl2[ohm]</t>
  </si>
  <si>
    <t>Xc1[ohm]</t>
  </si>
  <si>
    <t>Calculate f for given L and C range</t>
  </si>
  <si>
    <t>C1min[pF]</t>
  </si>
  <si>
    <t>C2max[pF]</t>
  </si>
  <si>
    <t>fmax[kHz]</t>
  </si>
  <si>
    <t>fmin[kHz]</t>
  </si>
  <si>
    <t>Calculate X3 for given frequency f:</t>
  </si>
  <si>
    <t>C3[nF]</t>
  </si>
  <si>
    <t>X3[ohm]</t>
  </si>
  <si>
    <t>R4[kohm]</t>
  </si>
  <si>
    <t>R5[kohm]</t>
  </si>
  <si>
    <t>k2</t>
  </si>
  <si>
    <t>Calculate k2 amplifier gain of opamp stage for given frequency f:</t>
  </si>
  <si>
    <t>k1</t>
  </si>
  <si>
    <t>N2/N1</t>
  </si>
  <si>
    <t>Calculate k1 transformer voltage increase :</t>
  </si>
  <si>
    <t>rough - common inductance not taken into account</t>
  </si>
  <si>
    <t>Calculate total voltage amplification:</t>
  </si>
  <si>
    <t>Calculate None Inverting Amplifier Stage Input Impedance:</t>
  </si>
  <si>
    <t>Zin[kohm]</t>
  </si>
  <si>
    <t>k[dB]</t>
  </si>
  <si>
    <t>Regenerative Radio Receiver Calculations</t>
  </si>
  <si>
    <t>Calculate Voltage level at Antenna Output:</t>
  </si>
  <si>
    <t>Uampout [Vpp]</t>
  </si>
  <si>
    <t xml:space="preserve"> real WAW I signal (speech)</t>
  </si>
  <si>
    <t>Uantout[Vpp]</t>
  </si>
  <si>
    <t>P[uW]</t>
  </si>
  <si>
    <t>P[dBm]</t>
  </si>
  <si>
    <t>Field strength E [mV/m]</t>
  </si>
  <si>
    <t>Antenna length L [m]</t>
  </si>
  <si>
    <t>Open circuit Voltage [Vpp]</t>
  </si>
  <si>
    <t>2*E*L</t>
  </si>
  <si>
    <t>5 according to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</si>
</sst>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9" formatCode="0.0"/>
  </numFmts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1" fontId="1" fillId="0" borderId="0" xfId="0" applyNumberFormat="1" applyFont="1" applyBorder="1"/>
    <xf numFmtId="0" fontId="0" fillId="0" borderId="0" xfId="0" applyFill="1" applyBorder="1"/>
    <xf numFmtId="0" fontId="2" fillId="0" borderId="0" xfId="0" applyFont="1" applyBorder="1"/>
    <xf numFmtId="2" fontId="0" fillId="0" borderId="0" xfId="0" applyNumberFormat="1" applyBorder="1"/>
    <xf numFmtId="169" fontId="0" fillId="0" borderId="0" xfId="0" applyNumberFormat="1" applyBorder="1"/>
    <xf numFmtId="169" fontId="1" fillId="0" borderId="0" xfId="0" applyNumberFormat="1" applyFont="1" applyBorder="1" applyAlignment="1">
      <alignment horizontal="left" indent="7"/>
    </xf>
    <xf numFmtId="2" fontId="1" fillId="0" borderId="0" xfId="0" applyNumberFormat="1" applyFont="1" applyBorder="1" applyAlignment="1">
      <alignment horizontal="left" indent="7"/>
    </xf>
    <xf numFmtId="0" fontId="1" fillId="0" borderId="0" xfId="0" applyFont="1"/>
    <xf numFmtId="0" fontId="3" fillId="0" borderId="0" xfId="0" applyFont="1" applyBorder="1"/>
    <xf numFmtId="169" fontId="3" fillId="0" borderId="0" xfId="0" applyNumberFormat="1" applyFont="1" applyBorder="1" applyAlignment="1">
      <alignment horizontal="left" indent="7"/>
    </xf>
    <xf numFmtId="169" fontId="1" fillId="0" borderId="0" xfId="0" applyNumberFormat="1" applyFont="1" applyBorder="1" applyAlignment="1">
      <alignment horizontal="left" indent="8"/>
    </xf>
    <xf numFmtId="165" fontId="3" fillId="0" borderId="0" xfId="0" applyNumberFormat="1" applyFont="1" applyBorder="1" applyAlignment="1">
      <alignment horizontal="left" indent="7"/>
    </xf>
    <xf numFmtId="0" fontId="4" fillId="0" borderId="0" xfId="0" applyFont="1" applyBorder="1"/>
    <xf numFmtId="169" fontId="1" fillId="0" borderId="0" xfId="0" applyNumberFormat="1" applyFont="1" applyBorder="1"/>
    <xf numFmtId="164" fontId="0" fillId="0" borderId="0" xfId="0" applyNumberFormat="1" applyBorder="1"/>
    <xf numFmtId="0" fontId="1" fillId="0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0612-27E1-4B49-85E6-4144203A1E30}">
  <dimension ref="C8:Z58"/>
  <sheetViews>
    <sheetView tabSelected="1" topLeftCell="A10" zoomScale="80" zoomScaleNormal="80" workbookViewId="0">
      <selection activeCell="X46" sqref="X46"/>
    </sheetView>
  </sheetViews>
  <sheetFormatPr defaultRowHeight="15" x14ac:dyDescent="0.25"/>
  <cols>
    <col min="4" max="4" width="9.7109375" customWidth="1"/>
    <col min="6" max="6" width="12" bestFit="1" customWidth="1"/>
    <col min="7" max="7" width="12" customWidth="1"/>
    <col min="8" max="8" width="15.42578125" customWidth="1"/>
    <col min="16" max="16" width="18.7109375" customWidth="1"/>
    <col min="23" max="23" width="24.28515625" customWidth="1"/>
    <col min="24" max="24" width="15.140625" customWidth="1"/>
    <col min="26" max="26" width="18.28515625" customWidth="1"/>
  </cols>
  <sheetData>
    <row r="8" spans="3:26" x14ac:dyDescent="0.25">
      <c r="C8" s="19" t="s">
        <v>34</v>
      </c>
      <c r="D8" s="19"/>
      <c r="E8" s="19"/>
      <c r="F8" s="19"/>
    </row>
    <row r="11" spans="3:26" ht="15.75" thickBot="1" x14ac:dyDescent="0.3"/>
    <row r="12" spans="3:26" x14ac:dyDescent="0.25">
      <c r="C12" s="1"/>
      <c r="D12" s="2"/>
      <c r="E12" s="2"/>
      <c r="F12" s="2"/>
      <c r="G12" s="2"/>
      <c r="H12" s="2"/>
      <c r="I12" s="3"/>
      <c r="K12" s="1"/>
      <c r="L12" s="2"/>
      <c r="M12" s="2"/>
      <c r="N12" s="2"/>
      <c r="O12" s="2"/>
      <c r="P12" s="2"/>
      <c r="Q12" s="3"/>
      <c r="S12" s="1"/>
      <c r="T12" s="2"/>
      <c r="U12" s="2"/>
      <c r="V12" s="2"/>
      <c r="W12" s="2"/>
      <c r="X12" s="2"/>
      <c r="Y12" s="2"/>
      <c r="Z12" s="3"/>
    </row>
    <row r="13" spans="3:26" x14ac:dyDescent="0.25">
      <c r="C13" s="4"/>
      <c r="D13" s="14" t="s">
        <v>6</v>
      </c>
      <c r="E13" s="5"/>
      <c r="F13" s="5"/>
      <c r="G13" s="5"/>
      <c r="H13" s="5"/>
      <c r="I13" s="6"/>
      <c r="K13" s="4"/>
      <c r="L13" s="14" t="s">
        <v>19</v>
      </c>
      <c r="M13" s="5"/>
      <c r="N13" s="5"/>
      <c r="O13" s="5"/>
      <c r="P13" s="5"/>
      <c r="Q13" s="6"/>
      <c r="S13" s="4"/>
      <c r="T13" s="14" t="s">
        <v>31</v>
      </c>
      <c r="U13" s="14"/>
      <c r="V13" s="14"/>
      <c r="W13" s="14"/>
      <c r="X13" s="14"/>
      <c r="Y13" s="14"/>
      <c r="Z13" s="6"/>
    </row>
    <row r="14" spans="3:26" x14ac:dyDescent="0.25">
      <c r="C14" s="4"/>
      <c r="D14" s="5"/>
      <c r="E14" s="5"/>
      <c r="F14" s="5"/>
      <c r="G14" s="5"/>
      <c r="H14" s="5"/>
      <c r="I14" s="6"/>
      <c r="K14" s="4"/>
      <c r="L14" s="5"/>
      <c r="M14" s="5"/>
      <c r="N14" s="5"/>
      <c r="O14" s="5"/>
      <c r="P14" s="5"/>
      <c r="Q14" s="6"/>
      <c r="S14" s="4"/>
      <c r="T14" s="5"/>
      <c r="U14" s="5"/>
      <c r="V14" s="5"/>
      <c r="W14" s="5"/>
      <c r="X14" s="5"/>
      <c r="Y14" s="5"/>
      <c r="Z14" s="6"/>
    </row>
    <row r="15" spans="3:26" x14ac:dyDescent="0.25">
      <c r="C15" s="4"/>
      <c r="D15" s="5"/>
      <c r="G15" s="5" t="s">
        <v>1</v>
      </c>
      <c r="H15" s="5">
        <v>225</v>
      </c>
      <c r="I15" s="6"/>
      <c r="K15" s="4"/>
      <c r="L15" s="5"/>
      <c r="O15" s="5" t="s">
        <v>1</v>
      </c>
      <c r="P15" s="5">
        <v>225</v>
      </c>
      <c r="Q15" s="6"/>
      <c r="S15" s="4"/>
      <c r="T15" s="5"/>
      <c r="U15" s="5"/>
      <c r="V15" s="5"/>
      <c r="W15" s="5" t="s">
        <v>8</v>
      </c>
      <c r="X15" s="5">
        <v>225</v>
      </c>
      <c r="Y15" s="5"/>
      <c r="Z15" s="6"/>
    </row>
    <row r="16" spans="3:26" x14ac:dyDescent="0.25">
      <c r="C16" s="4"/>
      <c r="D16" s="5"/>
      <c r="G16" s="5" t="s">
        <v>2</v>
      </c>
      <c r="H16" s="5">
        <v>5.52</v>
      </c>
      <c r="I16" s="6"/>
      <c r="K16" s="4"/>
      <c r="L16" s="5"/>
      <c r="O16" s="5" t="s">
        <v>20</v>
      </c>
      <c r="P16" s="5">
        <v>2.2000000000000002</v>
      </c>
      <c r="Q16" s="6"/>
      <c r="S16" s="4"/>
      <c r="T16" s="5"/>
      <c r="U16" s="5"/>
      <c r="V16" s="5"/>
      <c r="W16" s="5" t="s">
        <v>20</v>
      </c>
      <c r="X16" s="5">
        <v>2.2000000000000002</v>
      </c>
      <c r="Y16" s="5"/>
      <c r="Z16" s="6"/>
    </row>
    <row r="17" spans="3:26" x14ac:dyDescent="0.25">
      <c r="C17" s="4"/>
      <c r="D17" s="5"/>
      <c r="G17" s="5"/>
      <c r="H17" s="5"/>
      <c r="I17" s="6"/>
      <c r="K17" s="4"/>
      <c r="L17" s="5"/>
      <c r="O17" s="5"/>
      <c r="P17" s="5"/>
      <c r="Q17" s="6"/>
      <c r="S17" s="4"/>
      <c r="T17" s="5"/>
      <c r="U17" s="5"/>
      <c r="V17" s="5"/>
      <c r="W17" s="5" t="s">
        <v>22</v>
      </c>
      <c r="X17" s="5">
        <v>1.2</v>
      </c>
      <c r="Y17" s="5"/>
      <c r="Z17" s="6"/>
    </row>
    <row r="18" spans="3:26" x14ac:dyDescent="0.25">
      <c r="C18" s="4"/>
      <c r="D18" s="5"/>
      <c r="G18" s="11" t="s">
        <v>5</v>
      </c>
      <c r="H18" s="17">
        <f>(1/(H16*10^3*(2*PI()*H15)^2))*10^12</f>
        <v>90.643392057915349</v>
      </c>
      <c r="I18" s="6"/>
      <c r="K18" s="4"/>
      <c r="L18" s="5"/>
      <c r="O18" s="11" t="s">
        <v>21</v>
      </c>
      <c r="P18" s="22">
        <f>1/(2*PI()*P15*10^3*P16*10^-9)</f>
        <v>321.52513755938452</v>
      </c>
      <c r="Q18" s="6"/>
      <c r="S18" s="4"/>
      <c r="T18" s="5"/>
      <c r="U18" s="5"/>
      <c r="V18" s="5"/>
      <c r="W18" s="5" t="s">
        <v>23</v>
      </c>
      <c r="X18" s="5">
        <v>4.5999999999999996</v>
      </c>
      <c r="Y18" s="5"/>
      <c r="Z18" s="6"/>
    </row>
    <row r="19" spans="3:26" ht="15.75" thickBot="1" x14ac:dyDescent="0.3">
      <c r="C19" s="8"/>
      <c r="D19" s="9"/>
      <c r="E19" s="9"/>
      <c r="F19" s="9"/>
      <c r="G19" s="9"/>
      <c r="H19" s="9"/>
      <c r="I19" s="10"/>
      <c r="K19" s="8"/>
      <c r="L19" s="9"/>
      <c r="M19" s="9"/>
      <c r="N19" s="9"/>
      <c r="O19" s="9"/>
      <c r="P19" s="9"/>
      <c r="Q19" s="10"/>
      <c r="S19" s="4"/>
      <c r="T19" s="5"/>
      <c r="U19" s="5"/>
      <c r="V19" s="5"/>
      <c r="W19" s="5"/>
      <c r="X19" s="5"/>
      <c r="Y19" s="5"/>
      <c r="Z19" s="6"/>
    </row>
    <row r="20" spans="3:26" ht="15.75" thickBot="1" x14ac:dyDescent="0.3">
      <c r="C20" s="5"/>
      <c r="D20" s="5"/>
      <c r="E20" s="5"/>
      <c r="F20" s="5"/>
      <c r="G20" s="5"/>
      <c r="H20" s="5"/>
      <c r="I20" s="5"/>
      <c r="S20" s="4"/>
      <c r="T20" s="5"/>
      <c r="U20" s="5"/>
      <c r="V20" s="5"/>
      <c r="W20" s="11" t="s">
        <v>32</v>
      </c>
      <c r="X20" s="25">
        <f>(X17*10^3+(1/(2*PI()*X15*10^3*X16*10^-9)))*X18*10^3/((X17*10^3+(1/(2*PI()*X15*10^3*X16*10^-9)))+X18*10^3)/1000</f>
        <v>1.143345077492181</v>
      </c>
      <c r="Y20" s="5"/>
      <c r="Z20" s="6"/>
    </row>
    <row r="21" spans="3:26" ht="15.75" thickBot="1" x14ac:dyDescent="0.3">
      <c r="C21" s="1"/>
      <c r="D21" s="2"/>
      <c r="E21" s="2"/>
      <c r="F21" s="2"/>
      <c r="G21" s="2"/>
      <c r="H21" s="2"/>
      <c r="I21" s="3"/>
      <c r="K21" s="1"/>
      <c r="L21" s="2"/>
      <c r="M21" s="2"/>
      <c r="N21" s="2"/>
      <c r="O21" s="2"/>
      <c r="P21" s="2"/>
      <c r="Q21" s="3"/>
      <c r="S21" s="8"/>
      <c r="T21" s="9"/>
      <c r="U21" s="9"/>
      <c r="V21" s="9"/>
      <c r="W21" s="9"/>
      <c r="X21" s="9"/>
      <c r="Y21" s="9"/>
      <c r="Z21" s="10"/>
    </row>
    <row r="22" spans="3:26" ht="15.75" thickBot="1" x14ac:dyDescent="0.3">
      <c r="C22" s="4"/>
      <c r="D22" s="14" t="s">
        <v>14</v>
      </c>
      <c r="E22" s="5"/>
      <c r="F22" s="5"/>
      <c r="G22" s="5"/>
      <c r="H22" s="5"/>
      <c r="I22" s="6"/>
      <c r="K22" s="4"/>
      <c r="L22" s="14" t="s">
        <v>28</v>
      </c>
      <c r="M22" s="5"/>
      <c r="N22" s="5"/>
      <c r="O22" s="5"/>
      <c r="P22" s="5"/>
      <c r="Q22" s="6"/>
    </row>
    <row r="23" spans="3:26" x14ac:dyDescent="0.25">
      <c r="C23" s="4"/>
      <c r="D23" s="5"/>
      <c r="E23" s="5"/>
      <c r="F23" s="5"/>
      <c r="G23" s="5"/>
      <c r="H23" s="5"/>
      <c r="I23" s="6"/>
      <c r="K23" s="4"/>
      <c r="L23" s="24" t="s">
        <v>29</v>
      </c>
      <c r="M23" s="5"/>
      <c r="N23" s="5"/>
      <c r="O23" s="5"/>
      <c r="P23" s="5"/>
      <c r="Q23" s="6"/>
      <c r="S23" s="1"/>
      <c r="T23" s="2"/>
      <c r="U23" s="2"/>
      <c r="V23" s="2"/>
      <c r="W23" s="2"/>
      <c r="X23" s="2"/>
      <c r="Y23" s="2"/>
      <c r="Z23" s="3"/>
    </row>
    <row r="24" spans="3:26" x14ac:dyDescent="0.25">
      <c r="C24" s="4"/>
      <c r="D24" s="5" t="s">
        <v>2</v>
      </c>
      <c r="E24" s="5">
        <v>5.52</v>
      </c>
      <c r="I24" s="6"/>
      <c r="K24" s="4"/>
      <c r="L24" s="5"/>
      <c r="O24" s="5" t="s">
        <v>9</v>
      </c>
      <c r="P24" s="5">
        <v>1.26</v>
      </c>
      <c r="Q24" s="6"/>
      <c r="S24" s="4"/>
      <c r="T24" s="14" t="s">
        <v>35</v>
      </c>
      <c r="U24" s="14"/>
      <c r="V24" s="14"/>
      <c r="W24" s="14"/>
      <c r="X24" s="5"/>
      <c r="Y24" s="5"/>
      <c r="Z24" s="6"/>
    </row>
    <row r="25" spans="3:26" x14ac:dyDescent="0.25">
      <c r="C25" s="4"/>
      <c r="G25" s="5"/>
      <c r="H25" s="5"/>
      <c r="I25" s="6"/>
      <c r="K25" s="4"/>
      <c r="L25" s="5"/>
      <c r="O25" s="5" t="s">
        <v>2</v>
      </c>
      <c r="P25" s="5">
        <v>5.25</v>
      </c>
      <c r="Q25" s="6"/>
      <c r="S25" s="4"/>
      <c r="T25" s="5"/>
      <c r="U25" s="5"/>
      <c r="V25" s="5"/>
      <c r="W25" s="5"/>
      <c r="X25" s="5"/>
      <c r="Y25" s="5"/>
      <c r="Z25" s="6"/>
    </row>
    <row r="26" spans="3:26" x14ac:dyDescent="0.25">
      <c r="C26" s="4"/>
      <c r="D26" s="5" t="s">
        <v>15</v>
      </c>
      <c r="E26">
        <v>25</v>
      </c>
      <c r="G26" s="19" t="s">
        <v>17</v>
      </c>
      <c r="H26" s="12">
        <f>(1/(2*PI()*SQRT($E$24*10^-3*E26*10^-12)))/1000</f>
        <v>428.43070491886851</v>
      </c>
      <c r="I26" s="6"/>
      <c r="K26" s="4"/>
      <c r="L26" s="5"/>
      <c r="O26" s="5"/>
      <c r="P26" s="5"/>
      <c r="Q26" s="6"/>
      <c r="S26" s="4"/>
      <c r="T26" s="5"/>
      <c r="U26" s="5"/>
      <c r="V26" s="5"/>
      <c r="W26" s="5" t="s">
        <v>0</v>
      </c>
      <c r="X26" s="16">
        <f>P49</f>
        <v>8.2124905818147997</v>
      </c>
      <c r="Y26" s="5"/>
      <c r="Z26" s="6"/>
    </row>
    <row r="27" spans="3:26" x14ac:dyDescent="0.25">
      <c r="C27" s="4"/>
      <c r="D27" s="13" t="s">
        <v>16</v>
      </c>
      <c r="E27">
        <v>400</v>
      </c>
      <c r="G27" s="19" t="s">
        <v>18</v>
      </c>
      <c r="H27" s="12">
        <f>(1/(2*PI()*SQRT($E$24*10^-3*E27*10^-12)))/1000</f>
        <v>107.10767622971713</v>
      </c>
      <c r="I27" s="6"/>
      <c r="K27" s="4"/>
      <c r="L27" s="5"/>
      <c r="O27" s="20" t="s">
        <v>27</v>
      </c>
      <c r="P27" s="21">
        <f>SQRT(P25/P24)</f>
        <v>2.0412414523193152</v>
      </c>
      <c r="Q27" s="6"/>
      <c r="S27" s="4"/>
      <c r="T27" s="5"/>
      <c r="U27" s="5"/>
      <c r="V27" s="5"/>
      <c r="W27" s="5" t="s">
        <v>36</v>
      </c>
      <c r="X27" s="5">
        <v>3.48</v>
      </c>
      <c r="Y27" s="5" t="s">
        <v>37</v>
      </c>
      <c r="Z27" s="6"/>
    </row>
    <row r="28" spans="3:26" ht="15.75" thickBot="1" x14ac:dyDescent="0.3">
      <c r="C28" s="8"/>
      <c r="D28" s="9"/>
      <c r="E28" s="9"/>
      <c r="F28" s="9"/>
      <c r="G28" s="9"/>
      <c r="H28" s="9"/>
      <c r="I28" s="10"/>
      <c r="K28" s="4"/>
      <c r="L28" s="5"/>
      <c r="O28" s="20"/>
      <c r="P28" s="23"/>
      <c r="Q28" s="6"/>
      <c r="S28" s="4"/>
      <c r="T28" s="5"/>
      <c r="U28" s="5"/>
      <c r="V28" s="5"/>
      <c r="W28" s="5"/>
      <c r="X28" s="5"/>
      <c r="Y28" s="5"/>
      <c r="Z28" s="6"/>
    </row>
    <row r="29" spans="3:26" ht="15.75" thickBot="1" x14ac:dyDescent="0.3">
      <c r="K29" s="4"/>
      <c r="L29" s="5"/>
      <c r="O29" s="11" t="s">
        <v>26</v>
      </c>
      <c r="P29" s="18">
        <f>P27</f>
        <v>2.0412414523193152</v>
      </c>
      <c r="Q29" s="6"/>
      <c r="S29" s="4"/>
      <c r="T29" s="5"/>
      <c r="U29" s="5"/>
      <c r="V29" s="5"/>
      <c r="W29" s="11" t="s">
        <v>38</v>
      </c>
      <c r="X29" s="11">
        <f>X27/X26</f>
        <v>0.42374477819260864</v>
      </c>
      <c r="Y29" s="5"/>
      <c r="Z29" s="6"/>
    </row>
    <row r="30" spans="3:26" ht="15.75" thickBot="1" x14ac:dyDescent="0.3">
      <c r="C30" s="1"/>
      <c r="D30" s="2"/>
      <c r="E30" s="2"/>
      <c r="F30" s="2"/>
      <c r="G30" s="2"/>
      <c r="H30" s="2"/>
      <c r="I30" s="3"/>
      <c r="K30" s="8"/>
      <c r="L30" s="9"/>
      <c r="M30" s="9"/>
      <c r="N30" s="9"/>
      <c r="O30" s="9"/>
      <c r="P30" s="9"/>
      <c r="Q30" s="10"/>
      <c r="S30" s="4"/>
      <c r="T30" s="5"/>
      <c r="U30" s="5"/>
      <c r="V30" s="5"/>
      <c r="W30" s="5"/>
      <c r="X30" s="5"/>
      <c r="Y30" s="5"/>
      <c r="Z30" s="6"/>
    </row>
    <row r="31" spans="3:26" ht="15.75" thickBot="1" x14ac:dyDescent="0.3">
      <c r="C31" s="4"/>
      <c r="D31" s="14" t="s">
        <v>7</v>
      </c>
      <c r="E31" s="5"/>
      <c r="F31" s="5"/>
      <c r="G31" s="5"/>
      <c r="H31" s="5"/>
      <c r="I31" s="6"/>
      <c r="S31" s="4"/>
      <c r="T31" s="5"/>
      <c r="U31" s="5"/>
      <c r="V31" s="5"/>
      <c r="W31" s="13" t="s">
        <v>10</v>
      </c>
      <c r="X31" s="7">
        <f>H35</f>
        <v>1781.2830345854127</v>
      </c>
      <c r="Y31" s="5"/>
      <c r="Z31" s="6"/>
    </row>
    <row r="32" spans="3:26" x14ac:dyDescent="0.25">
      <c r="C32" s="4"/>
      <c r="D32" s="5"/>
      <c r="E32" s="5"/>
      <c r="F32" s="5"/>
      <c r="G32" s="5"/>
      <c r="H32" s="5"/>
      <c r="I32" s="6"/>
      <c r="K32" s="1"/>
      <c r="L32" s="2"/>
      <c r="M32" s="2"/>
      <c r="N32" s="2"/>
      <c r="O32" s="2"/>
      <c r="P32" s="2"/>
      <c r="Q32" s="3"/>
      <c r="S32" s="4"/>
      <c r="T32" s="5"/>
      <c r="U32" s="5"/>
      <c r="V32" s="5"/>
      <c r="W32" s="13"/>
      <c r="X32" s="7"/>
      <c r="Y32" s="5"/>
      <c r="Z32" s="6"/>
    </row>
    <row r="33" spans="3:26" x14ac:dyDescent="0.25">
      <c r="C33" s="4"/>
      <c r="D33" s="5" t="s">
        <v>8</v>
      </c>
      <c r="E33" s="5">
        <v>225</v>
      </c>
      <c r="G33" s="5"/>
      <c r="H33" s="5"/>
      <c r="I33" s="6"/>
      <c r="K33" s="4"/>
      <c r="L33" s="14" t="s">
        <v>25</v>
      </c>
      <c r="M33" s="5"/>
      <c r="N33" s="5"/>
      <c r="O33" s="5"/>
      <c r="P33" s="5"/>
      <c r="Q33" s="6"/>
      <c r="S33" s="4"/>
      <c r="T33" s="5"/>
      <c r="U33" s="5"/>
      <c r="V33" s="5"/>
      <c r="W33" s="13" t="s">
        <v>39</v>
      </c>
      <c r="X33" s="26">
        <f>((X29/2)^2/X31)*1000000</f>
        <v>25.200885198922776</v>
      </c>
      <c r="Y33" s="5"/>
      <c r="Z33" s="6"/>
    </row>
    <row r="34" spans="3:26" x14ac:dyDescent="0.25">
      <c r="C34" s="4"/>
      <c r="H34" s="5"/>
      <c r="I34" s="6"/>
      <c r="K34" s="4"/>
      <c r="L34" s="5"/>
      <c r="M34" s="5"/>
      <c r="N34" s="5"/>
      <c r="O34" s="5"/>
      <c r="P34" s="5"/>
      <c r="Q34" s="6"/>
      <c r="S34" s="4"/>
      <c r="T34" s="5"/>
      <c r="U34" s="5"/>
      <c r="V34" s="5"/>
      <c r="W34" s="13" t="s">
        <v>40</v>
      </c>
      <c r="X34" s="16">
        <f>10*LOG(X33*10^-6/10^-3)</f>
        <v>-15.985842040495806</v>
      </c>
      <c r="Y34" s="5"/>
      <c r="Z34" s="6"/>
    </row>
    <row r="35" spans="3:26" x14ac:dyDescent="0.25">
      <c r="C35" s="4"/>
      <c r="D35" s="5" t="s">
        <v>9</v>
      </c>
      <c r="E35" s="5">
        <v>1.26</v>
      </c>
      <c r="G35" s="11" t="s">
        <v>11</v>
      </c>
      <c r="H35" s="12">
        <f>2*PI()*E33*10^3*E35*10^-3</f>
        <v>1781.2830345854127</v>
      </c>
      <c r="I35" s="6"/>
      <c r="K35" s="4"/>
      <c r="L35" s="5"/>
      <c r="O35" s="5" t="s">
        <v>1</v>
      </c>
      <c r="P35" s="5">
        <v>225</v>
      </c>
      <c r="Q35" s="6"/>
      <c r="S35" s="4"/>
      <c r="T35" s="5"/>
      <c r="U35" s="5"/>
      <c r="V35" s="5"/>
      <c r="W35" s="13"/>
      <c r="X35" s="16"/>
      <c r="Y35" s="5"/>
      <c r="Z35" s="6"/>
    </row>
    <row r="36" spans="3:26" x14ac:dyDescent="0.25">
      <c r="C36" s="4"/>
      <c r="D36" s="13" t="s">
        <v>2</v>
      </c>
      <c r="E36" s="5">
        <v>5.52</v>
      </c>
      <c r="G36" s="11" t="s">
        <v>12</v>
      </c>
      <c r="H36" s="12">
        <f>2*PI()*E33*10^3*E36*10^-3</f>
        <v>7803.7161515170446</v>
      </c>
      <c r="I36" s="6"/>
      <c r="K36" s="4"/>
      <c r="L36" s="5"/>
      <c r="O36" s="5" t="s">
        <v>22</v>
      </c>
      <c r="P36" s="5">
        <v>1.2</v>
      </c>
      <c r="Q36" s="6"/>
      <c r="S36" s="4"/>
      <c r="T36" s="5"/>
      <c r="U36" s="5"/>
      <c r="V36" s="5"/>
      <c r="W36" s="13" t="s">
        <v>42</v>
      </c>
      <c r="X36" s="16">
        <v>20</v>
      </c>
      <c r="Y36" s="5"/>
      <c r="Z36" s="6"/>
    </row>
    <row r="37" spans="3:26" x14ac:dyDescent="0.25">
      <c r="C37" s="4"/>
      <c r="D37" s="13" t="s">
        <v>5</v>
      </c>
      <c r="E37" s="16">
        <f>H18</f>
        <v>90.643392057915349</v>
      </c>
      <c r="G37" s="11" t="s">
        <v>13</v>
      </c>
      <c r="H37" s="12">
        <f>1/(2*PI()*E33*10^3*E37*10^-12)</f>
        <v>7803.7161515170465</v>
      </c>
      <c r="I37" s="6"/>
      <c r="K37" s="4"/>
      <c r="L37" s="5"/>
      <c r="O37" s="5" t="s">
        <v>23</v>
      </c>
      <c r="P37" s="5">
        <v>4.5999999999999996</v>
      </c>
      <c r="Q37" s="6"/>
      <c r="S37" s="4"/>
      <c r="T37" s="5"/>
      <c r="U37" s="5"/>
      <c r="V37" s="5"/>
      <c r="W37" s="13" t="s">
        <v>41</v>
      </c>
      <c r="X37" s="16">
        <v>10</v>
      </c>
      <c r="Y37" s="5" t="s">
        <v>45</v>
      </c>
      <c r="Z37" s="6"/>
    </row>
    <row r="38" spans="3:26" ht="15.75" thickBot="1" x14ac:dyDescent="0.3">
      <c r="C38" s="8"/>
      <c r="D38" s="9"/>
      <c r="E38" s="9"/>
      <c r="F38" s="9"/>
      <c r="G38" s="9"/>
      <c r="H38" s="9"/>
      <c r="I38" s="10"/>
      <c r="K38" s="4"/>
      <c r="L38" s="5"/>
      <c r="O38" s="20" t="s">
        <v>21</v>
      </c>
      <c r="P38" s="21">
        <f>P18</f>
        <v>321.52513755938452</v>
      </c>
      <c r="Q38" s="6"/>
      <c r="S38" s="4"/>
      <c r="T38" s="5"/>
      <c r="U38" s="5"/>
      <c r="V38" s="5"/>
      <c r="W38" s="13"/>
      <c r="X38" s="16"/>
      <c r="Y38" s="5"/>
      <c r="Z38" s="6"/>
    </row>
    <row r="39" spans="3:26" x14ac:dyDescent="0.25">
      <c r="K39" s="4"/>
      <c r="L39" s="5"/>
      <c r="O39" s="20"/>
      <c r="P39" s="21"/>
      <c r="Q39" s="6"/>
      <c r="S39" s="4"/>
      <c r="T39" s="5"/>
      <c r="U39" s="5"/>
      <c r="V39" s="5"/>
      <c r="W39" s="27" t="s">
        <v>43</v>
      </c>
      <c r="X39" s="25">
        <f>2*X36*X37</f>
        <v>400</v>
      </c>
      <c r="Y39" s="11" t="s">
        <v>44</v>
      </c>
      <c r="Z39" s="6"/>
    </row>
    <row r="40" spans="3:26" ht="15.75" thickBot="1" x14ac:dyDescent="0.3">
      <c r="K40" s="4"/>
      <c r="L40" s="5"/>
      <c r="O40" s="11" t="s">
        <v>24</v>
      </c>
      <c r="P40" s="18">
        <f>1+(P37*10^3/(P36*10^3+P38))</f>
        <v>4.0232822885717612</v>
      </c>
      <c r="Q40" s="6"/>
      <c r="S40" s="8"/>
      <c r="T40" s="9"/>
      <c r="U40" s="9"/>
      <c r="V40" s="9"/>
      <c r="W40" s="9"/>
      <c r="X40" s="9"/>
      <c r="Y40" s="9"/>
      <c r="Z40" s="10"/>
    </row>
    <row r="41" spans="3:26" ht="15.75" thickBot="1" x14ac:dyDescent="0.3">
      <c r="K41" s="8"/>
      <c r="L41" s="9"/>
      <c r="M41" s="9"/>
      <c r="N41" s="9"/>
      <c r="O41" s="9"/>
      <c r="P41" s="9"/>
      <c r="Q41" s="10"/>
    </row>
    <row r="42" spans="3:26" ht="15.75" thickBot="1" x14ac:dyDescent="0.3"/>
    <row r="43" spans="3:26" x14ac:dyDescent="0.25">
      <c r="K43" s="1"/>
      <c r="L43" s="2"/>
      <c r="M43" s="2"/>
      <c r="N43" s="2"/>
      <c r="O43" s="2"/>
      <c r="P43" s="2"/>
      <c r="Q43" s="3"/>
    </row>
    <row r="44" spans="3:26" x14ac:dyDescent="0.25">
      <c r="K44" s="4"/>
      <c r="L44" s="14" t="s">
        <v>30</v>
      </c>
      <c r="M44" s="5"/>
      <c r="N44" s="5"/>
      <c r="O44" s="5"/>
      <c r="P44" s="5"/>
      <c r="Q44" s="6"/>
    </row>
    <row r="45" spans="3:26" x14ac:dyDescent="0.25">
      <c r="K45" s="4"/>
      <c r="L45" s="5"/>
      <c r="M45" s="5"/>
      <c r="N45" s="5"/>
      <c r="O45" s="5"/>
      <c r="P45" s="5"/>
      <c r="Q45" s="6"/>
    </row>
    <row r="46" spans="3:26" x14ac:dyDescent="0.25">
      <c r="K46" s="4"/>
      <c r="L46" s="5"/>
      <c r="M46" s="5"/>
      <c r="N46" s="5"/>
      <c r="O46" s="5" t="s">
        <v>26</v>
      </c>
      <c r="P46" s="15">
        <f>P29</f>
        <v>2.0412414523193152</v>
      </c>
      <c r="Q46" s="6"/>
    </row>
    <row r="47" spans="3:26" x14ac:dyDescent="0.25">
      <c r="K47" s="4"/>
      <c r="L47" s="5"/>
      <c r="M47" s="5"/>
      <c r="N47" s="5"/>
      <c r="O47" s="5" t="s">
        <v>24</v>
      </c>
      <c r="P47" s="15">
        <f>P40</f>
        <v>4.0232822885717612</v>
      </c>
      <c r="Q47" s="6"/>
    </row>
    <row r="48" spans="3:26" x14ac:dyDescent="0.25">
      <c r="K48" s="4"/>
      <c r="L48" s="5"/>
      <c r="M48" s="5"/>
      <c r="N48" s="5"/>
      <c r="O48" s="5"/>
      <c r="P48" s="5"/>
      <c r="Q48" s="6"/>
    </row>
    <row r="49" spans="11:24" x14ac:dyDescent="0.25">
      <c r="K49" s="4"/>
      <c r="L49" s="5"/>
      <c r="M49" s="5"/>
      <c r="N49" s="5"/>
      <c r="O49" s="11" t="s">
        <v>0</v>
      </c>
      <c r="P49" s="25">
        <f>P46*P47</f>
        <v>8.2124905818147997</v>
      </c>
      <c r="Q49" s="6"/>
    </row>
    <row r="50" spans="11:24" x14ac:dyDescent="0.25">
      <c r="K50" s="4"/>
      <c r="L50" s="5"/>
      <c r="M50" s="5"/>
      <c r="N50" s="5"/>
      <c r="O50" s="11" t="s">
        <v>33</v>
      </c>
      <c r="P50" s="25">
        <f>20*LOG(P49)</f>
        <v>18.289497690277397</v>
      </c>
      <c r="Q50" s="6"/>
    </row>
    <row r="51" spans="11:24" ht="15.75" thickBot="1" x14ac:dyDescent="0.3">
      <c r="K51" s="8"/>
      <c r="L51" s="9"/>
      <c r="M51" s="9"/>
      <c r="N51" s="9"/>
      <c r="O51" s="9"/>
      <c r="P51" s="9"/>
      <c r="Q51" s="10"/>
    </row>
    <row r="57" spans="11:24" x14ac:dyDescent="0.25">
      <c r="X57" t="s">
        <v>3</v>
      </c>
    </row>
    <row r="58" spans="11:24" x14ac:dyDescent="0.25">
      <c r="X5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2025-02-15T12:35:00Z</dcterms:created>
  <dcterms:modified xsi:type="dcterms:W3CDTF">2025-02-15T23:25:34Z</dcterms:modified>
</cp:coreProperties>
</file>