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Regenerative_Radio_Receiver\docs\"/>
    </mc:Choice>
  </mc:AlternateContent>
  <xr:revisionPtr revIDLastSave="0" documentId="13_ncr:1_{598CBDE0-A783-4771-A4F4-A73BB13FA39A}" xr6:coauthVersionLast="47" xr6:coauthVersionMax="47" xr10:uidLastSave="{00000000-0000-0000-0000-000000000000}"/>
  <bookViews>
    <workbookView xWindow="10710" yWindow="2550" windowWidth="17025" windowHeight="11295" xr2:uid="{8DE5C065-F520-4388-BEF7-72D54EBBA6E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0" i="1" l="1"/>
  <c r="W48" i="1"/>
  <c r="W46" i="1"/>
  <c r="X20" i="1"/>
  <c r="C48" i="1"/>
  <c r="X39" i="1"/>
  <c r="P27" i="1"/>
  <c r="P29" i="1" s="1"/>
  <c r="P46" i="1" s="1"/>
  <c r="P18" i="1"/>
  <c r="P38" i="1" s="1"/>
  <c r="P40" i="1" s="1"/>
  <c r="P47" i="1" s="1"/>
  <c r="H27" i="1"/>
  <c r="H26" i="1"/>
  <c r="H18" i="1"/>
  <c r="E37" i="1" s="1"/>
  <c r="H37" i="1" s="1"/>
  <c r="H36" i="1"/>
  <c r="H35" i="1"/>
  <c r="X31" i="1" s="1"/>
  <c r="P49" i="1" l="1"/>
  <c r="X26" i="1" l="1"/>
  <c r="X29" i="1" s="1"/>
  <c r="X33" i="1" s="1"/>
  <c r="X34" i="1" s="1"/>
  <c r="P50" i="1"/>
</calcChain>
</file>

<file path=xl/sharedStrings.xml><?xml version="1.0" encoding="utf-8"?>
<sst xmlns="http://schemas.openxmlformats.org/spreadsheetml/2006/main" count="66" uniqueCount="51">
  <si>
    <t>k</t>
  </si>
  <si>
    <t>f [kHz]</t>
  </si>
  <si>
    <t>L2[mH]</t>
  </si>
  <si>
    <t>fres=1/(2*PI*SQRT(L2C1))</t>
  </si>
  <si>
    <t>C1=1/(L*(2*PI*f)^2)</t>
  </si>
  <si>
    <t>C1[pF]</t>
  </si>
  <si>
    <t>Calculate C1 for given frequency f and inductance L:</t>
  </si>
  <si>
    <t>Calculate reactance of C1, L1 and L2 for given frequency:</t>
  </si>
  <si>
    <t>f[kHz]</t>
  </si>
  <si>
    <t>L1[mH]</t>
  </si>
  <si>
    <t>X1[ohm]</t>
  </si>
  <si>
    <t>Xl1[ohm]</t>
  </si>
  <si>
    <t>Xl2[ohm]</t>
  </si>
  <si>
    <t>Xc1[ohm]</t>
  </si>
  <si>
    <t>Calculate f for given L and C range</t>
  </si>
  <si>
    <t>C1min[pF]</t>
  </si>
  <si>
    <t>C2max[pF]</t>
  </si>
  <si>
    <t>fmax[kHz]</t>
  </si>
  <si>
    <t>fmin[kHz]</t>
  </si>
  <si>
    <t>Calculate X3 for given frequency f:</t>
  </si>
  <si>
    <t>C3[nF]</t>
  </si>
  <si>
    <t>X3[ohm]</t>
  </si>
  <si>
    <t>R4[kohm]</t>
  </si>
  <si>
    <t>R5[kohm]</t>
  </si>
  <si>
    <t>k2</t>
  </si>
  <si>
    <t>Calculate k2 amplifier gain of opamp stage for given frequency f:</t>
  </si>
  <si>
    <t>k1</t>
  </si>
  <si>
    <t>N2/N1</t>
  </si>
  <si>
    <t>Calculate k1 transformer voltage increase :</t>
  </si>
  <si>
    <t>rough - common inductance not taken into account</t>
  </si>
  <si>
    <t>Calculate total voltage amplification:</t>
  </si>
  <si>
    <t>Calculate None Inverting Amplifier Stage Input Impedance:</t>
  </si>
  <si>
    <t>Zin[kohm]</t>
  </si>
  <si>
    <t>k[dB]</t>
  </si>
  <si>
    <t>Regenerative Radio Receiver Calculations</t>
  </si>
  <si>
    <t>Calculate Voltage level at Antenna Output:</t>
  </si>
  <si>
    <t>Uampout [Vpp]</t>
  </si>
  <si>
    <t xml:space="preserve"> real WAW I signal (speech)</t>
  </si>
  <si>
    <t>Uantout[Vpp]</t>
  </si>
  <si>
    <t>P[uW]</t>
  </si>
  <si>
    <t>P[dBm]</t>
  </si>
  <si>
    <t>Field strength E [mV/m]</t>
  </si>
  <si>
    <t>Antenna length L [m]</t>
  </si>
  <si>
    <t>Open circuit Voltage [Vpp]</t>
  </si>
  <si>
    <t>2*E*L</t>
  </si>
  <si>
    <t>5 according to maps</t>
  </si>
  <si>
    <t>pf</t>
  </si>
  <si>
    <t>Cant</t>
  </si>
  <si>
    <t>L1</t>
  </si>
  <si>
    <t>mH</t>
  </si>
  <si>
    <t>fres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</si>
</sst>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"/>
    <numFmt numFmtId="166" formatCode="0.0"/>
  </numFmts>
  <fonts count="5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2" fontId="0" fillId="0" borderId="0" xfId="0" applyNumberFormat="1"/>
    <xf numFmtId="166" fontId="0" fillId="0" borderId="0" xfId="0" applyNumberFormat="1"/>
    <xf numFmtId="166" fontId="1" fillId="0" borderId="0" xfId="0" applyNumberFormat="1" applyFont="1" applyAlignment="1">
      <alignment horizontal="left" indent="7"/>
    </xf>
    <xf numFmtId="2" fontId="1" fillId="0" borderId="0" xfId="0" applyNumberFormat="1" applyFont="1" applyAlignment="1">
      <alignment horizontal="left" indent="7"/>
    </xf>
    <xf numFmtId="0" fontId="3" fillId="0" borderId="0" xfId="0" applyFont="1"/>
    <xf numFmtId="166" fontId="3" fillId="0" borderId="0" xfId="0" applyNumberFormat="1" applyFont="1" applyAlignment="1">
      <alignment horizontal="left" indent="7"/>
    </xf>
    <xf numFmtId="166" fontId="1" fillId="0" borderId="0" xfId="0" applyNumberFormat="1" applyFont="1" applyAlignment="1">
      <alignment horizontal="left" indent="8"/>
    </xf>
    <xf numFmtId="165" fontId="3" fillId="0" borderId="0" xfId="0" applyNumberFormat="1" applyFont="1" applyAlignment="1">
      <alignment horizontal="left" indent="7"/>
    </xf>
    <xf numFmtId="0" fontId="4" fillId="0" borderId="0" xfId="0" applyFont="1"/>
    <xf numFmtId="166" fontId="1" fillId="0" borderId="0" xfId="0" applyNumberFormat="1" applyFon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0612-27E1-4B49-85E6-4144203A1E30}">
  <dimension ref="B8:Z58"/>
  <sheetViews>
    <sheetView tabSelected="1" topLeftCell="I31" zoomScale="80" zoomScaleNormal="80" workbookViewId="0">
      <selection activeCell="W51" sqref="W51"/>
    </sheetView>
  </sheetViews>
  <sheetFormatPr defaultRowHeight="15" x14ac:dyDescent="0.25"/>
  <cols>
    <col min="4" max="4" width="9.7109375" customWidth="1"/>
    <col min="6" max="6" width="12" bestFit="1" customWidth="1"/>
    <col min="7" max="7" width="12" customWidth="1"/>
    <col min="8" max="8" width="15.42578125" customWidth="1"/>
    <col min="16" max="16" width="18.7109375" customWidth="1"/>
    <col min="23" max="23" width="24.28515625" customWidth="1"/>
    <col min="24" max="24" width="15.140625" customWidth="1"/>
    <col min="26" max="26" width="18.28515625" customWidth="1"/>
  </cols>
  <sheetData>
    <row r="8" spans="3:26" x14ac:dyDescent="0.25">
      <c r="C8" s="10" t="s">
        <v>34</v>
      </c>
      <c r="D8" s="10"/>
      <c r="E8" s="10"/>
      <c r="F8" s="10"/>
    </row>
    <row r="11" spans="3:26" ht="15.75" thickBot="1" x14ac:dyDescent="0.3"/>
    <row r="12" spans="3:26" x14ac:dyDescent="0.25">
      <c r="C12" s="1"/>
      <c r="D12" s="2"/>
      <c r="E12" s="2"/>
      <c r="F12" s="2"/>
      <c r="G12" s="2"/>
      <c r="H12" s="2"/>
      <c r="I12" s="3"/>
      <c r="K12" s="1"/>
      <c r="L12" s="2"/>
      <c r="M12" s="2"/>
      <c r="N12" s="2"/>
      <c r="O12" s="2"/>
      <c r="P12" s="2"/>
      <c r="Q12" s="3"/>
      <c r="S12" s="1"/>
      <c r="T12" s="2"/>
      <c r="U12" s="2"/>
      <c r="V12" s="2"/>
      <c r="W12" s="2"/>
      <c r="X12" s="2"/>
      <c r="Y12" s="2"/>
      <c r="Z12" s="3"/>
    </row>
    <row r="13" spans="3:26" x14ac:dyDescent="0.25">
      <c r="C13" s="4"/>
      <c r="D13" s="12" t="s">
        <v>6</v>
      </c>
      <c r="I13" s="5"/>
      <c r="K13" s="4"/>
      <c r="L13" s="12" t="s">
        <v>19</v>
      </c>
      <c r="Q13" s="5"/>
      <c r="S13" s="4"/>
      <c r="T13" s="12" t="s">
        <v>31</v>
      </c>
      <c r="U13" s="12"/>
      <c r="V13" s="12"/>
      <c r="W13" s="12"/>
      <c r="X13" s="12"/>
      <c r="Y13" s="12"/>
      <c r="Z13" s="5"/>
    </row>
    <row r="14" spans="3:26" x14ac:dyDescent="0.25">
      <c r="C14" s="4"/>
      <c r="I14" s="5"/>
      <c r="K14" s="4"/>
      <c r="Q14" s="5"/>
      <c r="S14" s="4"/>
      <c r="Z14" s="5"/>
    </row>
    <row r="15" spans="3:26" x14ac:dyDescent="0.25">
      <c r="C15" s="4"/>
      <c r="G15" t="s">
        <v>1</v>
      </c>
      <c r="H15">
        <v>225</v>
      </c>
      <c r="I15" s="5"/>
      <c r="K15" s="4"/>
      <c r="O15" t="s">
        <v>1</v>
      </c>
      <c r="P15">
        <v>225</v>
      </c>
      <c r="Q15" s="5"/>
      <c r="S15" s="4"/>
      <c r="W15" t="s">
        <v>8</v>
      </c>
      <c r="X15">
        <v>225</v>
      </c>
      <c r="Z15" s="5"/>
    </row>
    <row r="16" spans="3:26" x14ac:dyDescent="0.25">
      <c r="C16" s="4"/>
      <c r="G16" t="s">
        <v>2</v>
      </c>
      <c r="H16">
        <v>5.52</v>
      </c>
      <c r="I16" s="5"/>
      <c r="K16" s="4"/>
      <c r="O16" t="s">
        <v>20</v>
      </c>
      <c r="P16">
        <v>2.2000000000000002</v>
      </c>
      <c r="Q16" s="5"/>
      <c r="S16" s="4"/>
      <c r="W16" t="s">
        <v>20</v>
      </c>
      <c r="X16">
        <v>2.2000000000000002</v>
      </c>
      <c r="Z16" s="5"/>
    </row>
    <row r="17" spans="3:26" x14ac:dyDescent="0.25">
      <c r="C17" s="4"/>
      <c r="I17" s="5"/>
      <c r="K17" s="4"/>
      <c r="Q17" s="5"/>
      <c r="S17" s="4"/>
      <c r="W17" t="s">
        <v>22</v>
      </c>
      <c r="X17">
        <v>1.2</v>
      </c>
      <c r="Z17" s="5"/>
    </row>
    <row r="18" spans="3:26" x14ac:dyDescent="0.25">
      <c r="C18" s="4"/>
      <c r="G18" s="10" t="s">
        <v>5</v>
      </c>
      <c r="H18" s="15">
        <f>(1/(H16*10^3*(2*PI()*H15)^2))*10^12</f>
        <v>90.643392057915349</v>
      </c>
      <c r="I18" s="5"/>
      <c r="K18" s="4"/>
      <c r="O18" s="10" t="s">
        <v>21</v>
      </c>
      <c r="P18" s="19">
        <f>1/(2*PI()*P15*10^3*P16*10^-9)</f>
        <v>321.52513755938452</v>
      </c>
      <c r="Q18" s="5"/>
      <c r="S18" s="4"/>
      <c r="W18" t="s">
        <v>23</v>
      </c>
      <c r="X18">
        <v>4.5999999999999996</v>
      </c>
      <c r="Z18" s="5"/>
    </row>
    <row r="19" spans="3:26" ht="15.75" thickBot="1" x14ac:dyDescent="0.3">
      <c r="C19" s="7"/>
      <c r="D19" s="8"/>
      <c r="E19" s="8"/>
      <c r="F19" s="8"/>
      <c r="G19" s="8"/>
      <c r="H19" s="8"/>
      <c r="I19" s="9"/>
      <c r="K19" s="7"/>
      <c r="L19" s="8"/>
      <c r="M19" s="8"/>
      <c r="N19" s="8"/>
      <c r="O19" s="8"/>
      <c r="P19" s="8"/>
      <c r="Q19" s="9"/>
      <c r="S19" s="4"/>
      <c r="Z19" s="5"/>
    </row>
    <row r="20" spans="3:26" ht="15.75" thickBot="1" x14ac:dyDescent="0.3">
      <c r="S20" s="4"/>
      <c r="W20" s="10" t="s">
        <v>32</v>
      </c>
      <c r="X20" s="22">
        <f>(X17*10^3+(1/(2*PI()*X15*10^3*X16*10^-9)))*X18*10^3/((X17*10^3+(1/(2*PI()*X15*10^3*X16*10^-9)))+X18*10^3)/1000</f>
        <v>1.143345077492181</v>
      </c>
      <c r="Z20" s="5"/>
    </row>
    <row r="21" spans="3:26" ht="15.75" thickBot="1" x14ac:dyDescent="0.3">
      <c r="C21" s="1"/>
      <c r="D21" s="2"/>
      <c r="E21" s="2"/>
      <c r="F21" s="2"/>
      <c r="G21" s="2"/>
      <c r="H21" s="2"/>
      <c r="I21" s="3"/>
      <c r="K21" s="1"/>
      <c r="L21" s="2"/>
      <c r="M21" s="2"/>
      <c r="N21" s="2"/>
      <c r="O21" s="2"/>
      <c r="P21" s="2"/>
      <c r="Q21" s="3"/>
      <c r="S21" s="7"/>
      <c r="T21" s="8"/>
      <c r="U21" s="8"/>
      <c r="V21" s="8"/>
      <c r="W21" s="8"/>
      <c r="X21" s="8"/>
      <c r="Y21" s="8"/>
      <c r="Z21" s="9"/>
    </row>
    <row r="22" spans="3:26" ht="15.75" thickBot="1" x14ac:dyDescent="0.3">
      <c r="C22" s="4"/>
      <c r="D22" s="12" t="s">
        <v>14</v>
      </c>
      <c r="I22" s="5"/>
      <c r="K22" s="4"/>
      <c r="L22" s="12" t="s">
        <v>28</v>
      </c>
      <c r="Q22" s="5"/>
    </row>
    <row r="23" spans="3:26" x14ac:dyDescent="0.25">
      <c r="C23" s="4"/>
      <c r="I23" s="5"/>
      <c r="K23" s="4"/>
      <c r="L23" s="21" t="s">
        <v>29</v>
      </c>
      <c r="Q23" s="5"/>
      <c r="S23" s="1"/>
      <c r="T23" s="2"/>
      <c r="U23" s="2"/>
      <c r="V23" s="2"/>
      <c r="W23" s="2"/>
      <c r="X23" s="2"/>
      <c r="Y23" s="2"/>
      <c r="Z23" s="3"/>
    </row>
    <row r="24" spans="3:26" x14ac:dyDescent="0.25">
      <c r="C24" s="4"/>
      <c r="D24" t="s">
        <v>2</v>
      </c>
      <c r="E24">
        <v>5.52</v>
      </c>
      <c r="I24" s="5"/>
      <c r="K24" s="4"/>
      <c r="O24" t="s">
        <v>9</v>
      </c>
      <c r="P24">
        <v>1.26</v>
      </c>
      <c r="Q24" s="5"/>
      <c r="S24" s="4"/>
      <c r="T24" s="12" t="s">
        <v>35</v>
      </c>
      <c r="U24" s="12"/>
      <c r="V24" s="12"/>
      <c r="W24" s="12"/>
      <c r="Z24" s="5"/>
    </row>
    <row r="25" spans="3:26" x14ac:dyDescent="0.25">
      <c r="C25" s="4"/>
      <c r="I25" s="5"/>
      <c r="K25" s="4"/>
      <c r="O25" t="s">
        <v>2</v>
      </c>
      <c r="P25">
        <v>5.25</v>
      </c>
      <c r="Q25" s="5"/>
      <c r="S25" s="4"/>
      <c r="Z25" s="5"/>
    </row>
    <row r="26" spans="3:26" x14ac:dyDescent="0.25">
      <c r="C26" s="4"/>
      <c r="D26" t="s">
        <v>15</v>
      </c>
      <c r="E26">
        <v>25</v>
      </c>
      <c r="G26" s="10" t="s">
        <v>17</v>
      </c>
      <c r="H26" s="11">
        <f>(1/(2*PI()*SQRT($E$24*10^-3*E26*10^-12)))/1000</f>
        <v>428.43070491886851</v>
      </c>
      <c r="I26" s="5"/>
      <c r="K26" s="4"/>
      <c r="Q26" s="5"/>
      <c r="S26" s="4"/>
      <c r="W26" t="s">
        <v>0</v>
      </c>
      <c r="X26" s="14">
        <f>P49</f>
        <v>8.2124905818147997</v>
      </c>
      <c r="Z26" s="5"/>
    </row>
    <row r="27" spans="3:26" x14ac:dyDescent="0.25">
      <c r="C27" s="4"/>
      <c r="D27" t="s">
        <v>16</v>
      </c>
      <c r="E27">
        <v>400</v>
      </c>
      <c r="G27" s="10" t="s">
        <v>18</v>
      </c>
      <c r="H27" s="11">
        <f>(1/(2*PI()*SQRT($E$24*10^-3*E27*10^-12)))/1000</f>
        <v>107.10767622971713</v>
      </c>
      <c r="I27" s="5"/>
      <c r="K27" s="4"/>
      <c r="O27" s="17" t="s">
        <v>27</v>
      </c>
      <c r="P27" s="18">
        <f>SQRT(P25/P24)</f>
        <v>2.0412414523193152</v>
      </c>
      <c r="Q27" s="5"/>
      <c r="S27" s="4"/>
      <c r="W27" t="s">
        <v>36</v>
      </c>
      <c r="X27">
        <v>3.48</v>
      </c>
      <c r="Y27" t="s">
        <v>37</v>
      </c>
      <c r="Z27" s="5"/>
    </row>
    <row r="28" spans="3:26" ht="15.75" thickBot="1" x14ac:dyDescent="0.3">
      <c r="C28" s="7"/>
      <c r="D28" s="8"/>
      <c r="E28" s="8"/>
      <c r="F28" s="8"/>
      <c r="G28" s="8"/>
      <c r="H28" s="8"/>
      <c r="I28" s="9"/>
      <c r="K28" s="4"/>
      <c r="O28" s="17"/>
      <c r="P28" s="20"/>
      <c r="Q28" s="5"/>
      <c r="S28" s="4"/>
      <c r="Z28" s="5"/>
    </row>
    <row r="29" spans="3:26" ht="15.75" thickBot="1" x14ac:dyDescent="0.3">
      <c r="K29" s="4"/>
      <c r="O29" s="10" t="s">
        <v>26</v>
      </c>
      <c r="P29" s="16">
        <f>P27</f>
        <v>2.0412414523193152</v>
      </c>
      <c r="Q29" s="5"/>
      <c r="S29" s="4"/>
      <c r="W29" s="10" t="s">
        <v>38</v>
      </c>
      <c r="X29" s="10">
        <f>X27/X26</f>
        <v>0.42374477819260864</v>
      </c>
      <c r="Z29" s="5"/>
    </row>
    <row r="30" spans="3:26" ht="15.75" thickBot="1" x14ac:dyDescent="0.3">
      <c r="C30" s="1"/>
      <c r="D30" s="2"/>
      <c r="E30" s="2"/>
      <c r="F30" s="2"/>
      <c r="G30" s="2"/>
      <c r="H30" s="2"/>
      <c r="I30" s="3"/>
      <c r="K30" s="7"/>
      <c r="L30" s="8"/>
      <c r="M30" s="8"/>
      <c r="N30" s="8"/>
      <c r="O30" s="8"/>
      <c r="P30" s="8"/>
      <c r="Q30" s="9"/>
      <c r="S30" s="4"/>
      <c r="Z30" s="5"/>
    </row>
    <row r="31" spans="3:26" ht="15.75" thickBot="1" x14ac:dyDescent="0.3">
      <c r="C31" s="4"/>
      <c r="D31" s="12" t="s">
        <v>7</v>
      </c>
      <c r="I31" s="5"/>
      <c r="S31" s="4"/>
      <c r="W31" t="s">
        <v>10</v>
      </c>
      <c r="X31" s="6">
        <f>H35</f>
        <v>1781.2830345854127</v>
      </c>
      <c r="Z31" s="5"/>
    </row>
    <row r="32" spans="3:26" x14ac:dyDescent="0.25">
      <c r="C32" s="4"/>
      <c r="I32" s="5"/>
      <c r="K32" s="1"/>
      <c r="L32" s="2"/>
      <c r="M32" s="2"/>
      <c r="N32" s="2"/>
      <c r="O32" s="2"/>
      <c r="P32" s="2"/>
      <c r="Q32" s="3"/>
      <c r="S32" s="4"/>
      <c r="X32" s="6"/>
      <c r="Z32" s="5"/>
    </row>
    <row r="33" spans="2:26" x14ac:dyDescent="0.25">
      <c r="C33" s="4"/>
      <c r="D33" t="s">
        <v>8</v>
      </c>
      <c r="E33">
        <v>225</v>
      </c>
      <c r="I33" s="5"/>
      <c r="K33" s="4"/>
      <c r="L33" s="12" t="s">
        <v>25</v>
      </c>
      <c r="Q33" s="5"/>
      <c r="S33" s="4"/>
      <c r="W33" t="s">
        <v>39</v>
      </c>
      <c r="X33" s="23">
        <f>((X29/2)^2/X31)*1000000</f>
        <v>25.200885198922776</v>
      </c>
      <c r="Z33" s="5"/>
    </row>
    <row r="34" spans="2:26" x14ac:dyDescent="0.25">
      <c r="C34" s="4"/>
      <c r="I34" s="5"/>
      <c r="K34" s="4"/>
      <c r="Q34" s="5"/>
      <c r="S34" s="4"/>
      <c r="W34" t="s">
        <v>40</v>
      </c>
      <c r="X34" s="14">
        <f>10*LOG(X33*10^-6/10^-3)</f>
        <v>-15.985842040495806</v>
      </c>
      <c r="Z34" s="5"/>
    </row>
    <row r="35" spans="2:26" x14ac:dyDescent="0.25">
      <c r="C35" s="4"/>
      <c r="D35" t="s">
        <v>9</v>
      </c>
      <c r="E35">
        <v>1.26</v>
      </c>
      <c r="G35" s="10" t="s">
        <v>11</v>
      </c>
      <c r="H35" s="11">
        <f>2*PI()*E33*10^3*E35*10^-3</f>
        <v>1781.2830345854127</v>
      </c>
      <c r="I35" s="5"/>
      <c r="K35" s="4"/>
      <c r="O35" t="s">
        <v>1</v>
      </c>
      <c r="P35">
        <v>225</v>
      </c>
      <c r="Q35" s="5"/>
      <c r="S35" s="4"/>
      <c r="X35" s="14"/>
      <c r="Z35" s="5"/>
    </row>
    <row r="36" spans="2:26" x14ac:dyDescent="0.25">
      <c r="C36" s="4"/>
      <c r="D36" t="s">
        <v>2</v>
      </c>
      <c r="E36">
        <v>5.52</v>
      </c>
      <c r="G36" s="10" t="s">
        <v>12</v>
      </c>
      <c r="H36" s="11">
        <f>2*PI()*E33*10^3*E36*10^-3</f>
        <v>7803.7161515170446</v>
      </c>
      <c r="I36" s="5"/>
      <c r="K36" s="4"/>
      <c r="O36" t="s">
        <v>22</v>
      </c>
      <c r="P36">
        <v>1.2</v>
      </c>
      <c r="Q36" s="5"/>
      <c r="S36" s="4"/>
      <c r="W36" t="s">
        <v>42</v>
      </c>
      <c r="X36" s="14">
        <v>20</v>
      </c>
      <c r="Z36" s="5"/>
    </row>
    <row r="37" spans="2:26" x14ac:dyDescent="0.25">
      <c r="C37" s="4"/>
      <c r="D37" t="s">
        <v>5</v>
      </c>
      <c r="E37" s="14">
        <f>H18</f>
        <v>90.643392057915349</v>
      </c>
      <c r="G37" s="10" t="s">
        <v>13</v>
      </c>
      <c r="H37" s="11">
        <f>1/(2*PI()*E33*10^3*E37*10^-12)</f>
        <v>7803.7161515170465</v>
      </c>
      <c r="I37" s="5"/>
      <c r="K37" s="4"/>
      <c r="O37" t="s">
        <v>23</v>
      </c>
      <c r="P37">
        <v>4.5999999999999996</v>
      </c>
      <c r="Q37" s="5"/>
      <c r="S37" s="4"/>
      <c r="W37" t="s">
        <v>41</v>
      </c>
      <c r="X37" s="14">
        <v>10</v>
      </c>
      <c r="Y37" t="s">
        <v>45</v>
      </c>
      <c r="Z37" s="5"/>
    </row>
    <row r="38" spans="2:26" ht="15.75" thickBot="1" x14ac:dyDescent="0.3">
      <c r="C38" s="7"/>
      <c r="D38" s="8"/>
      <c r="E38" s="8"/>
      <c r="F38" s="8"/>
      <c r="G38" s="8"/>
      <c r="H38" s="8"/>
      <c r="I38" s="9"/>
      <c r="K38" s="4"/>
      <c r="O38" s="17" t="s">
        <v>21</v>
      </c>
      <c r="P38" s="18">
        <f>P18</f>
        <v>321.52513755938452</v>
      </c>
      <c r="Q38" s="5"/>
      <c r="S38" s="4"/>
      <c r="X38" s="14"/>
      <c r="Z38" s="5"/>
    </row>
    <row r="39" spans="2:26" x14ac:dyDescent="0.25">
      <c r="K39" s="4"/>
      <c r="O39" s="17"/>
      <c r="P39" s="18"/>
      <c r="Q39" s="5"/>
      <c r="S39" s="4"/>
      <c r="W39" s="10" t="s">
        <v>43</v>
      </c>
      <c r="X39" s="22">
        <f>2*X36*X37</f>
        <v>400</v>
      </c>
      <c r="Y39" s="10" t="s">
        <v>44</v>
      </c>
      <c r="Z39" s="5"/>
    </row>
    <row r="40" spans="2:26" ht="15.75" thickBot="1" x14ac:dyDescent="0.3">
      <c r="K40" s="4"/>
      <c r="O40" s="10" t="s">
        <v>24</v>
      </c>
      <c r="P40" s="16">
        <f>1+(P37*10^3/(P36*10^3+P38))</f>
        <v>4.0232822885717612</v>
      </c>
      <c r="Q40" s="5"/>
      <c r="S40" s="7"/>
      <c r="T40" s="8"/>
      <c r="U40" s="8"/>
      <c r="V40" s="8"/>
      <c r="W40" s="8"/>
      <c r="X40" s="8"/>
      <c r="Y40" s="8"/>
      <c r="Z40" s="9"/>
    </row>
    <row r="41" spans="2:26" ht="15.75" thickBot="1" x14ac:dyDescent="0.3">
      <c r="K41" s="7"/>
      <c r="L41" s="8"/>
      <c r="M41" s="8"/>
      <c r="N41" s="8"/>
      <c r="O41" s="8"/>
      <c r="P41" s="8"/>
      <c r="Q41" s="9"/>
    </row>
    <row r="42" spans="2:26" ht="15.75" thickBot="1" x14ac:dyDescent="0.3"/>
    <row r="43" spans="2:26" x14ac:dyDescent="0.25">
      <c r="K43" s="1"/>
      <c r="L43" s="2"/>
      <c r="M43" s="2"/>
      <c r="N43" s="2"/>
      <c r="O43" s="2"/>
      <c r="P43" s="2"/>
      <c r="Q43" s="3"/>
    </row>
    <row r="44" spans="2:26" x14ac:dyDescent="0.25">
      <c r="K44" s="4"/>
      <c r="L44" s="12" t="s">
        <v>30</v>
      </c>
      <c r="Q44" s="5"/>
    </row>
    <row r="45" spans="2:26" x14ac:dyDescent="0.25">
      <c r="B45" t="s">
        <v>47</v>
      </c>
      <c r="C45">
        <v>270</v>
      </c>
      <c r="D45" t="s">
        <v>46</v>
      </c>
      <c r="K45" s="4"/>
      <c r="Q45" s="5"/>
      <c r="W45">
        <v>4.5999999999999996</v>
      </c>
    </row>
    <row r="46" spans="2:26" x14ac:dyDescent="0.25">
      <c r="B46" t="s">
        <v>48</v>
      </c>
      <c r="C46">
        <v>1.26</v>
      </c>
      <c r="D46" t="s">
        <v>49</v>
      </c>
      <c r="K46" s="4"/>
      <c r="O46" t="s">
        <v>26</v>
      </c>
      <c r="P46" s="13">
        <f>P29</f>
        <v>2.0412414523193152</v>
      </c>
      <c r="Q46" s="5"/>
      <c r="W46">
        <f>0.3215+1.2</f>
        <v>1.5215000000000001</v>
      </c>
    </row>
    <row r="47" spans="2:26" x14ac:dyDescent="0.25">
      <c r="K47" s="4"/>
      <c r="O47" t="s">
        <v>24</v>
      </c>
      <c r="P47" s="13">
        <f>P40</f>
        <v>4.0232822885717612</v>
      </c>
      <c r="Q47" s="5"/>
    </row>
    <row r="48" spans="2:26" x14ac:dyDescent="0.25">
      <c r="B48" t="s">
        <v>50</v>
      </c>
      <c r="C48">
        <f>1/(2*PI()*SQRT(C45*10^-12*C46*10^-3))</f>
        <v>272868.23202339496</v>
      </c>
      <c r="K48" s="4"/>
      <c r="Q48" s="5"/>
      <c r="W48">
        <f>W45*W46/(W45+W46)</f>
        <v>1.1433308829535245</v>
      </c>
    </row>
    <row r="49" spans="11:24" x14ac:dyDescent="0.25">
      <c r="K49" s="4"/>
      <c r="O49" s="10" t="s">
        <v>0</v>
      </c>
      <c r="P49" s="22">
        <f>P46*P47</f>
        <v>8.2124905818147997</v>
      </c>
      <c r="Q49" s="5"/>
    </row>
    <row r="50" spans="11:24" x14ac:dyDescent="0.25">
      <c r="K50" s="4"/>
      <c r="O50" s="10" t="s">
        <v>33</v>
      </c>
      <c r="P50" s="22">
        <f>20*LOG(P49)</f>
        <v>18.289497690277397</v>
      </c>
      <c r="Q50" s="5"/>
      <c r="W50">
        <f>0.976/0.117</f>
        <v>8.3418803418803407</v>
      </c>
    </row>
    <row r="51" spans="11:24" ht="15.75" thickBot="1" x14ac:dyDescent="0.3">
      <c r="K51" s="7"/>
      <c r="L51" s="8"/>
      <c r="M51" s="8"/>
      <c r="N51" s="8"/>
      <c r="O51" s="8"/>
      <c r="P51" s="8"/>
      <c r="Q51" s="9"/>
    </row>
    <row r="57" spans="11:24" x14ac:dyDescent="0.25">
      <c r="X57" t="s">
        <v>3</v>
      </c>
    </row>
    <row r="58" spans="11:24" x14ac:dyDescent="0.25">
      <c r="X5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2025-02-15T12:35:00Z</dcterms:created>
  <dcterms:modified xsi:type="dcterms:W3CDTF">2025-02-16T10:56:20Z</dcterms:modified>
</cp:coreProperties>
</file>