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3/Documents/calcs/SQ_multijunc/"/>
    </mc:Choice>
  </mc:AlternateContent>
  <xr:revisionPtr revIDLastSave="0" documentId="13_ncr:1_{B25AFC7E-2EC5-5943-8D9A-2B7AE8F867A8}" xr6:coauthVersionLast="47" xr6:coauthVersionMax="47" xr10:uidLastSave="{00000000-0000-0000-0000-000000000000}"/>
  <bookViews>
    <workbookView xWindow="1300" yWindow="500" windowWidth="28040" windowHeight="16940" activeTab="1" xr2:uid="{D5AD7777-409B-8F4F-A1E7-45FB5EA0000C}"/>
  </bookViews>
  <sheets>
    <sheet name="const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22" i="1"/>
  <c r="B23" i="1"/>
  <c r="B24" i="1"/>
  <c r="B25" i="1"/>
  <c r="B26" i="1"/>
  <c r="B27" i="1"/>
  <c r="B28" i="1"/>
  <c r="B29" i="1"/>
  <c r="B30" i="1"/>
  <c r="B31" i="1"/>
  <c r="B22" i="1"/>
  <c r="C5" i="1"/>
  <c r="C4" i="1"/>
  <c r="C3" i="1"/>
  <c r="E2" i="1"/>
  <c r="B10" i="1" s="1"/>
  <c r="C2" i="1"/>
  <c r="C8" i="1"/>
  <c r="B18" i="1" s="1"/>
  <c r="E23" i="1" s="1"/>
  <c r="C21" i="2"/>
  <c r="C22" i="2" s="1"/>
  <c r="F22" i="2" s="1"/>
  <c r="C20" i="2"/>
  <c r="C19" i="2"/>
  <c r="C18" i="2"/>
  <c r="C17" i="2"/>
  <c r="C15" i="2"/>
  <c r="I7" i="2"/>
  <c r="C23" i="2" s="1"/>
  <c r="F7" i="2"/>
  <c r="F6" i="2"/>
  <c r="F3" i="2"/>
  <c r="C16" i="2" s="1"/>
  <c r="F16" i="2" s="1"/>
  <c r="D31" i="1" l="1"/>
  <c r="D26" i="1"/>
  <c r="E30" i="1"/>
  <c r="E25" i="1"/>
  <c r="D30" i="1"/>
  <c r="D24" i="1"/>
  <c r="E29" i="1"/>
  <c r="E24" i="1"/>
  <c r="D28" i="1"/>
  <c r="D23" i="1"/>
  <c r="E28" i="1"/>
  <c r="D22" i="1"/>
  <c r="D27" i="1"/>
  <c r="E22" i="1"/>
  <c r="E33" i="1" s="1"/>
  <c r="E26" i="1"/>
  <c r="B33" i="1"/>
  <c r="D29" i="1"/>
  <c r="D25" i="1"/>
  <c r="E31" i="1"/>
  <c r="E27" i="1"/>
  <c r="C33" i="1"/>
  <c r="E17" i="1" s="1"/>
  <c r="B19" i="1"/>
  <c r="B12" i="1"/>
  <c r="B13" i="1" s="1"/>
  <c r="E34" i="1" l="1"/>
  <c r="D33" i="1"/>
  <c r="E16" i="1"/>
  <c r="C37" i="1"/>
  <c r="C41" i="1" s="1"/>
  <c r="G23" i="1"/>
  <c r="G27" i="1"/>
  <c r="G31" i="1"/>
  <c r="G28" i="1"/>
  <c r="G22" i="1"/>
  <c r="G25" i="1"/>
  <c r="G29" i="1"/>
  <c r="G26" i="1"/>
  <c r="G30" i="1"/>
  <c r="G24" i="1"/>
  <c r="E13" i="1"/>
  <c r="F23" i="1"/>
  <c r="F25" i="1"/>
  <c r="F24" i="1"/>
  <c r="F28" i="1"/>
  <c r="F29" i="1"/>
  <c r="F27" i="1"/>
  <c r="F22" i="1"/>
  <c r="F26" i="1"/>
  <c r="F31" i="1"/>
  <c r="F30" i="1"/>
  <c r="D34" i="1" l="1"/>
  <c r="F34" i="1"/>
  <c r="C39" i="1"/>
  <c r="C43" i="1" s="1"/>
  <c r="G33" i="1"/>
  <c r="G34" i="1" s="1"/>
  <c r="F33" i="1"/>
  <c r="B11" i="1"/>
  <c r="C36" i="1" l="1"/>
  <c r="C40" i="1" s="1"/>
  <c r="G41" i="1"/>
  <c r="G43" i="1" s="1"/>
  <c r="E41" i="1"/>
  <c r="E43" i="1" s="1"/>
  <c r="E11" i="1"/>
  <c r="G40" i="1"/>
  <c r="C38" i="1" l="1"/>
  <c r="I41" i="1"/>
  <c r="E40" i="1"/>
  <c r="I40" i="1" s="1"/>
  <c r="I43" i="1"/>
</calcChain>
</file>

<file path=xl/sharedStrings.xml><?xml version="1.0" encoding="utf-8"?>
<sst xmlns="http://schemas.openxmlformats.org/spreadsheetml/2006/main" count="82" uniqueCount="78">
  <si>
    <t>n</t>
  </si>
  <si>
    <t>1/nm^3 K^3</t>
  </si>
  <si>
    <t>1/m^3 K^3</t>
  </si>
  <si>
    <t>eV/nm^3 K^4</t>
  </si>
  <si>
    <t>J/m^3 K^4</t>
  </si>
  <si>
    <t>C_u</t>
  </si>
  <si>
    <t>C_n</t>
  </si>
  <si>
    <t>Fundamental Constants:</t>
  </si>
  <si>
    <t>Description</t>
  </si>
  <si>
    <t>Planck constant</t>
  </si>
  <si>
    <t>h (J.s)</t>
  </si>
  <si>
    <t>h (eV.s)</t>
  </si>
  <si>
    <t>speed of light</t>
  </si>
  <si>
    <t>c (m/s)</t>
  </si>
  <si>
    <t>fundamental electric charge</t>
  </si>
  <si>
    <t>e (C)</t>
  </si>
  <si>
    <t>Boltzmann constant</t>
  </si>
  <si>
    <t>k_B (J/K)</t>
  </si>
  <si>
    <t>k_B (eV/K)</t>
  </si>
  <si>
    <t>electron mass</t>
  </si>
  <si>
    <t>m_e (kg)</t>
  </si>
  <si>
    <t>m_e·c^2 (J)</t>
  </si>
  <si>
    <t>m_e·c^2 (eV)</t>
  </si>
  <si>
    <t>Avagodro number</t>
  </si>
  <si>
    <t>N_A (1/mole)</t>
  </si>
  <si>
    <t>permitivitty of free space</t>
  </si>
  <si>
    <t>eps0 (F/m)</t>
  </si>
  <si>
    <t>Derived Constants:</t>
  </si>
  <si>
    <t>room temp. thermal energy</t>
  </si>
  <si>
    <t>Planck constant x speed of light</t>
  </si>
  <si>
    <t>universal gas constant</t>
  </si>
  <si>
    <t>R (J/mol/K)</t>
  </si>
  <si>
    <t>Faraday Constant</t>
  </si>
  <si>
    <t>F (C/mol)</t>
  </si>
  <si>
    <t>Stefan Constant</t>
  </si>
  <si>
    <t>h_bar</t>
  </si>
  <si>
    <t>Bohr Radius</t>
  </si>
  <si>
    <t>a0 (m)</t>
  </si>
  <si>
    <t>Rydberg</t>
  </si>
  <si>
    <t>Reference effective DOS</t>
  </si>
  <si>
    <t>N0 (cm^-3)</t>
  </si>
  <si>
    <t>k_B·(300K) (eV)</t>
  </si>
  <si>
    <t>h·c (eV·nm)</t>
  </si>
  <si>
    <t>h·c (KeV·nm)</t>
  </si>
  <si>
    <r>
      <t>s</t>
    </r>
    <r>
      <rPr>
        <vertAlign val="subscript"/>
        <sz val="11"/>
        <rFont val="Arial"/>
        <family val="2"/>
      </rPr>
      <t>s</t>
    </r>
    <r>
      <rPr>
        <sz val="11"/>
        <rFont val="Arial"/>
        <family val="2"/>
      </rPr>
      <t xml:space="preserve"> (W.m^2/K)</t>
    </r>
  </si>
  <si>
    <t>W/m^2 K^4</t>
  </si>
  <si>
    <t>x1</t>
  </si>
  <si>
    <t>T (K)</t>
  </si>
  <si>
    <t>kB (J/K)</t>
  </si>
  <si>
    <t>hc (eV.nm)</t>
  </si>
  <si>
    <t>e (J/eV)</t>
  </si>
  <si>
    <t>E1 (eV)</t>
  </si>
  <si>
    <t>kT (eV)</t>
  </si>
  <si>
    <t>kB (eV/K)</t>
  </si>
  <si>
    <t>n(0,E1,T) (1/m^3)</t>
  </si>
  <si>
    <t>I2 (E1/kT)</t>
  </si>
  <si>
    <t>x2</t>
  </si>
  <si>
    <t>E2(eV)</t>
  </si>
  <si>
    <t>I3 (E1/kT)</t>
  </si>
  <si>
    <t>n(0,E2,T) (1/m^3)</t>
  </si>
  <si>
    <t>I2 (E2/kT)</t>
  </si>
  <si>
    <t>I3 (E2/kT)</t>
  </si>
  <si>
    <t>n(E1,E2,T) (1/m^3)</t>
  </si>
  <si>
    <t>u(E1,E2,T) (J/m^3 K^4)</t>
  </si>
  <si>
    <t>L(E1,E2,T) (W/m^2 K^4)</t>
  </si>
  <si>
    <t>u(0,E2,T) (J/m^3</t>
  </si>
  <si>
    <t>L(0,E2,T) (W/m^2)</t>
  </si>
  <si>
    <t>L(0,E1,T) (W/m^2)</t>
  </si>
  <si>
    <t>1/m^2 s K^3</t>
  </si>
  <si>
    <t>D_n</t>
  </si>
  <si>
    <t>D_u</t>
  </si>
  <si>
    <t>u(0,E1,T) (J/m^3)</t>
  </si>
  <si>
    <t>I2(inf)</t>
  </si>
  <si>
    <t>I3(inf)</t>
  </si>
  <si>
    <t>n(0,inf,T) (1/m^3)</t>
  </si>
  <si>
    <t>u(0,inf,T) (J/m^3)</t>
  </si>
  <si>
    <t>L(0,inf,T) (W/m^2)</t>
  </si>
  <si>
    <t>sigma (W/m^2 K^4)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</si>
</sst>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0" formatCode="0.00000E+00"/>
    <numFmt numFmtId="171" formatCode="0.000000E+00"/>
    <numFmt numFmtId="172" formatCode="0.00000"/>
    <numFmt numFmtId="173" formatCode="0.000"/>
    <numFmt numFmtId="174" formatCode="0.000000"/>
  </numFmts>
  <fonts count="9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202122"/>
      <name val="Arial"/>
      <family val="2"/>
    </font>
    <font>
      <sz val="10"/>
      <name val="Verdana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202122"/>
      <name val="Arial"/>
      <family val="2"/>
    </font>
    <font>
      <sz val="11"/>
      <color rgb="FF000000"/>
      <name val="Arial"/>
      <family val="2"/>
    </font>
    <font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1" fontId="3" fillId="2" borderId="0"/>
  </cellStyleXfs>
  <cellXfs count="18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70" fontId="1" fillId="0" borderId="0" xfId="0" applyNumberFormat="1" applyFont="1"/>
    <xf numFmtId="11" fontId="2" fillId="0" borderId="0" xfId="0" applyNumberFormat="1" applyFont="1"/>
    <xf numFmtId="171" fontId="3" fillId="0" borderId="0" xfId="1" applyNumberFormat="1"/>
    <xf numFmtId="0" fontId="4" fillId="0" borderId="1" xfId="1" applyFont="1" applyBorder="1"/>
    <xf numFmtId="0" fontId="4" fillId="0" borderId="0" xfId="1" applyFont="1"/>
    <xf numFmtId="171" fontId="4" fillId="0" borderId="0" xfId="1" applyNumberFormat="1" applyFont="1"/>
    <xf numFmtId="0" fontId="5" fillId="0" borderId="0" xfId="1" applyFont="1"/>
    <xf numFmtId="171" fontId="7" fillId="0" borderId="0" xfId="1" applyNumberFormat="1" applyFont="1"/>
    <xf numFmtId="172" fontId="4" fillId="0" borderId="0" xfId="1" applyNumberFormat="1" applyFont="1"/>
    <xf numFmtId="173" fontId="4" fillId="0" borderId="0" xfId="1" applyNumberFormat="1" applyFont="1"/>
    <xf numFmtId="174" fontId="4" fillId="0" borderId="0" xfId="1" applyNumberFormat="1" applyFont="1"/>
    <xf numFmtId="2" fontId="4" fillId="0" borderId="0" xfId="1" applyNumberFormat="1" applyFont="1"/>
    <xf numFmtId="11" fontId="4" fillId="0" borderId="0" xfId="2" applyFont="1" applyFill="1"/>
    <xf numFmtId="171" fontId="6" fillId="0" borderId="0" xfId="0" applyNumberFormat="1" applyFont="1"/>
    <xf numFmtId="11" fontId="0" fillId="3" borderId="0" xfId="0" applyNumberFormat="1" applyFill="1"/>
  </cellXfs>
  <cellStyles count="3">
    <cellStyle name="conc" xfId="2" xr:uid="{02DFEB8A-49B5-2D41-881F-F7191887BD28}"/>
    <cellStyle name="Normal" xfId="0" builtinId="0"/>
    <cellStyle name="Normal 2" xfId="1" xr:uid="{84E00C04-24E7-5042-ACBE-25E6D1F9AF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E0BB-C8AA-784A-B99F-914A5793B328}">
  <sheetPr codeName="Sheet1"/>
  <dimension ref="A1:I23"/>
  <sheetViews>
    <sheetView zoomScaleNormal="100" workbookViewId="0">
      <selection activeCell="C6" sqref="C6"/>
    </sheetView>
  </sheetViews>
  <sheetFormatPr baseColWidth="10" defaultColWidth="11" defaultRowHeight="14" x14ac:dyDescent="0.15"/>
  <cols>
    <col min="1" max="1" width="30.1640625" style="7" customWidth="1"/>
    <col min="2" max="2" width="15" style="7" customWidth="1"/>
    <col min="3" max="3" width="16.6640625" style="8" bestFit="1" customWidth="1"/>
    <col min="4" max="4" width="11" style="7"/>
    <col min="5" max="5" width="13.5" style="7" customWidth="1"/>
    <col min="6" max="6" width="17.33203125" style="7" customWidth="1"/>
    <col min="7" max="7" width="11" style="7"/>
    <col min="8" max="8" width="12.33203125" style="7" customWidth="1"/>
    <col min="9" max="9" width="17.33203125" style="7" customWidth="1"/>
    <col min="10" max="16384" width="11" style="7"/>
  </cols>
  <sheetData>
    <row r="1" spans="1:9" x14ac:dyDescent="0.15">
      <c r="A1" s="6" t="s">
        <v>7</v>
      </c>
    </row>
    <row r="2" spans="1:9" x14ac:dyDescent="0.15">
      <c r="A2" s="9" t="s">
        <v>8</v>
      </c>
    </row>
    <row r="3" spans="1:9" x14ac:dyDescent="0.15">
      <c r="A3" s="7" t="s">
        <v>9</v>
      </c>
      <c r="B3" s="7" t="s">
        <v>10</v>
      </c>
      <c r="C3" s="8">
        <v>6.6260687599999996E-34</v>
      </c>
      <c r="E3" s="7" t="s">
        <v>11</v>
      </c>
      <c r="F3" s="7">
        <f>C3/C5</f>
        <v>4.13566727333434E-15</v>
      </c>
    </row>
    <row r="4" spans="1:9" x14ac:dyDescent="0.15">
      <c r="A4" s="7" t="s">
        <v>12</v>
      </c>
      <c r="B4" s="7" t="s">
        <v>13</v>
      </c>
      <c r="C4" s="8">
        <v>299792458</v>
      </c>
    </row>
    <row r="5" spans="1:9" x14ac:dyDescent="0.15">
      <c r="A5" s="7" t="s">
        <v>14</v>
      </c>
      <c r="B5" s="7" t="s">
        <v>15</v>
      </c>
      <c r="C5" s="8">
        <v>1.6021764620000001E-19</v>
      </c>
    </row>
    <row r="6" spans="1:9" x14ac:dyDescent="0.15">
      <c r="A6" s="7" t="s">
        <v>16</v>
      </c>
      <c r="B6" s="7" t="s">
        <v>17</v>
      </c>
      <c r="C6" s="16">
        <v>1.3806490000000001E-23</v>
      </c>
      <c r="E6" s="7" t="s">
        <v>18</v>
      </c>
      <c r="F6" s="8">
        <f>C6/C5</f>
        <v>8.6173341872500933E-5</v>
      </c>
    </row>
    <row r="7" spans="1:9" x14ac:dyDescent="0.15">
      <c r="A7" s="7" t="s">
        <v>19</v>
      </c>
      <c r="B7" s="7" t="s">
        <v>20</v>
      </c>
      <c r="C7" s="10">
        <v>9.1093818800000006E-31</v>
      </c>
      <c r="E7" s="7" t="s">
        <v>21</v>
      </c>
      <c r="F7" s="8">
        <f>C7*C4^2</f>
        <v>8.1871041397413285E-14</v>
      </c>
      <c r="H7" s="7" t="s">
        <v>22</v>
      </c>
      <c r="I7" s="8">
        <f>F7/C5</f>
        <v>510998.90267526149</v>
      </c>
    </row>
    <row r="8" spans="1:9" x14ac:dyDescent="0.15">
      <c r="A8" s="7" t="s">
        <v>23</v>
      </c>
      <c r="B8" s="7" t="s">
        <v>24</v>
      </c>
      <c r="C8" s="10">
        <v>6.0221415000000003E+23</v>
      </c>
    </row>
    <row r="9" spans="1:9" x14ac:dyDescent="0.15">
      <c r="A9" s="7" t="s">
        <v>25</v>
      </c>
      <c r="B9" s="7" t="s">
        <v>26</v>
      </c>
      <c r="C9" s="10">
        <v>8.8541878170000005E-12</v>
      </c>
      <c r="F9" s="8"/>
      <c r="I9" s="8"/>
    </row>
    <row r="10" spans="1:9" x14ac:dyDescent="0.15">
      <c r="C10" s="10"/>
      <c r="F10" s="8"/>
      <c r="I10" s="8"/>
    </row>
    <row r="13" spans="1:9" x14ac:dyDescent="0.15">
      <c r="A13" s="6" t="s">
        <v>27</v>
      </c>
    </row>
    <row r="14" spans="1:9" x14ac:dyDescent="0.15">
      <c r="A14" s="9" t="s">
        <v>8</v>
      </c>
    </row>
    <row r="15" spans="1:9" x14ac:dyDescent="0.15">
      <c r="A15" s="7" t="s">
        <v>28</v>
      </c>
      <c r="B15" s="7" t="s">
        <v>41</v>
      </c>
      <c r="C15" s="11">
        <f>300*const!C6/const!C5</f>
        <v>2.5852002561750281E-2</v>
      </c>
    </row>
    <row r="16" spans="1:9" x14ac:dyDescent="0.15">
      <c r="A16" s="7" t="s">
        <v>29</v>
      </c>
      <c r="B16" s="7" t="s">
        <v>42</v>
      </c>
      <c r="C16" s="12">
        <f>const!F3*const!C4*1000000000</f>
        <v>1239.8418573430597</v>
      </c>
      <c r="E16" s="7" t="s">
        <v>43</v>
      </c>
      <c r="F16" s="13">
        <f>C16/1000</f>
        <v>1.2398418573430596</v>
      </c>
    </row>
    <row r="17" spans="1:6" x14ac:dyDescent="0.15">
      <c r="A17" s="7" t="s">
        <v>30</v>
      </c>
      <c r="B17" s="7" t="s">
        <v>31</v>
      </c>
      <c r="C17" s="7">
        <f>const!C6*const!C8</f>
        <v>8.3144636398335017</v>
      </c>
    </row>
    <row r="18" spans="1:6" x14ac:dyDescent="0.15">
      <c r="A18" s="7" t="s">
        <v>32</v>
      </c>
      <c r="B18" s="7" t="s">
        <v>33</v>
      </c>
      <c r="C18" s="14">
        <f>const!C8*const!C5</f>
        <v>96485.333621333746</v>
      </c>
    </row>
    <row r="19" spans="1:6" ht="16" x14ac:dyDescent="0.2">
      <c r="A19" s="7" t="s">
        <v>34</v>
      </c>
      <c r="B19" s="7" t="s">
        <v>44</v>
      </c>
      <c r="C19" s="8">
        <f>2*PI()^5/15*C6^4/C3^3/C4^2</f>
        <v>5.6703779877357324E-8</v>
      </c>
    </row>
    <row r="20" spans="1:6" x14ac:dyDescent="0.15">
      <c r="A20" s="7" t="s">
        <v>35</v>
      </c>
      <c r="C20" s="8">
        <f>C3/2/PI()</f>
        <v>1.0545715964207855E-34</v>
      </c>
    </row>
    <row r="21" spans="1:6" x14ac:dyDescent="0.15">
      <c r="A21" s="7" t="s">
        <v>36</v>
      </c>
      <c r="B21" s="7" t="s">
        <v>37</v>
      </c>
      <c r="C21" s="8">
        <f>4*PI()*C9*C20^2/C7/C5^2</f>
        <v>5.2917720857030988E-11</v>
      </c>
    </row>
    <row r="22" spans="1:6" x14ac:dyDescent="0.15">
      <c r="A22" s="7" t="s">
        <v>38</v>
      </c>
      <c r="C22" s="8">
        <f>C20^2/2/C7/C21^2</f>
        <v>2.1798719016382761E-18</v>
      </c>
      <c r="F22" s="8">
        <f>C22/C5</f>
        <v>13.60569171586217</v>
      </c>
    </row>
    <row r="23" spans="1:6" x14ac:dyDescent="0.15">
      <c r="A23" s="7" t="s">
        <v>39</v>
      </c>
      <c r="B23" s="7" t="s">
        <v>40</v>
      </c>
      <c r="C23" s="15">
        <f>2*(2*PI()*I7*C15/(C16/10000000)^2)^1.5</f>
        <v>2.5094130518145069E+19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53AD-E0FB-6749-8553-893332CDA769}">
  <dimension ref="A2:K43"/>
  <sheetViews>
    <sheetView tabSelected="1" topLeftCell="A13" workbookViewId="0">
      <selection activeCell="E38" sqref="E38"/>
    </sheetView>
  </sheetViews>
  <sheetFormatPr baseColWidth="10" defaultRowHeight="16" x14ac:dyDescent="0.2"/>
  <cols>
    <col min="1" max="1" width="17" customWidth="1"/>
    <col min="2" max="2" width="18.83203125" customWidth="1"/>
    <col min="3" max="3" width="15.33203125" customWidth="1"/>
    <col min="4" max="4" width="17.33203125" customWidth="1"/>
    <col min="5" max="5" width="16.1640625" customWidth="1"/>
    <col min="6" max="6" width="18.1640625" customWidth="1"/>
    <col min="7" max="7" width="15.6640625" customWidth="1"/>
    <col min="8" max="8" width="18.83203125" customWidth="1"/>
    <col min="9" max="9" width="15.5" customWidth="1"/>
    <col min="10" max="10" width="18.83203125" customWidth="1"/>
    <col min="11" max="11" width="16.5" customWidth="1"/>
  </cols>
  <sheetData>
    <row r="2" spans="1:7" ht="17" x14ac:dyDescent="0.25">
      <c r="B2" t="s">
        <v>48</v>
      </c>
      <c r="C2" s="3">
        <f>const!C6</f>
        <v>1.3806490000000001E-23</v>
      </c>
      <c r="D2" t="s">
        <v>53</v>
      </c>
      <c r="E2" s="4">
        <f>const!F6</f>
        <v>8.6173341872500933E-5</v>
      </c>
      <c r="G2" s="5"/>
    </row>
    <row r="3" spans="1:7" x14ac:dyDescent="0.2">
      <c r="B3" t="s">
        <v>49</v>
      </c>
      <c r="C3">
        <f>const!C16</f>
        <v>1239.8418573430597</v>
      </c>
    </row>
    <row r="4" spans="1:7" x14ac:dyDescent="0.2">
      <c r="B4" t="s">
        <v>50</v>
      </c>
      <c r="C4" s="1">
        <f>const!C5</f>
        <v>1.6021764620000001E-19</v>
      </c>
    </row>
    <row r="5" spans="1:7" ht="17" x14ac:dyDescent="0.25">
      <c r="B5" t="s">
        <v>13</v>
      </c>
      <c r="C5" s="2">
        <f>const!C4</f>
        <v>299792458</v>
      </c>
    </row>
    <row r="7" spans="1:7" x14ac:dyDescent="0.2">
      <c r="B7" t="s">
        <v>47</v>
      </c>
      <c r="C7">
        <v>6000</v>
      </c>
    </row>
    <row r="8" spans="1:7" x14ac:dyDescent="0.2">
      <c r="B8" t="s">
        <v>52</v>
      </c>
      <c r="C8" s="1">
        <f>const!F6*C7</f>
        <v>0.51704005123500563</v>
      </c>
    </row>
    <row r="9" spans="1:7" x14ac:dyDescent="0.2">
      <c r="B9" s="1"/>
    </row>
    <row r="10" spans="1:7" x14ac:dyDescent="0.2">
      <c r="A10" t="s">
        <v>6</v>
      </c>
      <c r="B10" s="1">
        <f>8*PI()*E2^3/C3^3</f>
        <v>8.4383937015611207E-21</v>
      </c>
      <c r="C10" t="s">
        <v>1</v>
      </c>
    </row>
    <row r="11" spans="1:7" x14ac:dyDescent="0.2">
      <c r="B11" s="1">
        <f>B10*1E+27</f>
        <v>8438393.7015611213</v>
      </c>
      <c r="C11" t="s">
        <v>2</v>
      </c>
      <c r="D11" t="s">
        <v>69</v>
      </c>
      <c r="E11" s="1">
        <f>C5/4*B11</f>
        <v>632441697340681.75</v>
      </c>
      <c r="F11" t="s">
        <v>68</v>
      </c>
    </row>
    <row r="12" spans="1:7" x14ac:dyDescent="0.2">
      <c r="A12" t="s">
        <v>5</v>
      </c>
      <c r="B12" s="1">
        <f>8*PI()*E2^4/C3^3</f>
        <v>7.2716458529938525E-25</v>
      </c>
      <c r="C12" t="s">
        <v>3</v>
      </c>
    </row>
    <row r="13" spans="1:7" x14ac:dyDescent="0.2">
      <c r="B13" s="1">
        <f>C4*B12*1E+27</f>
        <v>1.1650459825666663E-16</v>
      </c>
      <c r="C13" t="s">
        <v>4</v>
      </c>
      <c r="D13" t="s">
        <v>70</v>
      </c>
      <c r="E13" s="1">
        <f>C5/4*B13</f>
        <v>8.7317999699171509E-9</v>
      </c>
      <c r="F13" t="s">
        <v>45</v>
      </c>
    </row>
    <row r="15" spans="1:7" x14ac:dyDescent="0.2">
      <c r="A15" t="s">
        <v>51</v>
      </c>
      <c r="B15">
        <v>1</v>
      </c>
    </row>
    <row r="16" spans="1:7" x14ac:dyDescent="0.2">
      <c r="A16" t="s">
        <v>57</v>
      </c>
      <c r="B16">
        <v>2</v>
      </c>
      <c r="D16" t="s">
        <v>72</v>
      </c>
      <c r="E16">
        <f>$B$33</f>
        <v>2.3950639713483861</v>
      </c>
    </row>
    <row r="17" spans="1:7" x14ac:dyDescent="0.2">
      <c r="D17" t="s">
        <v>73</v>
      </c>
      <c r="E17">
        <f>C33</f>
        <v>6.4922195009625403</v>
      </c>
    </row>
    <row r="18" spans="1:7" x14ac:dyDescent="0.2">
      <c r="A18" t="s">
        <v>46</v>
      </c>
      <c r="B18" s="1">
        <f>B15/$C$8</f>
        <v>1.9340861459598588</v>
      </c>
      <c r="E18" s="1"/>
    </row>
    <row r="19" spans="1:7" x14ac:dyDescent="0.2">
      <c r="A19" t="s">
        <v>56</v>
      </c>
      <c r="B19" s="1">
        <f>B16/$C$8</f>
        <v>3.8681722919197177</v>
      </c>
    </row>
    <row r="20" spans="1:7" x14ac:dyDescent="0.2">
      <c r="B20" s="1"/>
    </row>
    <row r="21" spans="1:7" x14ac:dyDescent="0.2">
      <c r="A21" t="s">
        <v>0</v>
      </c>
      <c r="B21" t="s">
        <v>72</v>
      </c>
      <c r="C21" t="s">
        <v>73</v>
      </c>
      <c r="D21" t="s">
        <v>55</v>
      </c>
      <c r="E21" t="s">
        <v>58</v>
      </c>
      <c r="F21" t="s">
        <v>60</v>
      </c>
      <c r="G21" t="s">
        <v>61</v>
      </c>
    </row>
    <row r="22" spans="1:7" x14ac:dyDescent="0.2">
      <c r="A22">
        <v>1</v>
      </c>
      <c r="B22">
        <f>2/$A22^3</f>
        <v>2</v>
      </c>
      <c r="C22">
        <f>6/$A22^4</f>
        <v>6</v>
      </c>
      <c r="D22" s="1">
        <f>-(B$18^2/$A22+2*B$18/$A22^2+2/$A22^3)*EXP(-$A22*$B$18)</f>
        <v>-1.3890215812390456</v>
      </c>
      <c r="E22" s="1">
        <f>-(B$18^3/$A22+3*B$18^2/$A22^2+6*B$18/$A22^3+6/$A22^4)*EXP(-$A22*$B$18)</f>
        <v>-5.2129029454725275</v>
      </c>
      <c r="F22" s="1">
        <f>-(B$19^2/$A22+2*B$19/$A22^2+2/$A22^3)*EXP(-$A22*$B$19)+2/$A22^3</f>
        <v>1.4838745520832026</v>
      </c>
      <c r="G22" s="1">
        <f>-(B$19^3/$A22+3*B$19^2/$A22^2+6*B$19/$A22^3+6/$A22^4)*EXP(-$A22*$B$19)+6/$A22^4</f>
        <v>3.2421635503493631</v>
      </c>
    </row>
    <row r="23" spans="1:7" x14ac:dyDescent="0.2">
      <c r="A23">
        <v>2</v>
      </c>
      <c r="B23">
        <f t="shared" ref="B23:B31" si="0">2/$A23^3</f>
        <v>0.25</v>
      </c>
      <c r="C23">
        <f t="shared" ref="C23:C31" si="1">6/$A23^4</f>
        <v>0.375</v>
      </c>
      <c r="D23" s="1">
        <f t="shared" ref="D23:D31" si="2">-(B$18^2/$A23+2*B$18/$A23^2+2/$A23^3)*EXP(-$A23*$B$18)</f>
        <v>-6.4515680989599672E-2</v>
      </c>
      <c r="E23" s="1">
        <f t="shared" ref="E23:E31" si="3">-(B$18^3/$A23+3*B$18^2/$A23^2+6*B$18/$A23^3+6/$A23^4)*EXP(-$A23*$B$18)</f>
        <v>-0.17236477810316481</v>
      </c>
      <c r="F23" s="1">
        <f>-(B$19^2/$A23+2*B$19/$A23^2+2/$A23^3)*EXP(-$A23*$B$19)+2/$A23^3</f>
        <v>0.24577943132722538</v>
      </c>
      <c r="G23" s="1">
        <f t="shared" ref="G23:G31" si="4">-(B$19^3/$A23+3*B$19^2/$A23^2+6*B$19/$A23^3+6/$A23^4)*EXP(-$A23*$B$19)+6/$A23^4</f>
        <v>0.35603238893286204</v>
      </c>
    </row>
    <row r="24" spans="1:7" x14ac:dyDescent="0.2">
      <c r="A24">
        <v>3</v>
      </c>
      <c r="B24">
        <f t="shared" si="0"/>
        <v>7.407407407407407E-2</v>
      </c>
      <c r="C24">
        <f t="shared" si="1"/>
        <v>7.407407407407407E-2</v>
      </c>
      <c r="D24" s="1">
        <f t="shared" si="2"/>
        <v>-5.2885867141132846E-3</v>
      </c>
      <c r="E24" s="1">
        <f t="shared" si="3"/>
        <v>-1.2573382224053905E-2</v>
      </c>
      <c r="F24" s="1">
        <f>-(B$19^2/$A24+2*B$19/$A24^2+2/$A24^3)*EXP(-$A24*$B$19)+2/$A24^3</f>
        <v>7.4020043943968453E-2</v>
      </c>
      <c r="G24" s="1">
        <f t="shared" si="4"/>
        <v>7.384400103751039E-2</v>
      </c>
    </row>
    <row r="25" spans="1:7" x14ac:dyDescent="0.2">
      <c r="A25">
        <v>4</v>
      </c>
      <c r="B25">
        <f t="shared" si="0"/>
        <v>3.125E-2</v>
      </c>
      <c r="C25">
        <f t="shared" si="1"/>
        <v>2.34375E-2</v>
      </c>
      <c r="D25" s="1">
        <f t="shared" si="2"/>
        <v>-5.2757108409682771E-4</v>
      </c>
      <c r="E25" s="1">
        <f t="shared" si="3"/>
        <v>-1.1854756916961238E-3</v>
      </c>
      <c r="F25" s="1">
        <f>-(B$19^2/$A25+2*B$19/$A25^2+2/$A25^3)*EXP(-$A25*$B$19)+2/$A25^3</f>
        <v>3.1249188584939826E-2</v>
      </c>
      <c r="G25" s="1">
        <f t="shared" si="4"/>
        <v>2.3434132424654863E-2</v>
      </c>
    </row>
    <row r="26" spans="1:7" x14ac:dyDescent="0.2">
      <c r="A26">
        <v>5</v>
      </c>
      <c r="B26">
        <f t="shared" si="0"/>
        <v>1.6E-2</v>
      </c>
      <c r="C26">
        <f t="shared" si="1"/>
        <v>9.5999999999999992E-3</v>
      </c>
      <c r="D26" s="1">
        <f t="shared" si="2"/>
        <v>-5.8001186908732099E-5</v>
      </c>
      <c r="E26" s="1">
        <f t="shared" si="3"/>
        <v>-1.2613686907528933E-4</v>
      </c>
      <c r="F26" s="1">
        <f>-(B$19^2/$A26+2*B$19/$A26^2+2/$A26^3)*EXP(-$A26*$B$19)+2/$A26^3</f>
        <v>1.5999986779507022E-2</v>
      </c>
      <c r="G26" s="1">
        <f t="shared" si="4"/>
        <v>9.5999459446542874E-3</v>
      </c>
    </row>
    <row r="27" spans="1:7" x14ac:dyDescent="0.2">
      <c r="A27">
        <v>6</v>
      </c>
      <c r="B27">
        <f t="shared" si="0"/>
        <v>9.2592592592592587E-3</v>
      </c>
      <c r="C27">
        <f t="shared" si="1"/>
        <v>4.6296296296296294E-3</v>
      </c>
      <c r="D27" s="1">
        <f t="shared" si="2"/>
        <v>-6.753766263202145E-6</v>
      </c>
      <c r="E27" s="1">
        <f t="shared" si="3"/>
        <v>-1.4379564785230405E-5</v>
      </c>
      <c r="F27" s="1">
        <f>-(B$19^2/$A27+2*B$19/$A27^2+2/$A27^3)*EXP(-$A27*$B$19)+2/$A27^3</f>
        <v>9.2592590329583693E-3</v>
      </c>
      <c r="G27" s="1">
        <f t="shared" si="4"/>
        <v>4.6296287133028753E-3</v>
      </c>
    </row>
    <row r="28" spans="1:7" x14ac:dyDescent="0.2">
      <c r="A28">
        <v>7</v>
      </c>
      <c r="B28">
        <f t="shared" si="0"/>
        <v>5.8309037900874635E-3</v>
      </c>
      <c r="C28">
        <f t="shared" si="1"/>
        <v>2.4989587671803417E-3</v>
      </c>
      <c r="D28" s="1">
        <f t="shared" si="2"/>
        <v>-8.166960622726822E-7</v>
      </c>
      <c r="E28" s="1">
        <f t="shared" si="3"/>
        <v>-1.7133043812376907E-6</v>
      </c>
      <c r="F28" s="1">
        <f>-(B$19^2/$A28+2*B$19/$A28^2+2/$A28^3)*EXP(-$A28*$B$19)+2/$A28^3</f>
        <v>5.8309037860835647E-3</v>
      </c>
      <c r="G28" s="1">
        <f t="shared" si="4"/>
        <v>2.4989587510784463E-3</v>
      </c>
    </row>
    <row r="29" spans="1:7" x14ac:dyDescent="0.2">
      <c r="A29">
        <v>8</v>
      </c>
      <c r="B29">
        <f t="shared" si="0"/>
        <v>3.90625E-3</v>
      </c>
      <c r="C29">
        <f t="shared" si="1"/>
        <v>1.46484375E-3</v>
      </c>
      <c r="D29" s="1">
        <f t="shared" si="2"/>
        <v>-1.0142688252157632E-7</v>
      </c>
      <c r="E29" s="1">
        <f t="shared" si="3"/>
        <v>-2.1047345907095445E-7</v>
      </c>
      <c r="F29" s="1">
        <f>-(B$19^2/$A29+2*B$19/$A29^2+2/$A29^3)*EXP(-$A29*$B$19)+2/$A29^3</f>
        <v>3.9062499999274621E-3</v>
      </c>
      <c r="G29" s="1">
        <f t="shared" si="4"/>
        <v>1.4648437497097591E-3</v>
      </c>
    </row>
    <row r="30" spans="1:7" x14ac:dyDescent="0.2">
      <c r="A30">
        <v>9</v>
      </c>
      <c r="B30">
        <f t="shared" si="0"/>
        <v>2.7434842249657062E-3</v>
      </c>
      <c r="C30">
        <f t="shared" si="1"/>
        <v>9.1449474165523545E-4</v>
      </c>
      <c r="D30" s="1">
        <f t="shared" si="2"/>
        <v>-1.2848172677136782E-8</v>
      </c>
      <c r="E30" s="1">
        <f t="shared" si="3"/>
        <v>-2.6440107304101201E-8</v>
      </c>
      <c r="F30" s="1">
        <f>-(B$19^2/$A30+2*B$19/$A30^2+2/$A30^3)*EXP(-$A30*$B$19)+2/$A30^3</f>
        <v>2.7434842249643683E-3</v>
      </c>
      <c r="G30" s="1">
        <f t="shared" si="4"/>
        <v>9.1449474164990367E-4</v>
      </c>
    </row>
    <row r="31" spans="1:7" x14ac:dyDescent="0.2">
      <c r="A31">
        <v>10</v>
      </c>
      <c r="B31">
        <f t="shared" si="0"/>
        <v>2E-3</v>
      </c>
      <c r="C31">
        <f t="shared" si="1"/>
        <v>5.9999999999999995E-4</v>
      </c>
      <c r="D31" s="1">
        <f t="shared" si="2"/>
        <v>-1.6525616222934556E-9</v>
      </c>
      <c r="E31" s="1">
        <f t="shared" si="3"/>
        <v>-3.3784591069403506E-9</v>
      </c>
      <c r="F31" s="1">
        <f>-(B$19^2/$A31+2*B$19/$A31^2+2/$A31^3)*EXP(-$A31*$B$19)+2/$A31^3</f>
        <v>1.9999999999999749E-3</v>
      </c>
      <c r="G31" s="1">
        <f t="shared" si="4"/>
        <v>5.9999999999990053E-4</v>
      </c>
    </row>
    <row r="33" spans="2:11" x14ac:dyDescent="0.2">
      <c r="B33">
        <f>SUM(B22:B31)</f>
        <v>2.3950639713483861</v>
      </c>
      <c r="C33">
        <f>SUM(C22:C31)</f>
        <v>6.4922195009625403</v>
      </c>
      <c r="D33" s="1">
        <f>SUM(D22:D31)</f>
        <v>-1.4594191076037064</v>
      </c>
      <c r="E33" s="1">
        <f>SUM(E22:E31)</f>
        <v>-5.3991690515217092</v>
      </c>
      <c r="F33">
        <f>SUM(F22:F31)</f>
        <v>1.8746630997627769</v>
      </c>
      <c r="G33">
        <f>SUM(G22:G31)</f>
        <v>3.7151819446447849</v>
      </c>
    </row>
    <row r="34" spans="2:11" x14ac:dyDescent="0.2">
      <c r="D34" s="1">
        <f>$E$16+D33</f>
        <v>0.9356448637446797</v>
      </c>
      <c r="E34" s="1">
        <f>$E$17+E33</f>
        <v>1.0930504494408311</v>
      </c>
      <c r="F34" s="1">
        <f>$E$16+F33</f>
        <v>4.2697270711111628</v>
      </c>
      <c r="G34" s="1">
        <f>$E$17+G33</f>
        <v>10.207401445607324</v>
      </c>
    </row>
    <row r="35" spans="2:11" x14ac:dyDescent="0.2">
      <c r="D35" s="1"/>
      <c r="E35" s="1"/>
      <c r="F35" s="1"/>
      <c r="G35" s="1"/>
    </row>
    <row r="36" spans="2:11" x14ac:dyDescent="0.2">
      <c r="C36" s="1">
        <f>$B$11*B33</f>
        <v>20210492.730662186</v>
      </c>
      <c r="D36" s="1"/>
      <c r="E36" s="1"/>
    </row>
    <row r="37" spans="2:11" x14ac:dyDescent="0.2">
      <c r="C37" s="1">
        <f>$B$13*C33</f>
        <v>7.5637342475373752E-16</v>
      </c>
      <c r="D37" s="1"/>
      <c r="E37" s="1"/>
      <c r="F37" s="1"/>
      <c r="G37" s="1"/>
      <c r="K37" s="1"/>
    </row>
    <row r="38" spans="2:11" x14ac:dyDescent="0.2">
      <c r="C38" s="1">
        <f>$C$5/4*C36</f>
        <v>1514738323279087.2</v>
      </c>
      <c r="D38" s="1"/>
      <c r="E38" s="1"/>
      <c r="F38" s="1"/>
      <c r="G38" s="1"/>
      <c r="K38" s="1"/>
    </row>
    <row r="39" spans="2:11" x14ac:dyDescent="0.2">
      <c r="B39" t="s">
        <v>77</v>
      </c>
      <c r="C39" s="17">
        <f>$C$5/4*C37</f>
        <v>5.6688762043200251E-8</v>
      </c>
      <c r="K39" s="1"/>
    </row>
    <row r="40" spans="2:11" x14ac:dyDescent="0.2">
      <c r="B40" t="s">
        <v>74</v>
      </c>
      <c r="C40" s="1">
        <f>C36*$C$7^3</f>
        <v>4.3654664298230323E+18</v>
      </c>
      <c r="D40" t="s">
        <v>54</v>
      </c>
      <c r="E40" s="1">
        <f>B11*D34*$C$7^3</f>
        <v>1.7053933806261617E+18</v>
      </c>
      <c r="F40" t="s">
        <v>59</v>
      </c>
      <c r="G40" s="1">
        <f>B11*F33*C7^3</f>
        <v>3.416935383414849E+18</v>
      </c>
      <c r="H40" t="s">
        <v>62</v>
      </c>
      <c r="I40" s="1">
        <f>G40-E40</f>
        <v>1.7115420027886874E+18</v>
      </c>
    </row>
    <row r="41" spans="2:11" x14ac:dyDescent="0.2">
      <c r="B41" t="s">
        <v>75</v>
      </c>
      <c r="C41" s="1">
        <f>C37*$C$7^4</f>
        <v>0.9802599584808438</v>
      </c>
      <c r="D41" t="s">
        <v>71</v>
      </c>
      <c r="E41" s="1">
        <f>$B13*E34*$C$7^4</f>
        <v>0.16503964291833931</v>
      </c>
      <c r="F41" t="s">
        <v>65</v>
      </c>
      <c r="G41" s="1">
        <f>$B13*G33*C7^4</f>
        <v>0.56095517076499568</v>
      </c>
      <c r="H41" t="s">
        <v>63</v>
      </c>
      <c r="I41" s="1">
        <f>G41-E41</f>
        <v>0.3959155278466564</v>
      </c>
      <c r="K41" s="1"/>
    </row>
    <row r="43" spans="2:11" x14ac:dyDescent="0.2">
      <c r="B43" t="s">
        <v>76</v>
      </c>
      <c r="C43" s="1">
        <f>C39*$C$7^4</f>
        <v>73468635.607987523</v>
      </c>
      <c r="D43" t="s">
        <v>67</v>
      </c>
      <c r="E43" s="1">
        <f>$C$5/4 * E41</f>
        <v>12369410.054482808</v>
      </c>
      <c r="F43" t="s">
        <v>66</v>
      </c>
      <c r="G43" s="1">
        <f>$C$5/4 * G41</f>
        <v>42042532.367861949</v>
      </c>
      <c r="H43" t="s">
        <v>64</v>
      </c>
      <c r="I43" s="1">
        <f>G43-E43</f>
        <v>29673122.313379139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2024-02-18T18:29:40Z</dcterms:created>
  <dcterms:modified xsi:type="dcterms:W3CDTF">2024-02-25T16:32:17Z</dcterms:modified>
</cp:coreProperties>
</file>