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urfdrive\Paper_5\Vehicle_Material_Model_Dynamic_SSP2020\vehicle_data\ships\"/>
    </mc:Choice>
  </mc:AlternateContent>
  <xr:revisionPtr revIDLastSave="0" documentId="13_ncr:1_{A0FB389E-A283-4C14-A7F0-E97528CF894D}" xr6:coauthVersionLast="45" xr6:coauthVersionMax="45" xr10:uidLastSave="{00000000-0000-0000-0000-000000000000}"/>
  <bookViews>
    <workbookView xWindow="-120" yWindow="-120" windowWidth="29040" windowHeight="15840" firstSheet="3" activeTab="4" xr2:uid="{B22768B2-CB40-4175-874A-D2965A54E7DD}"/>
  </bookViews>
  <sheets>
    <sheet name="UNCTAD calculation" sheetId="1" r:id="rId1"/>
    <sheet name="GT to LDT" sheetId="2" r:id="rId2"/>
    <sheet name="Ship calc tonkm to vessels" sheetId="4" r:id="rId3"/>
    <sheet name="ship weight" sheetId="11" r:id="rId4"/>
    <sheet name="New calculations" sheetId="3" r:id="rId5"/>
    <sheet name="annual mileage" sheetId="12" r:id="rId6"/>
    <sheet name="number of ships" sheetId="6" r:id="rId7"/>
    <sheet name="DWT of ships" sheetId="7" r:id="rId8"/>
    <sheet name="loadfactor_boats" sheetId="8" r:id="rId9"/>
    <sheet name="mileage_kmyr_boats" sheetId="9" r:id="rId10"/>
    <sheet name="weight_percofDWT_boats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D2" i="9"/>
  <c r="C16" i="12"/>
  <c r="C15" i="12"/>
  <c r="C14" i="12"/>
  <c r="H2" i="12" s="1"/>
  <c r="F4" i="12"/>
  <c r="H4" i="12" s="1"/>
  <c r="F3" i="12"/>
  <c r="H3" i="12" s="1"/>
  <c r="F2" i="12"/>
  <c r="H5" i="12" l="1"/>
  <c r="H18" i="3" l="1"/>
  <c r="C36" i="3"/>
  <c r="F22" i="3" s="1"/>
  <c r="J30" i="11" l="1"/>
  <c r="H30" i="11" l="1"/>
  <c r="E2" i="10"/>
  <c r="D2" i="10"/>
  <c r="C2" i="10"/>
  <c r="B2" i="10"/>
  <c r="C30" i="11"/>
  <c r="D30" i="11"/>
  <c r="E30" i="11"/>
  <c r="F30" i="11"/>
  <c r="J15" i="11"/>
  <c r="L15" i="11" s="1"/>
  <c r="H15" i="11"/>
  <c r="J14" i="11"/>
  <c r="H14" i="11"/>
  <c r="L14" i="11" s="1"/>
  <c r="L13" i="11"/>
  <c r="J13" i="11"/>
  <c r="H13" i="11"/>
  <c r="J12" i="11"/>
  <c r="L12" i="11" s="1"/>
  <c r="H12" i="11"/>
  <c r="J8" i="11"/>
  <c r="L8" i="11" s="1"/>
  <c r="H8" i="11"/>
  <c r="J7" i="11"/>
  <c r="L7" i="11" s="1"/>
  <c r="H7" i="11"/>
  <c r="J6" i="11"/>
  <c r="L6" i="11" s="1"/>
  <c r="H6" i="11"/>
  <c r="J5" i="11"/>
  <c r="L5" i="11" s="1"/>
  <c r="H5" i="11"/>
  <c r="J4" i="11"/>
  <c r="L4" i="11" s="1"/>
  <c r="H4" i="11"/>
  <c r="L3" i="11"/>
  <c r="J3" i="11"/>
  <c r="H3" i="11"/>
  <c r="V18" i="3" l="1"/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A2" i="10"/>
  <c r="A15" i="9"/>
  <c r="A14" i="9"/>
  <c r="A13" i="9"/>
  <c r="A12" i="9"/>
  <c r="A11" i="9"/>
  <c r="A10" i="9"/>
  <c r="A9" i="9"/>
  <c r="A8" i="9"/>
  <c r="A7" i="9"/>
  <c r="A6" i="9"/>
  <c r="A5" i="9"/>
  <c r="A4" i="9"/>
  <c r="A3" i="9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A2" i="9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E2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J8" i="3" l="1"/>
  <c r="AK8" i="3"/>
  <c r="AL8" i="3"/>
  <c r="AI8" i="3"/>
  <c r="AJ12" i="3"/>
  <c r="AK12" i="3"/>
  <c r="AL12" i="3"/>
  <c r="AI12" i="3"/>
  <c r="AJ11" i="3"/>
  <c r="AK11" i="3"/>
  <c r="AL11" i="3"/>
  <c r="AI11" i="3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AL10" i="3"/>
  <c r="AK10" i="3"/>
  <c r="AL16" i="3"/>
  <c r="AL17" i="3" s="1"/>
  <c r="AK16" i="3"/>
  <c r="AK17" i="3" s="1"/>
  <c r="AJ16" i="3"/>
  <c r="AJ17" i="3" s="1"/>
  <c r="AI16" i="3"/>
  <c r="AI17" i="3" s="1"/>
  <c r="AC4" i="3" l="1"/>
  <c r="AD4" i="3"/>
  <c r="AE4" i="3"/>
  <c r="V4" i="3"/>
  <c r="V5" i="3"/>
  <c r="V6" i="3"/>
  <c r="V7" i="3"/>
  <c r="V8" i="3"/>
  <c r="V9" i="3"/>
  <c r="V10" i="3"/>
  <c r="V11" i="3"/>
  <c r="V12" i="3"/>
  <c r="V13" i="3"/>
  <c r="V14" i="3"/>
  <c r="V15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T4" i="3"/>
  <c r="T5" i="3"/>
  <c r="T6" i="3"/>
  <c r="T7" i="3"/>
  <c r="T8" i="3"/>
  <c r="T9" i="3"/>
  <c r="T10" i="3"/>
  <c r="T11" i="3"/>
  <c r="T12" i="3"/>
  <c r="T13" i="3"/>
  <c r="T14" i="3"/>
  <c r="T15" i="3"/>
  <c r="T3" i="3"/>
  <c r="U3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40" i="3"/>
  <c r="AJ15" i="3"/>
  <c r="AK15" i="3"/>
  <c r="AL15" i="3"/>
  <c r="AI15" i="3"/>
  <c r="AN15" i="3"/>
  <c r="AK14" i="3"/>
  <c r="S18" i="3" l="1"/>
  <c r="U18" i="3"/>
  <c r="T18" i="3"/>
  <c r="A41" i="3"/>
  <c r="F41" i="3" s="1"/>
  <c r="A42" i="3"/>
  <c r="F42" i="3" s="1"/>
  <c r="A43" i="3"/>
  <c r="F43" i="3" s="1"/>
  <c r="A44" i="3"/>
  <c r="F44" i="3" s="1"/>
  <c r="A45" i="3"/>
  <c r="F45" i="3" s="1"/>
  <c r="A46" i="3"/>
  <c r="F46" i="3" s="1"/>
  <c r="A47" i="3"/>
  <c r="F47" i="3" s="1"/>
  <c r="A48" i="3"/>
  <c r="F48" i="3" s="1"/>
  <c r="A49" i="3"/>
  <c r="F49" i="3" s="1"/>
  <c r="A50" i="3"/>
  <c r="F50" i="3" s="1"/>
  <c r="A51" i="3"/>
  <c r="F51" i="3" s="1"/>
  <c r="A52" i="3"/>
  <c r="F52" i="3" s="1"/>
  <c r="A53" i="3"/>
  <c r="F53" i="3" s="1"/>
  <c r="A40" i="3"/>
  <c r="F40" i="3" s="1"/>
  <c r="C22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Q3" i="3"/>
  <c r="P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3" i="3"/>
  <c r="AB4" i="3" s="1"/>
  <c r="I38" i="1"/>
  <c r="B37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2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H3" i="3"/>
  <c r="I3" i="3"/>
  <c r="J22" i="2"/>
  <c r="B49" i="2"/>
  <c r="E10" i="4"/>
  <c r="B34" i="4"/>
  <c r="L31" i="3" l="1"/>
  <c r="E11" i="7" s="1"/>
  <c r="L25" i="3"/>
  <c r="E5" i="7" s="1"/>
  <c r="J23" i="3"/>
  <c r="D3" i="7" s="1"/>
  <c r="F24" i="3"/>
  <c r="B4" i="7" s="1"/>
  <c r="J31" i="3"/>
  <c r="D11" i="7" s="1"/>
  <c r="F32" i="3"/>
  <c r="B12" i="7" s="1"/>
  <c r="L32" i="3"/>
  <c r="E12" i="7" s="1"/>
  <c r="J30" i="3"/>
  <c r="D10" i="7" s="1"/>
  <c r="H28" i="3"/>
  <c r="C8" i="7" s="1"/>
  <c r="L24" i="3"/>
  <c r="E4" i="7" s="1"/>
  <c r="J22" i="3"/>
  <c r="D2" i="7" s="1"/>
  <c r="F25" i="3"/>
  <c r="B5" i="7" s="1"/>
  <c r="L33" i="3"/>
  <c r="E13" i="7" s="1"/>
  <c r="H29" i="3"/>
  <c r="C9" i="7" s="1"/>
  <c r="F33" i="3"/>
  <c r="B13" i="7" s="1"/>
  <c r="J24" i="3"/>
  <c r="D4" i="7" s="1"/>
  <c r="L34" i="3"/>
  <c r="E14" i="7" s="1"/>
  <c r="F30" i="3"/>
  <c r="B10" i="7" s="1"/>
  <c r="H23" i="3"/>
  <c r="C3" i="7" s="1"/>
  <c r="H31" i="3"/>
  <c r="C11" i="7" s="1"/>
  <c r="J25" i="3"/>
  <c r="D5" i="7" s="1"/>
  <c r="J33" i="3"/>
  <c r="D13" i="7" s="1"/>
  <c r="L27" i="3"/>
  <c r="E7" i="7" s="1"/>
  <c r="L35" i="3"/>
  <c r="L26" i="3"/>
  <c r="E6" i="7" s="1"/>
  <c r="F29" i="3"/>
  <c r="B9" i="7" s="1"/>
  <c r="H24" i="3"/>
  <c r="C4" i="7" s="1"/>
  <c r="H32" i="3"/>
  <c r="C12" i="7" s="1"/>
  <c r="J26" i="3"/>
  <c r="D6" i="7" s="1"/>
  <c r="J34" i="3"/>
  <c r="D14" i="7" s="1"/>
  <c r="L28" i="3"/>
  <c r="E8" i="7" s="1"/>
  <c r="H22" i="3"/>
  <c r="C2" i="7" s="1"/>
  <c r="J32" i="3"/>
  <c r="D12" i="7" s="1"/>
  <c r="F28" i="3"/>
  <c r="B8" i="7" s="1"/>
  <c r="H25" i="3"/>
  <c r="C5" i="7" s="1"/>
  <c r="H33" i="3"/>
  <c r="C13" i="7" s="1"/>
  <c r="J27" i="3"/>
  <c r="D7" i="7" s="1"/>
  <c r="J35" i="3"/>
  <c r="L29" i="3"/>
  <c r="E9" i="7" s="1"/>
  <c r="B2" i="7"/>
  <c r="F31" i="3"/>
  <c r="B11" i="7" s="1"/>
  <c r="H30" i="3"/>
  <c r="C10" i="7" s="1"/>
  <c r="F35" i="3"/>
  <c r="F27" i="3"/>
  <c r="B7" i="7" s="1"/>
  <c r="H26" i="3"/>
  <c r="C6" i="7" s="1"/>
  <c r="H34" i="3"/>
  <c r="C14" i="7" s="1"/>
  <c r="J28" i="3"/>
  <c r="D8" i="7" s="1"/>
  <c r="L22" i="3"/>
  <c r="E2" i="7" s="1"/>
  <c r="L30" i="3"/>
  <c r="E10" i="7" s="1"/>
  <c r="F23" i="3"/>
  <c r="B3" i="7" s="1"/>
  <c r="F34" i="3"/>
  <c r="B14" i="7" s="1"/>
  <c r="F26" i="3"/>
  <c r="B6" i="7" s="1"/>
  <c r="H27" i="3"/>
  <c r="C7" i="7" s="1"/>
  <c r="H35" i="3"/>
  <c r="J29" i="3"/>
  <c r="D9" i="7" s="1"/>
  <c r="L23" i="3"/>
  <c r="E3" i="7" s="1"/>
  <c r="B46" i="1"/>
  <c r="R34" i="2"/>
  <c r="Q34" i="2"/>
  <c r="P34" i="2"/>
  <c r="U34" i="2"/>
  <c r="T34" i="2"/>
  <c r="S34" i="2"/>
  <c r="N34" i="2"/>
  <c r="O34" i="2"/>
  <c r="O25" i="2"/>
  <c r="P22" i="2"/>
  <c r="P21" i="2"/>
  <c r="T32" i="2"/>
  <c r="T31" i="2"/>
  <c r="T30" i="2"/>
  <c r="T29" i="2"/>
  <c r="T28" i="2"/>
  <c r="T27" i="2"/>
  <c r="T26" i="2"/>
  <c r="T25" i="2"/>
  <c r="T24" i="2"/>
  <c r="T23" i="2"/>
  <c r="T22" i="2"/>
  <c r="T21" i="2"/>
  <c r="R32" i="2"/>
  <c r="R31" i="2"/>
  <c r="R30" i="2"/>
  <c r="R29" i="2"/>
  <c r="R28" i="2"/>
  <c r="R27" i="2"/>
  <c r="R26" i="2"/>
  <c r="R25" i="2"/>
  <c r="R24" i="2"/>
  <c r="R23" i="2"/>
  <c r="R22" i="2"/>
  <c r="R21" i="2"/>
  <c r="P32" i="2"/>
  <c r="P31" i="2"/>
  <c r="P30" i="2"/>
  <c r="P29" i="2"/>
  <c r="P28" i="2"/>
  <c r="P27" i="2"/>
  <c r="P26" i="2"/>
  <c r="P25" i="2"/>
  <c r="P24" i="2"/>
  <c r="P23" i="2"/>
  <c r="N32" i="2"/>
  <c r="N31" i="2"/>
  <c r="N30" i="2"/>
  <c r="N29" i="2"/>
  <c r="N28" i="2"/>
  <c r="N27" i="2"/>
  <c r="N26" i="2"/>
  <c r="N25" i="2"/>
  <c r="N24" i="2"/>
  <c r="N23" i="2"/>
  <c r="U31" i="2"/>
  <c r="U30" i="2"/>
  <c r="U29" i="2"/>
  <c r="U27" i="2"/>
  <c r="U26" i="2"/>
  <c r="U25" i="2"/>
  <c r="U24" i="2"/>
  <c r="U23" i="2"/>
  <c r="U22" i="2"/>
  <c r="S31" i="2"/>
  <c r="S30" i="2"/>
  <c r="S29" i="2"/>
  <c r="S28" i="2"/>
  <c r="S27" i="2"/>
  <c r="S26" i="2"/>
  <c r="S25" i="2"/>
  <c r="S24" i="2"/>
  <c r="S23" i="2"/>
  <c r="S22" i="2"/>
  <c r="S21" i="2"/>
  <c r="Q32" i="2"/>
  <c r="Q31" i="2"/>
  <c r="Q30" i="2"/>
  <c r="Q29" i="2"/>
  <c r="Q28" i="2"/>
  <c r="Q27" i="2"/>
  <c r="Q26" i="2"/>
  <c r="Q25" i="2"/>
  <c r="Q24" i="2"/>
  <c r="Q23" i="2"/>
  <c r="Q22" i="2"/>
  <c r="Q21" i="2"/>
  <c r="O32" i="2"/>
  <c r="O31" i="2"/>
  <c r="O30" i="2"/>
  <c r="O29" i="2"/>
  <c r="O28" i="2"/>
  <c r="O27" i="2"/>
  <c r="O26" i="2"/>
  <c r="O24" i="2"/>
  <c r="O23" i="2"/>
  <c r="O21" i="2"/>
  <c r="O22" i="2"/>
  <c r="N22" i="2"/>
  <c r="N21" i="2"/>
  <c r="K45" i="2"/>
  <c r="B40" i="1"/>
  <c r="E6" i="4"/>
  <c r="E7" i="4"/>
  <c r="E9" i="4"/>
  <c r="E14" i="4"/>
  <c r="E15" i="4"/>
  <c r="E16" i="4"/>
  <c r="E3" i="4"/>
  <c r="B5" i="4"/>
  <c r="E5" i="4" s="1"/>
  <c r="B6" i="4"/>
  <c r="B7" i="4"/>
  <c r="B8" i="4"/>
  <c r="E8" i="4" s="1"/>
  <c r="B9" i="4"/>
  <c r="B10" i="4"/>
  <c r="B11" i="4"/>
  <c r="E11" i="4" s="1"/>
  <c r="B12" i="4"/>
  <c r="E12" i="4" s="1"/>
  <c r="B13" i="4"/>
  <c r="E13" i="4" s="1"/>
  <c r="B14" i="4"/>
  <c r="B15" i="4"/>
  <c r="B16" i="4"/>
  <c r="B17" i="4"/>
  <c r="B18" i="4"/>
  <c r="B19" i="4"/>
  <c r="B20" i="4"/>
  <c r="B21" i="4"/>
  <c r="B4" i="4"/>
  <c r="E4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T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" i="4"/>
  <c r="H38" i="1"/>
  <c r="C54" i="2"/>
  <c r="K23" i="2"/>
  <c r="K25" i="2"/>
  <c r="K27" i="2"/>
  <c r="K29" i="2"/>
  <c r="K31" i="2"/>
  <c r="K33" i="2"/>
  <c r="K35" i="2"/>
  <c r="K37" i="2"/>
  <c r="K39" i="2"/>
  <c r="K41" i="2"/>
  <c r="K43" i="2"/>
  <c r="K21" i="2"/>
  <c r="J53" i="3" l="1"/>
  <c r="E15" i="7"/>
  <c r="H53" i="3"/>
  <c r="C15" i="7"/>
  <c r="I53" i="3"/>
  <c r="D15" i="7"/>
  <c r="G53" i="3"/>
  <c r="C53" i="3" s="1"/>
  <c r="B15" i="7"/>
  <c r="I47" i="3"/>
  <c r="P29" i="3"/>
  <c r="G52" i="3"/>
  <c r="N34" i="3"/>
  <c r="I46" i="3"/>
  <c r="P28" i="3"/>
  <c r="H43" i="3"/>
  <c r="O25" i="3"/>
  <c r="H42" i="3"/>
  <c r="O24" i="3"/>
  <c r="H41" i="3"/>
  <c r="O23" i="3"/>
  <c r="P30" i="3"/>
  <c r="I48" i="3"/>
  <c r="G41" i="3"/>
  <c r="N23" i="3"/>
  <c r="H52" i="3"/>
  <c r="O34" i="3"/>
  <c r="H48" i="3"/>
  <c r="O30" i="3"/>
  <c r="G46" i="3"/>
  <c r="N28" i="3"/>
  <c r="I51" i="3"/>
  <c r="P33" i="3"/>
  <c r="G51" i="3"/>
  <c r="N33" i="3"/>
  <c r="Q32" i="3"/>
  <c r="J50" i="3"/>
  <c r="H45" i="3"/>
  <c r="O27" i="3"/>
  <c r="J48" i="3"/>
  <c r="Q30" i="3"/>
  <c r="H44" i="3"/>
  <c r="O26" i="3"/>
  <c r="G49" i="3"/>
  <c r="N31" i="3"/>
  <c r="I45" i="3"/>
  <c r="P27" i="3"/>
  <c r="I50" i="3"/>
  <c r="P32" i="3"/>
  <c r="P26" i="3"/>
  <c r="I44" i="3"/>
  <c r="J44" i="3"/>
  <c r="Q26" i="3"/>
  <c r="I43" i="3"/>
  <c r="P25" i="3"/>
  <c r="J52" i="3"/>
  <c r="Q34" i="3"/>
  <c r="H47" i="3"/>
  <c r="O29" i="3"/>
  <c r="Q24" i="3"/>
  <c r="J42" i="3"/>
  <c r="G50" i="3"/>
  <c r="N32" i="3"/>
  <c r="Q25" i="3"/>
  <c r="J43" i="3"/>
  <c r="Q29" i="3"/>
  <c r="J47" i="3"/>
  <c r="Q28" i="3"/>
  <c r="J46" i="3"/>
  <c r="J45" i="3"/>
  <c r="Q27" i="3"/>
  <c r="G43" i="3"/>
  <c r="N25" i="3"/>
  <c r="G42" i="3"/>
  <c r="N24" i="3"/>
  <c r="P34" i="3"/>
  <c r="I52" i="3"/>
  <c r="G47" i="3"/>
  <c r="N29" i="3"/>
  <c r="G48" i="3"/>
  <c r="N30" i="3"/>
  <c r="AD5" i="3"/>
  <c r="P22" i="3"/>
  <c r="I40" i="3"/>
  <c r="I41" i="3"/>
  <c r="P23" i="3"/>
  <c r="J41" i="3"/>
  <c r="Q23" i="3"/>
  <c r="G44" i="3"/>
  <c r="N26" i="3"/>
  <c r="Q22" i="3"/>
  <c r="J40" i="3"/>
  <c r="AE5" i="3"/>
  <c r="G45" i="3"/>
  <c r="N27" i="3"/>
  <c r="G40" i="3"/>
  <c r="AB5" i="3"/>
  <c r="N22" i="3"/>
  <c r="H51" i="3"/>
  <c r="O33" i="3"/>
  <c r="AC5" i="3"/>
  <c r="O22" i="3"/>
  <c r="H40" i="3"/>
  <c r="H50" i="3"/>
  <c r="O32" i="3"/>
  <c r="H49" i="3"/>
  <c r="O31" i="3"/>
  <c r="I42" i="3"/>
  <c r="P24" i="3"/>
  <c r="Q33" i="3"/>
  <c r="J51" i="3"/>
  <c r="H46" i="3"/>
  <c r="O28" i="3"/>
  <c r="I49" i="3"/>
  <c r="P31" i="3"/>
  <c r="J49" i="3"/>
  <c r="Q31" i="3"/>
  <c r="C45" i="3"/>
  <c r="E23" i="4"/>
  <c r="G56" i="2"/>
  <c r="B62" i="2"/>
  <c r="C60" i="2"/>
  <c r="C59" i="2"/>
  <c r="C58" i="2"/>
  <c r="C57" i="2"/>
  <c r="C56" i="2"/>
  <c r="C55" i="2"/>
  <c r="C53" i="2"/>
  <c r="C52" i="2"/>
  <c r="C51" i="2"/>
  <c r="C50" i="2"/>
  <c r="C49" i="2"/>
  <c r="C62" i="2" s="1"/>
  <c r="G49" i="2" s="1"/>
  <c r="B60" i="2"/>
  <c r="B59" i="2"/>
  <c r="B58" i="2"/>
  <c r="B57" i="2"/>
  <c r="B56" i="2"/>
  <c r="B55" i="2"/>
  <c r="B54" i="2"/>
  <c r="B53" i="2"/>
  <c r="B52" i="2"/>
  <c r="B51" i="2"/>
  <c r="B50" i="2"/>
  <c r="J46" i="2"/>
  <c r="J45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1" i="2"/>
  <c r="C48" i="3" l="1"/>
  <c r="C47" i="3"/>
  <c r="AC8" i="3"/>
  <c r="AC10" i="3" s="1"/>
  <c r="AC14" i="3" s="1"/>
  <c r="AC9" i="3"/>
  <c r="AC12" i="3"/>
  <c r="AC13" i="3" s="1"/>
  <c r="AE8" i="3"/>
  <c r="AE12" i="3"/>
  <c r="AE13" i="3" s="1"/>
  <c r="AE9" i="3"/>
  <c r="C41" i="3"/>
  <c r="AD8" i="3"/>
  <c r="AD9" i="3"/>
  <c r="AD12" i="3"/>
  <c r="AB8" i="3"/>
  <c r="AB9" i="3"/>
  <c r="AB12" i="3"/>
  <c r="AD13" i="3" s="1"/>
  <c r="C44" i="3"/>
  <c r="C40" i="3"/>
  <c r="C49" i="3"/>
  <c r="C43" i="3"/>
  <c r="C52" i="3"/>
  <c r="C51" i="3"/>
  <c r="Q37" i="3"/>
  <c r="P37" i="3"/>
  <c r="O37" i="3"/>
  <c r="N37" i="3"/>
  <c r="C50" i="3"/>
  <c r="C46" i="3"/>
  <c r="C42" i="3"/>
  <c r="K22" i="2"/>
  <c r="K30" i="2"/>
  <c r="K38" i="2"/>
  <c r="K32" i="2"/>
  <c r="K34" i="2"/>
  <c r="K36" i="2"/>
  <c r="K24" i="2"/>
  <c r="K40" i="2"/>
  <c r="K42" i="2"/>
  <c r="K44" i="2"/>
  <c r="K26" i="2"/>
  <c r="K28" i="2"/>
  <c r="G54" i="2"/>
  <c r="G55" i="2"/>
  <c r="G53" i="2"/>
  <c r="G50" i="2"/>
  <c r="G52" i="2"/>
  <c r="G51" i="2"/>
  <c r="B11" i="1"/>
  <c r="F30" i="1"/>
  <c r="C3" i="1"/>
  <c r="F18" i="1" s="1"/>
  <c r="C4" i="1"/>
  <c r="B26" i="1" s="1"/>
  <c r="C5" i="1"/>
  <c r="C22" i="1" s="1"/>
  <c r="C6" i="1"/>
  <c r="E34" i="1" s="1"/>
  <c r="C2" i="1"/>
  <c r="C30" i="1" s="1"/>
  <c r="AE10" i="3" l="1"/>
  <c r="AE14" i="3" s="1"/>
  <c r="AD10" i="3"/>
  <c r="AD14" i="3" s="1"/>
  <c r="AA16" i="3"/>
  <c r="AB13" i="3"/>
  <c r="AB10" i="3"/>
  <c r="K46" i="2"/>
  <c r="B34" i="1"/>
  <c r="F22" i="1"/>
  <c r="D34" i="1"/>
  <c r="B22" i="1"/>
  <c r="E26" i="1"/>
  <c r="D26" i="1"/>
  <c r="F34" i="1"/>
  <c r="C34" i="1"/>
  <c r="B18" i="1"/>
  <c r="C26" i="1"/>
  <c r="E18" i="1"/>
  <c r="H18" i="1" s="1"/>
  <c r="D18" i="1"/>
  <c r="C18" i="1"/>
  <c r="E22" i="1"/>
  <c r="E30" i="1"/>
  <c r="B30" i="1"/>
  <c r="D22" i="1"/>
  <c r="D30" i="1"/>
  <c r="F26" i="1"/>
  <c r="AA17" i="3" l="1"/>
  <c r="AB14" i="3"/>
  <c r="H26" i="1"/>
  <c r="H34" i="1"/>
  <c r="H22" i="1"/>
  <c r="H30" i="1"/>
  <c r="H36" i="1" l="1"/>
</calcChain>
</file>

<file path=xl/sharedStrings.xml><?xml version="1.0" encoding="utf-8"?>
<sst xmlns="http://schemas.openxmlformats.org/spreadsheetml/2006/main" count="367" uniqueCount="241">
  <si>
    <t>Ship type</t>
  </si>
  <si>
    <t>Oil tanker</t>
  </si>
  <si>
    <t>Bulk carrier</t>
  </si>
  <si>
    <t>General cargo</t>
  </si>
  <si>
    <t>Container ship</t>
  </si>
  <si>
    <t xml:space="preserve">Other </t>
  </si>
  <si>
    <t>percentage by DWT</t>
  </si>
  <si>
    <t>Total DWT</t>
  </si>
  <si>
    <t>Determining average DWT per ship type</t>
  </si>
  <si>
    <t xml:space="preserve">Bulk carrier % of total </t>
  </si>
  <si>
    <t>Bulk carrier DWT per age distribution</t>
  </si>
  <si>
    <t>5 to 9</t>
  </si>
  <si>
    <t>0 to 4</t>
  </si>
  <si>
    <t>10  to 14</t>
  </si>
  <si>
    <t>15 to 19</t>
  </si>
  <si>
    <t>20 +</t>
  </si>
  <si>
    <t>Container ship % of total</t>
  </si>
  <si>
    <t>Container ship DWT per age distribution</t>
  </si>
  <si>
    <t>General cargo % of total</t>
  </si>
  <si>
    <t>General cargo DWT per age distribution</t>
  </si>
  <si>
    <t>Bulk carrier ship amount</t>
  </si>
  <si>
    <t>Container ship amount</t>
  </si>
  <si>
    <t>General cargo ship amount</t>
  </si>
  <si>
    <t>Oil tanker % of total</t>
  </si>
  <si>
    <t>Oil tanker DWT per age distribution</t>
  </si>
  <si>
    <t>Oil tanker ship amount</t>
  </si>
  <si>
    <t>Other ships % of total</t>
  </si>
  <si>
    <t>Other ships DWT per age distribution</t>
  </si>
  <si>
    <t>Other ships ship amount</t>
  </si>
  <si>
    <t>Total number of ships</t>
  </si>
  <si>
    <t>DWT</t>
  </si>
  <si>
    <t>Bulk carrier % of DWT</t>
  </si>
  <si>
    <t>Container ship % of DWT</t>
  </si>
  <si>
    <t>General cargo % of DWT</t>
  </si>
  <si>
    <t>Oil tanker % of DWT</t>
  </si>
  <si>
    <t>Other ships % of DWT</t>
  </si>
  <si>
    <t>Total</t>
  </si>
  <si>
    <t>Ton km</t>
  </si>
  <si>
    <t>Ton miles</t>
  </si>
  <si>
    <t>Shiptype EU category</t>
  </si>
  <si>
    <t xml:space="preserve"> Average GT/LDT</t>
  </si>
  <si>
    <t xml:space="preserve">Bulkers </t>
  </si>
  <si>
    <t xml:space="preserve">Containers </t>
  </si>
  <si>
    <t xml:space="preserve">Gas carriers </t>
  </si>
  <si>
    <t xml:space="preserve">Navy ships </t>
  </si>
  <si>
    <t xml:space="preserve">General cargo </t>
  </si>
  <si>
    <t xml:space="preserve">Offshore </t>
  </si>
  <si>
    <t xml:space="preserve">Other tankers </t>
  </si>
  <si>
    <t>Passenger ships (cruise ships,ferries)</t>
  </si>
  <si>
    <t>Recreational boats *</t>
  </si>
  <si>
    <t>Ro-Ro ships</t>
  </si>
  <si>
    <t xml:space="preserve">Service ships </t>
  </si>
  <si>
    <t xml:space="preserve">Specialised cargo ships </t>
  </si>
  <si>
    <t>Tankers (oil, chemical) **</t>
  </si>
  <si>
    <t>Tugs ***</t>
  </si>
  <si>
    <t>* :Estimate  N/A , ** COWI Estimate ***, estimate N/A</t>
  </si>
  <si>
    <t>General cargo ship in GT</t>
  </si>
  <si>
    <t>specialized cargo ship in GT</t>
  </si>
  <si>
    <t>Container ship in GT</t>
  </si>
  <si>
    <t>Ro-Ro cargo ship amount</t>
  </si>
  <si>
    <t>Specialized cargo ship amount</t>
  </si>
  <si>
    <t>Ro-Ro cargo ship in GT</t>
  </si>
  <si>
    <t>Bulk carrier ship in GT</t>
  </si>
  <si>
    <t>GT and number of the ships in the world fleet</t>
  </si>
  <si>
    <t>Oil and chemical tanker amount</t>
  </si>
  <si>
    <t>Oil and chemical tanker in GT</t>
  </si>
  <si>
    <t>Gas tanker amount</t>
  </si>
  <si>
    <t>Gas tanker in GT</t>
  </si>
  <si>
    <t>Other tanker amount</t>
  </si>
  <si>
    <t>Other tanker in GT</t>
  </si>
  <si>
    <t>Passenger ship</t>
  </si>
  <si>
    <t>Small</t>
  </si>
  <si>
    <t>Medium</t>
  </si>
  <si>
    <t>Large</t>
  </si>
  <si>
    <t>Very Large</t>
  </si>
  <si>
    <t>Passenger ship amount</t>
  </si>
  <si>
    <t>Passenger ship in GT</t>
  </si>
  <si>
    <t>Offshore vessels in GT</t>
  </si>
  <si>
    <t>Offshore vessels amount</t>
  </si>
  <si>
    <t>Service ships amount</t>
  </si>
  <si>
    <t>Service ships in GT</t>
  </si>
  <si>
    <t>Tugs amount</t>
  </si>
  <si>
    <t>Tugs in GT</t>
  </si>
  <si>
    <t>%</t>
  </si>
  <si>
    <t>Total GT</t>
  </si>
  <si>
    <t>Total amount</t>
  </si>
  <si>
    <t>Total LDT</t>
  </si>
  <si>
    <t>Specialized cargo</t>
  </si>
  <si>
    <t>Ro-Ro cargo ship</t>
  </si>
  <si>
    <t>Oil and chemical tanker</t>
  </si>
  <si>
    <t>Gas tanker</t>
  </si>
  <si>
    <t>Other tanker</t>
  </si>
  <si>
    <t>Offshore vessels</t>
  </si>
  <si>
    <t>Service ships</t>
  </si>
  <si>
    <t>Tugs</t>
  </si>
  <si>
    <t>Material type</t>
  </si>
  <si>
    <t>share</t>
  </si>
  <si>
    <t>Steel</t>
  </si>
  <si>
    <t>Non-ferrous metal</t>
  </si>
  <si>
    <t>Ship machinery</t>
  </si>
  <si>
    <t>Electrical and electronic equipment</t>
  </si>
  <si>
    <t>Minerals</t>
  </si>
  <si>
    <t>Plastics</t>
  </si>
  <si>
    <t>Joinery</t>
  </si>
  <si>
    <t>Miscelaneous</t>
  </si>
  <si>
    <t>weight (in ktons)</t>
  </si>
  <si>
    <t>All ships % of total</t>
  </si>
  <si>
    <t xml:space="preserve">All ships average DWT </t>
  </si>
  <si>
    <t>Vessel calculation</t>
  </si>
  <si>
    <t>Average speed of transoceanic tanker</t>
  </si>
  <si>
    <t>Average speed of transoceanic freight carrier</t>
  </si>
  <si>
    <t>Test calculation</t>
  </si>
  <si>
    <t>Ton km by IMAGE</t>
  </si>
  <si>
    <t>UNCTAD data tkm</t>
  </si>
  <si>
    <t>Vessel amount</t>
  </si>
  <si>
    <t>Years</t>
  </si>
  <si>
    <t>UNCTAD Data tmiles</t>
  </si>
  <si>
    <t>Miles to km</t>
  </si>
  <si>
    <t>Chemical</t>
  </si>
  <si>
    <t xml:space="preserve">Gas </t>
  </si>
  <si>
    <t>Oil</t>
  </si>
  <si>
    <t>Other dry cargo</t>
  </si>
  <si>
    <t>Containers</t>
  </si>
  <si>
    <t>Minor dry bulks</t>
  </si>
  <si>
    <t>Main bulks</t>
  </si>
  <si>
    <t>tkm/vessel</t>
  </si>
  <si>
    <t>percentages of total vessels and avg GT</t>
  </si>
  <si>
    <t>avg GT</t>
  </si>
  <si>
    <t>medium %</t>
  </si>
  <si>
    <t>Large %</t>
  </si>
  <si>
    <t>Very Large %</t>
  </si>
  <si>
    <t>Bulk carrier ship</t>
  </si>
  <si>
    <t>Offshore vessel</t>
  </si>
  <si>
    <t>Service ship</t>
  </si>
  <si>
    <t>Tug</t>
  </si>
  <si>
    <t xml:space="preserve">Total </t>
  </si>
  <si>
    <t>small %</t>
  </si>
  <si>
    <t>Equasis data</t>
  </si>
  <si>
    <t>Year</t>
  </si>
  <si>
    <t xml:space="preserve">Total ship amount  </t>
  </si>
  <si>
    <t>GT small</t>
  </si>
  <si>
    <t>ship amount small</t>
  </si>
  <si>
    <t>GT medium</t>
  </si>
  <si>
    <t>Ship amount medium</t>
  </si>
  <si>
    <t>GT large</t>
  </si>
  <si>
    <t>Ship amount large</t>
  </si>
  <si>
    <t>GT very Large</t>
  </si>
  <si>
    <t>Ship amount very large</t>
  </si>
  <si>
    <t>GT is in 1000 GT</t>
  </si>
  <si>
    <t>UNCTAD data</t>
  </si>
  <si>
    <t>DWT is in 1000 DWT</t>
  </si>
  <si>
    <t>GT per small ship</t>
  </si>
  <si>
    <t>GT per medium ship</t>
  </si>
  <si>
    <t>GT per large ship</t>
  </si>
  <si>
    <t>GT per very large ship</t>
  </si>
  <si>
    <t>DWT per GT</t>
  </si>
  <si>
    <t>Ton-miles</t>
  </si>
  <si>
    <t>Average DWT per GT factor</t>
  </si>
  <si>
    <t>DWT/ms</t>
  </si>
  <si>
    <t>DWT/ls</t>
  </si>
  <si>
    <t>DWT/vls</t>
  </si>
  <si>
    <t>DWT/ss</t>
  </si>
  <si>
    <t>% of ships</t>
  </si>
  <si>
    <t>Very large</t>
  </si>
  <si>
    <t>Total DWT (vrachtcapaciteit)</t>
  </si>
  <si>
    <t>Total GT (volume van schepen excl lading)</t>
  </si>
  <si>
    <t># of ships</t>
  </si>
  <si>
    <t>small</t>
  </si>
  <si>
    <t xml:space="preserve">medium </t>
  </si>
  <si>
    <t>large</t>
  </si>
  <si>
    <t>very large</t>
  </si>
  <si>
    <t>Ecoinvent</t>
  </si>
  <si>
    <t>EQUASIS</t>
  </si>
  <si>
    <t>mileage</t>
  </si>
  <si>
    <t>loadfactor</t>
  </si>
  <si>
    <t>capaciteit (DWT)</t>
  </si>
  <si>
    <t>Table 8-19 (transport)</t>
  </si>
  <si>
    <t>lifespan (yr)</t>
  </si>
  <si>
    <t xml:space="preserve">share of Tkm </t>
  </si>
  <si>
    <t>mileage (in km/vessel/yr)</t>
  </si>
  <si>
    <t>average sailing speed (km/h)</t>
  </si>
  <si>
    <t>Tkm Small ships</t>
  </si>
  <si>
    <t>Tkm medium ships</t>
  </si>
  <si>
    <t>Tkm large ships</t>
  </si>
  <si>
    <t>Tkm very large ships</t>
  </si>
  <si>
    <t>Ton km/ship according to UNCTAD</t>
  </si>
  <si>
    <t>Ton km/ship according to EQUASIS/ECOINVENT</t>
  </si>
  <si>
    <t>growth (%)</t>
  </si>
  <si>
    <t>Average size growth</t>
  </si>
  <si>
    <t>growth in the capacity (DWT/vsl) of ships</t>
  </si>
  <si>
    <t>Average growth of the share</t>
  </si>
  <si>
    <t>Annual growth in number of ships (%)</t>
  </si>
  <si>
    <t>section 8.4.1. (transport)</t>
  </si>
  <si>
    <t>Milion Tkm/ship (yr-1)</t>
  </si>
  <si>
    <t>ship weight (ton/ship)</t>
  </si>
  <si>
    <t>paint weight as a % of DWT</t>
  </si>
  <si>
    <t>red = assumed</t>
  </si>
  <si>
    <t>(consumption basis)</t>
  </si>
  <si>
    <t>gram ship consumed /Tkm</t>
  </si>
  <si>
    <t>ship steel weight as a % of DWT</t>
  </si>
  <si>
    <t>Million Tkm per ship /yr</t>
  </si>
  <si>
    <t>share of ships in fleet</t>
  </si>
  <si>
    <t>Million Tkm traveled /yr</t>
  </si>
  <si>
    <t>ship stock weight / Tkm capacity (gram/Tkm*yr-1)</t>
  </si>
  <si>
    <t>Actual stock weight (kg)</t>
  </si>
  <si>
    <t>Million Tkm/ship</t>
  </si>
  <si>
    <t>gram ship (stock) /Tkm *yr-1</t>
  </si>
  <si>
    <t>weight, including: steel, copper &amp; paint</t>
  </si>
  <si>
    <t>t</t>
  </si>
  <si>
    <t>copper weight as a % of DWT</t>
  </si>
  <si>
    <t>ship weight as a % of DWT</t>
  </si>
  <si>
    <t>Average</t>
  </si>
  <si>
    <t>Efficient</t>
  </si>
  <si>
    <t>Lightweight</t>
  </si>
  <si>
    <t>Lightweight/DWT</t>
  </si>
  <si>
    <t>efficient:</t>
  </si>
  <si>
    <t>Tankers</t>
  </si>
  <si>
    <t>Very Small</t>
  </si>
  <si>
    <t>Medium/Small</t>
  </si>
  <si>
    <t>Bulk Carriers</t>
  </si>
  <si>
    <t>fraction (improved)</t>
  </si>
  <si>
    <t>inland</t>
  </si>
  <si>
    <t>Based on:</t>
  </si>
  <si>
    <t>Determination of Regression Formulas for Main Dimensions of Tankers and Bulk Carriers based on IHS Fairplay data</t>
  </si>
  <si>
    <t>Kristensen 2012</t>
  </si>
  <si>
    <t>inland Lightdeadweight</t>
  </si>
  <si>
    <t>average DWT for ships &gt;300GT</t>
  </si>
  <si>
    <t>age (0-5)</t>
  </si>
  <si>
    <t>age (5-10)</t>
  </si>
  <si>
    <t>total nr of ships</t>
  </si>
  <si>
    <t>annual mileage</t>
  </si>
  <si>
    <t>bulk carrier</t>
  </si>
  <si>
    <t>container</t>
  </si>
  <si>
    <t>oil tanker</t>
  </si>
  <si>
    <t>km/yr</t>
  </si>
  <si>
    <t>million</t>
  </si>
  <si>
    <t>nautical miles</t>
  </si>
  <si>
    <t>km/nm</t>
  </si>
  <si>
    <t>km</t>
  </si>
  <si>
    <t>https://ec.europa.eu/clima/sites/clima/files/transport/shipping/docs/swd_2020_82_en.pdf</t>
  </si>
  <si>
    <t>compare ca. 32000 according to Tchang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</si>
</sst>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%"/>
    <numFmt numFmtId="167" formatCode="0.000%"/>
    <numFmt numFmtId="168" formatCode="0.0000"/>
    <numFmt numFmtId="169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" fontId="2" fillId="0" borderId="0" xfId="0" applyNumberFormat="1" applyFont="1" applyFill="1" applyBorder="1"/>
    <xf numFmtId="0" fontId="2" fillId="0" borderId="0" xfId="0" applyFont="1"/>
    <xf numFmtId="16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1" fillId="0" borderId="3" xfId="0" applyFont="1" applyFill="1" applyBorder="1"/>
    <xf numFmtId="1" fontId="1" fillId="0" borderId="5" xfId="0" applyNumberFormat="1" applyFont="1" applyBorder="1"/>
    <xf numFmtId="1" fontId="0" fillId="0" borderId="5" xfId="0" applyNumberFormat="1" applyBorder="1"/>
    <xf numFmtId="1" fontId="0" fillId="0" borderId="6" xfId="0" applyNumberForma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1" fontId="1" fillId="0" borderId="0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  <xf numFmtId="9" fontId="0" fillId="2" borderId="0" xfId="0" applyNumberFormat="1" applyFill="1"/>
    <xf numFmtId="164" fontId="0" fillId="2" borderId="0" xfId="0" applyNumberFormat="1" applyFill="1"/>
    <xf numFmtId="166" fontId="0" fillId="2" borderId="0" xfId="1" applyNumberFormat="1" applyFont="1" applyFill="1"/>
    <xf numFmtId="0" fontId="1" fillId="2" borderId="0" xfId="0" applyFont="1" applyFill="1"/>
    <xf numFmtId="167" fontId="0" fillId="2" borderId="0" xfId="1" applyNumberFormat="1" applyFont="1" applyFill="1"/>
    <xf numFmtId="10" fontId="5" fillId="2" borderId="0" xfId="1" applyNumberFormat="1" applyFont="1" applyFill="1"/>
    <xf numFmtId="167" fontId="5" fillId="2" borderId="0" xfId="0" applyNumberFormat="1" applyFont="1" applyFill="1"/>
    <xf numFmtId="9" fontId="5" fillId="2" borderId="0" xfId="0" applyNumberFormat="1" applyFont="1" applyFill="1"/>
    <xf numFmtId="0" fontId="5" fillId="2" borderId="0" xfId="0" applyFont="1" applyFill="1"/>
    <xf numFmtId="168" fontId="0" fillId="2" borderId="0" xfId="0" applyNumberFormat="1" applyFill="1"/>
    <xf numFmtId="2" fontId="1" fillId="3" borderId="0" xfId="0" applyNumberFormat="1" applyFont="1" applyFill="1"/>
    <xf numFmtId="167" fontId="0" fillId="2" borderId="0" xfId="0" applyNumberFormat="1" applyFill="1"/>
    <xf numFmtId="2" fontId="0" fillId="2" borderId="0" xfId="0" applyNumberFormat="1" applyFill="1"/>
    <xf numFmtId="167" fontId="0" fillId="0" borderId="0" xfId="0" applyNumberFormat="1"/>
    <xf numFmtId="16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Share of Tkm transported for cargo</a:t>
            </a:r>
            <a:r>
              <a:rPr lang="nl-NL" baseline="0"/>
              <a:t> vessel fleet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'New calculations'!$G$39</c:f>
              <c:strCache>
                <c:ptCount val="1"/>
                <c:pt idx="0">
                  <c:v>Tkm Small 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calculations'!$G$40:$G$53</c:f>
              <c:numCache>
                <c:formatCode>General</c:formatCode>
                <c:ptCount val="14"/>
                <c:pt idx="0">
                  <c:v>247757469754.5791</c:v>
                </c:pt>
                <c:pt idx="1">
                  <c:v>241914515996.85568</c:v>
                </c:pt>
                <c:pt idx="2">
                  <c:v>238803684135.10474</c:v>
                </c:pt>
                <c:pt idx="3">
                  <c:v>230147456345.88477</c:v>
                </c:pt>
                <c:pt idx="4">
                  <c:v>224006944757.90695</c:v>
                </c:pt>
                <c:pt idx="5">
                  <c:v>213240761445.0647</c:v>
                </c:pt>
                <c:pt idx="6">
                  <c:v>206883844162.35629</c:v>
                </c:pt>
                <c:pt idx="7">
                  <c:v>205233750740.03619</c:v>
                </c:pt>
                <c:pt idx="8">
                  <c:v>202609831691.42896</c:v>
                </c:pt>
                <c:pt idx="9">
                  <c:v>196658675086.34024</c:v>
                </c:pt>
                <c:pt idx="10">
                  <c:v>191275583429.91913</c:v>
                </c:pt>
                <c:pt idx="11">
                  <c:v>185053919706.41727</c:v>
                </c:pt>
                <c:pt idx="12">
                  <c:v>181807834285.45981</c:v>
                </c:pt>
                <c:pt idx="13">
                  <c:v>169093999720.04303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6-422C-9901-896426777E02}"/>
            </c:ext>
          </c:extLst>
        </c:ser>
        <c:ser>
          <c:idx val="1"/>
          <c:order val="1"/>
          <c:tx>
            <c:strRef>
              <c:f>'New calculations'!$H$39</c:f>
              <c:strCache>
                <c:ptCount val="1"/>
                <c:pt idx="0">
                  <c:v>Tkm medium ships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calculations'!$H$40:$H$53</c:f>
              <c:numCache>
                <c:formatCode>General</c:formatCode>
                <c:ptCount val="14"/>
                <c:pt idx="0">
                  <c:v>6213278002831.0156</c:v>
                </c:pt>
                <c:pt idx="1">
                  <c:v>6161448838943.0615</c:v>
                </c:pt>
                <c:pt idx="2">
                  <c:v>6114542904610.2266</c:v>
                </c:pt>
                <c:pt idx="3">
                  <c:v>6006150702262.0879</c:v>
                </c:pt>
                <c:pt idx="4">
                  <c:v>5905305648517.6758</c:v>
                </c:pt>
                <c:pt idx="5">
                  <c:v>5715680158510.0771</c:v>
                </c:pt>
                <c:pt idx="6">
                  <c:v>5678566581863.7959</c:v>
                </c:pt>
                <c:pt idx="7">
                  <c:v>5850582058462.7021</c:v>
                </c:pt>
                <c:pt idx="8">
                  <c:v>5821096782555.6709</c:v>
                </c:pt>
                <c:pt idx="9">
                  <c:v>5618351697305.0352</c:v>
                </c:pt>
                <c:pt idx="10">
                  <c:v>5800024278031.2891</c:v>
                </c:pt>
                <c:pt idx="11">
                  <c:v>5590976376921.627</c:v>
                </c:pt>
                <c:pt idx="12">
                  <c:v>5387933733840.7373</c:v>
                </c:pt>
                <c:pt idx="13">
                  <c:v>4548063232591.6738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6-422C-9901-896426777E02}"/>
            </c:ext>
          </c:extLst>
        </c:ser>
        <c:ser>
          <c:idx val="2"/>
          <c:order val="2"/>
          <c:tx>
            <c:strRef>
              <c:f>'New calculations'!$I$39</c:f>
              <c:strCache>
                <c:ptCount val="1"/>
                <c:pt idx="0">
                  <c:v>Tkm large 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calculations'!$I$40:$I$53</c:f>
              <c:numCache>
                <c:formatCode>General</c:formatCode>
                <c:ptCount val="14"/>
                <c:pt idx="0">
                  <c:v>41369400088744.852</c:v>
                </c:pt>
                <c:pt idx="1">
                  <c:v>40669016660715.797</c:v>
                </c:pt>
                <c:pt idx="2">
                  <c:v>40185645698731.367</c:v>
                </c:pt>
                <c:pt idx="3">
                  <c:v>39168732253660.891</c:v>
                </c:pt>
                <c:pt idx="4">
                  <c:v>37916462093514.133</c:v>
                </c:pt>
                <c:pt idx="5">
                  <c:v>35785961010976.32</c:v>
                </c:pt>
                <c:pt idx="6">
                  <c:v>34199642075962.895</c:v>
                </c:pt>
                <c:pt idx="7">
                  <c:v>32934072335268.172</c:v>
                </c:pt>
                <c:pt idx="8">
                  <c:v>30733221057693.902</c:v>
                </c:pt>
                <c:pt idx="9">
                  <c:v>28143471700648.293</c:v>
                </c:pt>
                <c:pt idx="10">
                  <c:v>27593327672188.594</c:v>
                </c:pt>
                <c:pt idx="11">
                  <c:v>25766332189879.703</c:v>
                </c:pt>
                <c:pt idx="12">
                  <c:v>23989141343691.789</c:v>
                </c:pt>
                <c:pt idx="13">
                  <c:v>19657605541089.379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6-422C-9901-896426777E02}"/>
            </c:ext>
          </c:extLst>
        </c:ser>
        <c:ser>
          <c:idx val="3"/>
          <c:order val="3"/>
          <c:tx>
            <c:strRef>
              <c:f>'New calculations'!$J$39</c:f>
              <c:strCache>
                <c:ptCount val="1"/>
                <c:pt idx="0">
                  <c:v>Tkm very large 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calculations'!$J$40:$J$53</c:f>
              <c:numCache>
                <c:formatCode>General</c:formatCode>
                <c:ptCount val="14"/>
                <c:pt idx="0">
                  <c:v>67584887688424.711</c:v>
                </c:pt>
                <c:pt idx="1">
                  <c:v>63857424478694.922</c:v>
                </c:pt>
                <c:pt idx="2">
                  <c:v>61105229740993.492</c:v>
                </c:pt>
                <c:pt idx="3">
                  <c:v>56558000847180.664</c:v>
                </c:pt>
                <c:pt idx="4">
                  <c:v>53861766652246.422</c:v>
                </c:pt>
                <c:pt idx="5">
                  <c:v>49585746897146.188</c:v>
                </c:pt>
                <c:pt idx="6">
                  <c:v>46845317173006.422</c:v>
                </c:pt>
                <c:pt idx="7">
                  <c:v>43498119662482.477</c:v>
                </c:pt>
                <c:pt idx="8">
                  <c:v>38382794070340.305</c:v>
                </c:pt>
                <c:pt idx="9">
                  <c:v>33911065872253.574</c:v>
                </c:pt>
                <c:pt idx="10">
                  <c:v>31828351558443.246</c:v>
                </c:pt>
                <c:pt idx="11">
                  <c:v>29101937546111.711</c:v>
                </c:pt>
                <c:pt idx="12">
                  <c:v>26769293422465.508</c:v>
                </c:pt>
                <c:pt idx="13">
                  <c:v>21679646251227.469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6-422C-9901-89642677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10048"/>
        <c:axId val="492812016"/>
      </c:areaChart>
      <c:catAx>
        <c:axId val="492810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2016"/>
        <c:crossesAt val="0"/>
        <c:auto val="1"/>
        <c:lblAlgn val="ctr"/>
        <c:lblOffset val="100"/>
        <c:noMultiLvlLbl val="0"/>
      </c:catAx>
      <c:valAx>
        <c:axId val="492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00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UNCTAD vs. EQUASIS+ECOINVENT Tkm/ship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calculations'!$B$39</c:f>
              <c:strCache>
                <c:ptCount val="1"/>
                <c:pt idx="0">
                  <c:v>Ton km/ship according to UNCTAD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calculations'!$B$40:$B$53</c:f>
              <c:numCache>
                <c:formatCode>General</c:formatCode>
                <c:ptCount val="14"/>
                <c:pt idx="0">
                  <c:v>1180689900.3804836</c:v>
                </c:pt>
                <c:pt idx="1">
                  <c:v>1186084374.1387863</c:v>
                </c:pt>
                <c:pt idx="2">
                  <c:v>1140867800.9888201</c:v>
                </c:pt>
                <c:pt idx="3">
                  <c:v>1135322091.4103608</c:v>
                </c:pt>
                <c:pt idx="4">
                  <c:v>1145382800.1974287</c:v>
                </c:pt>
                <c:pt idx="5">
                  <c:v>1146149735.2422044</c:v>
                </c:pt>
                <c:pt idx="6">
                  <c:v>1140432660.9706686</c:v>
                </c:pt>
                <c:pt idx="7">
                  <c:v>1096903761.0339682</c:v>
                </c:pt>
                <c:pt idx="8">
                  <c:v>1062194681.6171175</c:v>
                </c:pt>
                <c:pt idx="9" formatCode="0">
                  <c:v>995989593.20089126</c:v>
                </c:pt>
                <c:pt idx="10">
                  <c:v>1043832491.2449541</c:v>
                </c:pt>
                <c:pt idx="11">
                  <c:v>1060209428.742232</c:v>
                </c:pt>
                <c:pt idx="12">
                  <c:v>1063198988.0986603</c:v>
                </c:pt>
                <c:pt idx="13">
                  <c:v>1145313799.467555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27D-A6BB-16D6CE8CFA17}"/>
            </c:ext>
          </c:extLst>
        </c:ser>
        <c:ser>
          <c:idx val="1"/>
          <c:order val="1"/>
          <c:tx>
            <c:strRef>
              <c:f>'New calculations'!$C$39</c:f>
              <c:strCache>
                <c:ptCount val="1"/>
                <c:pt idx="0">
                  <c:v>Ton km/ship according to EQUASIS/ECOINVENT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calculations'!$C$40:$C$53</c:f>
              <c:numCache>
                <c:formatCode>General</c:formatCode>
                <c:ptCount val="14"/>
                <c:pt idx="0">
                  <c:v>1251101053.1024613</c:v>
                </c:pt>
                <c:pt idx="1">
                  <c:v>1222838609.8699291</c:v>
                </c:pt>
                <c:pt idx="2">
                  <c:v>1198657320.7036455</c:v>
                </c:pt>
                <c:pt idx="3">
                  <c:v>1168858473.9656956</c:v>
                </c:pt>
                <c:pt idx="4">
                  <c:v>1150581020.2721243</c:v>
                </c:pt>
                <c:pt idx="5">
                  <c:v>1119099686.5571394</c:v>
                </c:pt>
                <c:pt idx="6">
                  <c:v>1093863291.9554992</c:v>
                </c:pt>
                <c:pt idx="7">
                  <c:v>1043174846.4343953</c:v>
                </c:pt>
                <c:pt idx="8">
                  <c:v>966203602.28218949</c:v>
                </c:pt>
                <c:pt idx="9">
                  <c:v>905518911.6261723</c:v>
                </c:pt>
                <c:pt idx="10">
                  <c:v>874341421.28602993</c:v>
                </c:pt>
                <c:pt idx="11">
                  <c:v>843113348.33821476</c:v>
                </c:pt>
                <c:pt idx="12">
                  <c:v>809638595.04230857</c:v>
                </c:pt>
                <c:pt idx="13">
                  <c:v>752191174.23078978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27D-A6BB-16D6CE8C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60840"/>
        <c:axId val="462157888"/>
      </c:lineChart>
      <c:catAx>
        <c:axId val="462160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57888"/>
        <c:crosses val="autoZero"/>
        <c:auto val="1"/>
        <c:lblAlgn val="ctr"/>
        <c:lblOffset val="100"/>
        <c:noMultiLvlLbl val="0"/>
      </c:catAx>
      <c:valAx>
        <c:axId val="462157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60840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299860017497813"/>
                <c:y val="0.1346759259259259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nl-NL"/>
                    <a:t>Billions Tkm/ship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Tkm transported by cargo</a:t>
            </a:r>
            <a:r>
              <a:rPr lang="nl-NL" baseline="0"/>
              <a:t> vessel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'New calculations'!$G$39</c:f>
              <c:strCache>
                <c:ptCount val="1"/>
                <c:pt idx="0">
                  <c:v>Tkm Small 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calculations'!$G$40:$G$53</c:f>
              <c:numCache>
                <c:formatCode>General</c:formatCode>
                <c:ptCount val="14"/>
                <c:pt idx="0">
                  <c:v>247757469754.5791</c:v>
                </c:pt>
                <c:pt idx="1">
                  <c:v>241914515996.85568</c:v>
                </c:pt>
                <c:pt idx="2">
                  <c:v>238803684135.10474</c:v>
                </c:pt>
                <c:pt idx="3">
                  <c:v>230147456345.88477</c:v>
                </c:pt>
                <c:pt idx="4">
                  <c:v>224006944757.90695</c:v>
                </c:pt>
                <c:pt idx="5">
                  <c:v>213240761445.0647</c:v>
                </c:pt>
                <c:pt idx="6">
                  <c:v>206883844162.35629</c:v>
                </c:pt>
                <c:pt idx="7">
                  <c:v>205233750740.03619</c:v>
                </c:pt>
                <c:pt idx="8">
                  <c:v>202609831691.42896</c:v>
                </c:pt>
                <c:pt idx="9">
                  <c:v>196658675086.34024</c:v>
                </c:pt>
                <c:pt idx="10">
                  <c:v>191275583429.91913</c:v>
                </c:pt>
                <c:pt idx="11">
                  <c:v>185053919706.41727</c:v>
                </c:pt>
                <c:pt idx="12">
                  <c:v>181807834285.45981</c:v>
                </c:pt>
                <c:pt idx="13">
                  <c:v>169093999720.04303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A-4C58-9B42-D1C108F98F74}"/>
            </c:ext>
          </c:extLst>
        </c:ser>
        <c:ser>
          <c:idx val="1"/>
          <c:order val="1"/>
          <c:tx>
            <c:strRef>
              <c:f>'New calculations'!$H$39</c:f>
              <c:strCache>
                <c:ptCount val="1"/>
                <c:pt idx="0">
                  <c:v>Tkm medium ships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calculations'!$H$40:$H$53</c:f>
              <c:numCache>
                <c:formatCode>General</c:formatCode>
                <c:ptCount val="14"/>
                <c:pt idx="0">
                  <c:v>6213278002831.0156</c:v>
                </c:pt>
                <c:pt idx="1">
                  <c:v>6161448838943.0615</c:v>
                </c:pt>
                <c:pt idx="2">
                  <c:v>6114542904610.2266</c:v>
                </c:pt>
                <c:pt idx="3">
                  <c:v>6006150702262.0879</c:v>
                </c:pt>
                <c:pt idx="4">
                  <c:v>5905305648517.6758</c:v>
                </c:pt>
                <c:pt idx="5">
                  <c:v>5715680158510.0771</c:v>
                </c:pt>
                <c:pt idx="6">
                  <c:v>5678566581863.7959</c:v>
                </c:pt>
                <c:pt idx="7">
                  <c:v>5850582058462.7021</c:v>
                </c:pt>
                <c:pt idx="8">
                  <c:v>5821096782555.6709</c:v>
                </c:pt>
                <c:pt idx="9">
                  <c:v>5618351697305.0352</c:v>
                </c:pt>
                <c:pt idx="10">
                  <c:v>5800024278031.2891</c:v>
                </c:pt>
                <c:pt idx="11">
                  <c:v>5590976376921.627</c:v>
                </c:pt>
                <c:pt idx="12">
                  <c:v>5387933733840.7373</c:v>
                </c:pt>
                <c:pt idx="13">
                  <c:v>4548063232591.6738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A-4C58-9B42-D1C108F98F74}"/>
            </c:ext>
          </c:extLst>
        </c:ser>
        <c:ser>
          <c:idx val="2"/>
          <c:order val="2"/>
          <c:tx>
            <c:strRef>
              <c:f>'New calculations'!$I$39</c:f>
              <c:strCache>
                <c:ptCount val="1"/>
                <c:pt idx="0">
                  <c:v>Tkm large 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calculations'!$I$40:$I$53</c:f>
              <c:numCache>
                <c:formatCode>General</c:formatCode>
                <c:ptCount val="14"/>
                <c:pt idx="0">
                  <c:v>41369400088744.852</c:v>
                </c:pt>
                <c:pt idx="1">
                  <c:v>40669016660715.797</c:v>
                </c:pt>
                <c:pt idx="2">
                  <c:v>40185645698731.367</c:v>
                </c:pt>
                <c:pt idx="3">
                  <c:v>39168732253660.891</c:v>
                </c:pt>
                <c:pt idx="4">
                  <c:v>37916462093514.133</c:v>
                </c:pt>
                <c:pt idx="5">
                  <c:v>35785961010976.32</c:v>
                </c:pt>
                <c:pt idx="6">
                  <c:v>34199642075962.895</c:v>
                </c:pt>
                <c:pt idx="7">
                  <c:v>32934072335268.172</c:v>
                </c:pt>
                <c:pt idx="8">
                  <c:v>30733221057693.902</c:v>
                </c:pt>
                <c:pt idx="9">
                  <c:v>28143471700648.293</c:v>
                </c:pt>
                <c:pt idx="10">
                  <c:v>27593327672188.594</c:v>
                </c:pt>
                <c:pt idx="11">
                  <c:v>25766332189879.703</c:v>
                </c:pt>
                <c:pt idx="12">
                  <c:v>23989141343691.789</c:v>
                </c:pt>
                <c:pt idx="13">
                  <c:v>19657605541089.379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A-4C58-9B42-D1C108F98F74}"/>
            </c:ext>
          </c:extLst>
        </c:ser>
        <c:ser>
          <c:idx val="3"/>
          <c:order val="3"/>
          <c:tx>
            <c:strRef>
              <c:f>'New calculations'!$J$39</c:f>
              <c:strCache>
                <c:ptCount val="1"/>
                <c:pt idx="0">
                  <c:v>Tkm very large 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'New calculations'!$F$40:$F$53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calculations'!$J$40:$J$53</c:f>
              <c:numCache>
                <c:formatCode>General</c:formatCode>
                <c:ptCount val="14"/>
                <c:pt idx="0">
                  <c:v>67584887688424.711</c:v>
                </c:pt>
                <c:pt idx="1">
                  <c:v>63857424478694.922</c:v>
                </c:pt>
                <c:pt idx="2">
                  <c:v>61105229740993.492</c:v>
                </c:pt>
                <c:pt idx="3">
                  <c:v>56558000847180.664</c:v>
                </c:pt>
                <c:pt idx="4">
                  <c:v>53861766652246.422</c:v>
                </c:pt>
                <c:pt idx="5">
                  <c:v>49585746897146.188</c:v>
                </c:pt>
                <c:pt idx="6">
                  <c:v>46845317173006.422</c:v>
                </c:pt>
                <c:pt idx="7">
                  <c:v>43498119662482.477</c:v>
                </c:pt>
                <c:pt idx="8">
                  <c:v>38382794070340.305</c:v>
                </c:pt>
                <c:pt idx="9">
                  <c:v>33911065872253.574</c:v>
                </c:pt>
                <c:pt idx="10">
                  <c:v>31828351558443.246</c:v>
                </c:pt>
                <c:pt idx="11">
                  <c:v>29101937546111.711</c:v>
                </c:pt>
                <c:pt idx="12">
                  <c:v>26769293422465.508</c:v>
                </c:pt>
                <c:pt idx="13">
                  <c:v>21679646251227.469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A-4C58-9B42-D1C108F9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10048"/>
        <c:axId val="492812016"/>
      </c:areaChart>
      <c:catAx>
        <c:axId val="4928100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2016"/>
        <c:crossesAt val="0"/>
        <c:auto val="1"/>
        <c:lblAlgn val="ctr"/>
        <c:lblOffset val="100"/>
        <c:noMultiLvlLbl val="0"/>
      </c:catAx>
      <c:valAx>
        <c:axId val="492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00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'New calculations'!$N$2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'New calculations'!$A$3:$A$16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calculations'!$N$3:$N$16</c:f>
              <c:numCache>
                <c:formatCode>General</c:formatCode>
                <c:ptCount val="14"/>
                <c:pt idx="0">
                  <c:v>0.37392548590259184</c:v>
                </c:pt>
                <c:pt idx="1">
                  <c:v>0.37206636168219148</c:v>
                </c:pt>
                <c:pt idx="2">
                  <c:v>0.3714311166540466</c:v>
                </c:pt>
                <c:pt idx="3">
                  <c:v>0.36839269542489655</c:v>
                </c:pt>
                <c:pt idx="4">
                  <c:v>0.36712341645709451</c:v>
                </c:pt>
                <c:pt idx="5">
                  <c:v>0.36382133751716023</c:v>
                </c:pt>
                <c:pt idx="6">
                  <c:v>0.36293742371431087</c:v>
                </c:pt>
                <c:pt idx="7">
                  <c:v>0.35771555757897666</c:v>
                </c:pt>
                <c:pt idx="8">
                  <c:v>0.35787213249665673</c:v>
                </c:pt>
                <c:pt idx="9">
                  <c:v>0.36135608597617108</c:v>
                </c:pt>
                <c:pt idx="10">
                  <c:v>0.35163204747774479</c:v>
                </c:pt>
                <c:pt idx="11">
                  <c:v>0.35472479806475832</c:v>
                </c:pt>
                <c:pt idx="12">
                  <c:v>0.36109354337952049</c:v>
                </c:pt>
                <c:pt idx="13">
                  <c:v>0.38643082300292353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4-4CD4-B180-048B6F6068B1}"/>
            </c:ext>
          </c:extLst>
        </c:ser>
        <c:ser>
          <c:idx val="1"/>
          <c:order val="1"/>
          <c:tx>
            <c:strRef>
              <c:f>'New calculations'!$O$2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'New calculations'!$A$3:$A$16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calculations'!$O$3:$O$16</c:f>
              <c:numCache>
                <c:formatCode>General</c:formatCode>
                <c:ptCount val="14"/>
                <c:pt idx="0">
                  <c:v>0.42765932076617058</c:v>
                </c:pt>
                <c:pt idx="1">
                  <c:v>0.43147219313233753</c:v>
                </c:pt>
                <c:pt idx="2">
                  <c:v>0.434468397844194</c:v>
                </c:pt>
                <c:pt idx="3">
                  <c:v>0.43963866885238384</c:v>
                </c:pt>
                <c:pt idx="4">
                  <c:v>0.44326274472935812</c:v>
                </c:pt>
                <c:pt idx="5">
                  <c:v>0.45018631104138068</c:v>
                </c:pt>
                <c:pt idx="6">
                  <c:v>0.45480741402524189</c:v>
                </c:pt>
                <c:pt idx="7">
                  <c:v>0.46699294331891644</c:v>
                </c:pt>
                <c:pt idx="8">
                  <c:v>0.47789579261392862</c:v>
                </c:pt>
                <c:pt idx="9">
                  <c:v>0.48411628930901524</c:v>
                </c:pt>
                <c:pt idx="10">
                  <c:v>0.49903761328093671</c:v>
                </c:pt>
                <c:pt idx="11">
                  <c:v>0.50088281499812315</c:v>
                </c:pt>
                <c:pt idx="12">
                  <c:v>0.50011498878859306</c:v>
                </c:pt>
                <c:pt idx="13">
                  <c:v>0.48524343835236089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4-4CD4-B180-048B6F6068B1}"/>
            </c:ext>
          </c:extLst>
        </c:ser>
        <c:ser>
          <c:idx val="2"/>
          <c:order val="2"/>
          <c:tx>
            <c:strRef>
              <c:f>'New calculations'!$P$2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'New calculations'!$A$3:$A$16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calculations'!$P$3:$P$16</c:f>
              <c:numCache>
                <c:formatCode>General</c:formatCode>
                <c:ptCount val="14"/>
                <c:pt idx="0">
                  <c:v>0.13004737076020856</c:v>
                </c:pt>
                <c:pt idx="1">
                  <c:v>0.12989031582428484</c:v>
                </c:pt>
                <c:pt idx="2">
                  <c:v>0.12933722328626787</c:v>
                </c:pt>
                <c:pt idx="3">
                  <c:v>0.12964130546926048</c:v>
                </c:pt>
                <c:pt idx="4">
                  <c:v>0.12837567866124522</c:v>
                </c:pt>
                <c:pt idx="5">
                  <c:v>0.12645861933712493</c:v>
                </c:pt>
                <c:pt idx="6">
                  <c:v>0.12415849806847781</c:v>
                </c:pt>
                <c:pt idx="7">
                  <c:v>0.12064648304120192</c:v>
                </c:pt>
                <c:pt idx="8">
                  <c:v>0.11482872132496656</c:v>
                </c:pt>
                <c:pt idx="9">
                  <c:v>0.10917799629091006</c:v>
                </c:pt>
                <c:pt idx="10">
                  <c:v>0.10686502526265138</c:v>
                </c:pt>
                <c:pt idx="11">
                  <c:v>0.10388021521222317</c:v>
                </c:pt>
                <c:pt idx="12">
                  <c:v>0.10024147645604553</c:v>
                </c:pt>
                <c:pt idx="13">
                  <c:v>9.3096183056494683E-2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4-4CD4-B180-048B6F6068B1}"/>
            </c:ext>
          </c:extLst>
        </c:ser>
        <c:ser>
          <c:idx val="3"/>
          <c:order val="3"/>
          <c:tx>
            <c:strRef>
              <c:f>'New calculations'!$Q$2</c:f>
              <c:strCache>
                <c:ptCount val="1"/>
                <c:pt idx="0">
                  <c:v>Very 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'New calculations'!$A$3:$A$16</c:f>
              <c:numCache>
                <c:formatCode>General</c:formatCode>
                <c:ptCount val="1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</c:numCache>
            </c:numRef>
          </c:cat>
          <c:val>
            <c:numRef>
              <c:f>'New calculations'!$Q$3:$Q$16</c:f>
              <c:numCache>
                <c:formatCode>General</c:formatCode>
                <c:ptCount val="14"/>
                <c:pt idx="0">
                  <c:v>6.8367822571029038E-2</c:v>
                </c:pt>
                <c:pt idx="1">
                  <c:v>6.6571129361186129E-2</c:v>
                </c:pt>
                <c:pt idx="2">
                  <c:v>6.4763262215491516E-2</c:v>
                </c:pt>
                <c:pt idx="3">
                  <c:v>6.2327330253459129E-2</c:v>
                </c:pt>
                <c:pt idx="4">
                  <c:v>6.1238160152302157E-2</c:v>
                </c:pt>
                <c:pt idx="5">
                  <c:v>5.9533732104334186E-2</c:v>
                </c:pt>
                <c:pt idx="6">
                  <c:v>5.8096664191969398E-2</c:v>
                </c:pt>
                <c:pt idx="7">
                  <c:v>5.4645016060904973E-2</c:v>
                </c:pt>
                <c:pt idx="8">
                  <c:v>4.9403353564448103E-2</c:v>
                </c:pt>
                <c:pt idx="9">
                  <c:v>4.5349628423903617E-2</c:v>
                </c:pt>
                <c:pt idx="10">
                  <c:v>4.2465313978667096E-2</c:v>
                </c:pt>
                <c:pt idx="11">
                  <c:v>4.0512171724895386E-2</c:v>
                </c:pt>
                <c:pt idx="12">
                  <c:v>3.8549991375840857E-2</c:v>
                </c:pt>
                <c:pt idx="13">
                  <c:v>3.5229555588220884E-2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4-4CD4-B180-048B6F60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5040"/>
        <c:axId val="464168976"/>
      </c:areaChart>
      <c:catAx>
        <c:axId val="4641650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8976"/>
        <c:crosses val="autoZero"/>
        <c:auto val="1"/>
        <c:lblAlgn val="ctr"/>
        <c:lblOffset val="100"/>
        <c:noMultiLvlLbl val="0"/>
      </c:catAx>
      <c:valAx>
        <c:axId val="464168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38</xdr:row>
      <xdr:rowOff>133350</xdr:rowOff>
    </xdr:from>
    <xdr:to>
      <xdr:col>24</xdr:col>
      <xdr:colOff>581025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1FC9-F34A-41E5-9FFA-BBEC01334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66675</xdr:colOff>
      <xdr:row>38</xdr:row>
      <xdr:rowOff>133350</xdr:rowOff>
    </xdr:from>
    <xdr:to>
      <xdr:col>30</xdr:col>
      <xdr:colOff>571500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E21F9-71A0-4197-A8FD-A49AA02F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38</xdr:row>
      <xdr:rowOff>142875</xdr:rowOff>
    </xdr:from>
    <xdr:to>
      <xdr:col>17</xdr:col>
      <xdr:colOff>200025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1DD26-9EA6-4AB1-94EE-8649BD6D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242862</xdr:colOff>
      <xdr:row>19</xdr:row>
      <xdr:rowOff>112423</xdr:rowOff>
    </xdr:from>
    <xdr:to>
      <xdr:col>24</xdr:col>
      <xdr:colOff>547662</xdr:colOff>
      <xdr:row>34</xdr:row>
      <xdr:rowOff>79766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F1C5C-7EC7-4AE5-9EE3-C8C844EC0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surfdrive/Paper_5/Vehicle_Material_Model_Dynamic_SSP2020/output/SSP2_BL/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 of vehicles"/>
      <sheetName val="pkms"/>
      <sheetName val="loadfacto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9C93-86A0-49B1-8EDD-F47D43847ABA}">
  <dimension ref="A1:I46"/>
  <sheetViews>
    <sheetView topLeftCell="A13" zoomScale="145" zoomScaleNormal="145" workbookViewId="0">
      <selection activeCell="B35" sqref="B35"/>
    </sheetView>
  </sheetViews>
  <sheetFormatPr defaultRowHeight="15" x14ac:dyDescent="0.25"/>
  <cols>
    <col min="1" max="1" width="39.28515625" bestFit="1" customWidth="1"/>
    <col min="2" max="2" width="19.7109375" bestFit="1" customWidth="1"/>
    <col min="3" max="3" width="12.28515625" customWidth="1"/>
    <col min="4" max="4" width="11.28515625" bestFit="1" customWidth="1"/>
    <col min="5" max="5" width="11.7109375" bestFit="1" customWidth="1"/>
    <col min="6" max="6" width="12.28515625" bestFit="1" customWidth="1"/>
  </cols>
  <sheetData>
    <row r="1" spans="1:8" ht="15.75" x14ac:dyDescent="0.25">
      <c r="A1" s="6" t="s">
        <v>0</v>
      </c>
      <c r="B1" s="6" t="s">
        <v>6</v>
      </c>
      <c r="C1" s="6" t="s">
        <v>30</v>
      </c>
      <c r="E1" s="2"/>
    </row>
    <row r="2" spans="1:8" x14ac:dyDescent="0.25">
      <c r="A2" t="s">
        <v>1</v>
      </c>
      <c r="B2">
        <v>0.28699999999999998</v>
      </c>
      <c r="C2" s="2">
        <f>$B$8*B2</f>
        <v>567252917</v>
      </c>
    </row>
    <row r="3" spans="1:8" x14ac:dyDescent="0.25">
      <c r="A3" t="s">
        <v>2</v>
      </c>
      <c r="B3">
        <v>0.42599999999999999</v>
      </c>
      <c r="C3" s="2">
        <f t="shared" ref="C3:C6" si="0">$B$8*B3</f>
        <v>841985166</v>
      </c>
    </row>
    <row r="4" spans="1:8" x14ac:dyDescent="0.25">
      <c r="A4" t="s">
        <v>3</v>
      </c>
      <c r="B4">
        <v>3.6999999999999998E-2</v>
      </c>
      <c r="C4" s="2">
        <f t="shared" si="0"/>
        <v>73130167</v>
      </c>
    </row>
    <row r="5" spans="1:8" x14ac:dyDescent="0.25">
      <c r="A5" t="s">
        <v>4</v>
      </c>
      <c r="B5">
        <v>0.13400000000000001</v>
      </c>
      <c r="C5" s="2">
        <f t="shared" si="0"/>
        <v>264849794.00000003</v>
      </c>
    </row>
    <row r="6" spans="1:8" x14ac:dyDescent="0.25">
      <c r="A6" t="s">
        <v>5</v>
      </c>
      <c r="B6">
        <v>0.115</v>
      </c>
      <c r="C6" s="2">
        <f t="shared" si="0"/>
        <v>227296465</v>
      </c>
    </row>
    <row r="8" spans="1:8" x14ac:dyDescent="0.25">
      <c r="A8" t="s">
        <v>7</v>
      </c>
      <c r="B8">
        <v>1976491000</v>
      </c>
    </row>
    <row r="9" spans="1:8" x14ac:dyDescent="0.25">
      <c r="A9" t="s">
        <v>29</v>
      </c>
      <c r="B9">
        <v>95402</v>
      </c>
    </row>
    <row r="10" spans="1:8" x14ac:dyDescent="0.25">
      <c r="A10" t="s">
        <v>38</v>
      </c>
      <c r="B10">
        <v>58812000000000</v>
      </c>
    </row>
    <row r="11" spans="1:8" x14ac:dyDescent="0.25">
      <c r="A11" t="s">
        <v>37</v>
      </c>
      <c r="B11">
        <f>B10*1.61</f>
        <v>94687320000000</v>
      </c>
    </row>
    <row r="12" spans="1:8" x14ac:dyDescent="0.25">
      <c r="A12" t="s">
        <v>112</v>
      </c>
    </row>
    <row r="14" spans="1:8" ht="15.75" x14ac:dyDescent="0.25">
      <c r="A14" s="6" t="s">
        <v>8</v>
      </c>
      <c r="B14" s="6" t="s">
        <v>12</v>
      </c>
      <c r="C14" s="7" t="s">
        <v>11</v>
      </c>
      <c r="D14" s="6" t="s">
        <v>13</v>
      </c>
      <c r="E14" s="6" t="s">
        <v>14</v>
      </c>
      <c r="F14" s="6" t="s">
        <v>15</v>
      </c>
      <c r="G14" s="6"/>
      <c r="H14" s="6" t="s">
        <v>36</v>
      </c>
    </row>
    <row r="15" spans="1:8" x14ac:dyDescent="0.25">
      <c r="A15" t="s">
        <v>9</v>
      </c>
      <c r="B15">
        <v>0.22839999999999999</v>
      </c>
      <c r="C15">
        <v>0.44090000000000001</v>
      </c>
      <c r="D15">
        <v>0.1464</v>
      </c>
      <c r="E15">
        <v>8.6999999999999994E-2</v>
      </c>
      <c r="F15">
        <v>9.74E-2</v>
      </c>
    </row>
    <row r="16" spans="1:8" x14ac:dyDescent="0.25">
      <c r="A16" t="s">
        <v>10</v>
      </c>
      <c r="B16">
        <v>81482</v>
      </c>
      <c r="C16">
        <v>77757</v>
      </c>
      <c r="D16">
        <v>71592</v>
      </c>
      <c r="E16">
        <v>64156</v>
      </c>
      <c r="F16">
        <v>52622</v>
      </c>
    </row>
    <row r="17" spans="1:8" x14ac:dyDescent="0.25">
      <c r="A17" t="s">
        <v>31</v>
      </c>
      <c r="B17">
        <v>0.25119999999999998</v>
      </c>
      <c r="C17">
        <v>0.46279999999999999</v>
      </c>
      <c r="D17">
        <v>0.14149999999999999</v>
      </c>
      <c r="E17">
        <v>7.5300000000000006E-2</v>
      </c>
      <c r="F17">
        <v>6.9199999999999998E-2</v>
      </c>
    </row>
    <row r="18" spans="1:8" ht="15.75" x14ac:dyDescent="0.25">
      <c r="A18" s="3" t="s">
        <v>20</v>
      </c>
      <c r="B18" s="4">
        <f>(B17*$C$3)/B16</f>
        <v>2595.7472042806999</v>
      </c>
      <c r="C18" s="4">
        <f>(C17*$C$3)/C16</f>
        <v>5011.3910622169069</v>
      </c>
      <c r="D18" s="4">
        <f t="shared" ref="D18:F18" si="1">(D17*$C$3)/D16</f>
        <v>1664.1650043161246</v>
      </c>
      <c r="E18" s="4">
        <f t="shared" si="1"/>
        <v>988.23933848431955</v>
      </c>
      <c r="F18" s="4">
        <f t="shared" si="1"/>
        <v>1107.2436145946563</v>
      </c>
      <c r="H18" s="5">
        <f>SUM(B18:F18)</f>
        <v>11366.786223892706</v>
      </c>
    </row>
    <row r="19" spans="1:8" x14ac:dyDescent="0.25">
      <c r="A19" t="s">
        <v>16</v>
      </c>
      <c r="B19">
        <v>0.1668</v>
      </c>
      <c r="C19">
        <v>0.2177</v>
      </c>
      <c r="D19">
        <v>0.31319999999999998</v>
      </c>
      <c r="E19">
        <v>0.13950000000000001</v>
      </c>
      <c r="F19">
        <v>0.1628</v>
      </c>
    </row>
    <row r="20" spans="1:8" x14ac:dyDescent="0.25">
      <c r="A20" t="s">
        <v>17</v>
      </c>
      <c r="B20">
        <v>82362</v>
      </c>
      <c r="C20">
        <v>66050</v>
      </c>
      <c r="D20">
        <v>43565</v>
      </c>
      <c r="E20">
        <v>38031</v>
      </c>
      <c r="F20">
        <v>19579</v>
      </c>
    </row>
    <row r="21" spans="1:8" x14ac:dyDescent="0.25">
      <c r="A21" t="s">
        <v>32</v>
      </c>
      <c r="B21">
        <v>0.27579999999999999</v>
      </c>
      <c r="C21">
        <v>0.28520000000000001</v>
      </c>
      <c r="D21">
        <v>0.27060000000000001</v>
      </c>
      <c r="E21">
        <v>0.1052</v>
      </c>
      <c r="F21">
        <v>6.3200000000000006E-2</v>
      </c>
    </row>
    <row r="22" spans="1:8" ht="15.75" x14ac:dyDescent="0.25">
      <c r="A22" s="3" t="s">
        <v>21</v>
      </c>
      <c r="B22" s="4">
        <f>($C$5*B21)/B20</f>
        <v>886.88440282168972</v>
      </c>
      <c r="C22" s="4">
        <f t="shared" ref="C22:F22" si="2">($C$5*C21)/C20</f>
        <v>1143.6057721241484</v>
      </c>
      <c r="D22" s="4">
        <f t="shared" si="2"/>
        <v>1645.0901929622405</v>
      </c>
      <c r="E22" s="4">
        <f t="shared" si="2"/>
        <v>732.61808337408968</v>
      </c>
      <c r="F22" s="4">
        <f t="shared" si="2"/>
        <v>854.92144546708221</v>
      </c>
      <c r="H22" s="8">
        <f>SUM(B22:F22)</f>
        <v>5263.1198967492501</v>
      </c>
    </row>
    <row r="23" spans="1:8" ht="15.75" x14ac:dyDescent="0.25">
      <c r="A23" t="s">
        <v>18</v>
      </c>
      <c r="B23">
        <v>4.7100000000000003E-2</v>
      </c>
      <c r="C23">
        <v>0.14599999999999999</v>
      </c>
      <c r="D23">
        <v>0.14380000000000001</v>
      </c>
      <c r="E23">
        <v>7.1099999999999997E-2</v>
      </c>
      <c r="F23">
        <v>0.59199999999999997</v>
      </c>
      <c r="H23" s="6"/>
    </row>
    <row r="24" spans="1:8" ht="15.75" x14ac:dyDescent="0.25">
      <c r="A24" t="s">
        <v>19</v>
      </c>
      <c r="B24">
        <v>8770</v>
      </c>
      <c r="C24">
        <v>7507</v>
      </c>
      <c r="D24">
        <v>5255</v>
      </c>
      <c r="E24">
        <v>6360</v>
      </c>
      <c r="F24">
        <v>2725</v>
      </c>
      <c r="H24" s="6"/>
    </row>
    <row r="25" spans="1:8" ht="15.75" x14ac:dyDescent="0.25">
      <c r="A25" t="s">
        <v>33</v>
      </c>
      <c r="B25">
        <v>9.3399999999999997E-2</v>
      </c>
      <c r="C25">
        <v>0.25850000000000001</v>
      </c>
      <c r="D25">
        <v>0.17230000000000001</v>
      </c>
      <c r="E25">
        <v>9.5699999999999993E-2</v>
      </c>
      <c r="F25">
        <v>0.38009999999999999</v>
      </c>
      <c r="H25" s="6"/>
    </row>
    <row r="26" spans="1:8" ht="15.75" x14ac:dyDescent="0.25">
      <c r="A26" s="3" t="s">
        <v>22</v>
      </c>
      <c r="B26" s="4">
        <f>($C$4*B25)/B24</f>
        <v>778.83210921322689</v>
      </c>
      <c r="C26" s="4">
        <f t="shared" ref="C26:F26" si="3">($C$4*C25)/C24</f>
        <v>2518.2027666844278</v>
      </c>
      <c r="D26" s="4">
        <f t="shared" si="3"/>
        <v>2397.7788342721219</v>
      </c>
      <c r="E26" s="4">
        <f t="shared" si="3"/>
        <v>1100.4020411792451</v>
      </c>
      <c r="F26" s="4">
        <f t="shared" si="3"/>
        <v>10200.651918055046</v>
      </c>
      <c r="H26" s="8">
        <f>SUM(B26:F26)</f>
        <v>16995.86766940407</v>
      </c>
    </row>
    <row r="27" spans="1:8" ht="15.75" x14ac:dyDescent="0.25">
      <c r="A27" t="s">
        <v>23</v>
      </c>
      <c r="B27">
        <v>0.1467</v>
      </c>
      <c r="C27">
        <v>0.21729999999999999</v>
      </c>
      <c r="D27">
        <v>0.1822</v>
      </c>
      <c r="E27">
        <v>9.4E-2</v>
      </c>
      <c r="F27">
        <v>0.35980000000000001</v>
      </c>
      <c r="H27" s="6"/>
    </row>
    <row r="28" spans="1:8" ht="15.75" x14ac:dyDescent="0.25">
      <c r="A28" t="s">
        <v>24</v>
      </c>
      <c r="B28">
        <v>82577</v>
      </c>
      <c r="C28">
        <v>78314</v>
      </c>
      <c r="D28">
        <v>73092</v>
      </c>
      <c r="E28">
        <v>90578</v>
      </c>
      <c r="F28">
        <v>8241</v>
      </c>
      <c r="H28" s="6"/>
    </row>
    <row r="29" spans="1:8" ht="15.75" x14ac:dyDescent="0.25">
      <c r="A29" t="s">
        <v>34</v>
      </c>
      <c r="B29">
        <v>0.22539999999999999</v>
      </c>
      <c r="C29">
        <v>0.31409999999999999</v>
      </c>
      <c r="D29">
        <v>0.24970000000000001</v>
      </c>
      <c r="E29">
        <v>0.15740000000000001</v>
      </c>
      <c r="F29">
        <v>5.3499999999999999E-2</v>
      </c>
      <c r="H29" s="6"/>
    </row>
    <row r="30" spans="1:8" ht="15.75" x14ac:dyDescent="0.25">
      <c r="A30" s="3" t="s">
        <v>25</v>
      </c>
      <c r="B30" s="4">
        <f>($C$2*B29)/B28</f>
        <v>1548.3585924870122</v>
      </c>
      <c r="C30" s="4">
        <f t="shared" ref="C30:E30" si="4">($C$2*C29)/C28</f>
        <v>2275.1250252790051</v>
      </c>
      <c r="D30" s="4">
        <f t="shared" si="4"/>
        <v>1937.8735480613475</v>
      </c>
      <c r="E30" s="4">
        <f t="shared" si="4"/>
        <v>985.73173547439785</v>
      </c>
      <c r="F30" s="4">
        <f>($C$2*F29)/F28</f>
        <v>3682.5665646766165</v>
      </c>
      <c r="H30" s="8">
        <f>SUM(B30:F30)</f>
        <v>10429.65546597838</v>
      </c>
    </row>
    <row r="31" spans="1:8" ht="15.75" x14ac:dyDescent="0.25">
      <c r="A31" t="s">
        <v>26</v>
      </c>
      <c r="B31">
        <v>0.12620000000000001</v>
      </c>
      <c r="C31">
        <v>0.19009999999999999</v>
      </c>
      <c r="D31">
        <v>0.13450000000000001</v>
      </c>
      <c r="E31">
        <v>8.2699999999999996E-2</v>
      </c>
      <c r="F31">
        <v>0.46650000000000003</v>
      </c>
      <c r="H31" s="6"/>
    </row>
    <row r="32" spans="1:8" ht="15.75" x14ac:dyDescent="0.25">
      <c r="A32" t="s">
        <v>27</v>
      </c>
      <c r="B32">
        <v>10461</v>
      </c>
      <c r="C32">
        <v>6548</v>
      </c>
      <c r="D32">
        <v>8839</v>
      </c>
      <c r="E32">
        <v>8136</v>
      </c>
      <c r="F32">
        <v>4214</v>
      </c>
      <c r="H32" s="6"/>
    </row>
    <row r="33" spans="1:9" ht="15.75" x14ac:dyDescent="0.25">
      <c r="A33" t="s">
        <v>35</v>
      </c>
      <c r="B33">
        <v>0.22</v>
      </c>
      <c r="C33">
        <v>0.19320000000000001</v>
      </c>
      <c r="D33">
        <v>0.19570000000000001</v>
      </c>
      <c r="E33">
        <v>0.10920000000000001</v>
      </c>
      <c r="F33">
        <v>0.28189999999999998</v>
      </c>
      <c r="H33" s="6"/>
    </row>
    <row r="34" spans="1:9" ht="15.75" x14ac:dyDescent="0.25">
      <c r="A34" s="3" t="s">
        <v>28</v>
      </c>
      <c r="B34" s="4">
        <f>($C$6*B33)/B32</f>
        <v>4780.1569926393267</v>
      </c>
      <c r="C34" s="4">
        <f>($C$6*C33)/C32</f>
        <v>6706.425937385462</v>
      </c>
      <c r="D34" s="4">
        <f>($C$6*D33)/D32</f>
        <v>5032.4604820115401</v>
      </c>
      <c r="E34" s="4">
        <f>($C$6*E33)/E32</f>
        <v>3050.7342647492624</v>
      </c>
      <c r="F34" s="4">
        <f>($C$6*F33)/F32</f>
        <v>15205.238130873278</v>
      </c>
      <c r="H34" s="8">
        <f>SUM(B34:F34)</f>
        <v>34775.01580765887</v>
      </c>
    </row>
    <row r="35" spans="1:9" ht="15.75" x14ac:dyDescent="0.25">
      <c r="H35" s="6"/>
    </row>
    <row r="36" spans="1:9" ht="15.75" x14ac:dyDescent="0.25">
      <c r="H36" s="8">
        <f>SUM(H18:H34)</f>
        <v>78830.445063683277</v>
      </c>
    </row>
    <row r="37" spans="1:9" x14ac:dyDescent="0.25">
      <c r="A37" s="1" t="s">
        <v>106</v>
      </c>
      <c r="B37">
        <v>0.12720000000000001</v>
      </c>
      <c r="C37">
        <v>0.21560000000000001</v>
      </c>
      <c r="D37">
        <v>0.15290000000000001</v>
      </c>
      <c r="E37">
        <v>8.5300000000000001E-2</v>
      </c>
      <c r="F37">
        <v>0.41909999999999997</v>
      </c>
    </row>
    <row r="38" spans="1:9" x14ac:dyDescent="0.25">
      <c r="A38" t="s">
        <v>107</v>
      </c>
      <c r="B38">
        <v>44370</v>
      </c>
      <c r="C38">
        <v>39985</v>
      </c>
      <c r="D38">
        <v>30696</v>
      </c>
      <c r="E38">
        <v>30946</v>
      </c>
      <c r="F38">
        <v>6342</v>
      </c>
      <c r="H38">
        <f>(B37*B38+C37*C38+D37*D38+E37*E38+F37*F38)</f>
        <v>24255.6744</v>
      </c>
      <c r="I38">
        <f>SUM(B38:F38)/5</f>
        <v>30467.8</v>
      </c>
    </row>
    <row r="40" spans="1:9" x14ac:dyDescent="0.25">
      <c r="A40" t="s">
        <v>108</v>
      </c>
      <c r="B40" s="2">
        <f>B11/(122500*0.575*H38)</f>
        <v>55421.022872663802</v>
      </c>
    </row>
    <row r="42" spans="1:9" x14ac:dyDescent="0.25">
      <c r="A42" t="s">
        <v>109</v>
      </c>
      <c r="B42">
        <v>26</v>
      </c>
    </row>
    <row r="43" spans="1:9" x14ac:dyDescent="0.25">
      <c r="A43" t="s">
        <v>110</v>
      </c>
      <c r="B43">
        <v>26.5</v>
      </c>
    </row>
    <row r="46" spans="1:9" x14ac:dyDescent="0.25">
      <c r="A46" t="s">
        <v>111</v>
      </c>
      <c r="B46" s="2">
        <f>B11/965116519</f>
        <v>98109.72886269704</v>
      </c>
    </row>
  </sheetData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0591-3356-445B-88AB-0314463B45CC}">
  <dimension ref="A1:E15"/>
  <sheetViews>
    <sheetView workbookViewId="0"/>
  </sheetViews>
  <sheetFormatPr defaultRowHeight="15" x14ac:dyDescent="0.25"/>
  <sheetData>
    <row r="1" spans="1:5" x14ac:dyDescent="0.25">
      <c r="A1" t="s">
        <v>208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5">
      <c r="A2">
        <f>'New calculations'!A22</f>
        <v>2018</v>
      </c>
      <c r="B2" s="2">
        <f>'New calculations'!AI6</f>
        <v>27000</v>
      </c>
      <c r="C2" s="2">
        <f>'New calculations'!AJ6</f>
        <v>27000</v>
      </c>
      <c r="D2" s="2">
        <f>AVERAGE('New calculations'!AK6,'annual mileage'!H5)</f>
        <v>92709.20921982397</v>
      </c>
      <c r="E2" s="2">
        <f>AVERAGE('New calculations'!AL6,'annual mileage'!H5)</f>
        <v>115209.20921982397</v>
      </c>
    </row>
    <row r="3" spans="1:5" x14ac:dyDescent="0.25">
      <c r="A3">
        <f>'New calculations'!A23</f>
        <v>2017</v>
      </c>
      <c r="B3" s="2">
        <f>B2</f>
        <v>27000</v>
      </c>
      <c r="C3" s="2">
        <f t="shared" ref="C3:E15" si="0">C2</f>
        <v>27000</v>
      </c>
      <c r="D3" s="2">
        <f t="shared" si="0"/>
        <v>92709.20921982397</v>
      </c>
      <c r="E3" s="2">
        <f t="shared" si="0"/>
        <v>115209.20921982397</v>
      </c>
    </row>
    <row r="4" spans="1:5" x14ac:dyDescent="0.25">
      <c r="A4">
        <f>'New calculations'!A24</f>
        <v>2016</v>
      </c>
      <c r="B4" s="2">
        <f t="shared" ref="B4:B15" si="1">B3</f>
        <v>27000</v>
      </c>
      <c r="C4" s="2">
        <f t="shared" si="0"/>
        <v>27000</v>
      </c>
      <c r="D4" s="2">
        <f t="shared" si="0"/>
        <v>92709.20921982397</v>
      </c>
      <c r="E4" s="2">
        <f t="shared" si="0"/>
        <v>115209.20921982397</v>
      </c>
    </row>
    <row r="5" spans="1:5" x14ac:dyDescent="0.25">
      <c r="A5">
        <f>'New calculations'!A25</f>
        <v>2015</v>
      </c>
      <c r="B5" s="2">
        <f t="shared" si="1"/>
        <v>27000</v>
      </c>
      <c r="C5" s="2">
        <f t="shared" si="0"/>
        <v>27000</v>
      </c>
      <c r="D5" s="2">
        <f t="shared" si="0"/>
        <v>92709.20921982397</v>
      </c>
      <c r="E5" s="2">
        <f t="shared" si="0"/>
        <v>115209.20921982397</v>
      </c>
    </row>
    <row r="6" spans="1:5" x14ac:dyDescent="0.25">
      <c r="A6">
        <f>'New calculations'!A26</f>
        <v>2014</v>
      </c>
      <c r="B6" s="2">
        <f t="shared" si="1"/>
        <v>27000</v>
      </c>
      <c r="C6" s="2">
        <f t="shared" si="0"/>
        <v>27000</v>
      </c>
      <c r="D6" s="2">
        <f t="shared" si="0"/>
        <v>92709.20921982397</v>
      </c>
      <c r="E6" s="2">
        <f t="shared" si="0"/>
        <v>115209.20921982397</v>
      </c>
    </row>
    <row r="7" spans="1:5" x14ac:dyDescent="0.25">
      <c r="A7">
        <f>'New calculations'!A27</f>
        <v>2013</v>
      </c>
      <c r="B7" s="2">
        <f t="shared" si="1"/>
        <v>27000</v>
      </c>
      <c r="C7" s="2">
        <f t="shared" si="0"/>
        <v>27000</v>
      </c>
      <c r="D7" s="2">
        <f t="shared" si="0"/>
        <v>92709.20921982397</v>
      </c>
      <c r="E7" s="2">
        <f t="shared" si="0"/>
        <v>115209.20921982397</v>
      </c>
    </row>
    <row r="8" spans="1:5" x14ac:dyDescent="0.25">
      <c r="A8">
        <f>'New calculations'!A28</f>
        <v>2012</v>
      </c>
      <c r="B8" s="2">
        <f t="shared" si="1"/>
        <v>27000</v>
      </c>
      <c r="C8" s="2">
        <f t="shared" si="0"/>
        <v>27000</v>
      </c>
      <c r="D8" s="2">
        <f t="shared" si="0"/>
        <v>92709.20921982397</v>
      </c>
      <c r="E8" s="2">
        <f t="shared" si="0"/>
        <v>115209.20921982397</v>
      </c>
    </row>
    <row r="9" spans="1:5" x14ac:dyDescent="0.25">
      <c r="A9">
        <f>'New calculations'!A29</f>
        <v>2011</v>
      </c>
      <c r="B9" s="2">
        <f t="shared" si="1"/>
        <v>27000</v>
      </c>
      <c r="C9" s="2">
        <f t="shared" si="0"/>
        <v>27000</v>
      </c>
      <c r="D9" s="2">
        <f t="shared" si="0"/>
        <v>92709.20921982397</v>
      </c>
      <c r="E9" s="2">
        <f t="shared" si="0"/>
        <v>115209.20921982397</v>
      </c>
    </row>
    <row r="10" spans="1:5" x14ac:dyDescent="0.25">
      <c r="A10">
        <f>'New calculations'!A30</f>
        <v>2010</v>
      </c>
      <c r="B10" s="2">
        <f t="shared" si="1"/>
        <v>27000</v>
      </c>
      <c r="C10" s="2">
        <f t="shared" si="0"/>
        <v>27000</v>
      </c>
      <c r="D10" s="2">
        <f t="shared" si="0"/>
        <v>92709.20921982397</v>
      </c>
      <c r="E10" s="2">
        <f t="shared" si="0"/>
        <v>115209.20921982397</v>
      </c>
    </row>
    <row r="11" spans="1:5" x14ac:dyDescent="0.25">
      <c r="A11">
        <f>'New calculations'!A31</f>
        <v>2009</v>
      </c>
      <c r="B11" s="2">
        <f t="shared" si="1"/>
        <v>27000</v>
      </c>
      <c r="C11" s="2">
        <f t="shared" si="0"/>
        <v>27000</v>
      </c>
      <c r="D11" s="2">
        <f t="shared" si="0"/>
        <v>92709.20921982397</v>
      </c>
      <c r="E11" s="2">
        <f t="shared" si="0"/>
        <v>115209.20921982397</v>
      </c>
    </row>
    <row r="12" spans="1:5" x14ac:dyDescent="0.25">
      <c r="A12">
        <f>'New calculations'!A32</f>
        <v>2008</v>
      </c>
      <c r="B12" s="2">
        <f t="shared" si="1"/>
        <v>27000</v>
      </c>
      <c r="C12" s="2">
        <f t="shared" si="0"/>
        <v>27000</v>
      </c>
      <c r="D12" s="2">
        <f t="shared" si="0"/>
        <v>92709.20921982397</v>
      </c>
      <c r="E12" s="2">
        <f t="shared" si="0"/>
        <v>115209.20921982397</v>
      </c>
    </row>
    <row r="13" spans="1:5" x14ac:dyDescent="0.25">
      <c r="A13">
        <f>'New calculations'!A33</f>
        <v>2007</v>
      </c>
      <c r="B13" s="2">
        <f t="shared" si="1"/>
        <v>27000</v>
      </c>
      <c r="C13" s="2">
        <f t="shared" si="0"/>
        <v>27000</v>
      </c>
      <c r="D13" s="2">
        <f t="shared" si="0"/>
        <v>92709.20921982397</v>
      </c>
      <c r="E13" s="2">
        <f t="shared" si="0"/>
        <v>115209.20921982397</v>
      </c>
    </row>
    <row r="14" spans="1:5" x14ac:dyDescent="0.25">
      <c r="A14">
        <f>'New calculations'!A34</f>
        <v>2006</v>
      </c>
      <c r="B14" s="2">
        <f t="shared" si="1"/>
        <v>27000</v>
      </c>
      <c r="C14" s="2">
        <f t="shared" si="0"/>
        <v>27000</v>
      </c>
      <c r="D14" s="2">
        <f t="shared" si="0"/>
        <v>92709.20921982397</v>
      </c>
      <c r="E14" s="2">
        <f t="shared" si="0"/>
        <v>115209.20921982397</v>
      </c>
    </row>
    <row r="15" spans="1:5" x14ac:dyDescent="0.25">
      <c r="A15">
        <f>'New calculations'!A35</f>
        <v>2005</v>
      </c>
      <c r="B15" s="2">
        <f t="shared" si="1"/>
        <v>27000</v>
      </c>
      <c r="C15" s="2">
        <f t="shared" si="0"/>
        <v>27000</v>
      </c>
      <c r="D15" s="2">
        <f t="shared" si="0"/>
        <v>92709.20921982397</v>
      </c>
      <c r="E15" s="2">
        <f t="shared" si="0"/>
        <v>115209.20921982397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7EFA-E0AA-4313-8631-E278D2500F3C}">
  <dimension ref="A1:E15"/>
  <sheetViews>
    <sheetView workbookViewId="0"/>
  </sheetViews>
  <sheetFormatPr defaultRowHeight="15" x14ac:dyDescent="0.25"/>
  <sheetData>
    <row r="1" spans="1:5" x14ac:dyDescent="0.25">
      <c r="A1" t="s">
        <v>208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5">
      <c r="A2">
        <f>'New calculations'!A22</f>
        <v>2018</v>
      </c>
      <c r="B2" s="56">
        <f>AVERAGE('New calculations'!AI12,'ship weight'!C30)</f>
        <v>0.20734611111111112</v>
      </c>
      <c r="C2" s="56">
        <f>AVERAGE('New calculations'!AJ12,'ship weight'!D30)</f>
        <v>0.15904415584415582</v>
      </c>
      <c r="D2" s="56">
        <f>AVERAGE('New calculations'!AK12, 'ship weight'!E30)</f>
        <v>0.14434666666666668</v>
      </c>
      <c r="E2" s="56">
        <f>AVERAGE('New calculations'!AL12,'ship weight'!F30)</f>
        <v>0.13199006993006993</v>
      </c>
    </row>
    <row r="3" spans="1:5" x14ac:dyDescent="0.25">
      <c r="A3">
        <f>'New calculations'!A23</f>
        <v>2017</v>
      </c>
      <c r="B3" s="56">
        <f>B2</f>
        <v>0.20734611111111112</v>
      </c>
      <c r="C3" s="56">
        <f t="shared" ref="C3:E15" si="0">C2</f>
        <v>0.15904415584415582</v>
      </c>
      <c r="D3" s="56">
        <f t="shared" si="0"/>
        <v>0.14434666666666668</v>
      </c>
      <c r="E3" s="56">
        <f t="shared" si="0"/>
        <v>0.13199006993006993</v>
      </c>
    </row>
    <row r="4" spans="1:5" x14ac:dyDescent="0.25">
      <c r="A4">
        <f>'New calculations'!A24</f>
        <v>2016</v>
      </c>
      <c r="B4" s="56">
        <f t="shared" ref="B4:B15" si="1">B3</f>
        <v>0.20734611111111112</v>
      </c>
      <c r="C4" s="56">
        <f t="shared" si="0"/>
        <v>0.15904415584415582</v>
      </c>
      <c r="D4" s="56">
        <f t="shared" si="0"/>
        <v>0.14434666666666668</v>
      </c>
      <c r="E4" s="56">
        <f t="shared" si="0"/>
        <v>0.13199006993006993</v>
      </c>
    </row>
    <row r="5" spans="1:5" x14ac:dyDescent="0.25">
      <c r="A5">
        <f>'New calculations'!A25</f>
        <v>2015</v>
      </c>
      <c r="B5" s="56">
        <f t="shared" si="1"/>
        <v>0.20734611111111112</v>
      </c>
      <c r="C5" s="56">
        <f t="shared" si="0"/>
        <v>0.15904415584415582</v>
      </c>
      <c r="D5" s="56">
        <f t="shared" si="0"/>
        <v>0.14434666666666668</v>
      </c>
      <c r="E5" s="56">
        <f t="shared" si="0"/>
        <v>0.13199006993006993</v>
      </c>
    </row>
    <row r="6" spans="1:5" x14ac:dyDescent="0.25">
      <c r="A6">
        <f>'New calculations'!A26</f>
        <v>2014</v>
      </c>
      <c r="B6" s="56">
        <f t="shared" si="1"/>
        <v>0.20734611111111112</v>
      </c>
      <c r="C6" s="56">
        <f t="shared" si="0"/>
        <v>0.15904415584415582</v>
      </c>
      <c r="D6" s="56">
        <f t="shared" si="0"/>
        <v>0.14434666666666668</v>
      </c>
      <c r="E6" s="56">
        <f t="shared" si="0"/>
        <v>0.13199006993006993</v>
      </c>
    </row>
    <row r="7" spans="1:5" x14ac:dyDescent="0.25">
      <c r="A7">
        <f>'New calculations'!A27</f>
        <v>2013</v>
      </c>
      <c r="B7" s="56">
        <f t="shared" si="1"/>
        <v>0.20734611111111112</v>
      </c>
      <c r="C7" s="56">
        <f t="shared" si="0"/>
        <v>0.15904415584415582</v>
      </c>
      <c r="D7" s="56">
        <f t="shared" si="0"/>
        <v>0.14434666666666668</v>
      </c>
      <c r="E7" s="56">
        <f t="shared" si="0"/>
        <v>0.13199006993006993</v>
      </c>
    </row>
    <row r="8" spans="1:5" x14ac:dyDescent="0.25">
      <c r="A8">
        <f>'New calculations'!A28</f>
        <v>2012</v>
      </c>
      <c r="B8" s="56">
        <f t="shared" si="1"/>
        <v>0.20734611111111112</v>
      </c>
      <c r="C8" s="56">
        <f t="shared" si="0"/>
        <v>0.15904415584415582</v>
      </c>
      <c r="D8" s="56">
        <f t="shared" si="0"/>
        <v>0.14434666666666668</v>
      </c>
      <c r="E8" s="56">
        <f t="shared" si="0"/>
        <v>0.13199006993006993</v>
      </c>
    </row>
    <row r="9" spans="1:5" x14ac:dyDescent="0.25">
      <c r="A9">
        <f>'New calculations'!A29</f>
        <v>2011</v>
      </c>
      <c r="B9" s="56">
        <f t="shared" si="1"/>
        <v>0.20734611111111112</v>
      </c>
      <c r="C9" s="56">
        <f t="shared" si="0"/>
        <v>0.15904415584415582</v>
      </c>
      <c r="D9" s="56">
        <f t="shared" si="0"/>
        <v>0.14434666666666668</v>
      </c>
      <c r="E9" s="56">
        <f t="shared" si="0"/>
        <v>0.13199006993006993</v>
      </c>
    </row>
    <row r="10" spans="1:5" x14ac:dyDescent="0.25">
      <c r="A10">
        <f>'New calculations'!A30</f>
        <v>2010</v>
      </c>
      <c r="B10" s="56">
        <f t="shared" si="1"/>
        <v>0.20734611111111112</v>
      </c>
      <c r="C10" s="56">
        <f t="shared" si="0"/>
        <v>0.15904415584415582</v>
      </c>
      <c r="D10" s="56">
        <f t="shared" si="0"/>
        <v>0.14434666666666668</v>
      </c>
      <c r="E10" s="56">
        <f t="shared" si="0"/>
        <v>0.13199006993006993</v>
      </c>
    </row>
    <row r="11" spans="1:5" x14ac:dyDescent="0.25">
      <c r="A11">
        <f>'New calculations'!A31</f>
        <v>2009</v>
      </c>
      <c r="B11" s="56">
        <f t="shared" si="1"/>
        <v>0.20734611111111112</v>
      </c>
      <c r="C11" s="56">
        <f t="shared" si="0"/>
        <v>0.15904415584415582</v>
      </c>
      <c r="D11" s="56">
        <f t="shared" si="0"/>
        <v>0.14434666666666668</v>
      </c>
      <c r="E11" s="56">
        <f t="shared" si="0"/>
        <v>0.13199006993006993</v>
      </c>
    </row>
    <row r="12" spans="1:5" x14ac:dyDescent="0.25">
      <c r="A12">
        <f>'New calculations'!A32</f>
        <v>2008</v>
      </c>
      <c r="B12" s="56">
        <f t="shared" si="1"/>
        <v>0.20734611111111112</v>
      </c>
      <c r="C12" s="56">
        <f t="shared" si="0"/>
        <v>0.15904415584415582</v>
      </c>
      <c r="D12" s="56">
        <f t="shared" si="0"/>
        <v>0.14434666666666668</v>
      </c>
      <c r="E12" s="56">
        <f t="shared" si="0"/>
        <v>0.13199006993006993</v>
      </c>
    </row>
    <row r="13" spans="1:5" x14ac:dyDescent="0.25">
      <c r="A13">
        <f>'New calculations'!A33</f>
        <v>2007</v>
      </c>
      <c r="B13" s="56">
        <f t="shared" si="1"/>
        <v>0.20734611111111112</v>
      </c>
      <c r="C13" s="56">
        <f t="shared" si="0"/>
        <v>0.15904415584415582</v>
      </c>
      <c r="D13" s="56">
        <f t="shared" si="0"/>
        <v>0.14434666666666668</v>
      </c>
      <c r="E13" s="56">
        <f t="shared" si="0"/>
        <v>0.13199006993006993</v>
      </c>
    </row>
    <row r="14" spans="1:5" x14ac:dyDescent="0.25">
      <c r="A14">
        <f>'New calculations'!A34</f>
        <v>2006</v>
      </c>
      <c r="B14" s="56">
        <f t="shared" si="1"/>
        <v>0.20734611111111112</v>
      </c>
      <c r="C14" s="56">
        <f t="shared" si="0"/>
        <v>0.15904415584415582</v>
      </c>
      <c r="D14" s="56">
        <f t="shared" si="0"/>
        <v>0.14434666666666668</v>
      </c>
      <c r="E14" s="56">
        <f t="shared" si="0"/>
        <v>0.13199006993006993</v>
      </c>
    </row>
    <row r="15" spans="1:5" x14ac:dyDescent="0.25">
      <c r="A15">
        <f>'New calculations'!A35</f>
        <v>2005</v>
      </c>
      <c r="B15" s="56">
        <f t="shared" si="1"/>
        <v>0.20734611111111112</v>
      </c>
      <c r="C15" s="56">
        <f t="shared" si="0"/>
        <v>0.15904415584415582</v>
      </c>
      <c r="D15" s="56">
        <f t="shared" si="0"/>
        <v>0.14434666666666668</v>
      </c>
      <c r="E15" s="56">
        <f t="shared" si="0"/>
        <v>0.13199006993006993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8EF9-700C-4B29-BA15-55D8E66E6E56}">
  <dimension ref="A3:U64"/>
  <sheetViews>
    <sheetView topLeftCell="A13" zoomScale="60" zoomScaleNormal="60" workbookViewId="0">
      <selection activeCell="C35" sqref="C35"/>
    </sheetView>
  </sheetViews>
  <sheetFormatPr defaultRowHeight="15" x14ac:dyDescent="0.25"/>
  <cols>
    <col min="1" max="1" width="40.42578125" bestFit="1" customWidth="1"/>
    <col min="2" max="2" width="16" bestFit="1" customWidth="1"/>
    <col min="3" max="3" width="15.5703125" customWidth="1"/>
    <col min="4" max="4" width="8.7109375" bestFit="1" customWidth="1"/>
    <col min="5" max="5" width="17.85546875" customWidth="1"/>
    <col min="6" max="6" width="10.5703125" bestFit="1" customWidth="1"/>
    <col min="7" max="7" width="15.7109375" bestFit="1" customWidth="1"/>
    <col min="8" max="8" width="9.7109375" bestFit="1" customWidth="1"/>
    <col min="10" max="10" width="10.7109375" customWidth="1"/>
    <col min="13" max="13" width="34.140625" bestFit="1" customWidth="1"/>
    <col min="14" max="14" width="12.28515625" bestFit="1" customWidth="1"/>
    <col min="16" max="16" width="9.7109375" bestFit="1" customWidth="1"/>
    <col min="20" max="20" width="12.5703125" bestFit="1" customWidth="1"/>
  </cols>
  <sheetData>
    <row r="3" spans="1:2" ht="15.75" x14ac:dyDescent="0.25">
      <c r="A3" s="6" t="s">
        <v>39</v>
      </c>
      <c r="B3" s="6" t="s">
        <v>40</v>
      </c>
    </row>
    <row r="4" spans="1:2" x14ac:dyDescent="0.25">
      <c r="A4" t="s">
        <v>41</v>
      </c>
      <c r="B4">
        <v>2.56</v>
      </c>
    </row>
    <row r="5" spans="1:2" x14ac:dyDescent="0.25">
      <c r="A5" t="s">
        <v>42</v>
      </c>
      <c r="B5">
        <v>2.21</v>
      </c>
    </row>
    <row r="6" spans="1:2" x14ac:dyDescent="0.25">
      <c r="A6" t="s">
        <v>43</v>
      </c>
      <c r="B6">
        <v>1.93</v>
      </c>
    </row>
    <row r="7" spans="1:2" x14ac:dyDescent="0.25">
      <c r="A7" t="s">
        <v>45</v>
      </c>
      <c r="B7">
        <v>1.97</v>
      </c>
    </row>
    <row r="8" spans="1:2" x14ac:dyDescent="0.25">
      <c r="A8" t="s">
        <v>44</v>
      </c>
      <c r="B8">
        <v>2.56</v>
      </c>
    </row>
    <row r="9" spans="1:2" x14ac:dyDescent="0.25">
      <c r="A9" t="s">
        <v>46</v>
      </c>
      <c r="B9">
        <v>2.96</v>
      </c>
    </row>
    <row r="10" spans="1:2" x14ac:dyDescent="0.25">
      <c r="A10" t="s">
        <v>47</v>
      </c>
      <c r="B10">
        <v>1.71</v>
      </c>
    </row>
    <row r="11" spans="1:2" x14ac:dyDescent="0.25">
      <c r="A11" t="s">
        <v>48</v>
      </c>
      <c r="B11">
        <v>1.23</v>
      </c>
    </row>
    <row r="12" spans="1:2" x14ac:dyDescent="0.25">
      <c r="A12" t="s">
        <v>49</v>
      </c>
      <c r="B12">
        <v>1.23</v>
      </c>
    </row>
    <row r="13" spans="1:2" x14ac:dyDescent="0.25">
      <c r="A13" t="s">
        <v>50</v>
      </c>
      <c r="B13">
        <v>3.2</v>
      </c>
    </row>
    <row r="14" spans="1:2" x14ac:dyDescent="0.25">
      <c r="A14" t="s">
        <v>51</v>
      </c>
      <c r="B14">
        <v>1.6</v>
      </c>
    </row>
    <row r="15" spans="1:2" x14ac:dyDescent="0.25">
      <c r="A15" t="s">
        <v>52</v>
      </c>
      <c r="B15">
        <v>2.67</v>
      </c>
    </row>
    <row r="16" spans="1:2" x14ac:dyDescent="0.25">
      <c r="A16" t="s">
        <v>53</v>
      </c>
      <c r="B16">
        <v>2.85</v>
      </c>
    </row>
    <row r="17" spans="1:21" x14ac:dyDescent="0.25">
      <c r="A17" t="s">
        <v>54</v>
      </c>
      <c r="B17">
        <v>1.6</v>
      </c>
    </row>
    <row r="18" spans="1:21" x14ac:dyDescent="0.25">
      <c r="A18" s="9" t="s">
        <v>55</v>
      </c>
    </row>
    <row r="19" spans="1:21" ht="15.75" thickBot="1" x14ac:dyDescent="0.3"/>
    <row r="20" spans="1:21" ht="15.75" thickBot="1" x14ac:dyDescent="0.3">
      <c r="A20" s="10" t="s">
        <v>63</v>
      </c>
      <c r="B20" s="11" t="s">
        <v>71</v>
      </c>
      <c r="C20" s="11" t="s">
        <v>83</v>
      </c>
      <c r="D20" s="11" t="s">
        <v>72</v>
      </c>
      <c r="E20" s="11" t="s">
        <v>83</v>
      </c>
      <c r="F20" s="11" t="s">
        <v>73</v>
      </c>
      <c r="G20" s="11" t="s">
        <v>83</v>
      </c>
      <c r="H20" s="11" t="s">
        <v>74</v>
      </c>
      <c r="I20" s="13" t="s">
        <v>83</v>
      </c>
      <c r="J20" s="13" t="s">
        <v>36</v>
      </c>
      <c r="K20" s="12" t="s">
        <v>83</v>
      </c>
      <c r="M20" s="29" t="s">
        <v>126</v>
      </c>
      <c r="N20" s="30" t="s">
        <v>136</v>
      </c>
      <c r="O20" s="30" t="s">
        <v>127</v>
      </c>
      <c r="P20" s="30" t="s">
        <v>128</v>
      </c>
      <c r="Q20" s="30" t="s">
        <v>127</v>
      </c>
      <c r="R20" s="30" t="s">
        <v>129</v>
      </c>
      <c r="S20" s="30" t="s">
        <v>127</v>
      </c>
      <c r="T20" s="30" t="s">
        <v>130</v>
      </c>
      <c r="U20" s="31" t="s">
        <v>127</v>
      </c>
    </row>
    <row r="21" spans="1:21" x14ac:dyDescent="0.25">
      <c r="A21" t="s">
        <v>22</v>
      </c>
      <c r="B21">
        <v>4317</v>
      </c>
      <c r="C21">
        <v>0.128</v>
      </c>
      <c r="D21">
        <v>11691</v>
      </c>
      <c r="E21">
        <v>0.29899999999999999</v>
      </c>
      <c r="F21">
        <v>238</v>
      </c>
      <c r="G21">
        <v>0.02</v>
      </c>
      <c r="H21">
        <v>0</v>
      </c>
      <c r="I21">
        <v>0</v>
      </c>
      <c r="J21">
        <f>SUM(B21,D21,F21,H21)</f>
        <v>16246</v>
      </c>
      <c r="K21">
        <f>J21/$J$45</f>
        <v>0.17908835363501074</v>
      </c>
      <c r="M21" t="s">
        <v>3</v>
      </c>
      <c r="N21">
        <f>B21/$J$45</f>
        <v>4.7588601664553823E-2</v>
      </c>
      <c r="O21" s="2">
        <f>B22/B21</f>
        <v>337.50289552930275</v>
      </c>
      <c r="P21">
        <f>D21/$J$45</f>
        <v>0.12887615058149149</v>
      </c>
      <c r="Q21" s="2">
        <f>D22/D21</f>
        <v>4206.9112992900518</v>
      </c>
      <c r="R21">
        <f>F21/$J$45</f>
        <v>2.6236013889654412E-3</v>
      </c>
      <c r="S21" s="2">
        <f>F22/F21</f>
        <v>32726.89075630252</v>
      </c>
      <c r="T21">
        <f>H21/$J$45</f>
        <v>0</v>
      </c>
      <c r="U21" s="2">
        <v>0</v>
      </c>
    </row>
    <row r="22" spans="1:21" x14ac:dyDescent="0.25">
      <c r="A22" t="s">
        <v>56</v>
      </c>
      <c r="B22">
        <v>1457000</v>
      </c>
      <c r="C22">
        <v>0.16300000000000001</v>
      </c>
      <c r="D22">
        <v>49183000</v>
      </c>
      <c r="E22">
        <v>0.216</v>
      </c>
      <c r="F22">
        <v>7789000</v>
      </c>
      <c r="G22">
        <v>1.7999999999999999E-2</v>
      </c>
      <c r="H22">
        <v>0</v>
      </c>
      <c r="I22">
        <v>0</v>
      </c>
      <c r="J22">
        <f>SUM(B22,D22,F22,H22)</f>
        <v>58429000</v>
      </c>
      <c r="K22">
        <f>J22/$J$46</f>
        <v>4.4797037502731341E-2</v>
      </c>
      <c r="M22" t="s">
        <v>87</v>
      </c>
      <c r="N22">
        <f>B23/$J$45</f>
        <v>8.8188281982031641E-5</v>
      </c>
      <c r="O22" s="2">
        <f>B24/B23</f>
        <v>375</v>
      </c>
      <c r="P22">
        <f>D23/$J$45</f>
        <v>2.6125778537176873E-3</v>
      </c>
      <c r="Q22" s="2">
        <f>D24/D23</f>
        <v>8000</v>
      </c>
      <c r="R22">
        <f>F23/$J$45</f>
        <v>7.4960039684726892E-4</v>
      </c>
      <c r="S22" s="2">
        <f>F24/F23</f>
        <v>37705.882352941175</v>
      </c>
      <c r="T22">
        <f>H23/$J$45</f>
        <v>5.5117676238769775E-5</v>
      </c>
      <c r="U22" s="2">
        <f>H24/H23</f>
        <v>74200</v>
      </c>
    </row>
    <row r="23" spans="1:21" x14ac:dyDescent="0.25">
      <c r="A23" t="s">
        <v>60</v>
      </c>
      <c r="B23">
        <v>8</v>
      </c>
      <c r="C23">
        <v>0</v>
      </c>
      <c r="D23">
        <v>237</v>
      </c>
      <c r="E23">
        <v>6.0000000000000001E-3</v>
      </c>
      <c r="F23">
        <v>68</v>
      </c>
      <c r="G23">
        <v>6.0000000000000001E-3</v>
      </c>
      <c r="H23">
        <v>5</v>
      </c>
      <c r="I23">
        <v>1E-3</v>
      </c>
      <c r="J23">
        <f t="shared" ref="J23:J44" si="0">SUM(B23,D23,F23,H23)</f>
        <v>318</v>
      </c>
      <c r="K23">
        <f t="shared" ref="K23" si="1">J23/$J$45</f>
        <v>3.5054842087857575E-3</v>
      </c>
      <c r="M23" t="s">
        <v>4</v>
      </c>
      <c r="N23">
        <f>B25/$J$45</f>
        <v>2.0944716970732513E-4</v>
      </c>
      <c r="O23" s="2">
        <f>B26/B25</f>
        <v>421.05263157894734</v>
      </c>
      <c r="P23">
        <f>D25/$J$45</f>
        <v>2.4869095518932922E-2</v>
      </c>
      <c r="Q23" s="2">
        <f>D26/D25</f>
        <v>11703.45744680851</v>
      </c>
      <c r="R23">
        <f>F25/$J$45</f>
        <v>1.6832938323320289E-2</v>
      </c>
      <c r="S23" s="2">
        <f>F26/F25</f>
        <v>37923.379174852649</v>
      </c>
      <c r="T23">
        <f>H25/$J$45</f>
        <v>1.5432949346855537E-2</v>
      </c>
      <c r="U23" s="2">
        <f>H26/H25</f>
        <v>106112.14285714286</v>
      </c>
    </row>
    <row r="24" spans="1:21" x14ac:dyDescent="0.25">
      <c r="A24" t="s">
        <v>57</v>
      </c>
      <c r="B24">
        <v>3000</v>
      </c>
      <c r="C24">
        <v>0</v>
      </c>
      <c r="D24">
        <v>1896000</v>
      </c>
      <c r="E24">
        <v>8.0000000000000002E-3</v>
      </c>
      <c r="F24">
        <v>2564000</v>
      </c>
      <c r="G24">
        <v>6.0000000000000001E-3</v>
      </c>
      <c r="H24">
        <v>371000</v>
      </c>
      <c r="I24">
        <v>1E-3</v>
      </c>
      <c r="J24">
        <f t="shared" si="0"/>
        <v>4834000</v>
      </c>
      <c r="K24">
        <f t="shared" ref="K24" si="2">J24/$J$46</f>
        <v>3.7061883531842627E-3</v>
      </c>
      <c r="M24" t="s">
        <v>88</v>
      </c>
      <c r="N24">
        <f>B27/$J$45</f>
        <v>3.1968252218486469E-4</v>
      </c>
      <c r="O24" s="2">
        <f>B28/B27</f>
        <v>344.82758620689657</v>
      </c>
      <c r="P24">
        <f>D27/$J$45</f>
        <v>7.1432508405445631E-3</v>
      </c>
      <c r="Q24" s="2">
        <f>D28/D27</f>
        <v>9904.3209876543206</v>
      </c>
      <c r="R24">
        <f>F27/$J$45</f>
        <v>6.4046739789450479E-3</v>
      </c>
      <c r="S24" s="2">
        <f>F28/F27</f>
        <v>47502.581755593805</v>
      </c>
      <c r="T24">
        <f>H27/$J$45</f>
        <v>2.5905307832221796E-3</v>
      </c>
      <c r="U24" s="2">
        <f>H28/H27</f>
        <v>67182.97872340426</v>
      </c>
    </row>
    <row r="25" spans="1:21" x14ac:dyDescent="0.25">
      <c r="A25" t="s">
        <v>21</v>
      </c>
      <c r="B25">
        <v>19</v>
      </c>
      <c r="C25">
        <v>1E-3</v>
      </c>
      <c r="D25">
        <v>2256</v>
      </c>
      <c r="E25">
        <v>5.8000000000000003E-2</v>
      </c>
      <c r="F25">
        <v>1527</v>
      </c>
      <c r="G25">
        <v>0.13</v>
      </c>
      <c r="H25">
        <v>1400</v>
      </c>
      <c r="I25">
        <v>0.23200000000000001</v>
      </c>
      <c r="J25">
        <f t="shared" si="0"/>
        <v>5202</v>
      </c>
      <c r="K25">
        <f t="shared" ref="K25" si="3">J25/$J$45</f>
        <v>5.7344430358816069E-2</v>
      </c>
      <c r="M25" t="s">
        <v>131</v>
      </c>
      <c r="N25">
        <f>B29/$J$45</f>
        <v>3.4503665325469877E-3</v>
      </c>
      <c r="O25" s="2">
        <f>B30/B29</f>
        <v>392.97124600638978</v>
      </c>
      <c r="P25">
        <f>D29/$J$45</f>
        <v>4.1735104447996475E-2</v>
      </c>
      <c r="Q25" s="2">
        <f>D30/D29</f>
        <v>14949.022715266772</v>
      </c>
      <c r="R25">
        <f>F29/$J$45</f>
        <v>6.5534917047897268E-2</v>
      </c>
      <c r="S25" s="2">
        <f>F30/F29</f>
        <v>37134.398654331373</v>
      </c>
      <c r="T25">
        <f>H29/$J$45</f>
        <v>1.8784104062172739E-2</v>
      </c>
      <c r="U25" s="2">
        <f>H30/H29</f>
        <v>100004.69483568076</v>
      </c>
    </row>
    <row r="26" spans="1:21" x14ac:dyDescent="0.25">
      <c r="A26" t="s">
        <v>58</v>
      </c>
      <c r="B26">
        <v>8000</v>
      </c>
      <c r="C26">
        <v>1E-3</v>
      </c>
      <c r="D26">
        <v>26403000</v>
      </c>
      <c r="E26">
        <v>0.11600000000000001</v>
      </c>
      <c r="F26">
        <v>57909000</v>
      </c>
      <c r="G26">
        <v>0.13100000000000001</v>
      </c>
      <c r="H26">
        <v>148557000</v>
      </c>
      <c r="I26">
        <v>0.23799999999999999</v>
      </c>
      <c r="J26">
        <f t="shared" si="0"/>
        <v>232877000</v>
      </c>
      <c r="K26">
        <f t="shared" ref="K26" si="4">J26/$J$46</f>
        <v>0.17854489555740413</v>
      </c>
      <c r="M26" t="s">
        <v>89</v>
      </c>
      <c r="N26">
        <f>B31/$J$45</f>
        <v>2.0988811111723529E-2</v>
      </c>
      <c r="O26" s="2">
        <f>B32/B31</f>
        <v>321.42857142857144</v>
      </c>
      <c r="P26">
        <f>D31/$J$45</f>
        <v>7.7638758749931105E-2</v>
      </c>
      <c r="Q26" s="2">
        <f>D32/D31</f>
        <v>6096.9757205736196</v>
      </c>
      <c r="R26">
        <f>F31/$J$45</f>
        <v>2.9124180124565947E-2</v>
      </c>
      <c r="S26" s="2">
        <f>F32/F31</f>
        <v>35948.14534443603</v>
      </c>
      <c r="T26">
        <f>H31/$J$45</f>
        <v>2.0305351926362784E-2</v>
      </c>
      <c r="U26" s="2">
        <f>H32/H31</f>
        <v>106520.0868621064</v>
      </c>
    </row>
    <row r="27" spans="1:21" x14ac:dyDescent="0.25">
      <c r="A27" t="s">
        <v>59</v>
      </c>
      <c r="B27">
        <v>29</v>
      </c>
      <c r="C27">
        <v>1E-3</v>
      </c>
      <c r="D27">
        <v>648</v>
      </c>
      <c r="E27">
        <v>1.7000000000000001E-2</v>
      </c>
      <c r="F27">
        <v>581</v>
      </c>
      <c r="G27">
        <v>4.9000000000000002E-2</v>
      </c>
      <c r="H27">
        <v>235</v>
      </c>
      <c r="I27">
        <v>3.9E-2</v>
      </c>
      <c r="J27">
        <f t="shared" si="0"/>
        <v>1493</v>
      </c>
      <c r="K27">
        <f t="shared" ref="K27" si="5">J27/$J$45</f>
        <v>1.6458138124896653E-2</v>
      </c>
      <c r="M27" t="s">
        <v>90</v>
      </c>
      <c r="N27">
        <f>B33/$J$45</f>
        <v>3.9684726891914236E-4</v>
      </c>
      <c r="O27" s="2">
        <f>B34/B33</f>
        <v>388.88888888888891</v>
      </c>
      <c r="P27">
        <f>D33/$J$45</f>
        <v>1.2434547759466461E-2</v>
      </c>
      <c r="Q27" s="2">
        <f>D34/D33</f>
        <v>6265.9574468085102</v>
      </c>
      <c r="R27">
        <f>F33/$J$45</f>
        <v>3.8692608719616381E-3</v>
      </c>
      <c r="S27" s="2">
        <f>F34/F33</f>
        <v>43162.393162393164</v>
      </c>
      <c r="T27">
        <f>H33/$J$45</f>
        <v>5.1149203549578351E-3</v>
      </c>
      <c r="U27" s="2">
        <f>H34/H33</f>
        <v>110681.03448275862</v>
      </c>
    </row>
    <row r="28" spans="1:21" x14ac:dyDescent="0.25">
      <c r="A28" t="s">
        <v>61</v>
      </c>
      <c r="B28">
        <v>10000</v>
      </c>
      <c r="C28">
        <v>1E-3</v>
      </c>
      <c r="D28">
        <v>6418000</v>
      </c>
      <c r="E28">
        <v>2.8000000000000001E-2</v>
      </c>
      <c r="F28">
        <v>27599000</v>
      </c>
      <c r="G28">
        <v>6.2E-2</v>
      </c>
      <c r="H28">
        <v>15788000</v>
      </c>
      <c r="I28">
        <v>2.5000000000000001E-2</v>
      </c>
      <c r="J28">
        <f t="shared" si="0"/>
        <v>49815000</v>
      </c>
      <c r="K28">
        <f t="shared" ref="K28" si="6">J28/$J$46</f>
        <v>3.8192753995422851E-2</v>
      </c>
      <c r="M28" t="s">
        <v>91</v>
      </c>
      <c r="N28">
        <f>B35/$J$45</f>
        <v>4.2771316761285342E-3</v>
      </c>
      <c r="O28" s="2">
        <f>B36/B35</f>
        <v>296.39175257731961</v>
      </c>
      <c r="P28">
        <f>D35/$J$45</f>
        <v>7.3086038692608719E-3</v>
      </c>
      <c r="Q28" s="2">
        <f>D36/D35</f>
        <v>2876.3197586726997</v>
      </c>
      <c r="R28">
        <f>F35/$J$45</f>
        <v>1.212588877252935E-4</v>
      </c>
      <c r="S28" s="2">
        <f>F36/F35</f>
        <v>29454.545454545456</v>
      </c>
      <c r="T28">
        <f>H35/$J$45</f>
        <v>0</v>
      </c>
      <c r="U28" s="2">
        <v>0</v>
      </c>
    </row>
    <row r="29" spans="1:21" x14ac:dyDescent="0.25">
      <c r="A29" t="s">
        <v>20</v>
      </c>
      <c r="B29">
        <v>313</v>
      </c>
      <c r="C29">
        <v>8.9999999999999993E-3</v>
      </c>
      <c r="D29">
        <v>3786</v>
      </c>
      <c r="E29">
        <v>9.7000000000000003E-2</v>
      </c>
      <c r="F29">
        <v>5945</v>
      </c>
      <c r="G29">
        <v>0.505</v>
      </c>
      <c r="H29">
        <v>1704</v>
      </c>
      <c r="I29">
        <v>0.28199999999999997</v>
      </c>
      <c r="J29">
        <f t="shared" si="0"/>
        <v>11748</v>
      </c>
      <c r="K29">
        <f t="shared" ref="K29" si="7">J29/$J$45</f>
        <v>0.12950449209061346</v>
      </c>
      <c r="M29" t="s">
        <v>70</v>
      </c>
      <c r="N29">
        <f>B37/$J$45</f>
        <v>4.3796505539326465E-2</v>
      </c>
      <c r="O29" s="2">
        <f>B38/B37</f>
        <v>256.48124842688145</v>
      </c>
      <c r="P29">
        <f>D37/$J$45</f>
        <v>3.0138345367359314E-2</v>
      </c>
      <c r="Q29" s="2">
        <f>D38/D37</f>
        <v>4114.8500365764448</v>
      </c>
      <c r="R29">
        <f>F37/$J$45</f>
        <v>2.9873780521413218E-3</v>
      </c>
      <c r="S29" s="2">
        <f>F38/F37</f>
        <v>36036.900369003692</v>
      </c>
      <c r="T29">
        <f>H37/$J$45</f>
        <v>1.9511657388524501E-3</v>
      </c>
      <c r="U29" s="2">
        <f>H38/H37</f>
        <v>104056.49717514124</v>
      </c>
    </row>
    <row r="30" spans="1:21" x14ac:dyDescent="0.25">
      <c r="A30" t="s">
        <v>62</v>
      </c>
      <c r="B30">
        <v>123000</v>
      </c>
      <c r="C30">
        <v>1.4E-2</v>
      </c>
      <c r="D30">
        <v>56597000</v>
      </c>
      <c r="E30">
        <v>0.248</v>
      </c>
      <c r="F30">
        <v>220764000</v>
      </c>
      <c r="G30">
        <v>0.498</v>
      </c>
      <c r="H30">
        <v>170408000</v>
      </c>
      <c r="I30">
        <v>2.7300000000000001E-2</v>
      </c>
      <c r="J30">
        <f t="shared" si="0"/>
        <v>447892000</v>
      </c>
      <c r="K30">
        <f t="shared" ref="K30" si="8">J30/$J$46</f>
        <v>0.34339514147381173</v>
      </c>
      <c r="M30" t="s">
        <v>132</v>
      </c>
      <c r="N30">
        <f>B39/$J$45</f>
        <v>2.9609215675467121E-2</v>
      </c>
      <c r="O30" s="2">
        <f>B40/B39</f>
        <v>281.08711839166045</v>
      </c>
      <c r="P30">
        <f>D39/$J$45</f>
        <v>5.8689301659042056E-2</v>
      </c>
      <c r="Q30" s="2">
        <f>D40/D39</f>
        <v>2738.3546205860257</v>
      </c>
      <c r="R30">
        <f>F39/$J$45</f>
        <v>1.3558948354737365E-3</v>
      </c>
      <c r="S30" s="2">
        <f>F40/F39</f>
        <v>45837.398373983742</v>
      </c>
      <c r="T30">
        <f>H39/$J$45</f>
        <v>2.2598247257895605E-3</v>
      </c>
      <c r="U30" s="2">
        <f>H40/H39</f>
        <v>107951.21951219512</v>
      </c>
    </row>
    <row r="31" spans="1:21" x14ac:dyDescent="0.25">
      <c r="A31" t="s">
        <v>64</v>
      </c>
      <c r="B31">
        <v>1904</v>
      </c>
      <c r="C31">
        <v>5.6000000000000001E-2</v>
      </c>
      <c r="D31">
        <v>7043</v>
      </c>
      <c r="E31">
        <v>0.18</v>
      </c>
      <c r="F31">
        <v>2642</v>
      </c>
      <c r="G31">
        <v>0.224</v>
      </c>
      <c r="H31">
        <v>1842</v>
      </c>
      <c r="I31">
        <v>0.30499999999999999</v>
      </c>
      <c r="J31">
        <f t="shared" si="0"/>
        <v>13431</v>
      </c>
      <c r="K31">
        <f t="shared" ref="K31" si="9">J31/$J$45</f>
        <v>0.14805710191258337</v>
      </c>
      <c r="M31" t="s">
        <v>133</v>
      </c>
      <c r="N31">
        <f>B41/$J$45</f>
        <v>2.8650168108912528E-2</v>
      </c>
      <c r="O31" s="2">
        <f>B42/B41</f>
        <v>245.09426702577915</v>
      </c>
      <c r="P31">
        <f>D41/$J$45</f>
        <v>2.8672215179408034E-2</v>
      </c>
      <c r="Q31" s="2">
        <f>D42/D41</f>
        <v>3276.8166089965398</v>
      </c>
      <c r="R31">
        <f>F41/$J$45</f>
        <v>2.8661191644160282E-4</v>
      </c>
      <c r="S31" s="2">
        <f>F42/F41</f>
        <v>35384.615384615383</v>
      </c>
      <c r="T31">
        <f>H41/$J$45</f>
        <v>7.7164746734277679E-5</v>
      </c>
      <c r="U31" s="2">
        <f>H42/H41</f>
        <v>136000</v>
      </c>
    </row>
    <row r="32" spans="1:21" x14ac:dyDescent="0.25">
      <c r="A32" t="s">
        <v>65</v>
      </c>
      <c r="B32">
        <v>612000</v>
      </c>
      <c r="C32">
        <v>6.8000000000000005E-2</v>
      </c>
      <c r="D32">
        <v>42941000</v>
      </c>
      <c r="E32">
        <v>0.186</v>
      </c>
      <c r="F32">
        <v>94975000</v>
      </c>
      <c r="G32">
        <v>0.214</v>
      </c>
      <c r="H32">
        <v>196210000</v>
      </c>
      <c r="I32">
        <v>0.314</v>
      </c>
      <c r="J32">
        <f t="shared" si="0"/>
        <v>334738000</v>
      </c>
      <c r="K32">
        <f t="shared" ref="K32" si="10">J32/$J$46</f>
        <v>0.25664089304265492</v>
      </c>
      <c r="M32" t="s">
        <v>134</v>
      </c>
      <c r="N32">
        <f>B43/$J$45</f>
        <v>0.19269139613073913</v>
      </c>
      <c r="O32" s="2">
        <f>B44/B43</f>
        <v>239.70251716247139</v>
      </c>
      <c r="P32">
        <f>D43/$J$45</f>
        <v>1.1354241305186573E-2</v>
      </c>
      <c r="Q32" s="2">
        <f>D44/D43</f>
        <v>979.61165048543694</v>
      </c>
      <c r="R32">
        <f>F43/$J$45</f>
        <v>0</v>
      </c>
      <c r="S32" s="2">
        <v>0</v>
      </c>
      <c r="T32">
        <f>H43/$J$45</f>
        <v>0</v>
      </c>
      <c r="U32" s="2">
        <v>0</v>
      </c>
    </row>
    <row r="33" spans="1:21" x14ac:dyDescent="0.25">
      <c r="A33" t="s">
        <v>66</v>
      </c>
      <c r="B33">
        <v>36</v>
      </c>
      <c r="C33">
        <v>1E-3</v>
      </c>
      <c r="D33">
        <v>1128</v>
      </c>
      <c r="E33">
        <v>2.9000000000000001E-2</v>
      </c>
      <c r="F33">
        <v>351</v>
      </c>
      <c r="G33">
        <v>0.03</v>
      </c>
      <c r="H33">
        <v>464</v>
      </c>
      <c r="I33">
        <v>7.6999999999999999E-2</v>
      </c>
      <c r="J33">
        <f t="shared" si="0"/>
        <v>1979</v>
      </c>
      <c r="K33">
        <f t="shared" ref="K33" si="11">J33/$J$45</f>
        <v>2.1815576255305075E-2</v>
      </c>
    </row>
    <row r="34" spans="1:21" x14ac:dyDescent="0.25">
      <c r="A34" t="s">
        <v>67</v>
      </c>
      <c r="B34">
        <v>14000</v>
      </c>
      <c r="C34">
        <v>2E-3</v>
      </c>
      <c r="D34">
        <v>7068000</v>
      </c>
      <c r="E34">
        <v>3.1E-2</v>
      </c>
      <c r="F34">
        <v>15150000</v>
      </c>
      <c r="G34">
        <v>3.4000000000000002E-2</v>
      </c>
      <c r="H34">
        <v>51356000</v>
      </c>
      <c r="I34">
        <v>8.2000000000000003E-2</v>
      </c>
      <c r="J34">
        <f t="shared" si="0"/>
        <v>73588000</v>
      </c>
      <c r="K34">
        <f t="shared" ref="K34" si="12">J34/$J$46</f>
        <v>5.6419319100977146E-2</v>
      </c>
      <c r="M34" t="s">
        <v>135</v>
      </c>
      <c r="N34">
        <f>SUM(N21:N32)</f>
        <v>0.37206636168219148</v>
      </c>
      <c r="O34" s="2">
        <f>AVERAGE(O21:O32)</f>
        <v>325.03572693525905</v>
      </c>
      <c r="P34">
        <f>SUM(P21:P32)</f>
        <v>0.43147219313233759</v>
      </c>
      <c r="Q34" s="2">
        <f>AVERAGE(Q21:Q32)</f>
        <v>6259.3831909765786</v>
      </c>
      <c r="R34">
        <f>SUM(R21:R32)</f>
        <v>0.12989031582428487</v>
      </c>
      <c r="S34" s="2">
        <f>AVERAGE(S21:S32)</f>
        <v>34901.427565249913</v>
      </c>
      <c r="T34">
        <f>SUM(T21:T32)</f>
        <v>6.6571129361186129E-2</v>
      </c>
      <c r="U34" s="2">
        <f>AVERAGE(U21:U32)</f>
        <v>76059.054537369098</v>
      </c>
    </row>
    <row r="35" spans="1:21" x14ac:dyDescent="0.25">
      <c r="A35" t="s">
        <v>68</v>
      </c>
      <c r="B35">
        <v>388</v>
      </c>
      <c r="C35">
        <v>1.0999999999999999E-2</v>
      </c>
      <c r="D35">
        <v>663</v>
      </c>
      <c r="E35">
        <v>1.7000000000000001E-2</v>
      </c>
      <c r="F35">
        <v>11</v>
      </c>
      <c r="G35">
        <v>1E-3</v>
      </c>
      <c r="H35">
        <v>0</v>
      </c>
      <c r="I35">
        <v>0</v>
      </c>
      <c r="J35">
        <f t="shared" si="0"/>
        <v>1062</v>
      </c>
      <c r="K35">
        <f t="shared" ref="K35" si="13">J35/$J$45</f>
        <v>1.17069944331147E-2</v>
      </c>
    </row>
    <row r="36" spans="1:21" ht="15.75" thickBot="1" x14ac:dyDescent="0.3">
      <c r="A36" t="s">
        <v>69</v>
      </c>
      <c r="B36">
        <v>115000</v>
      </c>
      <c r="C36">
        <v>1.2999999999999999E-2</v>
      </c>
      <c r="D36">
        <v>1907000</v>
      </c>
      <c r="E36">
        <v>8.0000000000000002E-3</v>
      </c>
      <c r="F36">
        <v>324000</v>
      </c>
      <c r="G36">
        <v>1E-3</v>
      </c>
      <c r="H36">
        <v>0</v>
      </c>
      <c r="I36">
        <v>0</v>
      </c>
      <c r="J36">
        <f t="shared" si="0"/>
        <v>2346000</v>
      </c>
      <c r="K36">
        <f t="shared" ref="K36" si="14">J36/$J$46</f>
        <v>1.7986590559723379E-3</v>
      </c>
    </row>
    <row r="37" spans="1:21" ht="15.75" thickBot="1" x14ac:dyDescent="0.3">
      <c r="A37" t="s">
        <v>75</v>
      </c>
      <c r="B37">
        <v>3973</v>
      </c>
      <c r="C37">
        <v>0.11799999999999999</v>
      </c>
      <c r="D37">
        <v>2734</v>
      </c>
      <c r="E37">
        <v>7.0000000000000007E-2</v>
      </c>
      <c r="F37">
        <v>271</v>
      </c>
      <c r="G37">
        <v>2.3E-2</v>
      </c>
      <c r="H37">
        <v>177</v>
      </c>
      <c r="I37">
        <v>2.9000000000000001E-2</v>
      </c>
      <c r="J37">
        <f t="shared" si="0"/>
        <v>7155</v>
      </c>
      <c r="K37">
        <f t="shared" ref="K37" si="15">J37/$J$45</f>
        <v>7.8873394697679552E-2</v>
      </c>
      <c r="M37" s="17" t="s">
        <v>0</v>
      </c>
      <c r="N37" s="18" t="s">
        <v>84</v>
      </c>
      <c r="O37" s="19" t="s">
        <v>86</v>
      </c>
      <c r="Q37" s="32"/>
    </row>
    <row r="38" spans="1:21" x14ac:dyDescent="0.25">
      <c r="A38" t="s">
        <v>76</v>
      </c>
      <c r="B38">
        <v>1019000</v>
      </c>
      <c r="C38">
        <v>0.114</v>
      </c>
      <c r="D38">
        <v>11250000</v>
      </c>
      <c r="E38">
        <v>4.9000000000000002E-2</v>
      </c>
      <c r="F38">
        <v>9766000</v>
      </c>
      <c r="G38">
        <v>2.1999999999999999E-2</v>
      </c>
      <c r="H38">
        <v>18418000</v>
      </c>
      <c r="I38">
        <v>0.03</v>
      </c>
      <c r="J38">
        <f t="shared" si="0"/>
        <v>40453000</v>
      </c>
      <c r="K38">
        <f t="shared" ref="K38" si="16">J38/$J$46</f>
        <v>3.1014984992007239E-2</v>
      </c>
      <c r="M38" s="16" t="s">
        <v>3</v>
      </c>
    </row>
    <row r="39" spans="1:21" x14ac:dyDescent="0.25">
      <c r="A39" t="s">
        <v>78</v>
      </c>
      <c r="B39">
        <v>2686</v>
      </c>
      <c r="C39">
        <v>0.08</v>
      </c>
      <c r="D39">
        <v>5324</v>
      </c>
      <c r="E39">
        <v>0.13600000000000001</v>
      </c>
      <c r="F39">
        <v>123</v>
      </c>
      <c r="G39">
        <v>0.01</v>
      </c>
      <c r="H39">
        <v>205</v>
      </c>
      <c r="I39">
        <v>3.4000000000000002E-2</v>
      </c>
      <c r="J39">
        <f t="shared" si="0"/>
        <v>8338</v>
      </c>
      <c r="K39">
        <f t="shared" ref="K39" si="17">J39/$J$45</f>
        <v>9.191423689577248E-2</v>
      </c>
      <c r="M39" s="15" t="s">
        <v>87</v>
      </c>
    </row>
    <row r="40" spans="1:21" x14ac:dyDescent="0.25">
      <c r="A40" t="s">
        <v>77</v>
      </c>
      <c r="B40">
        <v>755000</v>
      </c>
      <c r="C40">
        <v>8.4000000000000005E-2</v>
      </c>
      <c r="D40">
        <v>14579000</v>
      </c>
      <c r="E40">
        <v>6.4000000000000001E-2</v>
      </c>
      <c r="F40">
        <v>5638000</v>
      </c>
      <c r="G40">
        <v>1.2999999999999999E-2</v>
      </c>
      <c r="H40">
        <v>22130000</v>
      </c>
      <c r="I40">
        <v>3.5000000000000003E-2</v>
      </c>
      <c r="J40">
        <f t="shared" si="0"/>
        <v>43102000</v>
      </c>
      <c r="K40">
        <f t="shared" ref="K40" si="18">J40/$J$46</f>
        <v>3.304595167541334E-2</v>
      </c>
      <c r="M40" s="15" t="s">
        <v>4</v>
      </c>
    </row>
    <row r="41" spans="1:21" x14ac:dyDescent="0.25">
      <c r="A41" t="s">
        <v>79</v>
      </c>
      <c r="B41">
        <v>2599</v>
      </c>
      <c r="C41">
        <v>7.6999999999999999E-2</v>
      </c>
      <c r="D41">
        <v>2601</v>
      </c>
      <c r="E41">
        <v>6.6000000000000003E-2</v>
      </c>
      <c r="F41">
        <v>26</v>
      </c>
      <c r="G41">
        <v>2E-3</v>
      </c>
      <c r="H41">
        <v>7</v>
      </c>
      <c r="I41">
        <v>1E-3</v>
      </c>
      <c r="J41">
        <f t="shared" si="0"/>
        <v>5233</v>
      </c>
      <c r="K41">
        <f t="shared" ref="K41" si="19">J41/$J$45</f>
        <v>5.7686159951496445E-2</v>
      </c>
      <c r="M41" s="15" t="s">
        <v>88</v>
      </c>
    </row>
    <row r="42" spans="1:21" x14ac:dyDescent="0.25">
      <c r="A42" t="s">
        <v>80</v>
      </c>
      <c r="B42">
        <v>637000</v>
      </c>
      <c r="C42">
        <v>7.0999999999999994E-2</v>
      </c>
      <c r="D42">
        <v>8523000</v>
      </c>
      <c r="E42">
        <v>3.6999999999999998E-2</v>
      </c>
      <c r="F42">
        <v>920000</v>
      </c>
      <c r="G42">
        <v>2E-3</v>
      </c>
      <c r="H42">
        <v>952000</v>
      </c>
      <c r="I42">
        <v>2E-3</v>
      </c>
      <c r="J42">
        <f t="shared" si="0"/>
        <v>11032000</v>
      </c>
      <c r="K42">
        <f t="shared" ref="K42" si="20">J42/$J$46</f>
        <v>8.4581443757403372E-3</v>
      </c>
      <c r="M42" s="15" t="s">
        <v>2</v>
      </c>
    </row>
    <row r="43" spans="1:21" x14ac:dyDescent="0.25">
      <c r="A43" t="s">
        <v>81</v>
      </c>
      <c r="B43">
        <v>17480</v>
      </c>
      <c r="C43">
        <v>0.51800000000000002</v>
      </c>
      <c r="D43">
        <v>1030</v>
      </c>
      <c r="E43">
        <v>2.5999999999999999E-2</v>
      </c>
      <c r="F43">
        <v>0</v>
      </c>
      <c r="G43">
        <v>0</v>
      </c>
      <c r="H43">
        <v>0</v>
      </c>
      <c r="I43">
        <v>0</v>
      </c>
      <c r="J43">
        <f t="shared" si="0"/>
        <v>18510</v>
      </c>
      <c r="K43">
        <f t="shared" ref="K43" si="21">J43/$J$45</f>
        <v>0.20404563743592571</v>
      </c>
      <c r="M43" s="15" t="s">
        <v>89</v>
      </c>
    </row>
    <row r="44" spans="1:21" x14ac:dyDescent="0.25">
      <c r="A44" t="s">
        <v>82</v>
      </c>
      <c r="B44">
        <v>4190000</v>
      </c>
      <c r="C44">
        <v>0.46899999999999997</v>
      </c>
      <c r="D44">
        <v>1009000</v>
      </c>
      <c r="E44">
        <v>4.0000000000000001E-3</v>
      </c>
      <c r="F44">
        <v>0</v>
      </c>
      <c r="G44">
        <v>0</v>
      </c>
      <c r="H44">
        <v>0</v>
      </c>
      <c r="I44">
        <v>0</v>
      </c>
      <c r="J44">
        <f t="shared" si="0"/>
        <v>5199000</v>
      </c>
      <c r="K44">
        <f t="shared" ref="K44" si="22">J44/$J$46</f>
        <v>3.9860308746803852E-3</v>
      </c>
      <c r="M44" s="15" t="s">
        <v>90</v>
      </c>
    </row>
    <row r="45" spans="1:21" x14ac:dyDescent="0.25">
      <c r="A45" s="1" t="s">
        <v>85</v>
      </c>
      <c r="B45" s="1"/>
      <c r="C45" s="1"/>
      <c r="D45" s="1"/>
      <c r="E45" s="1"/>
      <c r="F45" s="1"/>
      <c r="G45" s="1"/>
      <c r="H45" s="1"/>
      <c r="I45" s="1"/>
      <c r="J45" s="1">
        <f>SUM(J21,J23,J25,J27,J29,J31,J33,J35,J37,J39,J41,J43)</f>
        <v>90715</v>
      </c>
      <c r="K45">
        <f>SUM(K21+K23+K25+K27+K29+K31+K33+K35+K37+K39+K41+K43)</f>
        <v>1</v>
      </c>
      <c r="M45" s="15" t="s">
        <v>91</v>
      </c>
    </row>
    <row r="46" spans="1:21" x14ac:dyDescent="0.25">
      <c r="A46" s="1" t="s">
        <v>84</v>
      </c>
      <c r="B46" s="1"/>
      <c r="C46" s="1"/>
      <c r="D46" s="1"/>
      <c r="E46" s="1"/>
      <c r="F46" s="1"/>
      <c r="G46" s="1"/>
      <c r="H46" s="1"/>
      <c r="I46" s="1"/>
      <c r="J46" s="1">
        <f>SUM(J22,J24,J26,J28,J30,J32,J34,J36,J38,J40,J42,J44)</f>
        <v>1304305000</v>
      </c>
      <c r="K46">
        <f>SUM(K44,K42,K40,K38,K36,K34,K32,K30,K28,K26,K24,K22)</f>
        <v>1</v>
      </c>
      <c r="M46" s="15" t="s">
        <v>70</v>
      </c>
    </row>
    <row r="47" spans="1:21" ht="15.75" thickBot="1" x14ac:dyDescent="0.3">
      <c r="M47" s="15" t="s">
        <v>92</v>
      </c>
    </row>
    <row r="48" spans="1:21" ht="15.75" thickBot="1" x14ac:dyDescent="0.3">
      <c r="A48" s="17" t="s">
        <v>0</v>
      </c>
      <c r="B48" s="18" t="s">
        <v>84</v>
      </c>
      <c r="C48" s="19" t="s">
        <v>86</v>
      </c>
      <c r="E48" s="22" t="s">
        <v>95</v>
      </c>
      <c r="F48" s="23" t="s">
        <v>96</v>
      </c>
      <c r="G48" s="24" t="s">
        <v>105</v>
      </c>
      <c r="M48" s="15" t="s">
        <v>93</v>
      </c>
    </row>
    <row r="49" spans="1:13" x14ac:dyDescent="0.25">
      <c r="A49" s="16" t="s">
        <v>3</v>
      </c>
      <c r="B49" s="16">
        <f>J22</f>
        <v>58429000</v>
      </c>
      <c r="C49" s="16">
        <f>B49/B7</f>
        <v>29659390.862944163</v>
      </c>
      <c r="E49" s="21" t="s">
        <v>97</v>
      </c>
      <c r="F49" s="21">
        <v>0.8548</v>
      </c>
      <c r="G49" s="16">
        <f>$C$62*F49</f>
        <v>463229.73040788999</v>
      </c>
      <c r="M49" s="15" t="s">
        <v>94</v>
      </c>
    </row>
    <row r="50" spans="1:13" x14ac:dyDescent="0.25">
      <c r="A50" s="15" t="s">
        <v>87</v>
      </c>
      <c r="B50" s="15">
        <f>J24</f>
        <v>4834000</v>
      </c>
      <c r="C50" s="15">
        <f>B50/B15</f>
        <v>1810486.8913857678</v>
      </c>
      <c r="E50" s="20" t="s">
        <v>98</v>
      </c>
      <c r="F50" s="20">
        <v>1.0500000000000001E-2</v>
      </c>
      <c r="G50" s="15">
        <f>$C$62*F50</f>
        <v>5690.11718446753</v>
      </c>
      <c r="M50" s="15"/>
    </row>
    <row r="51" spans="1:13" x14ac:dyDescent="0.25">
      <c r="A51" s="15" t="s">
        <v>4</v>
      </c>
      <c r="B51" s="15">
        <f>J26</f>
        <v>232877000</v>
      </c>
      <c r="C51" s="15">
        <f>B51/B5</f>
        <v>105374208.14479639</v>
      </c>
      <c r="E51" s="20" t="s">
        <v>99</v>
      </c>
      <c r="F51" s="20">
        <v>6.25E-2</v>
      </c>
      <c r="G51" s="15">
        <f t="shared" ref="G51:G56" si="23">$C$62*F51</f>
        <v>33869.745145640059</v>
      </c>
      <c r="M51" s="14" t="s">
        <v>36</v>
      </c>
    </row>
    <row r="52" spans="1:13" x14ac:dyDescent="0.25">
      <c r="A52" s="15" t="s">
        <v>88</v>
      </c>
      <c r="B52" s="15">
        <f>J28</f>
        <v>49815000</v>
      </c>
      <c r="C52" s="15">
        <f>B52/B13</f>
        <v>15567187.5</v>
      </c>
      <c r="E52" s="20" t="s">
        <v>100</v>
      </c>
      <c r="F52" s="20">
        <v>1.2500000000000001E-2</v>
      </c>
      <c r="G52" s="15">
        <f t="shared" si="23"/>
        <v>6773.9490291280126</v>
      </c>
    </row>
    <row r="53" spans="1:13" x14ac:dyDescent="0.25">
      <c r="A53" s="15" t="s">
        <v>2</v>
      </c>
      <c r="B53" s="15">
        <f>J30</f>
        <v>447892000</v>
      </c>
      <c r="C53" s="15">
        <f>B53/B4</f>
        <v>174957812.5</v>
      </c>
      <c r="E53" s="20" t="s">
        <v>101</v>
      </c>
      <c r="F53" s="20">
        <v>2.5499999999999998E-2</v>
      </c>
      <c r="G53" s="15">
        <f t="shared" si="23"/>
        <v>13818.856019421144</v>
      </c>
    </row>
    <row r="54" spans="1:13" x14ac:dyDescent="0.25">
      <c r="A54" s="15" t="s">
        <v>89</v>
      </c>
      <c r="B54" s="15">
        <f>J32</f>
        <v>334738000</v>
      </c>
      <c r="C54" s="15">
        <f>B54/B16</f>
        <v>117451929.8245614</v>
      </c>
      <c r="E54" s="20" t="s">
        <v>102</v>
      </c>
      <c r="F54" s="20">
        <v>1.2E-2</v>
      </c>
      <c r="G54" s="15">
        <f t="shared" si="23"/>
        <v>6502.991067962892</v>
      </c>
    </row>
    <row r="55" spans="1:13" x14ac:dyDescent="0.25">
      <c r="A55" s="15" t="s">
        <v>90</v>
      </c>
      <c r="B55" s="15">
        <f>J34</f>
        <v>73588000</v>
      </c>
      <c r="C55" s="15">
        <f>B55/B6</f>
        <v>38128497.409326427</v>
      </c>
      <c r="E55" s="20" t="s">
        <v>103</v>
      </c>
      <c r="F55" s="20">
        <v>1.2999999999999999E-2</v>
      </c>
      <c r="G55" s="15">
        <f t="shared" si="23"/>
        <v>7044.9069902931324</v>
      </c>
    </row>
    <row r="56" spans="1:13" x14ac:dyDescent="0.25">
      <c r="A56" s="15" t="s">
        <v>91</v>
      </c>
      <c r="B56" s="15">
        <f>J36</f>
        <v>2346000</v>
      </c>
      <c r="C56" s="15">
        <f>B56/B10</f>
        <v>1371929.8245614036</v>
      </c>
      <c r="E56" s="20" t="s">
        <v>104</v>
      </c>
      <c r="F56" s="20">
        <v>9.2999999999999992E-3</v>
      </c>
      <c r="G56" s="15">
        <f t="shared" si="23"/>
        <v>5039.8180776712406</v>
      </c>
    </row>
    <row r="57" spans="1:13" x14ac:dyDescent="0.25">
      <c r="A57" s="15" t="s">
        <v>70</v>
      </c>
      <c r="B57" s="15">
        <f>J38</f>
        <v>40453000</v>
      </c>
      <c r="C57" s="15">
        <f>B57/B11</f>
        <v>32888617.886178862</v>
      </c>
    </row>
    <row r="58" spans="1:13" x14ac:dyDescent="0.25">
      <c r="A58" s="15" t="s">
        <v>92</v>
      </c>
      <c r="B58" s="15">
        <f>J40</f>
        <v>43102000</v>
      </c>
      <c r="C58" s="15">
        <f>B58/B9</f>
        <v>14561486.486486487</v>
      </c>
    </row>
    <row r="59" spans="1:13" x14ac:dyDescent="0.25">
      <c r="A59" s="15" t="s">
        <v>93</v>
      </c>
      <c r="B59" s="15">
        <f>J42</f>
        <v>11032000</v>
      </c>
      <c r="C59" s="15">
        <f>B59/B14</f>
        <v>6895000</v>
      </c>
    </row>
    <row r="60" spans="1:13" x14ac:dyDescent="0.25">
      <c r="A60" s="15" t="s">
        <v>94</v>
      </c>
      <c r="B60" s="15">
        <f>J44</f>
        <v>5199000</v>
      </c>
      <c r="C60" s="15">
        <f>B60/B17</f>
        <v>3249375</v>
      </c>
    </row>
    <row r="61" spans="1:13" x14ac:dyDescent="0.25">
      <c r="A61" s="15"/>
      <c r="B61" s="15"/>
      <c r="C61" s="15"/>
    </row>
    <row r="62" spans="1:13" x14ac:dyDescent="0.25">
      <c r="A62" s="14" t="s">
        <v>36</v>
      </c>
      <c r="B62" s="15">
        <f>SUM(B49:B60)</f>
        <v>1304305000</v>
      </c>
      <c r="C62" s="15">
        <f>SUM(C49:C60)/1000</f>
        <v>541915.92233024095</v>
      </c>
    </row>
    <row r="64" spans="1:13" x14ac:dyDescent="0.25">
      <c r="A64" s="33" t="s">
        <v>114</v>
      </c>
    </row>
  </sheetData>
  <pageMargins left="0.7" right="0.7" top="0.75" bottom="0.75" header="0.3" footer="0.3"/>
  <ignoredErrors>
    <ignoredError sqref="C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3354-3CA3-4AFC-B020-543CE6E8F854}">
  <dimension ref="A1:T34"/>
  <sheetViews>
    <sheetView zoomScale="50" zoomScaleNormal="50" workbookViewId="0">
      <selection activeCell="D40" sqref="D40"/>
    </sheetView>
  </sheetViews>
  <sheetFormatPr defaultRowHeight="15" x14ac:dyDescent="0.25"/>
  <cols>
    <col min="1" max="2" width="15.7109375" bestFit="1" customWidth="1"/>
    <col min="3" max="3" width="18.28515625" customWidth="1"/>
    <col min="4" max="4" width="18.7109375" bestFit="1" customWidth="1"/>
    <col min="5" max="5" width="16.28515625" customWidth="1"/>
    <col min="6" max="6" width="10.42578125" bestFit="1" customWidth="1"/>
    <col min="20" max="20" width="11.28515625" bestFit="1" customWidth="1"/>
  </cols>
  <sheetData>
    <row r="1" spans="1:7" ht="15.75" thickBot="1" x14ac:dyDescent="0.3">
      <c r="A1" s="25" t="s">
        <v>115</v>
      </c>
      <c r="B1" s="26" t="s">
        <v>113</v>
      </c>
      <c r="C1" s="26" t="s">
        <v>114</v>
      </c>
      <c r="D1" s="26" t="s">
        <v>116</v>
      </c>
      <c r="E1" s="28" t="s">
        <v>125</v>
      </c>
    </row>
    <row r="2" spans="1:7" x14ac:dyDescent="0.25">
      <c r="A2">
        <v>2019</v>
      </c>
      <c r="F2" t="s">
        <v>117</v>
      </c>
      <c r="G2">
        <v>1.8520000000000001</v>
      </c>
    </row>
    <row r="3" spans="1:7" x14ac:dyDescent="0.25">
      <c r="A3">
        <v>2018</v>
      </c>
      <c r="B3">
        <f>D3*G2</f>
        <v>108919824000000</v>
      </c>
      <c r="C3">
        <v>92251</v>
      </c>
      <c r="D3">
        <v>58812000000000</v>
      </c>
      <c r="E3">
        <f>B3/C3</f>
        <v>1180689900.3804836</v>
      </c>
    </row>
    <row r="4" spans="1:7" x14ac:dyDescent="0.25">
      <c r="A4">
        <v>2017</v>
      </c>
      <c r="B4">
        <f>D4*$G$2</f>
        <v>107595644000000</v>
      </c>
      <c r="C4">
        <v>90715</v>
      </c>
      <c r="D4">
        <f>S34</f>
        <v>58097000000000</v>
      </c>
      <c r="E4">
        <f t="shared" ref="E4:E16" si="0">B4/C4</f>
        <v>1186084374.1387863</v>
      </c>
    </row>
    <row r="5" spans="1:7" x14ac:dyDescent="0.25">
      <c r="A5">
        <v>2016</v>
      </c>
      <c r="B5">
        <f t="shared" ref="B5:B21" si="1">D5*$G$2</f>
        <v>102454492000000</v>
      </c>
      <c r="C5">
        <v>89804</v>
      </c>
      <c r="D5">
        <f>R34</f>
        <v>55321000000000</v>
      </c>
      <c r="E5">
        <f t="shared" si="0"/>
        <v>1140867800.9888201</v>
      </c>
    </row>
    <row r="6" spans="1:7" x14ac:dyDescent="0.25">
      <c r="A6">
        <v>2015</v>
      </c>
      <c r="B6">
        <f t="shared" si="1"/>
        <v>99037552000000</v>
      </c>
      <c r="C6">
        <v>87233</v>
      </c>
      <c r="D6">
        <f>Q34</f>
        <v>53476000000000</v>
      </c>
      <c r="E6">
        <f t="shared" si="0"/>
        <v>1135322091.4103608</v>
      </c>
    </row>
    <row r="7" spans="1:7" x14ac:dyDescent="0.25">
      <c r="A7">
        <v>2014</v>
      </c>
      <c r="B7">
        <f t="shared" si="1"/>
        <v>97465204000000</v>
      </c>
      <c r="C7">
        <v>85094</v>
      </c>
      <c r="D7">
        <f>P34</f>
        <v>52627000000000</v>
      </c>
      <c r="E7">
        <f t="shared" si="0"/>
        <v>1145382800.1974287</v>
      </c>
    </row>
    <row r="8" spans="1:7" x14ac:dyDescent="0.25">
      <c r="A8">
        <v>2013</v>
      </c>
      <c r="B8">
        <f t="shared" si="1"/>
        <v>93507480000000</v>
      </c>
      <c r="C8">
        <v>81584</v>
      </c>
      <c r="D8">
        <f>O34</f>
        <v>50490000000000</v>
      </c>
      <c r="E8">
        <f t="shared" si="0"/>
        <v>1146149735.2422044</v>
      </c>
    </row>
    <row r="9" spans="1:7" x14ac:dyDescent="0.25">
      <c r="A9">
        <v>2012</v>
      </c>
      <c r="B9">
        <f t="shared" si="1"/>
        <v>90631324000000</v>
      </c>
      <c r="C9">
        <v>79471</v>
      </c>
      <c r="D9">
        <f>N34</f>
        <v>48937000000000</v>
      </c>
      <c r="E9">
        <f t="shared" si="0"/>
        <v>1140432660.9706686</v>
      </c>
    </row>
    <row r="10" spans="1:7" x14ac:dyDescent="0.25">
      <c r="A10">
        <v>2011</v>
      </c>
      <c r="B10">
        <f t="shared" si="1"/>
        <v>86736568000000</v>
      </c>
      <c r="C10">
        <v>79074</v>
      </c>
      <c r="D10">
        <f>M34</f>
        <v>46834000000000</v>
      </c>
      <c r="E10">
        <f>B10/C10</f>
        <v>1096903761.0339682</v>
      </c>
    </row>
    <row r="11" spans="1:7" x14ac:dyDescent="0.25">
      <c r="A11">
        <v>2010</v>
      </c>
      <c r="B11">
        <f t="shared" si="1"/>
        <v>82604756000000</v>
      </c>
      <c r="C11">
        <v>77768</v>
      </c>
      <c r="D11">
        <f>L34</f>
        <v>44603000000000</v>
      </c>
      <c r="E11">
        <f t="shared" si="0"/>
        <v>1062194681.6171175</v>
      </c>
    </row>
    <row r="12" spans="1:7" x14ac:dyDescent="0.25">
      <c r="A12">
        <v>2009</v>
      </c>
      <c r="B12">
        <f t="shared" si="1"/>
        <v>74650416000000</v>
      </c>
      <c r="C12">
        <v>74951</v>
      </c>
      <c r="D12">
        <f>K34</f>
        <v>40308000000000</v>
      </c>
      <c r="E12">
        <f t="shared" si="0"/>
        <v>995989593.20089126</v>
      </c>
    </row>
    <row r="13" spans="1:7" x14ac:dyDescent="0.25">
      <c r="A13">
        <v>2008</v>
      </c>
      <c r="B13">
        <f t="shared" si="1"/>
        <v>78093284000000</v>
      </c>
      <c r="C13">
        <v>74814</v>
      </c>
      <c r="D13">
        <f>J34</f>
        <v>42167000000000</v>
      </c>
      <c r="E13">
        <f t="shared" si="0"/>
        <v>1043832491.2449541</v>
      </c>
    </row>
    <row r="14" spans="1:7" x14ac:dyDescent="0.25">
      <c r="A14">
        <v>2007</v>
      </c>
      <c r="B14">
        <f t="shared" si="1"/>
        <v>76259804000000</v>
      </c>
      <c r="C14">
        <v>71929</v>
      </c>
      <c r="D14">
        <f>I34</f>
        <v>41177000000000</v>
      </c>
      <c r="E14">
        <f t="shared" si="0"/>
        <v>1060209428.742232</v>
      </c>
    </row>
    <row r="15" spans="1:7" x14ac:dyDescent="0.25">
      <c r="A15">
        <v>2006</v>
      </c>
      <c r="B15">
        <f t="shared" si="1"/>
        <v>73968880000000</v>
      </c>
      <c r="C15">
        <v>69572</v>
      </c>
      <c r="D15">
        <f>H34</f>
        <v>39940000000000</v>
      </c>
      <c r="E15">
        <f t="shared" si="0"/>
        <v>1063198988.0986603</v>
      </c>
    </row>
    <row r="16" spans="1:7" x14ac:dyDescent="0.25">
      <c r="A16">
        <v>2005</v>
      </c>
      <c r="B16">
        <f t="shared" si="1"/>
        <v>70124128000000</v>
      </c>
      <c r="C16">
        <v>61227</v>
      </c>
      <c r="D16">
        <f>G34</f>
        <v>37864000000000</v>
      </c>
      <c r="E16">
        <f t="shared" si="0"/>
        <v>1145313799.467555</v>
      </c>
    </row>
    <row r="17" spans="1:20" x14ac:dyDescent="0.25">
      <c r="A17">
        <v>2004</v>
      </c>
      <c r="B17">
        <f t="shared" si="1"/>
        <v>67151668000000</v>
      </c>
      <c r="D17">
        <f>F34</f>
        <v>36259000000000</v>
      </c>
    </row>
    <row r="18" spans="1:20" x14ac:dyDescent="0.25">
      <c r="A18">
        <v>2003</v>
      </c>
      <c r="B18">
        <f t="shared" si="1"/>
        <v>62312392000000</v>
      </c>
      <c r="D18">
        <f>E34</f>
        <v>33646000000000</v>
      </c>
    </row>
    <row r="19" spans="1:20" x14ac:dyDescent="0.25">
      <c r="A19">
        <v>2002</v>
      </c>
      <c r="B19">
        <f t="shared" si="1"/>
        <v>58467640000000</v>
      </c>
      <c r="D19">
        <f>D34</f>
        <v>31570000000000</v>
      </c>
    </row>
    <row r="20" spans="1:20" x14ac:dyDescent="0.25">
      <c r="A20">
        <v>2001</v>
      </c>
      <c r="B20">
        <f t="shared" si="1"/>
        <v>58102796000000</v>
      </c>
      <c r="D20">
        <f>C34</f>
        <v>31373000000000</v>
      </c>
    </row>
    <row r="21" spans="1:20" x14ac:dyDescent="0.25">
      <c r="A21">
        <v>2000</v>
      </c>
      <c r="B21">
        <f t="shared" si="1"/>
        <v>57710172000000</v>
      </c>
      <c r="D21">
        <f>B34</f>
        <v>31161000000000</v>
      </c>
    </row>
    <row r="23" spans="1:20" x14ac:dyDescent="0.25">
      <c r="E23" s="2">
        <f>SUM(E3:E16)/14</f>
        <v>1110183721.9095807</v>
      </c>
    </row>
    <row r="24" spans="1:20" ht="15.75" thickBot="1" x14ac:dyDescent="0.3"/>
    <row r="25" spans="1:20" ht="15.75" thickBot="1" x14ac:dyDescent="0.3">
      <c r="A25" s="25"/>
      <c r="B25" s="26">
        <v>2000</v>
      </c>
      <c r="C25" s="26">
        <v>2001</v>
      </c>
      <c r="D25" s="26">
        <v>2002</v>
      </c>
      <c r="E25" s="26">
        <v>2003</v>
      </c>
      <c r="F25" s="26">
        <v>2004</v>
      </c>
      <c r="G25" s="26">
        <v>2005</v>
      </c>
      <c r="H25" s="26">
        <v>2006</v>
      </c>
      <c r="I25" s="26">
        <v>2007</v>
      </c>
      <c r="J25" s="26">
        <v>2008</v>
      </c>
      <c r="K25" s="26">
        <v>2009</v>
      </c>
      <c r="L25" s="26">
        <v>2010</v>
      </c>
      <c r="M25" s="26">
        <v>2011</v>
      </c>
      <c r="N25" s="26">
        <v>2012</v>
      </c>
      <c r="O25" s="26">
        <v>2013</v>
      </c>
      <c r="P25" s="26">
        <v>2014</v>
      </c>
      <c r="Q25" s="26">
        <v>2015</v>
      </c>
      <c r="R25" s="26">
        <v>2016</v>
      </c>
      <c r="S25" s="26">
        <v>2017</v>
      </c>
      <c r="T25" s="27">
        <v>2018</v>
      </c>
    </row>
    <row r="26" spans="1:20" x14ac:dyDescent="0.25">
      <c r="A26" t="s">
        <v>118</v>
      </c>
      <c r="B26">
        <v>580</v>
      </c>
      <c r="C26">
        <v>589</v>
      </c>
      <c r="D26">
        <v>620</v>
      </c>
      <c r="E26">
        <v>632</v>
      </c>
      <c r="F26">
        <v>650</v>
      </c>
      <c r="G26">
        <v>676</v>
      </c>
      <c r="H26">
        <v>713</v>
      </c>
      <c r="I26">
        <v>747</v>
      </c>
      <c r="J26">
        <v>759</v>
      </c>
      <c r="K26">
        <v>783</v>
      </c>
      <c r="L26">
        <v>848</v>
      </c>
      <c r="M26">
        <v>888</v>
      </c>
      <c r="N26">
        <v>903</v>
      </c>
      <c r="O26">
        <v>925</v>
      </c>
      <c r="P26">
        <v>920</v>
      </c>
      <c r="Q26">
        <v>961</v>
      </c>
      <c r="R26">
        <v>993</v>
      </c>
      <c r="S26">
        <v>1058</v>
      </c>
      <c r="T26">
        <v>1111</v>
      </c>
    </row>
    <row r="27" spans="1:20" x14ac:dyDescent="0.25">
      <c r="A27" t="s">
        <v>119</v>
      </c>
      <c r="B27">
        <v>576</v>
      </c>
      <c r="C27">
        <v>591</v>
      </c>
      <c r="D27">
        <v>611</v>
      </c>
      <c r="E27">
        <v>662</v>
      </c>
      <c r="F27">
        <v>717</v>
      </c>
      <c r="G27">
        <v>735</v>
      </c>
      <c r="H27">
        <v>833</v>
      </c>
      <c r="I27">
        <v>913</v>
      </c>
      <c r="J27">
        <v>956</v>
      </c>
      <c r="K27">
        <v>958</v>
      </c>
      <c r="L27">
        <v>1148</v>
      </c>
      <c r="M27">
        <v>1344</v>
      </c>
      <c r="N27">
        <v>1333</v>
      </c>
      <c r="O27">
        <v>1337</v>
      </c>
      <c r="P27">
        <v>1381</v>
      </c>
      <c r="Q27">
        <v>1421</v>
      </c>
      <c r="R27">
        <v>1462</v>
      </c>
      <c r="S27">
        <v>1595</v>
      </c>
      <c r="T27">
        <v>1766</v>
      </c>
    </row>
    <row r="28" spans="1:20" x14ac:dyDescent="0.25">
      <c r="A28" t="s">
        <v>120</v>
      </c>
      <c r="B28">
        <v>9514</v>
      </c>
      <c r="C28">
        <v>9303</v>
      </c>
      <c r="D28">
        <v>8938</v>
      </c>
      <c r="E28">
        <v>9665</v>
      </c>
      <c r="F28">
        <v>10348</v>
      </c>
      <c r="G28">
        <v>10654</v>
      </c>
      <c r="H28">
        <v>10984</v>
      </c>
      <c r="I28">
        <v>10981</v>
      </c>
      <c r="J28">
        <v>11211</v>
      </c>
      <c r="K28">
        <v>10679</v>
      </c>
      <c r="L28">
        <v>11255</v>
      </c>
      <c r="M28">
        <v>11420</v>
      </c>
      <c r="N28">
        <v>11831</v>
      </c>
      <c r="O28">
        <v>11657</v>
      </c>
      <c r="P28">
        <v>11659</v>
      </c>
      <c r="Q28">
        <v>11993</v>
      </c>
      <c r="R28">
        <v>12657</v>
      </c>
      <c r="S28">
        <v>13216</v>
      </c>
      <c r="T28">
        <v>13809</v>
      </c>
    </row>
    <row r="29" spans="1:20" x14ac:dyDescent="0.25">
      <c r="A29" t="s">
        <v>121</v>
      </c>
      <c r="B29">
        <v>4233</v>
      </c>
      <c r="C29">
        <v>4245</v>
      </c>
      <c r="D29">
        <v>4414</v>
      </c>
      <c r="E29">
        <v>4150</v>
      </c>
      <c r="F29">
        <v>3920</v>
      </c>
      <c r="G29">
        <v>3818</v>
      </c>
      <c r="H29">
        <v>3712</v>
      </c>
      <c r="I29">
        <v>3257</v>
      </c>
      <c r="J29">
        <v>3517</v>
      </c>
      <c r="K29">
        <v>3481</v>
      </c>
      <c r="L29">
        <v>3723</v>
      </c>
      <c r="M29">
        <v>3645</v>
      </c>
      <c r="N29">
        <v>3795</v>
      </c>
      <c r="O29">
        <v>3923</v>
      </c>
      <c r="P29">
        <v>4065</v>
      </c>
      <c r="Q29">
        <v>4139</v>
      </c>
      <c r="R29">
        <v>4242</v>
      </c>
      <c r="S29">
        <v>4384</v>
      </c>
      <c r="T29">
        <v>4497</v>
      </c>
    </row>
    <row r="30" spans="1:20" x14ac:dyDescent="0.25">
      <c r="A30" t="s">
        <v>122</v>
      </c>
      <c r="B30">
        <v>3111</v>
      </c>
      <c r="C30">
        <v>3279</v>
      </c>
      <c r="D30">
        <v>3512</v>
      </c>
      <c r="E30">
        <v>4124</v>
      </c>
      <c r="F30">
        <v>4687</v>
      </c>
      <c r="G30">
        <v>5185</v>
      </c>
      <c r="H30">
        <v>5601</v>
      </c>
      <c r="I30">
        <v>6178</v>
      </c>
      <c r="J30">
        <v>6431</v>
      </c>
      <c r="K30">
        <v>5815</v>
      </c>
      <c r="L30">
        <v>6588</v>
      </c>
      <c r="M30">
        <v>7206</v>
      </c>
      <c r="N30">
        <v>7352</v>
      </c>
      <c r="O30">
        <v>7712</v>
      </c>
      <c r="P30">
        <v>8157</v>
      </c>
      <c r="Q30">
        <v>8290</v>
      </c>
      <c r="R30">
        <v>8635</v>
      </c>
      <c r="S30">
        <v>9117</v>
      </c>
      <c r="T30">
        <v>9535</v>
      </c>
    </row>
    <row r="31" spans="1:20" x14ac:dyDescent="0.25">
      <c r="A31" t="s">
        <v>123</v>
      </c>
      <c r="B31">
        <v>6638</v>
      </c>
      <c r="C31">
        <v>6573</v>
      </c>
      <c r="D31">
        <v>6538</v>
      </c>
      <c r="E31">
        <v>6965</v>
      </c>
      <c r="F31">
        <v>7876</v>
      </c>
      <c r="G31">
        <v>8170</v>
      </c>
      <c r="H31">
        <v>8852</v>
      </c>
      <c r="I31">
        <v>9160</v>
      </c>
      <c r="J31">
        <v>8817</v>
      </c>
      <c r="K31">
        <v>7586</v>
      </c>
      <c r="L31">
        <v>8705</v>
      </c>
      <c r="M31">
        <v>9312</v>
      </c>
      <c r="N31">
        <v>9624</v>
      </c>
      <c r="O31">
        <v>10172</v>
      </c>
      <c r="P31">
        <v>10617</v>
      </c>
      <c r="Q31">
        <v>10775</v>
      </c>
      <c r="R31">
        <v>11018</v>
      </c>
      <c r="S31">
        <v>11510</v>
      </c>
      <c r="T31">
        <v>11967</v>
      </c>
    </row>
    <row r="32" spans="1:20" x14ac:dyDescent="0.25">
      <c r="A32" t="s">
        <v>124</v>
      </c>
      <c r="B32">
        <v>6509</v>
      </c>
      <c r="C32">
        <v>6793</v>
      </c>
      <c r="D32">
        <v>6937</v>
      </c>
      <c r="E32">
        <v>7448</v>
      </c>
      <c r="F32">
        <v>8061</v>
      </c>
      <c r="G32">
        <v>8626</v>
      </c>
      <c r="H32">
        <v>9245</v>
      </c>
      <c r="I32">
        <v>9941</v>
      </c>
      <c r="J32">
        <v>10476</v>
      </c>
      <c r="K32">
        <v>11006</v>
      </c>
      <c r="L32">
        <v>12336</v>
      </c>
      <c r="M32">
        <v>13019</v>
      </c>
      <c r="N32">
        <v>14099</v>
      </c>
      <c r="O32">
        <v>14764</v>
      </c>
      <c r="P32">
        <v>15828</v>
      </c>
      <c r="Q32">
        <v>15897</v>
      </c>
      <c r="R32">
        <v>16314</v>
      </c>
      <c r="S32">
        <v>17217</v>
      </c>
      <c r="T32">
        <v>17729</v>
      </c>
    </row>
    <row r="34" spans="1:20" x14ac:dyDescent="0.25">
      <c r="A34" t="s">
        <v>36</v>
      </c>
      <c r="B34">
        <f>SUM(B26:B32)*1000000000</f>
        <v>31161000000000</v>
      </c>
      <c r="C34">
        <f t="shared" ref="C34:S34" si="2">SUM(C26:C32)*1000000000</f>
        <v>31373000000000</v>
      </c>
      <c r="D34">
        <f t="shared" si="2"/>
        <v>31570000000000</v>
      </c>
      <c r="E34">
        <f t="shared" si="2"/>
        <v>33646000000000</v>
      </c>
      <c r="F34">
        <f t="shared" si="2"/>
        <v>36259000000000</v>
      </c>
      <c r="G34">
        <f t="shared" si="2"/>
        <v>37864000000000</v>
      </c>
      <c r="H34">
        <f t="shared" si="2"/>
        <v>39940000000000</v>
      </c>
      <c r="I34">
        <f t="shared" si="2"/>
        <v>41177000000000</v>
      </c>
      <c r="J34">
        <f t="shared" si="2"/>
        <v>42167000000000</v>
      </c>
      <c r="K34">
        <f t="shared" si="2"/>
        <v>40308000000000</v>
      </c>
      <c r="L34">
        <f t="shared" si="2"/>
        <v>44603000000000</v>
      </c>
      <c r="M34">
        <f t="shared" si="2"/>
        <v>46834000000000</v>
      </c>
      <c r="N34">
        <f t="shared" si="2"/>
        <v>48937000000000</v>
      </c>
      <c r="O34">
        <f t="shared" si="2"/>
        <v>50490000000000</v>
      </c>
      <c r="P34">
        <f t="shared" si="2"/>
        <v>52627000000000</v>
      </c>
      <c r="Q34">
        <f t="shared" si="2"/>
        <v>53476000000000</v>
      </c>
      <c r="R34">
        <f t="shared" si="2"/>
        <v>55321000000000</v>
      </c>
      <c r="S34">
        <f t="shared" si="2"/>
        <v>58097000000000</v>
      </c>
      <c r="T34">
        <f>SUM(T26:T32)*1000000000</f>
        <v>60414000000000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DCB-4BE2-4E75-8BFF-DC1C1FA9F50F}">
  <dimension ref="A1:L34"/>
  <sheetViews>
    <sheetView workbookViewId="0">
      <selection activeCell="O6" sqref="O6"/>
    </sheetView>
  </sheetViews>
  <sheetFormatPr defaultRowHeight="15" x14ac:dyDescent="0.25"/>
  <cols>
    <col min="2" max="2" width="14.140625" customWidth="1"/>
    <col min="3" max="3" width="11.28515625" customWidth="1"/>
    <col min="5" max="5" width="11.42578125" customWidth="1"/>
    <col min="12" max="12" width="9.5703125" bestFit="1" customWidth="1"/>
  </cols>
  <sheetData>
    <row r="1" spans="1:12" x14ac:dyDescent="0.25">
      <c r="C1" t="s">
        <v>211</v>
      </c>
      <c r="E1" t="s">
        <v>212</v>
      </c>
    </row>
    <row r="2" spans="1:12" x14ac:dyDescent="0.25">
      <c r="C2" t="s">
        <v>213</v>
      </c>
      <c r="D2" t="s">
        <v>30</v>
      </c>
      <c r="E2" t="s">
        <v>213</v>
      </c>
      <c r="F2" t="s">
        <v>30</v>
      </c>
      <c r="H2" t="s">
        <v>214</v>
      </c>
      <c r="J2" t="s">
        <v>215</v>
      </c>
      <c r="L2" t="s">
        <v>220</v>
      </c>
    </row>
    <row r="3" spans="1:12" x14ac:dyDescent="0.25">
      <c r="A3" t="s">
        <v>216</v>
      </c>
      <c r="B3" t="s">
        <v>217</v>
      </c>
      <c r="C3">
        <v>4000</v>
      </c>
      <c r="D3">
        <v>15000</v>
      </c>
      <c r="E3">
        <v>3000</v>
      </c>
      <c r="F3">
        <v>15000</v>
      </c>
      <c r="H3" s="34">
        <f>C3/D3</f>
        <v>0.26666666666666666</v>
      </c>
      <c r="J3" s="34">
        <f>E3/F3</f>
        <v>0.2</v>
      </c>
      <c r="L3" s="34">
        <f>J3/H3</f>
        <v>0.75</v>
      </c>
    </row>
    <row r="4" spans="1:12" x14ac:dyDescent="0.25">
      <c r="B4" t="s">
        <v>71</v>
      </c>
      <c r="C4">
        <v>10000</v>
      </c>
      <c r="D4">
        <v>40000</v>
      </c>
      <c r="E4">
        <v>7500</v>
      </c>
      <c r="F4">
        <v>35000</v>
      </c>
      <c r="H4" s="34">
        <f t="shared" ref="H4:H8" si="0">C4/D4</f>
        <v>0.25</v>
      </c>
      <c r="J4" s="34">
        <f t="shared" ref="J4:J8" si="1">E4/F4</f>
        <v>0.21428571428571427</v>
      </c>
      <c r="L4" s="34">
        <f t="shared" ref="L4:L15" si="2">J4/H4</f>
        <v>0.8571428571428571</v>
      </c>
    </row>
    <row r="5" spans="1:12" x14ac:dyDescent="0.25">
      <c r="B5" t="s">
        <v>218</v>
      </c>
      <c r="C5">
        <v>12000</v>
      </c>
      <c r="D5">
        <v>70000</v>
      </c>
      <c r="E5">
        <v>11000</v>
      </c>
      <c r="F5">
        <v>70000</v>
      </c>
      <c r="H5" s="34">
        <f t="shared" si="0"/>
        <v>0.17142857142857143</v>
      </c>
      <c r="J5" s="34">
        <f t="shared" si="1"/>
        <v>0.15714285714285714</v>
      </c>
      <c r="L5" s="34">
        <f t="shared" si="2"/>
        <v>0.91666666666666663</v>
      </c>
    </row>
    <row r="6" spans="1:12" x14ac:dyDescent="0.25">
      <c r="B6" t="s">
        <v>72</v>
      </c>
      <c r="C6">
        <v>18000</v>
      </c>
      <c r="D6">
        <v>110000</v>
      </c>
      <c r="E6">
        <v>14000</v>
      </c>
      <c r="F6">
        <v>95000</v>
      </c>
      <c r="H6" s="34">
        <f t="shared" si="0"/>
        <v>0.16363636363636364</v>
      </c>
      <c r="J6" s="34">
        <f t="shared" si="1"/>
        <v>0.14736842105263157</v>
      </c>
      <c r="L6" s="34">
        <f t="shared" si="2"/>
        <v>0.90058479532163738</v>
      </c>
    </row>
    <row r="7" spans="1:12" x14ac:dyDescent="0.25">
      <c r="B7" t="s">
        <v>73</v>
      </c>
      <c r="C7">
        <v>25000</v>
      </c>
      <c r="D7">
        <v>150000</v>
      </c>
      <c r="E7">
        <v>21000</v>
      </c>
      <c r="F7">
        <v>150000</v>
      </c>
      <c r="H7" s="34">
        <f t="shared" si="0"/>
        <v>0.16666666666666666</v>
      </c>
      <c r="J7" s="34">
        <f t="shared" si="1"/>
        <v>0.14000000000000001</v>
      </c>
      <c r="L7" s="34">
        <f t="shared" si="2"/>
        <v>0.84000000000000008</v>
      </c>
    </row>
    <row r="8" spans="1:12" x14ac:dyDescent="0.25">
      <c r="B8" t="s">
        <v>74</v>
      </c>
      <c r="C8">
        <v>45000</v>
      </c>
      <c r="D8">
        <v>300000</v>
      </c>
      <c r="E8">
        <v>33000</v>
      </c>
      <c r="F8">
        <v>275000</v>
      </c>
      <c r="H8" s="34">
        <f t="shared" si="0"/>
        <v>0.15</v>
      </c>
      <c r="J8" s="34">
        <f t="shared" si="1"/>
        <v>0.12</v>
      </c>
      <c r="L8" s="34">
        <f t="shared" si="2"/>
        <v>0.8</v>
      </c>
    </row>
    <row r="10" spans="1:12" x14ac:dyDescent="0.25">
      <c r="C10" t="s">
        <v>211</v>
      </c>
      <c r="E10" t="s">
        <v>212</v>
      </c>
    </row>
    <row r="11" spans="1:12" x14ac:dyDescent="0.25">
      <c r="C11" t="s">
        <v>213</v>
      </c>
      <c r="D11" t="s">
        <v>30</v>
      </c>
      <c r="E11" t="s">
        <v>213</v>
      </c>
      <c r="F11" t="s">
        <v>30</v>
      </c>
    </row>
    <row r="12" spans="1:12" x14ac:dyDescent="0.25">
      <c r="A12" t="s">
        <v>219</v>
      </c>
      <c r="B12" t="s">
        <v>71</v>
      </c>
      <c r="C12">
        <v>5400</v>
      </c>
      <c r="D12">
        <v>25000</v>
      </c>
      <c r="E12">
        <v>4000</v>
      </c>
      <c r="F12">
        <v>25000</v>
      </c>
      <c r="H12" s="34">
        <f>C12/D12</f>
        <v>0.216</v>
      </c>
      <c r="J12" s="34">
        <f>E12/F12</f>
        <v>0.16</v>
      </c>
      <c r="L12" s="34">
        <f t="shared" si="2"/>
        <v>0.74074074074074081</v>
      </c>
    </row>
    <row r="13" spans="1:12" x14ac:dyDescent="0.25">
      <c r="B13" t="s">
        <v>72</v>
      </c>
      <c r="C13">
        <v>12600</v>
      </c>
      <c r="D13">
        <v>75000</v>
      </c>
      <c r="E13">
        <v>8100</v>
      </c>
      <c r="F13">
        <v>75000</v>
      </c>
      <c r="H13" s="34">
        <f t="shared" ref="H13:H15" si="3">C13/D13</f>
        <v>0.16800000000000001</v>
      </c>
      <c r="J13" s="34">
        <f t="shared" ref="J13:J15" si="4">E13/F13</f>
        <v>0.108</v>
      </c>
      <c r="L13" s="34">
        <f t="shared" si="2"/>
        <v>0.64285714285714279</v>
      </c>
    </row>
    <row r="14" spans="1:12" x14ac:dyDescent="0.25">
      <c r="B14" t="s">
        <v>73</v>
      </c>
      <c r="C14">
        <v>23400</v>
      </c>
      <c r="D14">
        <v>180000</v>
      </c>
      <c r="E14">
        <v>18000</v>
      </c>
      <c r="F14">
        <v>175000</v>
      </c>
      <c r="H14" s="34">
        <f t="shared" si="3"/>
        <v>0.13</v>
      </c>
      <c r="J14" s="34">
        <f t="shared" si="4"/>
        <v>0.10285714285714286</v>
      </c>
      <c r="L14" s="34">
        <f t="shared" si="2"/>
        <v>0.79120879120879117</v>
      </c>
    </row>
    <row r="15" spans="1:12" x14ac:dyDescent="0.25">
      <c r="B15" t="s">
        <v>74</v>
      </c>
      <c r="C15">
        <v>37800</v>
      </c>
      <c r="D15">
        <v>275000</v>
      </c>
      <c r="E15">
        <v>32400</v>
      </c>
      <c r="F15">
        <v>265000</v>
      </c>
      <c r="H15" s="34">
        <f t="shared" si="3"/>
        <v>0.13745454545454547</v>
      </c>
      <c r="J15" s="34">
        <f t="shared" si="4"/>
        <v>0.12226415094339622</v>
      </c>
      <c r="L15" s="34">
        <f t="shared" si="2"/>
        <v>0.88948787061994594</v>
      </c>
    </row>
    <row r="29" spans="1:10" x14ac:dyDescent="0.25">
      <c r="C29" t="s">
        <v>71</v>
      </c>
      <c r="D29" t="s">
        <v>72</v>
      </c>
      <c r="E29" t="s">
        <v>73</v>
      </c>
      <c r="F29" t="s">
        <v>74</v>
      </c>
      <c r="H29" t="s">
        <v>221</v>
      </c>
      <c r="J29" t="s">
        <v>225</v>
      </c>
    </row>
    <row r="30" spans="1:10" x14ac:dyDescent="0.25">
      <c r="A30" t="s">
        <v>214</v>
      </c>
      <c r="C30" s="34">
        <f>AVERAGE(H12,H4,H3)</f>
        <v>0.2442222222222222</v>
      </c>
      <c r="D30" s="34">
        <f>AVERAGE(H13,H6,H5)</f>
        <v>0.16768831168831166</v>
      </c>
      <c r="E30" s="34">
        <f>AVERAGE(H14,H7)</f>
        <v>0.14833333333333332</v>
      </c>
      <c r="F30" s="34">
        <f>AVERAGE(H15,H8)</f>
        <v>0.14372727272727273</v>
      </c>
      <c r="H30" s="56">
        <f>AVERAGE(H3,H4)</f>
        <v>0.2583333333333333</v>
      </c>
      <c r="J30" s="57" t="e">
        <f>H30*#REF!</f>
        <v>#REF!</v>
      </c>
    </row>
    <row r="32" spans="1:10" x14ac:dyDescent="0.25">
      <c r="A32" t="s">
        <v>222</v>
      </c>
    </row>
    <row r="33" spans="1:1" x14ac:dyDescent="0.25">
      <c r="A33" t="s">
        <v>224</v>
      </c>
    </row>
    <row r="34" spans="1:1" x14ac:dyDescent="0.25">
      <c r="A34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4109-6955-4F3D-BADF-8407FE229768}">
  <dimension ref="A1:AP53"/>
  <sheetViews>
    <sheetView tabSelected="1" zoomScale="87" zoomScaleNormal="87" workbookViewId="0">
      <selection activeCell="I19" sqref="I19"/>
    </sheetView>
  </sheetViews>
  <sheetFormatPr defaultRowHeight="15" x14ac:dyDescent="0.25"/>
  <cols>
    <col min="1" max="1" width="14.140625" bestFit="1" customWidth="1"/>
    <col min="2" max="2" width="26.140625" bestFit="1" customWidth="1"/>
    <col min="3" max="3" width="17" bestFit="1" customWidth="1"/>
    <col min="5" max="5" width="16.28515625" bestFit="1" customWidth="1"/>
    <col min="6" max="6" width="10.42578125" bestFit="1" customWidth="1"/>
    <col min="7" max="7" width="18.85546875" bestFit="1" customWidth="1"/>
    <col min="8" max="8" width="12.5703125" bestFit="1" customWidth="1"/>
    <col min="9" max="9" width="16" bestFit="1" customWidth="1"/>
    <col min="10" max="10" width="12.28515625" bestFit="1" customWidth="1"/>
    <col min="11" max="11" width="20.140625" bestFit="1" customWidth="1"/>
    <col min="14" max="14" width="9.28515625" bestFit="1" customWidth="1"/>
    <col min="17" max="17" width="9.28515625" bestFit="1" customWidth="1"/>
    <col min="27" max="27" width="25.28515625" customWidth="1"/>
    <col min="28" max="28" width="12" bestFit="1" customWidth="1"/>
    <col min="29" max="29" width="11.7109375" customWidth="1"/>
    <col min="30" max="30" width="11.5703125" customWidth="1"/>
    <col min="31" max="31" width="12.140625" customWidth="1"/>
    <col min="32" max="32" width="11.140625" bestFit="1" customWidth="1"/>
    <col min="34" max="34" width="32.7109375" customWidth="1"/>
    <col min="35" max="35" width="10.140625" bestFit="1" customWidth="1"/>
  </cols>
  <sheetData>
    <row r="1" spans="1:42" x14ac:dyDescent="0.25">
      <c r="A1" t="s">
        <v>137</v>
      </c>
      <c r="B1" t="s">
        <v>148</v>
      </c>
      <c r="N1" t="s">
        <v>162</v>
      </c>
      <c r="S1" t="s">
        <v>191</v>
      </c>
      <c r="Y1" s="38">
        <v>2018</v>
      </c>
      <c r="Z1" s="38"/>
      <c r="AA1" s="38"/>
      <c r="AB1" s="38" t="s">
        <v>172</v>
      </c>
      <c r="AC1" s="38"/>
      <c r="AD1" s="38"/>
      <c r="AE1" s="38"/>
      <c r="AF1" s="38"/>
      <c r="AG1" s="38"/>
      <c r="AH1" s="38" t="s">
        <v>171</v>
      </c>
      <c r="AI1" s="38"/>
      <c r="AJ1" s="38"/>
      <c r="AK1" s="38"/>
      <c r="AL1" s="38"/>
      <c r="AM1" s="38"/>
      <c r="AN1" s="38"/>
      <c r="AO1" s="38"/>
      <c r="AP1" s="38"/>
    </row>
    <row r="2" spans="1:42" x14ac:dyDescent="0.25">
      <c r="A2" t="s">
        <v>138</v>
      </c>
      <c r="B2" t="s">
        <v>165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  <c r="N2" t="s">
        <v>71</v>
      </c>
      <c r="O2" t="s">
        <v>72</v>
      </c>
      <c r="P2" t="s">
        <v>73</v>
      </c>
      <c r="Q2" t="s">
        <v>163</v>
      </c>
      <c r="S2" t="s">
        <v>71</v>
      </c>
      <c r="T2" t="s">
        <v>72</v>
      </c>
      <c r="U2" t="s">
        <v>73</v>
      </c>
      <c r="V2" t="s">
        <v>163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x14ac:dyDescent="0.25">
      <c r="A3">
        <v>2018</v>
      </c>
      <c r="B3">
        <v>1350508</v>
      </c>
      <c r="C3">
        <v>92251</v>
      </c>
      <c r="D3">
        <v>9159</v>
      </c>
      <c r="E3">
        <v>34495</v>
      </c>
      <c r="F3">
        <v>229690</v>
      </c>
      <c r="G3">
        <v>39452</v>
      </c>
      <c r="H3">
        <f>451148-114</f>
        <v>451034</v>
      </c>
      <c r="I3">
        <f>12000-3</f>
        <v>11997</v>
      </c>
      <c r="J3">
        <v>660625</v>
      </c>
      <c r="K3">
        <v>6307</v>
      </c>
      <c r="N3">
        <f>E3/C3</f>
        <v>0.37392548590259184</v>
      </c>
      <c r="O3">
        <f>G3/C3</f>
        <v>0.42765932076617058</v>
      </c>
      <c r="P3">
        <f>I3/C3</f>
        <v>0.13004737076020856</v>
      </c>
      <c r="Q3">
        <f>K3/C3</f>
        <v>6.8367822571029038E-2</v>
      </c>
      <c r="S3" s="35">
        <f>(E3/E4)-1</f>
        <v>2.201351031050014E-2</v>
      </c>
      <c r="T3" s="35">
        <f>(G3/G4)-1</f>
        <v>7.9456324570144066E-3</v>
      </c>
      <c r="U3" s="35">
        <f>(I3/I4)-1</f>
        <v>1.8161758465585986E-2</v>
      </c>
      <c r="V3" s="35">
        <f>(K3/K4)-1</f>
        <v>4.4378208312634504E-2</v>
      </c>
      <c r="Y3" s="38"/>
      <c r="Z3" s="38"/>
      <c r="AA3" s="38"/>
      <c r="AB3" s="38" t="s">
        <v>167</v>
      </c>
      <c r="AC3" s="38" t="s">
        <v>168</v>
      </c>
      <c r="AD3" s="38" t="s">
        <v>169</v>
      </c>
      <c r="AE3" s="38" t="s">
        <v>170</v>
      </c>
      <c r="AF3" s="38"/>
      <c r="AG3" s="38"/>
      <c r="AH3" s="38"/>
      <c r="AI3" s="38" t="s">
        <v>167</v>
      </c>
      <c r="AJ3" s="38" t="s">
        <v>168</v>
      </c>
      <c r="AK3" s="38" t="s">
        <v>169</v>
      </c>
      <c r="AL3" s="38" t="s">
        <v>170</v>
      </c>
      <c r="AM3" s="38"/>
      <c r="AN3" s="49" t="s">
        <v>196</v>
      </c>
      <c r="AO3" s="38"/>
      <c r="AP3" s="38"/>
    </row>
    <row r="4" spans="1:42" x14ac:dyDescent="0.25">
      <c r="A4">
        <v>2017</v>
      </c>
      <c r="B4">
        <v>1304305</v>
      </c>
      <c r="C4">
        <v>90715</v>
      </c>
      <c r="D4">
        <v>8943</v>
      </c>
      <c r="E4">
        <v>33752</v>
      </c>
      <c r="F4">
        <v>227774</v>
      </c>
      <c r="G4">
        <v>39141</v>
      </c>
      <c r="H4">
        <v>443398</v>
      </c>
      <c r="I4">
        <v>11783</v>
      </c>
      <c r="J4">
        <v>624190</v>
      </c>
      <c r="K4">
        <v>6039</v>
      </c>
      <c r="N4">
        <f t="shared" ref="N4:N16" si="0">E4/C4</f>
        <v>0.37206636168219148</v>
      </c>
      <c r="O4">
        <f t="shared" ref="O4:O16" si="1">G4/C4</f>
        <v>0.43147219313233753</v>
      </c>
      <c r="P4">
        <f t="shared" ref="P4:P16" si="2">I4/C4</f>
        <v>0.12989031582428484</v>
      </c>
      <c r="Q4">
        <f t="shared" ref="Q4:Q16" si="3">K4/C4</f>
        <v>6.6571129361186129E-2</v>
      </c>
      <c r="S4" s="35">
        <f t="shared" ref="S4:S15" si="4">(E4/E5)-1</f>
        <v>1.1871927089579071E-2</v>
      </c>
      <c r="T4" s="35">
        <f t="shared" ref="T4:T15" si="5">(G4/G5)-1</f>
        <v>3.1781018530383509E-3</v>
      </c>
      <c r="U4" s="35">
        <f t="shared" ref="U4:U15" si="6">(I4/I5)-1</f>
        <v>1.4464055101162332E-2</v>
      </c>
      <c r="V4" s="35">
        <f t="shared" ref="V4:V15" si="7">(K4/K5)-1</f>
        <v>3.8342503438789644E-2</v>
      </c>
      <c r="Y4" s="38"/>
      <c r="Z4" s="38"/>
      <c r="AA4" s="44" t="s">
        <v>201</v>
      </c>
      <c r="AB4" s="39">
        <f>N3</f>
        <v>0.37392548590259184</v>
      </c>
      <c r="AC4" s="39">
        <f t="shared" ref="AC4:AE4" si="8">O3</f>
        <v>0.42765932076617058</v>
      </c>
      <c r="AD4" s="39">
        <f t="shared" si="8"/>
        <v>0.13004737076020856</v>
      </c>
      <c r="AE4" s="39">
        <f t="shared" si="8"/>
        <v>6.8367822571029038E-2</v>
      </c>
      <c r="AF4" s="38"/>
      <c r="AG4" s="38"/>
      <c r="AH4" s="44" t="s">
        <v>166</v>
      </c>
      <c r="AI4" s="38"/>
      <c r="AJ4" s="38"/>
      <c r="AK4" s="38"/>
      <c r="AL4" s="38"/>
      <c r="AM4" s="38"/>
      <c r="AN4" s="38"/>
      <c r="AO4" s="38"/>
      <c r="AP4" s="38"/>
    </row>
    <row r="5" spans="1:42" x14ac:dyDescent="0.25">
      <c r="A5">
        <v>2016</v>
      </c>
      <c r="B5">
        <v>1270284</v>
      </c>
      <c r="C5">
        <v>89804</v>
      </c>
      <c r="D5">
        <v>8828</v>
      </c>
      <c r="E5">
        <v>33356</v>
      </c>
      <c r="F5">
        <v>226040</v>
      </c>
      <c r="G5">
        <v>39017</v>
      </c>
      <c r="H5">
        <v>438128</v>
      </c>
      <c r="I5">
        <v>11615</v>
      </c>
      <c r="J5">
        <v>597288</v>
      </c>
      <c r="K5">
        <v>5816</v>
      </c>
      <c r="N5">
        <f t="shared" si="0"/>
        <v>0.3714311166540466</v>
      </c>
      <c r="O5">
        <f t="shared" si="1"/>
        <v>0.434468397844194</v>
      </c>
      <c r="P5">
        <f t="shared" si="2"/>
        <v>0.12933722328626787</v>
      </c>
      <c r="Q5">
        <f t="shared" si="3"/>
        <v>6.4763262215491516E-2</v>
      </c>
      <c r="S5" s="35">
        <f t="shared" si="4"/>
        <v>3.7963654468508912E-2</v>
      </c>
      <c r="T5" s="35">
        <f t="shared" si="5"/>
        <v>1.7365909624260212E-2</v>
      </c>
      <c r="U5" s="35">
        <f t="shared" si="6"/>
        <v>2.7058095322309628E-2</v>
      </c>
      <c r="V5" s="35">
        <f t="shared" si="7"/>
        <v>6.9707559315799195E-2</v>
      </c>
      <c r="Y5" s="38"/>
      <c r="Z5" s="38"/>
      <c r="AA5" s="44" t="s">
        <v>175</v>
      </c>
      <c r="AB5" s="40">
        <f>F22</f>
        <v>374.66963301490648</v>
      </c>
      <c r="AC5" s="40">
        <f>H22</f>
        <v>8215.4176839696756</v>
      </c>
      <c r="AD5" s="40">
        <f>J22</f>
        <v>53050.955160257814</v>
      </c>
      <c r="AE5" s="40">
        <f>L22</f>
        <v>147804.8751270886</v>
      </c>
      <c r="AF5" s="38"/>
      <c r="AG5" s="38"/>
      <c r="AH5" s="44" t="s">
        <v>175</v>
      </c>
      <c r="AI5" s="38">
        <v>1000</v>
      </c>
      <c r="AJ5" s="38">
        <v>1200</v>
      </c>
      <c r="AK5" s="38">
        <v>50000</v>
      </c>
      <c r="AL5" s="38">
        <v>143000</v>
      </c>
      <c r="AM5" s="38"/>
      <c r="AN5" s="38"/>
      <c r="AO5" s="38"/>
      <c r="AP5" s="38"/>
    </row>
    <row r="6" spans="1:42" x14ac:dyDescent="0.25">
      <c r="A6">
        <v>2015</v>
      </c>
      <c r="B6">
        <v>1210422</v>
      </c>
      <c r="C6">
        <v>87233</v>
      </c>
      <c r="D6">
        <v>8508</v>
      </c>
      <c r="E6">
        <v>32136</v>
      </c>
      <c r="F6">
        <v>222033</v>
      </c>
      <c r="G6">
        <v>38351</v>
      </c>
      <c r="H6">
        <v>427041</v>
      </c>
      <c r="I6">
        <v>11309</v>
      </c>
      <c r="J6">
        <v>552840</v>
      </c>
      <c r="K6">
        <v>5437</v>
      </c>
      <c r="N6">
        <f t="shared" si="0"/>
        <v>0.36839269542489655</v>
      </c>
      <c r="O6">
        <f t="shared" si="1"/>
        <v>0.43963866885238384</v>
      </c>
      <c r="P6">
        <f t="shared" si="2"/>
        <v>0.12964130546926048</v>
      </c>
      <c r="Q6">
        <f t="shared" si="3"/>
        <v>6.2327330253459129E-2</v>
      </c>
      <c r="S6" s="35">
        <f t="shared" si="4"/>
        <v>2.8681177976952688E-2</v>
      </c>
      <c r="T6" s="35">
        <f t="shared" si="5"/>
        <v>1.6755481322410448E-2</v>
      </c>
      <c r="U6" s="35">
        <f t="shared" si="6"/>
        <v>3.5243500549249296E-2</v>
      </c>
      <c r="V6" s="35">
        <f t="shared" si="7"/>
        <v>4.3369794665131467E-2</v>
      </c>
      <c r="Y6" s="38"/>
      <c r="Z6" s="38"/>
      <c r="AA6" s="44" t="s">
        <v>173</v>
      </c>
      <c r="AB6" s="38"/>
      <c r="AC6" s="38"/>
      <c r="AD6" s="38"/>
      <c r="AE6" s="38"/>
      <c r="AF6" s="38"/>
      <c r="AG6" s="38"/>
      <c r="AH6" s="44" t="s">
        <v>179</v>
      </c>
      <c r="AI6" s="38">
        <v>27000</v>
      </c>
      <c r="AJ6" s="38">
        <v>27000</v>
      </c>
      <c r="AK6" s="38">
        <v>100000</v>
      </c>
      <c r="AL6" s="38">
        <v>145000</v>
      </c>
      <c r="AM6" s="38"/>
      <c r="AN6" s="38" t="s">
        <v>176</v>
      </c>
      <c r="AO6" s="38"/>
      <c r="AP6" s="38"/>
    </row>
    <row r="7" spans="1:42" x14ac:dyDescent="0.25">
      <c r="A7">
        <v>2014</v>
      </c>
      <c r="B7">
        <v>1166485</v>
      </c>
      <c r="C7">
        <v>85094</v>
      </c>
      <c r="D7">
        <v>8281</v>
      </c>
      <c r="E7">
        <v>31240</v>
      </c>
      <c r="F7">
        <v>218305</v>
      </c>
      <c r="G7">
        <v>37719</v>
      </c>
      <c r="H7">
        <v>413388</v>
      </c>
      <c r="I7">
        <v>10924</v>
      </c>
      <c r="J7">
        <v>526485</v>
      </c>
      <c r="K7">
        <v>5211</v>
      </c>
      <c r="N7">
        <f t="shared" si="0"/>
        <v>0.36712341645709451</v>
      </c>
      <c r="O7">
        <f t="shared" si="1"/>
        <v>0.44326274472935812</v>
      </c>
      <c r="P7">
        <f t="shared" si="2"/>
        <v>0.12837567866124522</v>
      </c>
      <c r="Q7">
        <f t="shared" si="3"/>
        <v>6.1238160152302157E-2</v>
      </c>
      <c r="S7" s="35">
        <f t="shared" si="4"/>
        <v>5.2489724412101646E-2</v>
      </c>
      <c r="T7" s="35">
        <f t="shared" si="5"/>
        <v>2.6982138967545088E-2</v>
      </c>
      <c r="U7" s="35">
        <f t="shared" si="6"/>
        <v>5.8834932635456028E-2</v>
      </c>
      <c r="V7" s="35">
        <f t="shared" si="7"/>
        <v>7.2884496602841242E-2</v>
      </c>
      <c r="Y7" s="38"/>
      <c r="Z7" s="38"/>
      <c r="AA7" s="44" t="s">
        <v>174</v>
      </c>
      <c r="AB7" s="38"/>
      <c r="AC7" s="38"/>
      <c r="AD7" s="38"/>
      <c r="AE7" s="38"/>
      <c r="AF7" s="38"/>
      <c r="AG7" s="38"/>
      <c r="AH7" s="44" t="s">
        <v>174</v>
      </c>
      <c r="AI7" s="41">
        <v>0.71</v>
      </c>
      <c r="AJ7" s="41">
        <v>0.71</v>
      </c>
      <c r="AK7" s="41">
        <v>0.65</v>
      </c>
      <c r="AL7" s="41">
        <v>0.5</v>
      </c>
      <c r="AM7" s="38"/>
      <c r="AN7" s="38"/>
      <c r="AO7" s="38"/>
      <c r="AP7" s="38"/>
    </row>
    <row r="8" spans="1:42" x14ac:dyDescent="0.25">
      <c r="A8">
        <v>2013</v>
      </c>
      <c r="B8">
        <v>1094026</v>
      </c>
      <c r="C8">
        <v>81584</v>
      </c>
      <c r="D8">
        <v>7883</v>
      </c>
      <c r="E8">
        <v>29682</v>
      </c>
      <c r="F8">
        <v>211295</v>
      </c>
      <c r="G8">
        <v>36728</v>
      </c>
      <c r="H8">
        <v>390160</v>
      </c>
      <c r="I8">
        <v>10317</v>
      </c>
      <c r="J8">
        <v>484688</v>
      </c>
      <c r="K8">
        <v>4857</v>
      </c>
      <c r="N8">
        <f t="shared" si="0"/>
        <v>0.36382133751716023</v>
      </c>
      <c r="O8">
        <f t="shared" si="1"/>
        <v>0.45018631104138068</v>
      </c>
      <c r="P8">
        <f t="shared" si="2"/>
        <v>0.12645861933712493</v>
      </c>
      <c r="Q8">
        <f t="shared" si="3"/>
        <v>5.9533732104334186E-2</v>
      </c>
      <c r="S8" s="35">
        <f t="shared" si="4"/>
        <v>2.9088513677495431E-2</v>
      </c>
      <c r="T8" s="35">
        <f t="shared" si="5"/>
        <v>1.6157591854802922E-2</v>
      </c>
      <c r="U8" s="35">
        <f t="shared" si="6"/>
        <v>4.560656734569779E-2</v>
      </c>
      <c r="V8" s="35">
        <f t="shared" si="7"/>
        <v>5.1981806367771277E-2</v>
      </c>
      <c r="Y8" s="38"/>
      <c r="Z8" s="38"/>
      <c r="AA8" s="44" t="s">
        <v>194</v>
      </c>
      <c r="AB8" s="40">
        <f>AB5*AI12</f>
        <v>63.869932340051115</v>
      </c>
      <c r="AC8" s="40">
        <f t="shared" ref="AC8:AE8" si="9">AC5*AJ12</f>
        <v>1235.5988196690394</v>
      </c>
      <c r="AD8" s="40">
        <f t="shared" si="9"/>
        <v>7446.2320662937873</v>
      </c>
      <c r="AE8" s="40">
        <f t="shared" si="9"/>
        <v>17773.9600102478</v>
      </c>
      <c r="AF8" s="38"/>
      <c r="AG8" s="38"/>
      <c r="AH8" s="44" t="s">
        <v>194</v>
      </c>
      <c r="AI8" s="42">
        <f>AI5*AI12</f>
        <v>170.47</v>
      </c>
      <c r="AJ8" s="42">
        <f t="shared" ref="AJ8:AL8" si="10">AJ5*AJ12</f>
        <v>180.48000000000002</v>
      </c>
      <c r="AK8" s="42">
        <f t="shared" si="10"/>
        <v>7018.0000000000009</v>
      </c>
      <c r="AL8" s="42">
        <f t="shared" si="10"/>
        <v>17196.16</v>
      </c>
      <c r="AM8" s="38"/>
      <c r="AN8" s="38" t="s">
        <v>207</v>
      </c>
      <c r="AO8" s="38"/>
      <c r="AP8" s="38"/>
    </row>
    <row r="9" spans="1:42" x14ac:dyDescent="0.25">
      <c r="A9">
        <v>2012</v>
      </c>
      <c r="B9">
        <v>1048336</v>
      </c>
      <c r="C9">
        <v>79471</v>
      </c>
      <c r="D9">
        <v>7648</v>
      </c>
      <c r="E9">
        <v>28843</v>
      </c>
      <c r="F9">
        <v>209923</v>
      </c>
      <c r="G9">
        <v>36144</v>
      </c>
      <c r="H9">
        <v>372865</v>
      </c>
      <c r="I9">
        <v>9867</v>
      </c>
      <c r="J9">
        <v>457901</v>
      </c>
      <c r="K9">
        <v>4617</v>
      </c>
      <c r="N9">
        <f t="shared" si="0"/>
        <v>0.36293742371431087</v>
      </c>
      <c r="O9">
        <f t="shared" si="1"/>
        <v>0.45480741402524189</v>
      </c>
      <c r="P9">
        <f t="shared" si="2"/>
        <v>0.12415849806847781</v>
      </c>
      <c r="Q9">
        <f t="shared" si="3"/>
        <v>5.8096664191969398E-2</v>
      </c>
      <c r="S9" s="35">
        <f t="shared" si="4"/>
        <v>1.9691720285653691E-2</v>
      </c>
      <c r="T9" s="35">
        <f t="shared" si="5"/>
        <v>-2.1203997075310732E-2</v>
      </c>
      <c r="U9" s="35">
        <f t="shared" si="6"/>
        <v>3.4276729559748365E-2</v>
      </c>
      <c r="V9" s="35">
        <f t="shared" si="7"/>
        <v>6.8502661420967392E-2</v>
      </c>
      <c r="Y9" s="38"/>
      <c r="Z9" s="38"/>
      <c r="AA9" s="38" t="s">
        <v>200</v>
      </c>
      <c r="AB9" s="40">
        <f>AB5*AI6*AI7/1000000</f>
        <v>7.1824168648957567</v>
      </c>
      <c r="AC9" s="40">
        <f t="shared" ref="AC9:AE9" si="11">AC5*AJ6*AJ7/1000000</f>
        <v>157.48955700169867</v>
      </c>
      <c r="AD9" s="40">
        <f t="shared" si="11"/>
        <v>3448.3120854167582</v>
      </c>
      <c r="AE9" s="40">
        <f t="shared" si="11"/>
        <v>10715.853446713923</v>
      </c>
      <c r="AF9" s="38"/>
      <c r="AG9" s="38"/>
      <c r="AH9" s="38" t="s">
        <v>199</v>
      </c>
      <c r="AI9" s="41">
        <v>0.17</v>
      </c>
      <c r="AJ9" s="48">
        <v>0.15</v>
      </c>
      <c r="AK9" s="48">
        <v>0.14000000000000001</v>
      </c>
      <c r="AL9" s="41">
        <v>0.12</v>
      </c>
      <c r="AM9" s="38"/>
      <c r="AN9" s="38" t="s">
        <v>192</v>
      </c>
      <c r="AO9" s="38"/>
      <c r="AP9" s="38"/>
    </row>
    <row r="10" spans="1:42" x14ac:dyDescent="0.25">
      <c r="A10">
        <v>2011</v>
      </c>
      <c r="B10">
        <v>1008119</v>
      </c>
      <c r="C10">
        <v>79074</v>
      </c>
      <c r="D10">
        <v>7587</v>
      </c>
      <c r="E10">
        <v>28286</v>
      </c>
      <c r="F10">
        <v>216282</v>
      </c>
      <c r="G10">
        <v>36927</v>
      </c>
      <c r="H10">
        <v>359067</v>
      </c>
      <c r="I10">
        <v>9540</v>
      </c>
      <c r="J10">
        <v>425183</v>
      </c>
      <c r="K10">
        <v>4321</v>
      </c>
      <c r="N10">
        <f t="shared" si="0"/>
        <v>0.35771555757897666</v>
      </c>
      <c r="O10">
        <f t="shared" si="1"/>
        <v>0.46699294331891644</v>
      </c>
      <c r="P10">
        <f t="shared" si="2"/>
        <v>0.12064648304120192</v>
      </c>
      <c r="Q10">
        <f t="shared" si="3"/>
        <v>5.4645016060904973E-2</v>
      </c>
      <c r="S10" s="35">
        <f t="shared" si="4"/>
        <v>1.6348675936904922E-2</v>
      </c>
      <c r="T10" s="35">
        <f t="shared" si="5"/>
        <v>-6.4038746132113467E-3</v>
      </c>
      <c r="U10" s="35">
        <f t="shared" si="6"/>
        <v>6.8309070548712159E-2</v>
      </c>
      <c r="V10" s="35">
        <f t="shared" si="7"/>
        <v>0.12467464862051014</v>
      </c>
      <c r="Y10" s="38"/>
      <c r="Z10" s="38"/>
      <c r="AA10" s="38" t="s">
        <v>203</v>
      </c>
      <c r="AB10" s="42">
        <f>(AB8*1000)/(AB9*1000)</f>
        <v>8.8925404277516975</v>
      </c>
      <c r="AC10" s="42">
        <f t="shared" ref="AC10:AE10" si="12">(AC8*1000)/(AC9*1000)</f>
        <v>7.8455920709441855</v>
      </c>
      <c r="AD10" s="42">
        <f t="shared" si="12"/>
        <v>2.159384615384615</v>
      </c>
      <c r="AE10" s="42">
        <f t="shared" si="12"/>
        <v>1.6586602363154086</v>
      </c>
      <c r="AF10" s="38"/>
      <c r="AG10" s="38"/>
      <c r="AH10" s="38" t="s">
        <v>195</v>
      </c>
      <c r="AI10" s="46">
        <v>2.9999999999999997E-4</v>
      </c>
      <c r="AJ10" s="47">
        <v>2.5000000000000001E-4</v>
      </c>
      <c r="AK10" s="45">
        <f>11/AK5</f>
        <v>2.2000000000000001E-4</v>
      </c>
      <c r="AL10" s="45">
        <f>19/AL5</f>
        <v>1.3286713286713288E-4</v>
      </c>
      <c r="AM10" s="38"/>
      <c r="AN10" s="38" t="s">
        <v>192</v>
      </c>
      <c r="AO10" s="38"/>
      <c r="AP10" s="38"/>
    </row>
    <row r="11" spans="1:42" x14ac:dyDescent="0.25">
      <c r="A11">
        <v>2010</v>
      </c>
      <c r="B11">
        <v>932935</v>
      </c>
      <c r="C11">
        <v>77768</v>
      </c>
      <c r="D11">
        <v>7490</v>
      </c>
      <c r="E11">
        <v>27831</v>
      </c>
      <c r="F11">
        <v>215192</v>
      </c>
      <c r="G11">
        <v>37165</v>
      </c>
      <c r="H11">
        <v>335072</v>
      </c>
      <c r="I11">
        <v>8930</v>
      </c>
      <c r="J11">
        <v>375182</v>
      </c>
      <c r="K11">
        <v>3842</v>
      </c>
      <c r="N11">
        <f t="shared" si="0"/>
        <v>0.35787213249665673</v>
      </c>
      <c r="O11">
        <f t="shared" si="1"/>
        <v>0.47789579261392862</v>
      </c>
      <c r="P11">
        <f t="shared" si="2"/>
        <v>0.11482872132496656</v>
      </c>
      <c r="Q11">
        <f t="shared" si="3"/>
        <v>4.9403353564448103E-2</v>
      </c>
      <c r="S11" s="35">
        <f t="shared" si="4"/>
        <v>2.7580859548072656E-2</v>
      </c>
      <c r="T11" s="35">
        <f t="shared" si="5"/>
        <v>2.4252445914289655E-2</v>
      </c>
      <c r="U11" s="35">
        <f t="shared" si="6"/>
        <v>9.1286814126848359E-2</v>
      </c>
      <c r="V11" s="35">
        <f t="shared" si="7"/>
        <v>0.13033245072080013</v>
      </c>
      <c r="Y11" s="38"/>
      <c r="Z11" s="38"/>
      <c r="AA11" s="38"/>
      <c r="AB11" s="38"/>
      <c r="AC11" s="38"/>
      <c r="AD11" s="38"/>
      <c r="AE11" s="38"/>
      <c r="AF11" s="40"/>
      <c r="AG11" s="38"/>
      <c r="AH11" s="38" t="s">
        <v>209</v>
      </c>
      <c r="AI11" s="45">
        <f>AI9*0.001</f>
        <v>1.7000000000000001E-4</v>
      </c>
      <c r="AJ11" s="45">
        <f t="shared" ref="AJ11:AL11" si="13">AJ9*0.001</f>
        <v>1.4999999999999999E-4</v>
      </c>
      <c r="AK11" s="45">
        <f t="shared" si="13"/>
        <v>1.4000000000000001E-4</v>
      </c>
      <c r="AL11" s="45">
        <f t="shared" si="13"/>
        <v>1.2E-4</v>
      </c>
      <c r="AM11" s="38"/>
      <c r="AN11" s="38" t="s">
        <v>192</v>
      </c>
      <c r="AO11" s="38"/>
      <c r="AP11" s="38"/>
    </row>
    <row r="12" spans="1:42" x14ac:dyDescent="0.25">
      <c r="A12">
        <v>2009</v>
      </c>
      <c r="B12">
        <v>853276</v>
      </c>
      <c r="C12">
        <v>74951</v>
      </c>
      <c r="D12">
        <v>7270</v>
      </c>
      <c r="E12">
        <v>27084</v>
      </c>
      <c r="F12">
        <v>207697</v>
      </c>
      <c r="G12">
        <v>36285</v>
      </c>
      <c r="H12">
        <v>306837</v>
      </c>
      <c r="I12">
        <v>8183</v>
      </c>
      <c r="J12">
        <v>331472</v>
      </c>
      <c r="K12">
        <v>3399</v>
      </c>
      <c r="N12">
        <f t="shared" si="0"/>
        <v>0.36135608597617108</v>
      </c>
      <c r="O12">
        <f t="shared" si="1"/>
        <v>0.48411628930901524</v>
      </c>
      <c r="P12">
        <f t="shared" si="2"/>
        <v>0.10917799629091006</v>
      </c>
      <c r="Q12">
        <f t="shared" si="3"/>
        <v>4.5349628423903617E-2</v>
      </c>
      <c r="S12" s="35">
        <f t="shared" si="4"/>
        <v>2.9535864978903037E-2</v>
      </c>
      <c r="T12" s="35">
        <f t="shared" si="5"/>
        <v>-2.8123744475693102E-2</v>
      </c>
      <c r="U12" s="35">
        <f t="shared" si="6"/>
        <v>2.3514696685428493E-2</v>
      </c>
      <c r="V12" s="35">
        <f t="shared" si="7"/>
        <v>6.9877242681775309E-2</v>
      </c>
      <c r="Y12" s="38"/>
      <c r="Z12" s="38"/>
      <c r="AA12" s="38" t="s">
        <v>202</v>
      </c>
      <c r="AB12" s="42">
        <f>AB4*AB5*AI6*AI7/1000000</f>
        <v>2.6856887161611165</v>
      </c>
      <c r="AC12" s="42">
        <f>AC4*AC5*AJ6*AJ7/1000000</f>
        <v>67.351876975111566</v>
      </c>
      <c r="AD12" s="42">
        <f>AD4*AD5*AK6*AK7/1000000</f>
        <v>448.44392026910106</v>
      </c>
      <c r="AE12" s="42">
        <f>AE4*AE5*AL6*AL7/1000000</f>
        <v>732.61956714208759</v>
      </c>
      <c r="AF12" s="38"/>
      <c r="AG12" s="38"/>
      <c r="AH12" s="38" t="s">
        <v>210</v>
      </c>
      <c r="AI12" s="52">
        <f>SUM(AI9:AI11)</f>
        <v>0.17047000000000001</v>
      </c>
      <c r="AJ12" s="52">
        <f t="shared" ref="AJ12:AL12" si="14">SUM(AJ9:AJ11)</f>
        <v>0.15040000000000001</v>
      </c>
      <c r="AK12" s="52">
        <f t="shared" si="14"/>
        <v>0.14036000000000001</v>
      </c>
      <c r="AL12" s="52">
        <f t="shared" si="14"/>
        <v>0.12025286713286712</v>
      </c>
      <c r="AM12" s="38"/>
      <c r="AN12" s="38"/>
      <c r="AO12" s="38"/>
      <c r="AP12" s="38"/>
    </row>
    <row r="13" spans="1:42" x14ac:dyDescent="0.25">
      <c r="A13">
        <v>2008</v>
      </c>
      <c r="B13">
        <v>833437</v>
      </c>
      <c r="C13">
        <v>74814</v>
      </c>
      <c r="D13">
        <v>7071</v>
      </c>
      <c r="E13">
        <v>26307</v>
      </c>
      <c r="F13">
        <v>214413</v>
      </c>
      <c r="G13">
        <v>37335</v>
      </c>
      <c r="H13">
        <v>300839</v>
      </c>
      <c r="I13">
        <v>7995</v>
      </c>
      <c r="J13">
        <v>311114</v>
      </c>
      <c r="K13">
        <v>3177</v>
      </c>
      <c r="N13">
        <f t="shared" si="0"/>
        <v>0.35163204747774479</v>
      </c>
      <c r="O13">
        <f t="shared" si="1"/>
        <v>0.49903761328093671</v>
      </c>
      <c r="P13">
        <f t="shared" si="2"/>
        <v>0.10686502526265138</v>
      </c>
      <c r="Q13">
        <f t="shared" si="3"/>
        <v>4.2465313978667096E-2</v>
      </c>
      <c r="S13" s="35">
        <f t="shared" si="4"/>
        <v>3.1040564373897794E-2</v>
      </c>
      <c r="T13" s="35">
        <f t="shared" si="5"/>
        <v>3.6277339846785939E-2</v>
      </c>
      <c r="U13" s="35">
        <f t="shared" si="6"/>
        <v>6.9994646680942241E-2</v>
      </c>
      <c r="V13" s="35">
        <f t="shared" si="7"/>
        <v>9.0253946465339796E-2</v>
      </c>
      <c r="Y13" s="38"/>
      <c r="Z13" s="38"/>
      <c r="AA13" s="38" t="s">
        <v>178</v>
      </c>
      <c r="AB13" s="43">
        <f>AB12/SUM($AB$12:$AE$12)</f>
        <v>2.1466601035153689E-3</v>
      </c>
      <c r="AC13" s="43">
        <f>AC12/SUM($AB$12:$AE$12)</f>
        <v>5.3834082233480192E-2</v>
      </c>
      <c r="AD13" s="43">
        <f>AD12/SUM($AB$12:$AE$12)</f>
        <v>0.35843940755789205</v>
      </c>
      <c r="AE13" s="43">
        <f>AE12/SUM($AB$12:$AE$12)</f>
        <v>0.58557985010511249</v>
      </c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</row>
    <row r="14" spans="1:42" x14ac:dyDescent="0.25">
      <c r="A14">
        <v>2007</v>
      </c>
      <c r="B14">
        <v>778911</v>
      </c>
      <c r="C14">
        <v>71929</v>
      </c>
      <c r="D14">
        <v>6841</v>
      </c>
      <c r="E14">
        <v>25515</v>
      </c>
      <c r="F14">
        <v>206685</v>
      </c>
      <c r="G14">
        <v>36028</v>
      </c>
      <c r="H14">
        <v>280920</v>
      </c>
      <c r="I14">
        <v>7472</v>
      </c>
      <c r="J14">
        <v>284464</v>
      </c>
      <c r="K14">
        <v>2914</v>
      </c>
      <c r="N14">
        <f t="shared" si="0"/>
        <v>0.35472479806475832</v>
      </c>
      <c r="O14">
        <f t="shared" si="1"/>
        <v>0.50088281499812315</v>
      </c>
      <c r="P14">
        <f t="shared" si="2"/>
        <v>0.10388021521222317</v>
      </c>
      <c r="Q14">
        <f t="shared" si="3"/>
        <v>4.0512171724895386E-2</v>
      </c>
      <c r="S14" s="35">
        <f t="shared" si="4"/>
        <v>1.5643658944351602E-2</v>
      </c>
      <c r="T14" s="35">
        <f t="shared" si="5"/>
        <v>3.5465884922687874E-2</v>
      </c>
      <c r="U14" s="35">
        <f t="shared" si="6"/>
        <v>7.1408087180957924E-2</v>
      </c>
      <c r="V14" s="35">
        <f t="shared" si="7"/>
        <v>8.6502609992542778E-2</v>
      </c>
      <c r="Y14" s="38"/>
      <c r="Z14" s="38"/>
      <c r="AA14" s="38" t="s">
        <v>204</v>
      </c>
      <c r="AB14" s="40">
        <f>AB10*AB12*1000</f>
        <v>23882.595484819285</v>
      </c>
      <c r="AC14" s="40">
        <f t="shared" ref="AC14:AD14" si="15">AC10*AC12*1000</f>
        <v>528415.35195914353</v>
      </c>
      <c r="AD14" s="40">
        <f t="shared" si="15"/>
        <v>968362.90229186171</v>
      </c>
      <c r="AE14" s="40">
        <f>AE10*AE12*1000</f>
        <v>1215166.9443651873</v>
      </c>
      <c r="AF14" s="38"/>
      <c r="AG14" s="38"/>
      <c r="AH14" s="38" t="s">
        <v>177</v>
      </c>
      <c r="AI14" s="38">
        <v>46</v>
      </c>
      <c r="AJ14" s="38">
        <v>32.5</v>
      </c>
      <c r="AK14" s="38">
        <f>2000000/AK6</f>
        <v>20</v>
      </c>
      <c r="AL14" s="42">
        <v>27</v>
      </c>
      <c r="AM14" s="38"/>
      <c r="AN14" s="38" t="s">
        <v>176</v>
      </c>
      <c r="AO14" s="38"/>
      <c r="AP14" s="38"/>
    </row>
    <row r="15" spans="1:42" x14ac:dyDescent="0.25">
      <c r="A15">
        <v>2006</v>
      </c>
      <c r="B15">
        <v>729108</v>
      </c>
      <c r="C15">
        <v>69572</v>
      </c>
      <c r="D15">
        <v>6721</v>
      </c>
      <c r="E15">
        <v>25122</v>
      </c>
      <c r="F15">
        <v>199179</v>
      </c>
      <c r="G15">
        <v>34794</v>
      </c>
      <c r="H15">
        <v>261544</v>
      </c>
      <c r="I15">
        <v>6974</v>
      </c>
      <c r="J15">
        <v>261663</v>
      </c>
      <c r="K15">
        <v>2682</v>
      </c>
      <c r="N15">
        <f t="shared" si="0"/>
        <v>0.36109354337952049</v>
      </c>
      <c r="O15">
        <f t="shared" si="1"/>
        <v>0.50011498878859306</v>
      </c>
      <c r="P15">
        <f t="shared" si="2"/>
        <v>0.10024147645604553</v>
      </c>
      <c r="Q15">
        <f t="shared" si="3"/>
        <v>3.8549991375840857E-2</v>
      </c>
      <c r="S15" s="35">
        <f t="shared" si="4"/>
        <v>6.1792054099746307E-2</v>
      </c>
      <c r="T15" s="35">
        <f t="shared" si="5"/>
        <v>0.1711208347357791</v>
      </c>
      <c r="U15" s="35">
        <f t="shared" si="6"/>
        <v>0.22350877192982455</v>
      </c>
      <c r="V15" s="35">
        <f t="shared" si="7"/>
        <v>0.24339360222531292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 t="s">
        <v>180</v>
      </c>
      <c r="AI15" s="42">
        <f>AI6/$AN$15</f>
        <v>3.0821917808219177</v>
      </c>
      <c r="AJ15" s="42">
        <f>AJ6/$AN$15</f>
        <v>3.0821917808219177</v>
      </c>
      <c r="AK15" s="42">
        <f>AK6/$AN$15</f>
        <v>11.415525114155251</v>
      </c>
      <c r="AL15" s="42">
        <f>AL6/$AN$15</f>
        <v>16.552511415525114</v>
      </c>
      <c r="AM15" s="38"/>
      <c r="AN15" s="38">
        <f>24*365</f>
        <v>8760</v>
      </c>
      <c r="AO15" s="38"/>
      <c r="AP15" s="38"/>
    </row>
    <row r="16" spans="1:42" x14ac:dyDescent="0.25">
      <c r="A16">
        <v>2005</v>
      </c>
      <c r="B16">
        <v>600614</v>
      </c>
      <c r="C16">
        <v>61227</v>
      </c>
      <c r="D16">
        <v>6251</v>
      </c>
      <c r="E16">
        <v>23660</v>
      </c>
      <c r="F16">
        <v>168131</v>
      </c>
      <c r="G16">
        <v>29710</v>
      </c>
      <c r="H16">
        <v>214319</v>
      </c>
      <c r="I16">
        <v>5700</v>
      </c>
      <c r="J16">
        <v>211913</v>
      </c>
      <c r="K16">
        <v>2157</v>
      </c>
      <c r="N16">
        <f t="shared" si="0"/>
        <v>0.38643082300292353</v>
      </c>
      <c r="O16">
        <f t="shared" si="1"/>
        <v>0.48524343835236089</v>
      </c>
      <c r="P16">
        <f t="shared" si="2"/>
        <v>9.3096183056494683E-2</v>
      </c>
      <c r="Q16">
        <f t="shared" si="3"/>
        <v>3.5229555588220884E-2</v>
      </c>
      <c r="S16" s="35"/>
      <c r="Y16" s="38" t="s">
        <v>205</v>
      </c>
      <c r="Z16" s="38"/>
      <c r="AA16" s="42">
        <f>SUM(AB12:AE12)/SUM(AB4:AE4)</f>
        <v>1251.1010531024613</v>
      </c>
      <c r="AB16" s="38"/>
      <c r="AC16" s="38"/>
      <c r="AD16" s="38"/>
      <c r="AE16" s="38"/>
      <c r="AF16" s="38"/>
      <c r="AG16" s="38"/>
      <c r="AH16" s="38" t="s">
        <v>193</v>
      </c>
      <c r="AI16" s="38">
        <f>AI5*AI6*AI7*AI14/1000000</f>
        <v>881.82</v>
      </c>
      <c r="AJ16" s="38">
        <f>AJ5*AJ6*AJ7*AJ14/1000000</f>
        <v>747.63</v>
      </c>
      <c r="AK16" s="38">
        <f>AK5*AK6*AK7*AK14/1000000</f>
        <v>65000</v>
      </c>
      <c r="AL16" s="38">
        <f>AL5*AL6*AL7*AL14/1000000</f>
        <v>279922.5</v>
      </c>
      <c r="AM16" s="38"/>
      <c r="AN16" s="38"/>
      <c r="AO16" s="38"/>
      <c r="AP16" s="38"/>
    </row>
    <row r="17" spans="1:42" x14ac:dyDescent="0.25">
      <c r="Y17" s="38" t="s">
        <v>206</v>
      </c>
      <c r="Z17" s="38"/>
      <c r="AA17" s="51">
        <f>SUMPRODUCT(AB10:AE10,AB12:AE12)/SUM(AB12:AE12)</f>
        <v>2.1867360652576768</v>
      </c>
      <c r="AB17" s="53"/>
      <c r="AC17" s="38"/>
      <c r="AD17" s="38"/>
      <c r="AE17" s="38"/>
      <c r="AF17" s="38"/>
      <c r="AG17" s="38"/>
      <c r="AH17" s="38" t="s">
        <v>198</v>
      </c>
      <c r="AI17" s="50">
        <f>AI8/AI16</f>
        <v>0.19331609625547164</v>
      </c>
      <c r="AJ17" s="50">
        <f>AJ8/AJ16</f>
        <v>0.24140283295212875</v>
      </c>
      <c r="AK17" s="50">
        <f>AK8/AK16</f>
        <v>0.10796923076923079</v>
      </c>
      <c r="AL17" s="50">
        <f>AL8/AL16</f>
        <v>6.1431860604274399E-2</v>
      </c>
      <c r="AM17" s="38"/>
      <c r="AN17" s="38" t="s">
        <v>197</v>
      </c>
      <c r="AO17" s="38"/>
      <c r="AP17" s="38"/>
    </row>
    <row r="18" spans="1:42" x14ac:dyDescent="0.25">
      <c r="F18" t="s">
        <v>226</v>
      </c>
      <c r="H18" s="57">
        <f>((G5*H24)+(I5*J24)+(L24*K5))/SUM(G5,I5,K5)</f>
        <v>31534.077662342388</v>
      </c>
      <c r="I18" t="s">
        <v>240</v>
      </c>
      <c r="R18" t="s">
        <v>190</v>
      </c>
      <c r="S18" s="37">
        <f>AVERAGE(S3:S15)</f>
        <v>2.9518608161743683E-2</v>
      </c>
      <c r="T18" s="37">
        <f t="shared" ref="T18:U18" si="16">AVERAGE(T3:T15)</f>
        <v>2.305921117956914E-2</v>
      </c>
      <c r="U18" s="37">
        <f t="shared" si="16"/>
        <v>6.0128286625532552E-2</v>
      </c>
      <c r="V18" s="37">
        <f>AVERAGE(V3:V15)</f>
        <v>8.7246271602324288E-2</v>
      </c>
    </row>
    <row r="20" spans="1:42" x14ac:dyDescent="0.25">
      <c r="A20" t="s">
        <v>149</v>
      </c>
      <c r="B20" t="s">
        <v>150</v>
      </c>
      <c r="N20" t="s">
        <v>189</v>
      </c>
    </row>
    <row r="21" spans="1:42" x14ac:dyDescent="0.25">
      <c r="A21" t="s">
        <v>138</v>
      </c>
      <c r="B21" t="s">
        <v>164</v>
      </c>
      <c r="C21" t="s">
        <v>155</v>
      </c>
      <c r="E21" t="s">
        <v>151</v>
      </c>
      <c r="F21" t="s">
        <v>161</v>
      </c>
      <c r="G21" t="s">
        <v>152</v>
      </c>
      <c r="H21" t="s">
        <v>158</v>
      </c>
      <c r="I21" t="s">
        <v>153</v>
      </c>
      <c r="J21" t="s">
        <v>159</v>
      </c>
      <c r="K21" t="s">
        <v>154</v>
      </c>
      <c r="L21" t="s">
        <v>160</v>
      </c>
      <c r="N21" t="s">
        <v>187</v>
      </c>
      <c r="O21" t="s">
        <v>187</v>
      </c>
      <c r="P21" t="s">
        <v>187</v>
      </c>
      <c r="Q21" t="s">
        <v>187</v>
      </c>
    </row>
    <row r="22" spans="1:42" x14ac:dyDescent="0.25">
      <c r="A22">
        <v>2018</v>
      </c>
      <c r="B22">
        <v>1926183</v>
      </c>
      <c r="C22" s="34">
        <f t="shared" ref="C22:C35" si="17">B22/B3</f>
        <v>1.4262655237880857</v>
      </c>
      <c r="E22" s="34">
        <f t="shared" ref="E22:E35" si="18">(1000*D3)/E3</f>
        <v>265.51674155674738</v>
      </c>
      <c r="F22" s="2">
        <f>$C$36*E22</f>
        <v>374.66963301490648</v>
      </c>
      <c r="G22" s="34">
        <f t="shared" ref="G22:G35" si="19">(1000*F3)/G3</f>
        <v>5822.0115583493862</v>
      </c>
      <c r="H22" s="2">
        <f>$C$36*G22</f>
        <v>8215.4176839696756</v>
      </c>
      <c r="I22" s="34">
        <f t="shared" ref="I22:I35" si="20">(1000*H3)/I3</f>
        <v>37595.56555805618</v>
      </c>
      <c r="J22" s="2">
        <f>$C$36*I22</f>
        <v>53050.955160257814</v>
      </c>
      <c r="K22" s="34">
        <f t="shared" ref="K22:K35" si="21">(1000*J3)/K3</f>
        <v>104744.7280799112</v>
      </c>
      <c r="L22">
        <f>$C$36*K22</f>
        <v>147804.8751270886</v>
      </c>
      <c r="N22" s="36">
        <f>(F22/F23)-1</f>
        <v>2.0933759390961981E-3</v>
      </c>
      <c r="O22" s="36">
        <f t="shared" ref="O22:O34" si="22">(H22/H23)-1</f>
        <v>4.6253920707961527E-4</v>
      </c>
      <c r="P22" s="36">
        <f>(J22/J23)-1</f>
        <v>-9.2343905345548816E-4</v>
      </c>
      <c r="Q22" s="36">
        <f t="shared" ref="Q22:Q34" si="23">(L22/L23)-1</f>
        <v>1.339882547715221E-2</v>
      </c>
    </row>
    <row r="23" spans="1:42" x14ac:dyDescent="0.25">
      <c r="A23">
        <v>2017</v>
      </c>
      <c r="B23">
        <v>1862340</v>
      </c>
      <c r="C23" s="34">
        <f t="shared" si="17"/>
        <v>1.4278408807755856</v>
      </c>
      <c r="E23" s="34">
        <f t="shared" si="18"/>
        <v>264.96207632140317</v>
      </c>
      <c r="F23" s="2">
        <f t="shared" ref="F23:H35" si="24">$C$36*E23</f>
        <v>373.88694707595556</v>
      </c>
      <c r="G23" s="34">
        <f t="shared" si="19"/>
        <v>5819.3198947395313</v>
      </c>
      <c r="H23" s="2">
        <f t="shared" si="24"/>
        <v>8211.6194880028561</v>
      </c>
      <c r="I23" s="34">
        <f t="shared" si="20"/>
        <v>37630.314860392093</v>
      </c>
      <c r="J23" s="2">
        <f t="shared" ref="J23" si="25">$C$36*I23</f>
        <v>53099.98976454448</v>
      </c>
      <c r="K23" s="34">
        <f t="shared" si="21"/>
        <v>103359.8277860573</v>
      </c>
      <c r="L23">
        <f t="shared" ref="L23" si="26">$C$36*K23</f>
        <v>145850.64775212822</v>
      </c>
      <c r="N23" s="36">
        <f t="shared" ref="N23:N34" si="27">(F23/F24)-1</f>
        <v>1.1412571110924752E-3</v>
      </c>
      <c r="O23" s="36">
        <f t="shared" si="22"/>
        <v>4.4788724697057969E-3</v>
      </c>
      <c r="P23" s="36">
        <f t="shared" ref="P23:P34" si="28">(J23/J24)-1</f>
        <v>-2.4008803284562008E-3</v>
      </c>
      <c r="Q23" s="36">
        <f t="shared" si="23"/>
        <v>6.4504199041488519E-3</v>
      </c>
    </row>
    <row r="24" spans="1:42" x14ac:dyDescent="0.25">
      <c r="A24">
        <v>2016</v>
      </c>
      <c r="B24">
        <v>1805279</v>
      </c>
      <c r="C24" s="34">
        <f t="shared" si="17"/>
        <v>1.4211617244647654</v>
      </c>
      <c r="E24" s="34">
        <f t="shared" si="18"/>
        <v>264.66003117879842</v>
      </c>
      <c r="F24" s="2">
        <f t="shared" si="24"/>
        <v>373.46073235943652</v>
      </c>
      <c r="G24" s="34">
        <f t="shared" si="19"/>
        <v>5793.3721198451958</v>
      </c>
      <c r="H24" s="2">
        <f t="shared" si="24"/>
        <v>8175.0046845813686</v>
      </c>
      <c r="I24" s="34">
        <f t="shared" si="20"/>
        <v>37720.878174773999</v>
      </c>
      <c r="J24" s="2">
        <f t="shared" ref="J24" si="29">$C$36*I24</f>
        <v>53227.783302402546</v>
      </c>
      <c r="K24" s="34">
        <f t="shared" si="21"/>
        <v>102697.38651994498</v>
      </c>
      <c r="L24">
        <f t="shared" ref="L24" si="30">$C$36*K24</f>
        <v>144915.87947871149</v>
      </c>
      <c r="N24" s="36">
        <f t="shared" si="27"/>
        <v>-3.3912059686569407E-4</v>
      </c>
      <c r="O24" s="36">
        <f t="shared" si="22"/>
        <v>6.6933369446475766E-4</v>
      </c>
      <c r="P24" s="36">
        <f t="shared" si="28"/>
        <v>-1.0668500717281315E-3</v>
      </c>
      <c r="Q24" s="36">
        <f t="shared" si="23"/>
        <v>9.9950989598089901E-3</v>
      </c>
    </row>
    <row r="25" spans="1:42" x14ac:dyDescent="0.25">
      <c r="A25">
        <v>2015</v>
      </c>
      <c r="B25">
        <v>1745992</v>
      </c>
      <c r="C25" s="34">
        <f t="shared" si="17"/>
        <v>1.4424655202896179</v>
      </c>
      <c r="E25" s="34">
        <f t="shared" si="18"/>
        <v>264.7498132935026</v>
      </c>
      <c r="F25" s="2">
        <f t="shared" si="24"/>
        <v>373.58742354949214</v>
      </c>
      <c r="G25" s="34">
        <f t="shared" si="19"/>
        <v>5789.4970144194413</v>
      </c>
      <c r="H25" s="2">
        <f t="shared" si="24"/>
        <v>8169.536538507984</v>
      </c>
      <c r="I25" s="34">
        <f t="shared" si="20"/>
        <v>37761.163674949159</v>
      </c>
      <c r="J25" s="2">
        <f t="shared" ref="J25" si="31">$C$36*I25</f>
        <v>53284.63001375473</v>
      </c>
      <c r="K25" s="34">
        <f t="shared" si="21"/>
        <v>101681.07412175833</v>
      </c>
      <c r="L25">
        <f t="shared" ref="L25" si="32">$C$36*K25</f>
        <v>143481.76503822635</v>
      </c>
      <c r="N25" s="36">
        <f t="shared" si="27"/>
        <v>-1.2336472299213641E-3</v>
      </c>
      <c r="O25" s="36">
        <f t="shared" si="22"/>
        <v>3.1624510151817553E-4</v>
      </c>
      <c r="P25" s="36">
        <f t="shared" si="28"/>
        <v>-2.1409620377353944E-3</v>
      </c>
      <c r="Q25" s="36">
        <f t="shared" si="23"/>
        <v>6.4105857687923873E-3</v>
      </c>
    </row>
    <row r="26" spans="1:42" x14ac:dyDescent="0.25">
      <c r="A26">
        <v>2014</v>
      </c>
      <c r="B26">
        <v>1689462</v>
      </c>
      <c r="C26" s="34">
        <f t="shared" si="17"/>
        <v>1.448335812290771</v>
      </c>
      <c r="E26" s="34">
        <f t="shared" si="18"/>
        <v>265.07682458386682</v>
      </c>
      <c r="F26" s="2">
        <f t="shared" si="24"/>
        <v>374.04886789923125</v>
      </c>
      <c r="G26" s="34">
        <f t="shared" si="19"/>
        <v>5787.6666931785039</v>
      </c>
      <c r="H26" s="2">
        <f t="shared" si="24"/>
        <v>8166.9537793809295</v>
      </c>
      <c r="I26" s="34">
        <f t="shared" si="20"/>
        <v>37842.182350787254</v>
      </c>
      <c r="J26" s="2">
        <f t="shared" ref="J26" si="33">$C$36*I26</f>
        <v>53398.955149584726</v>
      </c>
      <c r="K26" s="34">
        <f t="shared" si="21"/>
        <v>101033.39090385723</v>
      </c>
      <c r="L26">
        <f t="shared" ref="L26" si="34">$C$36*K26</f>
        <v>142567.82178877949</v>
      </c>
      <c r="N26" s="36">
        <f t="shared" si="27"/>
        <v>-1.9015213372657325E-3</v>
      </c>
      <c r="O26" s="36">
        <f t="shared" si="22"/>
        <v>6.0314835043902004E-3</v>
      </c>
      <c r="P26" s="36">
        <f t="shared" si="28"/>
        <v>6.6074254939518795E-4</v>
      </c>
      <c r="Q26" s="36">
        <f t="shared" si="23"/>
        <v>1.2443426740572416E-2</v>
      </c>
    </row>
    <row r="27" spans="1:42" x14ac:dyDescent="0.25">
      <c r="A27">
        <v>2013</v>
      </c>
      <c r="B27">
        <v>1625750</v>
      </c>
      <c r="C27" s="34">
        <f t="shared" si="17"/>
        <v>1.4860250122026351</v>
      </c>
      <c r="E27" s="34">
        <f t="shared" si="18"/>
        <v>265.58183410821374</v>
      </c>
      <c r="F27" s="2">
        <f t="shared" si="24"/>
        <v>374.76148485907618</v>
      </c>
      <c r="G27" s="34">
        <f t="shared" si="19"/>
        <v>5752.9677630145934</v>
      </c>
      <c r="H27" s="2">
        <f t="shared" si="24"/>
        <v>8117.9902550686829</v>
      </c>
      <c r="I27" s="34">
        <f t="shared" si="20"/>
        <v>37817.194921004171</v>
      </c>
      <c r="J27" s="2">
        <f t="shared" ref="J27" si="35">$C$36*I27</f>
        <v>53363.69548538456</v>
      </c>
      <c r="K27" s="34">
        <f t="shared" si="21"/>
        <v>99791.640930615613</v>
      </c>
      <c r="L27">
        <f t="shared" ref="L27" si="36">$C$36*K27</f>
        <v>140815.59326999407</v>
      </c>
      <c r="N27" s="36">
        <f t="shared" si="27"/>
        <v>1.592160196549175E-3</v>
      </c>
      <c r="O27" s="36">
        <f t="shared" si="22"/>
        <v>-9.4688679830249312E-3</v>
      </c>
      <c r="P27" s="36">
        <f t="shared" si="28"/>
        <v>7.4359965550030438E-4</v>
      </c>
      <c r="Q27" s="36">
        <f t="shared" si="23"/>
        <v>6.1956758702257364E-3</v>
      </c>
    </row>
    <row r="28" spans="1:42" x14ac:dyDescent="0.25">
      <c r="A28">
        <v>2012</v>
      </c>
      <c r="B28">
        <v>1536868</v>
      </c>
      <c r="C28" s="34">
        <f t="shared" si="17"/>
        <v>1.4660070816989972</v>
      </c>
      <c r="E28" s="34">
        <f t="shared" si="18"/>
        <v>265.15965745588187</v>
      </c>
      <c r="F28" s="2">
        <f t="shared" si="24"/>
        <v>374.16575304017374</v>
      </c>
      <c r="G28" s="34">
        <f t="shared" si="19"/>
        <v>5807.9625940681717</v>
      </c>
      <c r="H28" s="2">
        <f t="shared" si="24"/>
        <v>8195.5932455533984</v>
      </c>
      <c r="I28" s="34">
        <f t="shared" si="20"/>
        <v>37789.094963008007</v>
      </c>
      <c r="J28" s="2">
        <f t="shared" ref="J28" si="37">$C$36*I28</f>
        <v>53324.04374482602</v>
      </c>
      <c r="K28" s="34">
        <f t="shared" si="21"/>
        <v>99177.171323370159</v>
      </c>
      <c r="L28">
        <f t="shared" ref="L28" si="38">$C$36*K28</f>
        <v>139948.51761632474</v>
      </c>
      <c r="N28" s="36">
        <f t="shared" si="27"/>
        <v>-1.1426641518772263E-2</v>
      </c>
      <c r="O28" s="36">
        <f t="shared" si="22"/>
        <v>-8.3750163621783003E-3</v>
      </c>
      <c r="P28" s="36">
        <f t="shared" si="28"/>
        <v>4.0130837617948778E-3</v>
      </c>
      <c r="Q28" s="36">
        <f t="shared" si="23"/>
        <v>7.9061422688169181E-3</v>
      </c>
    </row>
    <row r="29" spans="1:42" x14ac:dyDescent="0.25">
      <c r="A29">
        <v>2011</v>
      </c>
      <c r="B29">
        <v>1395743</v>
      </c>
      <c r="C29" s="34">
        <f t="shared" si="17"/>
        <v>1.3845022264236662</v>
      </c>
      <c r="E29" s="34">
        <f t="shared" si="18"/>
        <v>268.22456338824861</v>
      </c>
      <c r="F29" s="2">
        <f t="shared" si="24"/>
        <v>378.49062978494061</v>
      </c>
      <c r="G29" s="34">
        <f t="shared" si="19"/>
        <v>5857.0151921358356</v>
      </c>
      <c r="H29" s="2">
        <f t="shared" si="24"/>
        <v>8264.8111743690533</v>
      </c>
      <c r="I29" s="34">
        <f t="shared" si="20"/>
        <v>37638.050314465407</v>
      </c>
      <c r="J29" s="2">
        <f t="shared" ref="J29" si="39">$C$36*I29</f>
        <v>53110.905233459394</v>
      </c>
      <c r="K29" s="34">
        <f t="shared" si="21"/>
        <v>98399.213145105299</v>
      </c>
      <c r="L29">
        <f t="shared" ref="L29" si="40">$C$36*K29</f>
        <v>138850.74388106994</v>
      </c>
      <c r="N29" s="36">
        <f t="shared" si="27"/>
        <v>-3.3434147318629481E-3</v>
      </c>
      <c r="O29" s="36">
        <f t="shared" si="22"/>
        <v>1.154303884776553E-2</v>
      </c>
      <c r="P29" s="36">
        <f t="shared" si="28"/>
        <v>3.091243995845927E-3</v>
      </c>
      <c r="Q29" s="36">
        <f t="shared" si="23"/>
        <v>7.6436953358494097E-3</v>
      </c>
    </row>
    <row r="30" spans="1:42" x14ac:dyDescent="0.25">
      <c r="A30">
        <v>2010</v>
      </c>
      <c r="B30">
        <v>1276137</v>
      </c>
      <c r="C30" s="34">
        <f t="shared" si="17"/>
        <v>1.367873431696742</v>
      </c>
      <c r="E30" s="34">
        <f t="shared" si="18"/>
        <v>269.1243577305882</v>
      </c>
      <c r="F30" s="2">
        <f t="shared" si="24"/>
        <v>379.76032605364543</v>
      </c>
      <c r="G30" s="34">
        <f t="shared" si="19"/>
        <v>5790.1789317906632</v>
      </c>
      <c r="H30" s="2">
        <f t="shared" si="24"/>
        <v>8170.4987894369615</v>
      </c>
      <c r="I30" s="34">
        <f t="shared" si="20"/>
        <v>37522.060470324745</v>
      </c>
      <c r="J30" s="2">
        <f t="shared" ref="J30" si="41">$C$36*I30</f>
        <v>52947.232419147047</v>
      </c>
      <c r="K30" s="34">
        <f t="shared" si="21"/>
        <v>97652.78500780843</v>
      </c>
      <c r="L30">
        <f t="shared" ref="L30" si="42">$C$36*K30</f>
        <v>137797.46206300706</v>
      </c>
      <c r="N30" s="36">
        <f t="shared" si="27"/>
        <v>2.6085426100757036E-3</v>
      </c>
      <c r="O30" s="36">
        <f t="shared" si="22"/>
        <v>1.1553573426791086E-2</v>
      </c>
      <c r="P30" s="36">
        <f t="shared" si="28"/>
        <v>6.7143411214232174E-4</v>
      </c>
      <c r="Q30" s="36">
        <f t="shared" si="23"/>
        <v>1.3570263598157162E-3</v>
      </c>
    </row>
    <row r="31" spans="1:42" x14ac:dyDescent="0.25">
      <c r="A31">
        <v>2009</v>
      </c>
      <c r="B31">
        <v>1192317</v>
      </c>
      <c r="C31" s="34">
        <f t="shared" si="17"/>
        <v>1.3973403681809871</v>
      </c>
      <c r="E31" s="34">
        <f t="shared" si="18"/>
        <v>268.4241618667848</v>
      </c>
      <c r="F31" s="2">
        <f t="shared" si="24"/>
        <v>378.77228241544907</v>
      </c>
      <c r="G31" s="34">
        <f t="shared" si="19"/>
        <v>5724.0457489320652</v>
      </c>
      <c r="H31" s="2">
        <f t="shared" si="24"/>
        <v>8077.1785143896614</v>
      </c>
      <c r="I31" s="34">
        <f t="shared" si="20"/>
        <v>37496.883783453501</v>
      </c>
      <c r="J31" s="2">
        <f t="shared" ref="J31" si="43">$C$36*I31</f>
        <v>52911.705695011784</v>
      </c>
      <c r="K31" s="34">
        <f t="shared" si="21"/>
        <v>97520.447190350096</v>
      </c>
      <c r="L31">
        <f t="shared" ref="L31" si="44">$C$36*K31</f>
        <v>137610.72068764069</v>
      </c>
      <c r="N31" s="36">
        <f t="shared" si="27"/>
        <v>-1.3527893891236431E-3</v>
      </c>
      <c r="O31" s="36">
        <f t="shared" si="22"/>
        <v>-3.291553980501849E-3</v>
      </c>
      <c r="P31" s="36">
        <f t="shared" si="28"/>
        <v>-3.4949396563916935E-3</v>
      </c>
      <c r="Q31" s="36">
        <f t="shared" si="23"/>
        <v>-4.1513376969783966E-3</v>
      </c>
    </row>
    <row r="32" spans="1:42" x14ac:dyDescent="0.25">
      <c r="A32">
        <v>2008</v>
      </c>
      <c r="B32">
        <v>1117779</v>
      </c>
      <c r="C32" s="34">
        <f t="shared" si="17"/>
        <v>1.3411679587059371</v>
      </c>
      <c r="E32" s="34">
        <f t="shared" si="18"/>
        <v>268.78777511688907</v>
      </c>
      <c r="F32" s="2">
        <f t="shared" si="24"/>
        <v>379.2853756470742</v>
      </c>
      <c r="G32" s="34">
        <f t="shared" si="19"/>
        <v>5742.9489754921651</v>
      </c>
      <c r="H32" s="2">
        <f t="shared" si="24"/>
        <v>8103.8527832758537</v>
      </c>
      <c r="I32" s="34">
        <f t="shared" si="20"/>
        <v>37628.392745465913</v>
      </c>
      <c r="J32" s="2">
        <f t="shared" ref="J32" si="45">$C$36*I32</f>
        <v>53097.27747570807</v>
      </c>
      <c r="K32" s="34">
        <f t="shared" si="21"/>
        <v>97926.975133774002</v>
      </c>
      <c r="L32">
        <f t="shared" ref="L32" si="46">$C$36*K32</f>
        <v>138184.37067475604</v>
      </c>
      <c r="N32" s="36">
        <f t="shared" si="27"/>
        <v>2.5025701077949769E-3</v>
      </c>
      <c r="O32" s="36">
        <f t="shared" si="22"/>
        <v>1.0739322593884548E-3</v>
      </c>
      <c r="P32" s="36">
        <f t="shared" si="28"/>
        <v>8.5202404286355282E-4</v>
      </c>
      <c r="Q32" s="36">
        <f t="shared" si="23"/>
        <v>3.1469906203156484E-3</v>
      </c>
    </row>
    <row r="33" spans="1:27" x14ac:dyDescent="0.25">
      <c r="A33">
        <v>2007</v>
      </c>
      <c r="B33">
        <v>1042328</v>
      </c>
      <c r="C33" s="34">
        <f t="shared" si="17"/>
        <v>1.3381862626153693</v>
      </c>
      <c r="E33" s="34">
        <f t="shared" si="18"/>
        <v>268.11679404271996</v>
      </c>
      <c r="F33" s="2">
        <f t="shared" si="24"/>
        <v>378.33855688399007</v>
      </c>
      <c r="G33" s="34">
        <f t="shared" si="19"/>
        <v>5736.7880537359833</v>
      </c>
      <c r="H33" s="2">
        <f t="shared" si="24"/>
        <v>8095.1591307404678</v>
      </c>
      <c r="I33" s="34">
        <f t="shared" si="20"/>
        <v>37596.359743040688</v>
      </c>
      <c r="J33" s="2">
        <f t="shared" ref="J33" si="47">$C$36*I33</f>
        <v>53052.075831575741</v>
      </c>
      <c r="K33" s="34">
        <f t="shared" si="21"/>
        <v>97619.766643788607</v>
      </c>
      <c r="L33">
        <f t="shared" ref="L33" si="48">$C$36*K33</f>
        <v>137750.86997899183</v>
      </c>
      <c r="N33" s="36">
        <f t="shared" si="27"/>
        <v>2.1767742807932144E-3</v>
      </c>
      <c r="O33" s="36">
        <f t="shared" si="22"/>
        <v>2.1428139597536866E-3</v>
      </c>
      <c r="P33" s="36">
        <f t="shared" si="28"/>
        <v>2.4967609578723238E-3</v>
      </c>
      <c r="Q33" s="36">
        <f t="shared" si="23"/>
        <v>5.8553994504784157E-4</v>
      </c>
    </row>
    <row r="34" spans="1:27" x14ac:dyDescent="0.25">
      <c r="A34">
        <v>2006</v>
      </c>
      <c r="B34">
        <v>959964</v>
      </c>
      <c r="C34" s="34">
        <f t="shared" si="17"/>
        <v>1.3166279892690795</v>
      </c>
      <c r="E34" s="34">
        <f t="shared" si="18"/>
        <v>267.53443197197674</v>
      </c>
      <c r="F34" s="2">
        <f t="shared" si="24"/>
        <v>377.51678804919692</v>
      </c>
      <c r="G34" s="34">
        <f t="shared" si="19"/>
        <v>5724.521469218831</v>
      </c>
      <c r="H34" s="2">
        <f t="shared" si="24"/>
        <v>8077.8498014211882</v>
      </c>
      <c r="I34" s="34">
        <f t="shared" si="20"/>
        <v>37502.724404932604</v>
      </c>
      <c r="J34" s="2">
        <f t="shared" ref="J34" si="49">$C$36*I34</f>
        <v>52919.947373081966</v>
      </c>
      <c r="K34" s="34">
        <f t="shared" si="21"/>
        <v>97562.639821029079</v>
      </c>
      <c r="L34">
        <f t="shared" ref="L34" si="50">$C$36*K34</f>
        <v>137670.25854336962</v>
      </c>
      <c r="N34" s="36">
        <f t="shared" si="27"/>
        <v>1.2616327060785526E-2</v>
      </c>
      <c r="O34" s="36">
        <f t="shared" si="22"/>
        <v>1.1565581900372157E-2</v>
      </c>
      <c r="P34" s="36">
        <f t="shared" si="28"/>
        <v>-2.582463019537018E-3</v>
      </c>
      <c r="Q34" s="36">
        <f t="shared" si="23"/>
        <v>-6.9386300323258654E-3</v>
      </c>
    </row>
    <row r="35" spans="1:27" x14ac:dyDescent="0.25">
      <c r="A35">
        <v>2005</v>
      </c>
      <c r="B35">
        <v>895843</v>
      </c>
      <c r="C35" s="34">
        <f t="shared" si="17"/>
        <v>1.4915453186239416</v>
      </c>
      <c r="E35" s="34">
        <f t="shared" si="18"/>
        <v>264.20118343195264</v>
      </c>
      <c r="F35" s="2">
        <f t="shared" si="24"/>
        <v>372.81325410283978</v>
      </c>
      <c r="G35" s="34">
        <f t="shared" si="19"/>
        <v>5659.071019858633</v>
      </c>
      <c r="H35" s="2">
        <f t="shared" si="24"/>
        <v>7985.4929289367274</v>
      </c>
      <c r="I35" s="34">
        <f t="shared" si="20"/>
        <v>37599.824561403511</v>
      </c>
      <c r="J35" s="2">
        <f t="shared" ref="J35" si="51">$C$36*I35</f>
        <v>53056.965023183206</v>
      </c>
      <c r="K35" s="34">
        <f t="shared" si="21"/>
        <v>98244.320815948071</v>
      </c>
      <c r="L35">
        <f t="shared" ref="L35" si="52">$C$36*K35</f>
        <v>138632.17592267337</v>
      </c>
    </row>
    <row r="36" spans="1:27" x14ac:dyDescent="0.25">
      <c r="B36" t="s">
        <v>157</v>
      </c>
      <c r="C36" s="34">
        <f>AVERAGE(C22:C35)</f>
        <v>1.4110960793590128</v>
      </c>
      <c r="E36" s="34"/>
      <c r="G36" s="34"/>
      <c r="I36" s="34"/>
      <c r="K36" s="34"/>
    </row>
    <row r="37" spans="1:27" x14ac:dyDescent="0.25">
      <c r="A37" t="s">
        <v>156</v>
      </c>
      <c r="B37">
        <f>((5047.9+4941.1)/2)*1.852</f>
        <v>9249.8140000000003</v>
      </c>
      <c r="C37" s="34"/>
      <c r="E37" s="34"/>
      <c r="G37" s="34"/>
      <c r="I37" s="34"/>
      <c r="K37" s="34"/>
      <c r="M37" t="s">
        <v>188</v>
      </c>
      <c r="N37" s="37">
        <f>AVERAGE(N22:N34)</f>
        <v>3.9491326941350961E-4</v>
      </c>
      <c r="O37" s="54">
        <f>AVERAGE(O22:O34)</f>
        <v>2.2078443111941829E-3</v>
      </c>
      <c r="P37" s="54">
        <f>AVERAGE(P22:P34)</f>
        <v>-6.2034686068792929E-6</v>
      </c>
      <c r="Q37" s="37">
        <f>AVERAGE(Q22:Q34)</f>
        <v>4.957189193941682E-3</v>
      </c>
      <c r="X37" s="36"/>
      <c r="Y37" s="36"/>
      <c r="Z37" s="36"/>
      <c r="AA37" s="36"/>
    </row>
    <row r="38" spans="1:27" x14ac:dyDescent="0.25">
      <c r="C38" s="34"/>
      <c r="E38" s="34"/>
      <c r="G38" s="34"/>
      <c r="I38" s="34"/>
      <c r="K38" s="34"/>
    </row>
    <row r="39" spans="1:27" x14ac:dyDescent="0.25">
      <c r="B39" t="s">
        <v>185</v>
      </c>
      <c r="C39" t="s">
        <v>186</v>
      </c>
      <c r="G39" t="s">
        <v>181</v>
      </c>
      <c r="H39" t="s">
        <v>182</v>
      </c>
      <c r="I39" t="s">
        <v>183</v>
      </c>
      <c r="J39" t="s">
        <v>184</v>
      </c>
    </row>
    <row r="40" spans="1:27" x14ac:dyDescent="0.25">
      <c r="A40">
        <f>'Ship calc tonkm to vessels'!A3</f>
        <v>2018</v>
      </c>
      <c r="B40">
        <f>'Ship calc tonkm to vessels'!E3</f>
        <v>1180689900.3804836</v>
      </c>
      <c r="C40">
        <f t="shared" ref="C40:C53" si="53">SUM(G40:J40)/SUM(E3,G3,I3,K3)</f>
        <v>1251101053.1024613</v>
      </c>
      <c r="F40">
        <f t="shared" ref="F40:F53" si="54">A40</f>
        <v>2018</v>
      </c>
      <c r="G40">
        <f t="shared" ref="G40:G53" si="55">E3*F22*$AI$6*$AI$7</f>
        <v>247757469754.5791</v>
      </c>
      <c r="H40">
        <f t="shared" ref="H40:H53" si="56">G3*H22*$AJ$6*$AJ$7</f>
        <v>6213278002831.0156</v>
      </c>
      <c r="I40">
        <f t="shared" ref="I40:I53" si="57">I3*J22*$AK$6*$AK$7</f>
        <v>41369400088744.852</v>
      </c>
      <c r="J40">
        <f t="shared" ref="J40:J53" si="58">K3*L22*$AL$6*$AL$7</f>
        <v>67584887688424.711</v>
      </c>
    </row>
    <row r="41" spans="1:27" x14ac:dyDescent="0.25">
      <c r="A41">
        <f>'Ship calc tonkm to vessels'!A4</f>
        <v>2017</v>
      </c>
      <c r="B41">
        <f>'Ship calc tonkm to vessels'!E4</f>
        <v>1186084374.1387863</v>
      </c>
      <c r="C41">
        <f t="shared" si="53"/>
        <v>1222838609.8699291</v>
      </c>
      <c r="F41">
        <f t="shared" si="54"/>
        <v>2017</v>
      </c>
      <c r="G41">
        <f t="shared" si="55"/>
        <v>241914515996.85568</v>
      </c>
      <c r="H41">
        <f t="shared" si="56"/>
        <v>6161448838943.0615</v>
      </c>
      <c r="I41">
        <f t="shared" si="57"/>
        <v>40669016660715.797</v>
      </c>
      <c r="J41">
        <f t="shared" si="58"/>
        <v>63857424478694.922</v>
      </c>
    </row>
    <row r="42" spans="1:27" x14ac:dyDescent="0.25">
      <c r="A42">
        <f>'Ship calc tonkm to vessels'!A5</f>
        <v>2016</v>
      </c>
      <c r="B42">
        <f>'Ship calc tonkm to vessels'!E5</f>
        <v>1140867800.9888201</v>
      </c>
      <c r="C42">
        <f t="shared" si="53"/>
        <v>1198657320.7036455</v>
      </c>
      <c r="F42">
        <f t="shared" si="54"/>
        <v>2016</v>
      </c>
      <c r="G42">
        <f t="shared" si="55"/>
        <v>238803684135.10474</v>
      </c>
      <c r="H42">
        <f t="shared" si="56"/>
        <v>6114542904610.2266</v>
      </c>
      <c r="I42">
        <f t="shared" si="57"/>
        <v>40185645698731.367</v>
      </c>
      <c r="J42">
        <f t="shared" si="58"/>
        <v>61105229740993.492</v>
      </c>
    </row>
    <row r="43" spans="1:27" x14ac:dyDescent="0.25">
      <c r="A43">
        <f>'Ship calc tonkm to vessels'!A6</f>
        <v>2015</v>
      </c>
      <c r="B43">
        <f>'Ship calc tonkm to vessels'!E6</f>
        <v>1135322091.4103608</v>
      </c>
      <c r="C43">
        <f t="shared" si="53"/>
        <v>1168858473.9656956</v>
      </c>
      <c r="F43">
        <f t="shared" si="54"/>
        <v>2015</v>
      </c>
      <c r="G43">
        <f t="shared" si="55"/>
        <v>230147456345.88477</v>
      </c>
      <c r="H43">
        <f t="shared" si="56"/>
        <v>6006150702262.0879</v>
      </c>
      <c r="I43">
        <f t="shared" si="57"/>
        <v>39168732253660.891</v>
      </c>
      <c r="J43">
        <f t="shared" si="58"/>
        <v>56558000847180.664</v>
      </c>
    </row>
    <row r="44" spans="1:27" x14ac:dyDescent="0.25">
      <c r="A44">
        <f>'Ship calc tonkm to vessels'!A7</f>
        <v>2014</v>
      </c>
      <c r="B44">
        <f>'Ship calc tonkm to vessels'!E7</f>
        <v>1145382800.1974287</v>
      </c>
      <c r="C44">
        <f t="shared" si="53"/>
        <v>1150581020.2721243</v>
      </c>
      <c r="F44">
        <f t="shared" si="54"/>
        <v>2014</v>
      </c>
      <c r="G44">
        <f t="shared" si="55"/>
        <v>224006944757.90695</v>
      </c>
      <c r="H44">
        <f t="shared" si="56"/>
        <v>5905305648517.6758</v>
      </c>
      <c r="I44">
        <f t="shared" si="57"/>
        <v>37916462093514.133</v>
      </c>
      <c r="J44">
        <f t="shared" si="58"/>
        <v>53861766652246.422</v>
      </c>
    </row>
    <row r="45" spans="1:27" x14ac:dyDescent="0.25">
      <c r="A45">
        <f>'Ship calc tonkm to vessels'!A8</f>
        <v>2013</v>
      </c>
      <c r="B45">
        <f>'Ship calc tonkm to vessels'!E8</f>
        <v>1146149735.2422044</v>
      </c>
      <c r="C45">
        <f t="shared" si="53"/>
        <v>1119099686.5571394</v>
      </c>
      <c r="F45">
        <f t="shared" si="54"/>
        <v>2013</v>
      </c>
      <c r="G45">
        <f t="shared" si="55"/>
        <v>213240761445.0647</v>
      </c>
      <c r="H45">
        <f t="shared" si="56"/>
        <v>5715680158510.0771</v>
      </c>
      <c r="I45">
        <f t="shared" si="57"/>
        <v>35785961010976.32</v>
      </c>
      <c r="J45">
        <f t="shared" si="58"/>
        <v>49585746897146.188</v>
      </c>
    </row>
    <row r="46" spans="1:27" x14ac:dyDescent="0.25">
      <c r="A46">
        <f>'Ship calc tonkm to vessels'!A9</f>
        <v>2012</v>
      </c>
      <c r="B46">
        <f>'Ship calc tonkm to vessels'!E9</f>
        <v>1140432660.9706686</v>
      </c>
      <c r="C46">
        <f t="shared" si="53"/>
        <v>1093863291.9554992</v>
      </c>
      <c r="F46">
        <f t="shared" si="54"/>
        <v>2012</v>
      </c>
      <c r="G46">
        <f t="shared" si="55"/>
        <v>206883844162.35629</v>
      </c>
      <c r="H46">
        <f t="shared" si="56"/>
        <v>5678566581863.7959</v>
      </c>
      <c r="I46">
        <f t="shared" si="57"/>
        <v>34199642075962.895</v>
      </c>
      <c r="J46">
        <f t="shared" si="58"/>
        <v>46845317173006.422</v>
      </c>
    </row>
    <row r="47" spans="1:27" x14ac:dyDescent="0.25">
      <c r="A47">
        <f>'Ship calc tonkm to vessels'!A10</f>
        <v>2011</v>
      </c>
      <c r="B47">
        <f>'Ship calc tonkm to vessels'!E10</f>
        <v>1096903761.0339682</v>
      </c>
      <c r="C47">
        <f t="shared" si="53"/>
        <v>1043174846.4343953</v>
      </c>
      <c r="F47">
        <f t="shared" si="54"/>
        <v>2011</v>
      </c>
      <c r="G47">
        <f t="shared" si="55"/>
        <v>205233750740.03619</v>
      </c>
      <c r="H47">
        <f t="shared" si="56"/>
        <v>5850582058462.7021</v>
      </c>
      <c r="I47">
        <f t="shared" si="57"/>
        <v>32934072335268.172</v>
      </c>
      <c r="J47">
        <f t="shared" si="58"/>
        <v>43498119662482.477</v>
      </c>
    </row>
    <row r="48" spans="1:27" x14ac:dyDescent="0.25">
      <c r="A48">
        <f>'Ship calc tonkm to vessels'!A11</f>
        <v>2010</v>
      </c>
      <c r="B48">
        <f>'Ship calc tonkm to vessels'!E11</f>
        <v>1062194681.6171175</v>
      </c>
      <c r="C48">
        <f t="shared" si="53"/>
        <v>966203602.28218949</v>
      </c>
      <c r="F48">
        <f t="shared" si="54"/>
        <v>2010</v>
      </c>
      <c r="G48">
        <f t="shared" si="55"/>
        <v>202609831691.42896</v>
      </c>
      <c r="H48">
        <f t="shared" si="56"/>
        <v>5821096782555.6709</v>
      </c>
      <c r="I48">
        <f t="shared" si="57"/>
        <v>30733221057693.902</v>
      </c>
      <c r="J48">
        <f t="shared" si="58"/>
        <v>38382794070340.305</v>
      </c>
    </row>
    <row r="49" spans="1:10" x14ac:dyDescent="0.25">
      <c r="A49">
        <f>'Ship calc tonkm to vessels'!A12</f>
        <v>2009</v>
      </c>
      <c r="B49" s="2">
        <f>'Ship calc tonkm to vessels'!E12</f>
        <v>995989593.20089126</v>
      </c>
      <c r="C49">
        <f t="shared" si="53"/>
        <v>905518911.6261723</v>
      </c>
      <c r="F49">
        <f t="shared" si="54"/>
        <v>2009</v>
      </c>
      <c r="G49">
        <f t="shared" si="55"/>
        <v>196658675086.34024</v>
      </c>
      <c r="H49">
        <f t="shared" si="56"/>
        <v>5618351697305.0352</v>
      </c>
      <c r="I49">
        <f t="shared" si="57"/>
        <v>28143471700648.293</v>
      </c>
      <c r="J49">
        <f t="shared" si="58"/>
        <v>33911065872253.574</v>
      </c>
    </row>
    <row r="50" spans="1:10" x14ac:dyDescent="0.25">
      <c r="A50">
        <f>'Ship calc tonkm to vessels'!A13</f>
        <v>2008</v>
      </c>
      <c r="B50">
        <f>'Ship calc tonkm to vessels'!E13</f>
        <v>1043832491.2449541</v>
      </c>
      <c r="C50">
        <f t="shared" si="53"/>
        <v>874341421.28602993</v>
      </c>
      <c r="F50">
        <f t="shared" si="54"/>
        <v>2008</v>
      </c>
      <c r="G50">
        <f t="shared" si="55"/>
        <v>191275583429.91913</v>
      </c>
      <c r="H50">
        <f t="shared" si="56"/>
        <v>5800024278031.2891</v>
      </c>
      <c r="I50">
        <f t="shared" si="57"/>
        <v>27593327672188.594</v>
      </c>
      <c r="J50">
        <f t="shared" si="58"/>
        <v>31828351558443.246</v>
      </c>
    </row>
    <row r="51" spans="1:10" x14ac:dyDescent="0.25">
      <c r="A51">
        <f>'Ship calc tonkm to vessels'!A14</f>
        <v>2007</v>
      </c>
      <c r="B51">
        <f>'Ship calc tonkm to vessels'!E14</f>
        <v>1060209428.742232</v>
      </c>
      <c r="C51">
        <f t="shared" si="53"/>
        <v>843113348.33821476</v>
      </c>
      <c r="F51">
        <f t="shared" si="54"/>
        <v>2007</v>
      </c>
      <c r="G51">
        <f t="shared" si="55"/>
        <v>185053919706.41727</v>
      </c>
      <c r="H51">
        <f t="shared" si="56"/>
        <v>5590976376921.627</v>
      </c>
      <c r="I51">
        <f t="shared" si="57"/>
        <v>25766332189879.703</v>
      </c>
      <c r="J51">
        <f t="shared" si="58"/>
        <v>29101937546111.711</v>
      </c>
    </row>
    <row r="52" spans="1:10" x14ac:dyDescent="0.25">
      <c r="A52">
        <f>'Ship calc tonkm to vessels'!A15</f>
        <v>2006</v>
      </c>
      <c r="B52">
        <f>'Ship calc tonkm to vessels'!E15</f>
        <v>1063198988.0986603</v>
      </c>
      <c r="C52">
        <f t="shared" si="53"/>
        <v>809638595.04230857</v>
      </c>
      <c r="F52">
        <f t="shared" si="54"/>
        <v>2006</v>
      </c>
      <c r="G52">
        <f t="shared" si="55"/>
        <v>181807834285.45981</v>
      </c>
      <c r="H52">
        <f t="shared" si="56"/>
        <v>5387933733840.7373</v>
      </c>
      <c r="I52">
        <f t="shared" si="57"/>
        <v>23989141343691.789</v>
      </c>
      <c r="J52">
        <f t="shared" si="58"/>
        <v>26769293422465.508</v>
      </c>
    </row>
    <row r="53" spans="1:10" x14ac:dyDescent="0.25">
      <c r="A53">
        <f>'Ship calc tonkm to vessels'!A16</f>
        <v>2005</v>
      </c>
      <c r="B53">
        <f>'Ship calc tonkm to vessels'!E16</f>
        <v>1145313799.467555</v>
      </c>
      <c r="C53">
        <f t="shared" si="53"/>
        <v>752191174.23078978</v>
      </c>
      <c r="F53">
        <f t="shared" si="54"/>
        <v>2005</v>
      </c>
      <c r="G53">
        <f t="shared" si="55"/>
        <v>169093999720.04303</v>
      </c>
      <c r="H53">
        <f t="shared" si="56"/>
        <v>4548063232591.6738</v>
      </c>
      <c r="I53">
        <f t="shared" si="57"/>
        <v>19657605541089.379</v>
      </c>
      <c r="J53">
        <f t="shared" si="58"/>
        <v>21679646251227.469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7797-A029-4D80-8479-7D47987EF5F0}">
  <dimension ref="A1:I16"/>
  <sheetViews>
    <sheetView workbookViewId="0">
      <selection activeCell="H5" sqref="H5"/>
    </sheetView>
  </sheetViews>
  <sheetFormatPr defaultRowHeight="15" x14ac:dyDescent="0.25"/>
  <cols>
    <col min="1" max="2" width="13.28515625" customWidth="1"/>
  </cols>
  <sheetData>
    <row r="1" spans="1:9" x14ac:dyDescent="0.25">
      <c r="A1" t="s">
        <v>239</v>
      </c>
      <c r="C1" t="s">
        <v>227</v>
      </c>
      <c r="D1" t="s">
        <v>228</v>
      </c>
      <c r="F1" t="s">
        <v>229</v>
      </c>
      <c r="H1" t="s">
        <v>230</v>
      </c>
    </row>
    <row r="2" spans="1:9" x14ac:dyDescent="0.25">
      <c r="A2" t="s">
        <v>231</v>
      </c>
      <c r="C2">
        <v>1297</v>
      </c>
      <c r="D2">
        <v>1545</v>
      </c>
      <c r="F2">
        <f>SUM(C2,D2)</f>
        <v>2842</v>
      </c>
      <c r="H2" s="2">
        <f>(C14/F2)*1000000</f>
        <v>48222.378606615057</v>
      </c>
    </row>
    <row r="3" spans="1:9" x14ac:dyDescent="0.25">
      <c r="A3" t="s">
        <v>232</v>
      </c>
      <c r="C3">
        <v>395</v>
      </c>
      <c r="D3">
        <v>475</v>
      </c>
      <c r="F3">
        <f t="shared" ref="F3:F4" si="0">SUM(C3,D3)</f>
        <v>870</v>
      </c>
      <c r="H3" s="2">
        <f t="shared" ref="H3:H4" si="1">(C15/F3)*1000000</f>
        <v>123466.66666666669</v>
      </c>
    </row>
    <row r="4" spans="1:9" x14ac:dyDescent="0.25">
      <c r="A4" t="s">
        <v>233</v>
      </c>
      <c r="C4">
        <v>380</v>
      </c>
      <c r="D4">
        <v>496</v>
      </c>
      <c r="F4">
        <f t="shared" si="0"/>
        <v>876</v>
      </c>
      <c r="H4" s="2">
        <f t="shared" si="1"/>
        <v>84566.210045662097</v>
      </c>
    </row>
    <row r="5" spans="1:9" x14ac:dyDescent="0.25">
      <c r="A5" s="58" t="s">
        <v>211</v>
      </c>
      <c r="B5" s="58"/>
      <c r="C5" s="59"/>
      <c r="D5" s="59"/>
      <c r="E5" s="59"/>
      <c r="F5" s="59"/>
      <c r="H5" s="2">
        <f>AVERAGE(H2:H4)</f>
        <v>85418.418439647954</v>
      </c>
      <c r="I5" t="s">
        <v>234</v>
      </c>
    </row>
    <row r="7" spans="1:9" x14ac:dyDescent="0.25">
      <c r="A7" t="s">
        <v>231</v>
      </c>
      <c r="C7">
        <v>74</v>
      </c>
      <c r="D7" t="s">
        <v>235</v>
      </c>
      <c r="E7" t="s">
        <v>236</v>
      </c>
    </row>
    <row r="8" spans="1:9" x14ac:dyDescent="0.25">
      <c r="A8" t="s">
        <v>232</v>
      </c>
      <c r="C8">
        <v>58</v>
      </c>
      <c r="D8" t="s">
        <v>235</v>
      </c>
      <c r="E8" t="s">
        <v>236</v>
      </c>
    </row>
    <row r="9" spans="1:9" x14ac:dyDescent="0.25">
      <c r="A9" t="s">
        <v>233</v>
      </c>
      <c r="C9">
        <v>40</v>
      </c>
      <c r="D9" t="s">
        <v>235</v>
      </c>
      <c r="E9" t="s">
        <v>236</v>
      </c>
    </row>
    <row r="11" spans="1:9" x14ac:dyDescent="0.25">
      <c r="C11">
        <v>1.8520000000000001</v>
      </c>
      <c r="D11" t="s">
        <v>237</v>
      </c>
    </row>
    <row r="14" spans="1:9" x14ac:dyDescent="0.25">
      <c r="A14" t="s">
        <v>231</v>
      </c>
      <c r="C14">
        <f>C7*$C$11</f>
        <v>137.048</v>
      </c>
      <c r="D14" t="s">
        <v>235</v>
      </c>
      <c r="E14" t="s">
        <v>238</v>
      </c>
    </row>
    <row r="15" spans="1:9" x14ac:dyDescent="0.25">
      <c r="A15" t="s">
        <v>232</v>
      </c>
      <c r="C15">
        <f t="shared" ref="C15:C16" si="2">C8*$C$11</f>
        <v>107.41600000000001</v>
      </c>
      <c r="D15" t="s">
        <v>235</v>
      </c>
      <c r="E15" t="s">
        <v>238</v>
      </c>
    </row>
    <row r="16" spans="1:9" x14ac:dyDescent="0.25">
      <c r="A16" t="s">
        <v>233</v>
      </c>
      <c r="C16">
        <f t="shared" si="2"/>
        <v>74.08</v>
      </c>
      <c r="D16" t="s">
        <v>235</v>
      </c>
      <c r="E16" t="s">
        <v>238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77CD-B54D-41B7-9017-F628FA8FCD9A}">
  <dimension ref="A1:E15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208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5">
      <c r="A2">
        <f>'New calculations'!A3</f>
        <v>2018</v>
      </c>
      <c r="B2">
        <f>'New calculations'!E3</f>
        <v>34495</v>
      </c>
      <c r="C2">
        <f>'New calculations'!G3</f>
        <v>39452</v>
      </c>
      <c r="D2">
        <f>'New calculations'!I3</f>
        <v>11997</v>
      </c>
      <c r="E2">
        <f>'New calculations'!K3</f>
        <v>6307</v>
      </c>
    </row>
    <row r="3" spans="1:5" x14ac:dyDescent="0.25">
      <c r="A3">
        <f>'New calculations'!A4</f>
        <v>2017</v>
      </c>
      <c r="B3">
        <f>'New calculations'!E4</f>
        <v>33752</v>
      </c>
      <c r="C3">
        <f>'New calculations'!G4</f>
        <v>39141</v>
      </c>
      <c r="D3">
        <f>'New calculations'!I4</f>
        <v>11783</v>
      </c>
      <c r="E3">
        <f>'New calculations'!K4</f>
        <v>6039</v>
      </c>
    </row>
    <row r="4" spans="1:5" x14ac:dyDescent="0.25">
      <c r="A4">
        <f>'New calculations'!A5</f>
        <v>2016</v>
      </c>
      <c r="B4">
        <f>'New calculations'!E5</f>
        <v>33356</v>
      </c>
      <c r="C4">
        <f>'New calculations'!G5</f>
        <v>39017</v>
      </c>
      <c r="D4">
        <f>'New calculations'!I5</f>
        <v>11615</v>
      </c>
      <c r="E4">
        <f>'New calculations'!K5</f>
        <v>5816</v>
      </c>
    </row>
    <row r="5" spans="1:5" x14ac:dyDescent="0.25">
      <c r="A5">
        <f>'New calculations'!A6</f>
        <v>2015</v>
      </c>
      <c r="B5">
        <f>'New calculations'!E6</f>
        <v>32136</v>
      </c>
      <c r="C5">
        <f>'New calculations'!G6</f>
        <v>38351</v>
      </c>
      <c r="D5">
        <f>'New calculations'!I6</f>
        <v>11309</v>
      </c>
      <c r="E5">
        <f>'New calculations'!K6</f>
        <v>5437</v>
      </c>
    </row>
    <row r="6" spans="1:5" x14ac:dyDescent="0.25">
      <c r="A6">
        <f>'New calculations'!A7</f>
        <v>2014</v>
      </c>
      <c r="B6">
        <f>'New calculations'!E7</f>
        <v>31240</v>
      </c>
      <c r="C6">
        <f>'New calculations'!G7</f>
        <v>37719</v>
      </c>
      <c r="D6">
        <f>'New calculations'!I7</f>
        <v>10924</v>
      </c>
      <c r="E6">
        <f>'New calculations'!K7</f>
        <v>5211</v>
      </c>
    </row>
    <row r="7" spans="1:5" x14ac:dyDescent="0.25">
      <c r="A7">
        <f>'New calculations'!A8</f>
        <v>2013</v>
      </c>
      <c r="B7">
        <f>'New calculations'!E8</f>
        <v>29682</v>
      </c>
      <c r="C7">
        <f>'New calculations'!G8</f>
        <v>36728</v>
      </c>
      <c r="D7">
        <f>'New calculations'!I8</f>
        <v>10317</v>
      </c>
      <c r="E7">
        <f>'New calculations'!K8</f>
        <v>4857</v>
      </c>
    </row>
    <row r="8" spans="1:5" x14ac:dyDescent="0.25">
      <c r="A8">
        <f>'New calculations'!A9</f>
        <v>2012</v>
      </c>
      <c r="B8">
        <f>'New calculations'!E9</f>
        <v>28843</v>
      </c>
      <c r="C8">
        <f>'New calculations'!G9</f>
        <v>36144</v>
      </c>
      <c r="D8">
        <f>'New calculations'!I9</f>
        <v>9867</v>
      </c>
      <c r="E8">
        <f>'New calculations'!K9</f>
        <v>4617</v>
      </c>
    </row>
    <row r="9" spans="1:5" x14ac:dyDescent="0.25">
      <c r="A9">
        <f>'New calculations'!A10</f>
        <v>2011</v>
      </c>
      <c r="B9">
        <f>'New calculations'!E10</f>
        <v>28286</v>
      </c>
      <c r="C9">
        <f>'New calculations'!G10</f>
        <v>36927</v>
      </c>
      <c r="D9">
        <f>'New calculations'!I10</f>
        <v>9540</v>
      </c>
      <c r="E9">
        <f>'New calculations'!K10</f>
        <v>4321</v>
      </c>
    </row>
    <row r="10" spans="1:5" x14ac:dyDescent="0.25">
      <c r="A10">
        <f>'New calculations'!A11</f>
        <v>2010</v>
      </c>
      <c r="B10">
        <f>'New calculations'!E11</f>
        <v>27831</v>
      </c>
      <c r="C10">
        <f>'New calculations'!G11</f>
        <v>37165</v>
      </c>
      <c r="D10">
        <f>'New calculations'!I11</f>
        <v>8930</v>
      </c>
      <c r="E10">
        <f>'New calculations'!K11</f>
        <v>3842</v>
      </c>
    </row>
    <row r="11" spans="1:5" x14ac:dyDescent="0.25">
      <c r="A11">
        <f>'New calculations'!A12</f>
        <v>2009</v>
      </c>
      <c r="B11">
        <f>'New calculations'!E12</f>
        <v>27084</v>
      </c>
      <c r="C11">
        <f>'New calculations'!G12</f>
        <v>36285</v>
      </c>
      <c r="D11">
        <f>'New calculations'!I12</f>
        <v>8183</v>
      </c>
      <c r="E11">
        <f>'New calculations'!K12</f>
        <v>3399</v>
      </c>
    </row>
    <row r="12" spans="1:5" x14ac:dyDescent="0.25">
      <c r="A12">
        <f>'New calculations'!A13</f>
        <v>2008</v>
      </c>
      <c r="B12">
        <f>'New calculations'!E13</f>
        <v>26307</v>
      </c>
      <c r="C12">
        <f>'New calculations'!G13</f>
        <v>37335</v>
      </c>
      <c r="D12">
        <f>'New calculations'!I13</f>
        <v>7995</v>
      </c>
      <c r="E12">
        <f>'New calculations'!K13</f>
        <v>3177</v>
      </c>
    </row>
    <row r="13" spans="1:5" x14ac:dyDescent="0.25">
      <c r="A13">
        <f>'New calculations'!A14</f>
        <v>2007</v>
      </c>
      <c r="B13">
        <f>'New calculations'!E14</f>
        <v>25515</v>
      </c>
      <c r="C13">
        <f>'New calculations'!G14</f>
        <v>36028</v>
      </c>
      <c r="D13">
        <f>'New calculations'!I14</f>
        <v>7472</v>
      </c>
      <c r="E13">
        <f>'New calculations'!K14</f>
        <v>2914</v>
      </c>
    </row>
    <row r="14" spans="1:5" x14ac:dyDescent="0.25">
      <c r="A14">
        <f>'New calculations'!A15</f>
        <v>2006</v>
      </c>
      <c r="B14">
        <f>'New calculations'!E15</f>
        <v>25122</v>
      </c>
      <c r="C14">
        <f>'New calculations'!G15</f>
        <v>34794</v>
      </c>
      <c r="D14">
        <f>'New calculations'!I15</f>
        <v>6974</v>
      </c>
      <c r="E14">
        <f>'New calculations'!K15</f>
        <v>2682</v>
      </c>
    </row>
    <row r="15" spans="1:5" x14ac:dyDescent="0.25">
      <c r="A15">
        <f>'New calculations'!A16</f>
        <v>2005</v>
      </c>
      <c r="B15">
        <f>'New calculations'!E16</f>
        <v>23660</v>
      </c>
      <c r="C15">
        <f>'New calculations'!G16</f>
        <v>29710</v>
      </c>
      <c r="D15">
        <f>'New calculations'!I16</f>
        <v>5700</v>
      </c>
      <c r="E15">
        <f>'New calculations'!K16</f>
        <v>2157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A2D2-C948-4D3B-AACB-1E7267A3B210}">
  <dimension ref="A1:I16"/>
  <sheetViews>
    <sheetView workbookViewId="0">
      <selection activeCell="C2" sqref="C2"/>
    </sheetView>
  </sheetViews>
  <sheetFormatPr defaultRowHeight="15" x14ac:dyDescent="0.25"/>
  <cols>
    <col min="9" max="9" width="12.7109375" bestFit="1" customWidth="1"/>
  </cols>
  <sheetData>
    <row r="1" spans="1:9" x14ac:dyDescent="0.25">
      <c r="A1" t="s">
        <v>208</v>
      </c>
      <c r="B1" t="s">
        <v>71</v>
      </c>
      <c r="C1" t="s">
        <v>72</v>
      </c>
      <c r="D1" t="s">
        <v>73</v>
      </c>
      <c r="E1" t="s">
        <v>74</v>
      </c>
    </row>
    <row r="2" spans="1:9" x14ac:dyDescent="0.25">
      <c r="A2">
        <f>'New calculations'!A22</f>
        <v>2018</v>
      </c>
      <c r="B2" s="2">
        <f>'New calculations'!F22</f>
        <v>374.66963301490648</v>
      </c>
      <c r="C2" s="2">
        <f>'New calculations'!H22</f>
        <v>8215.4176839696756</v>
      </c>
      <c r="D2" s="2">
        <f>'New calculations'!J22</f>
        <v>53050.955160257814</v>
      </c>
      <c r="E2" s="2">
        <f>'New calculations'!L22</f>
        <v>147804.8751270886</v>
      </c>
    </row>
    <row r="3" spans="1:9" x14ac:dyDescent="0.25">
      <c r="A3">
        <f>'New calculations'!A23</f>
        <v>2017</v>
      </c>
      <c r="B3" s="2">
        <f>'New calculations'!F23</f>
        <v>373.88694707595556</v>
      </c>
      <c r="C3" s="2">
        <f>'New calculations'!H23</f>
        <v>8211.6194880028561</v>
      </c>
      <c r="D3" s="2">
        <f>'New calculations'!J23</f>
        <v>53099.98976454448</v>
      </c>
      <c r="E3" s="2">
        <f>'New calculations'!L23</f>
        <v>145850.64775212822</v>
      </c>
    </row>
    <row r="4" spans="1:9" x14ac:dyDescent="0.25">
      <c r="A4">
        <f>'New calculations'!A24</f>
        <v>2016</v>
      </c>
      <c r="B4" s="2">
        <f>'New calculations'!F24</f>
        <v>373.46073235943652</v>
      </c>
      <c r="C4" s="2">
        <f>'New calculations'!H24</f>
        <v>8175.0046845813686</v>
      </c>
      <c r="D4" s="2">
        <f>'New calculations'!J24</f>
        <v>53227.783302402546</v>
      </c>
      <c r="E4" s="2">
        <f>'New calculations'!L24</f>
        <v>144915.87947871149</v>
      </c>
    </row>
    <row r="5" spans="1:9" x14ac:dyDescent="0.25">
      <c r="A5">
        <f>'New calculations'!A25</f>
        <v>2015</v>
      </c>
      <c r="B5" s="2">
        <f>'New calculations'!F25</f>
        <v>373.58742354949214</v>
      </c>
      <c r="C5" s="2">
        <f>'New calculations'!H25</f>
        <v>8169.536538507984</v>
      </c>
      <c r="D5" s="2">
        <f>'New calculations'!J25</f>
        <v>53284.63001375473</v>
      </c>
      <c r="E5" s="2">
        <f>'New calculations'!L25</f>
        <v>143481.76503822635</v>
      </c>
    </row>
    <row r="6" spans="1:9" x14ac:dyDescent="0.25">
      <c r="A6">
        <f>'New calculations'!A26</f>
        <v>2014</v>
      </c>
      <c r="B6" s="2">
        <f>'New calculations'!F26</f>
        <v>374.04886789923125</v>
      </c>
      <c r="C6" s="2">
        <f>'New calculations'!H26</f>
        <v>8166.9537793809295</v>
      </c>
      <c r="D6" s="2">
        <f>'New calculations'!J26</f>
        <v>53398.955149584726</v>
      </c>
      <c r="E6" s="2">
        <f>'New calculations'!L26</f>
        <v>142567.82178877949</v>
      </c>
    </row>
    <row r="7" spans="1:9" x14ac:dyDescent="0.25">
      <c r="A7">
        <f>'New calculations'!A27</f>
        <v>2013</v>
      </c>
      <c r="B7" s="2">
        <f>'New calculations'!F27</f>
        <v>374.76148485907618</v>
      </c>
      <c r="C7" s="2">
        <f>'New calculations'!H27</f>
        <v>8117.9902550686829</v>
      </c>
      <c r="D7" s="2">
        <f>'New calculations'!J27</f>
        <v>53363.69548538456</v>
      </c>
      <c r="E7" s="2">
        <f>'New calculations'!L27</f>
        <v>140815.59326999407</v>
      </c>
    </row>
    <row r="8" spans="1:9" x14ac:dyDescent="0.25">
      <c r="A8">
        <f>'New calculations'!A28</f>
        <v>2012</v>
      </c>
      <c r="B8" s="2">
        <f>'New calculations'!F28</f>
        <v>374.16575304017374</v>
      </c>
      <c r="C8" s="2">
        <f>'New calculations'!H28</f>
        <v>8195.5932455533984</v>
      </c>
      <c r="D8" s="2">
        <f>'New calculations'!J28</f>
        <v>53324.04374482602</v>
      </c>
      <c r="E8" s="2">
        <f>'New calculations'!L28</f>
        <v>139948.51761632474</v>
      </c>
    </row>
    <row r="9" spans="1:9" x14ac:dyDescent="0.25">
      <c r="A9">
        <f>'New calculations'!A29</f>
        <v>2011</v>
      </c>
      <c r="B9" s="2">
        <f>'New calculations'!F29</f>
        <v>378.49062978494061</v>
      </c>
      <c r="C9" s="2">
        <f>'New calculations'!H29</f>
        <v>8264.8111743690533</v>
      </c>
      <c r="D9" s="2">
        <f>'New calculations'!J29</f>
        <v>53110.905233459394</v>
      </c>
      <c r="E9" s="2">
        <f>'New calculations'!L29</f>
        <v>138850.74388106994</v>
      </c>
    </row>
    <row r="10" spans="1:9" x14ac:dyDescent="0.25">
      <c r="A10">
        <f>'New calculations'!A30</f>
        <v>2010</v>
      </c>
      <c r="B10" s="2">
        <f>'New calculations'!F30</f>
        <v>379.76032605364543</v>
      </c>
      <c r="C10" s="2">
        <f>'New calculations'!H30</f>
        <v>8170.4987894369615</v>
      </c>
      <c r="D10" s="2">
        <f>'New calculations'!J30</f>
        <v>52947.232419147047</v>
      </c>
      <c r="E10" s="2">
        <f>'New calculations'!L30</f>
        <v>137797.46206300706</v>
      </c>
    </row>
    <row r="11" spans="1:9" x14ac:dyDescent="0.25">
      <c r="A11">
        <f>'New calculations'!A31</f>
        <v>2009</v>
      </c>
      <c r="B11" s="2">
        <f>'New calculations'!F31</f>
        <v>378.77228241544907</v>
      </c>
      <c r="C11" s="2">
        <f>'New calculations'!H31</f>
        <v>8077.1785143896614</v>
      </c>
      <c r="D11" s="2">
        <f>'New calculations'!J31</f>
        <v>52911.705695011784</v>
      </c>
      <c r="E11" s="2">
        <f>'New calculations'!L31</f>
        <v>137610.72068764069</v>
      </c>
    </row>
    <row r="12" spans="1:9" x14ac:dyDescent="0.25">
      <c r="A12">
        <f>'New calculations'!A32</f>
        <v>2008</v>
      </c>
      <c r="B12" s="2">
        <f>'New calculations'!F32</f>
        <v>379.2853756470742</v>
      </c>
      <c r="C12" s="2">
        <f>'New calculations'!H32</f>
        <v>8103.8527832758537</v>
      </c>
      <c r="D12" s="2">
        <f>'New calculations'!J32</f>
        <v>53097.27747570807</v>
      </c>
      <c r="E12" s="2">
        <f>'New calculations'!L32</f>
        <v>138184.37067475604</v>
      </c>
    </row>
    <row r="13" spans="1:9" x14ac:dyDescent="0.25">
      <c r="A13">
        <f>'New calculations'!A33</f>
        <v>2007</v>
      </c>
      <c r="B13" s="2">
        <f>'New calculations'!F33</f>
        <v>378.33855688399007</v>
      </c>
      <c r="C13" s="2">
        <f>'New calculations'!H33</f>
        <v>8095.1591307404678</v>
      </c>
      <c r="D13" s="2">
        <f>'New calculations'!J33</f>
        <v>53052.075831575741</v>
      </c>
      <c r="E13" s="2">
        <f>'New calculations'!L33</f>
        <v>137750.86997899183</v>
      </c>
    </row>
    <row r="14" spans="1:9" x14ac:dyDescent="0.25">
      <c r="A14">
        <f>'New calculations'!A34</f>
        <v>2006</v>
      </c>
      <c r="B14" s="2">
        <f>'New calculations'!F34</f>
        <v>377.51678804919692</v>
      </c>
      <c r="C14" s="2">
        <f>'New calculations'!H34</f>
        <v>8077.8498014211882</v>
      </c>
      <c r="D14" s="2">
        <f>'New calculations'!J34</f>
        <v>52919.947373081966</v>
      </c>
      <c r="E14" s="2">
        <f>'New calculations'!L34</f>
        <v>137670.25854336962</v>
      </c>
    </row>
    <row r="15" spans="1:9" x14ac:dyDescent="0.25">
      <c r="A15">
        <f>'New calculations'!A35</f>
        <v>2005</v>
      </c>
      <c r="B15" s="2">
        <f>'New calculations'!F35</f>
        <v>372.81325410283978</v>
      </c>
      <c r="C15" s="2">
        <f>'New calculations'!H35</f>
        <v>7985.4929289367274</v>
      </c>
      <c r="D15" s="2">
        <f>'New calculations'!J35</f>
        <v>53056.965023183206</v>
      </c>
      <c r="E15" s="2">
        <f>'New calculations'!L35</f>
        <v>138632.17592267337</v>
      </c>
    </row>
    <row r="16" spans="1:9" x14ac:dyDescent="0.25">
      <c r="I16" s="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6455-4CDC-4F99-9CAC-B0024FF09A33}">
  <dimension ref="A1:E15"/>
  <sheetViews>
    <sheetView workbookViewId="0"/>
  </sheetViews>
  <sheetFormatPr defaultRowHeight="15" x14ac:dyDescent="0.25"/>
  <sheetData>
    <row r="1" spans="1:5" x14ac:dyDescent="0.25">
      <c r="A1" t="s">
        <v>208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5">
      <c r="A2">
        <f>'New calculations'!A22</f>
        <v>2018</v>
      </c>
      <c r="B2" s="34">
        <f>'New calculations'!AI7</f>
        <v>0.71</v>
      </c>
      <c r="C2" s="34">
        <f>'New calculations'!AJ7</f>
        <v>0.71</v>
      </c>
      <c r="D2" s="34">
        <f>'New calculations'!AK7</f>
        <v>0.65</v>
      </c>
      <c r="E2" s="34">
        <f>'New calculations'!AL7</f>
        <v>0.5</v>
      </c>
    </row>
    <row r="3" spans="1:5" x14ac:dyDescent="0.25">
      <c r="A3">
        <f>'New calculations'!A23</f>
        <v>2017</v>
      </c>
      <c r="B3" s="34">
        <f>B2</f>
        <v>0.71</v>
      </c>
      <c r="C3" s="34">
        <f t="shared" ref="C3:E3" si="0">C2</f>
        <v>0.71</v>
      </c>
      <c r="D3" s="34">
        <f t="shared" si="0"/>
        <v>0.65</v>
      </c>
      <c r="E3" s="34">
        <f t="shared" si="0"/>
        <v>0.5</v>
      </c>
    </row>
    <row r="4" spans="1:5" x14ac:dyDescent="0.25">
      <c r="A4">
        <f>'New calculations'!A24</f>
        <v>2016</v>
      </c>
      <c r="B4" s="34">
        <f t="shared" ref="B4:B15" si="1">B3</f>
        <v>0.71</v>
      </c>
      <c r="C4" s="34">
        <f t="shared" ref="C4:C15" si="2">C3</f>
        <v>0.71</v>
      </c>
      <c r="D4" s="34">
        <f t="shared" ref="D4:D15" si="3">D3</f>
        <v>0.65</v>
      </c>
      <c r="E4" s="34">
        <f t="shared" ref="E4:E15" si="4">E3</f>
        <v>0.5</v>
      </c>
    </row>
    <row r="5" spans="1:5" x14ac:dyDescent="0.25">
      <c r="A5">
        <f>'New calculations'!A25</f>
        <v>2015</v>
      </c>
      <c r="B5" s="34">
        <f t="shared" si="1"/>
        <v>0.71</v>
      </c>
      <c r="C5" s="34">
        <f t="shared" si="2"/>
        <v>0.71</v>
      </c>
      <c r="D5" s="34">
        <f t="shared" si="3"/>
        <v>0.65</v>
      </c>
      <c r="E5" s="34">
        <f t="shared" si="4"/>
        <v>0.5</v>
      </c>
    </row>
    <row r="6" spans="1:5" x14ac:dyDescent="0.25">
      <c r="A6">
        <f>'New calculations'!A26</f>
        <v>2014</v>
      </c>
      <c r="B6" s="34">
        <f t="shared" si="1"/>
        <v>0.71</v>
      </c>
      <c r="C6" s="34">
        <f t="shared" si="2"/>
        <v>0.71</v>
      </c>
      <c r="D6" s="34">
        <f t="shared" si="3"/>
        <v>0.65</v>
      </c>
      <c r="E6" s="34">
        <f t="shared" si="4"/>
        <v>0.5</v>
      </c>
    </row>
    <row r="7" spans="1:5" x14ac:dyDescent="0.25">
      <c r="A7">
        <f>'New calculations'!A27</f>
        <v>2013</v>
      </c>
      <c r="B7" s="34">
        <f t="shared" si="1"/>
        <v>0.71</v>
      </c>
      <c r="C7" s="34">
        <f t="shared" si="2"/>
        <v>0.71</v>
      </c>
      <c r="D7" s="34">
        <f t="shared" si="3"/>
        <v>0.65</v>
      </c>
      <c r="E7" s="34">
        <f t="shared" si="4"/>
        <v>0.5</v>
      </c>
    </row>
    <row r="8" spans="1:5" x14ac:dyDescent="0.25">
      <c r="A8">
        <f>'New calculations'!A28</f>
        <v>2012</v>
      </c>
      <c r="B8" s="34">
        <f t="shared" si="1"/>
        <v>0.71</v>
      </c>
      <c r="C8" s="34">
        <f t="shared" si="2"/>
        <v>0.71</v>
      </c>
      <c r="D8" s="34">
        <f t="shared" si="3"/>
        <v>0.65</v>
      </c>
      <c r="E8" s="34">
        <f t="shared" si="4"/>
        <v>0.5</v>
      </c>
    </row>
    <row r="9" spans="1:5" x14ac:dyDescent="0.25">
      <c r="A9">
        <f>'New calculations'!A29</f>
        <v>2011</v>
      </c>
      <c r="B9" s="34">
        <f t="shared" si="1"/>
        <v>0.71</v>
      </c>
      <c r="C9" s="34">
        <f t="shared" si="2"/>
        <v>0.71</v>
      </c>
      <c r="D9" s="34">
        <f t="shared" si="3"/>
        <v>0.65</v>
      </c>
      <c r="E9" s="34">
        <f t="shared" si="4"/>
        <v>0.5</v>
      </c>
    </row>
    <row r="10" spans="1:5" x14ac:dyDescent="0.25">
      <c r="A10">
        <f>'New calculations'!A30</f>
        <v>2010</v>
      </c>
      <c r="B10" s="34">
        <f t="shared" si="1"/>
        <v>0.71</v>
      </c>
      <c r="C10" s="34">
        <f t="shared" si="2"/>
        <v>0.71</v>
      </c>
      <c r="D10" s="34">
        <f t="shared" si="3"/>
        <v>0.65</v>
      </c>
      <c r="E10" s="34">
        <f t="shared" si="4"/>
        <v>0.5</v>
      </c>
    </row>
    <row r="11" spans="1:5" x14ac:dyDescent="0.25">
      <c r="A11">
        <f>'New calculations'!A31</f>
        <v>2009</v>
      </c>
      <c r="B11" s="34">
        <f t="shared" si="1"/>
        <v>0.71</v>
      </c>
      <c r="C11" s="34">
        <f t="shared" si="2"/>
        <v>0.71</v>
      </c>
      <c r="D11" s="34">
        <f t="shared" si="3"/>
        <v>0.65</v>
      </c>
      <c r="E11" s="34">
        <f t="shared" si="4"/>
        <v>0.5</v>
      </c>
    </row>
    <row r="12" spans="1:5" x14ac:dyDescent="0.25">
      <c r="A12">
        <f>'New calculations'!A32</f>
        <v>2008</v>
      </c>
      <c r="B12" s="34">
        <f t="shared" si="1"/>
        <v>0.71</v>
      </c>
      <c r="C12" s="34">
        <f t="shared" si="2"/>
        <v>0.71</v>
      </c>
      <c r="D12" s="34">
        <f t="shared" si="3"/>
        <v>0.65</v>
      </c>
      <c r="E12" s="34">
        <f t="shared" si="4"/>
        <v>0.5</v>
      </c>
    </row>
    <row r="13" spans="1:5" x14ac:dyDescent="0.25">
      <c r="A13">
        <f>'New calculations'!A33</f>
        <v>2007</v>
      </c>
      <c r="B13" s="34">
        <f t="shared" si="1"/>
        <v>0.71</v>
      </c>
      <c r="C13" s="34">
        <f t="shared" si="2"/>
        <v>0.71</v>
      </c>
      <c r="D13" s="34">
        <f t="shared" si="3"/>
        <v>0.65</v>
      </c>
      <c r="E13" s="34">
        <f t="shared" si="4"/>
        <v>0.5</v>
      </c>
    </row>
    <row r="14" spans="1:5" x14ac:dyDescent="0.25">
      <c r="A14">
        <f>'New calculations'!A34</f>
        <v>2006</v>
      </c>
      <c r="B14" s="34">
        <f t="shared" si="1"/>
        <v>0.71</v>
      </c>
      <c r="C14" s="34">
        <f t="shared" si="2"/>
        <v>0.71</v>
      </c>
      <c r="D14" s="34">
        <f t="shared" si="3"/>
        <v>0.65</v>
      </c>
      <c r="E14" s="34">
        <f t="shared" si="4"/>
        <v>0.5</v>
      </c>
    </row>
    <row r="15" spans="1:5" x14ac:dyDescent="0.25">
      <c r="A15">
        <f>'New calculations'!A35</f>
        <v>2005</v>
      </c>
      <c r="B15" s="34">
        <f t="shared" si="1"/>
        <v>0.71</v>
      </c>
      <c r="C15" s="34">
        <f t="shared" si="2"/>
        <v>0.71</v>
      </c>
      <c r="D15" s="34">
        <f t="shared" si="3"/>
        <v>0.65</v>
      </c>
      <c r="E15" s="34">
        <f t="shared" si="4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UNCTAD calculation</vt:lpstr>
      <vt:lpstr>GT to LDT</vt:lpstr>
      <vt:lpstr>Ship calc tonkm to vessels</vt:lpstr>
      <vt:lpstr>ship weight</vt:lpstr>
      <vt:lpstr>New calculations</vt:lpstr>
      <vt:lpstr>annual mileage</vt:lpstr>
      <vt:lpstr>number of ships</vt:lpstr>
      <vt:lpstr>DWT of ships</vt:lpstr>
      <vt:lpstr>loadfactor_boats</vt:lpstr>
      <vt:lpstr>mileage_kmyr_boats</vt:lpstr>
      <vt:lpstr>weight_percofDWT_boats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rombout huisman</dc:creator>
  <cp:lastModifiedBy>Admin</cp:lastModifiedBy>
  <dcterms:created xsi:type="dcterms:W3CDTF">2019-11-20T13:03:45Z</dcterms:created>
  <dcterms:modified xsi:type="dcterms:W3CDTF">2020-12-14T15:00:17Z</dcterms:modified>
</cp:coreProperties>
</file>