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PC\T2 and Generalized variance chart\"/>
    </mc:Choice>
  </mc:AlternateContent>
  <xr:revisionPtr revIDLastSave="0" documentId="13_ncr:1_{5177CFF6-BE1D-4C70-852A-0726512C2DB7}" xr6:coauthVersionLast="47" xr6:coauthVersionMax="47" xr10:uidLastSave="{00000000-0000-0000-0000-000000000000}"/>
  <bookViews>
    <workbookView xWindow="20370" yWindow="-120" windowWidth="24240" windowHeight="13020" activeTab="2" xr2:uid="{65AE0D4E-23F0-4279-A44E-F344EBC6280D}"/>
  </bookViews>
  <sheets>
    <sheet name="input data to chi-square" sheetId="1" r:id="rId1"/>
    <sheet name="chi-square to acceptable data" sheetId="3" r:id="rId2"/>
    <sheet name="No correlation example" sheetId="6" r:id="rId3"/>
    <sheet name="ATAN2 function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3" l="1"/>
  <c r="D30" i="3"/>
  <c r="C31" i="3"/>
  <c r="I17" i="1"/>
  <c r="G13" i="3"/>
  <c r="B20" i="3"/>
  <c r="D20" i="3"/>
  <c r="D17" i="3"/>
  <c r="Q6" i="1"/>
  <c r="P6" i="1"/>
  <c r="N4" i="1"/>
  <c r="H22" i="1"/>
  <c r="I19" i="1"/>
  <c r="I13" i="1"/>
  <c r="I14" i="1" s="1"/>
  <c r="I9" i="1"/>
  <c r="C30" i="1"/>
  <c r="M6" i="3"/>
  <c r="G19" i="6"/>
  <c r="G18" i="6"/>
  <c r="G24" i="6"/>
  <c r="K47" i="6" s="1"/>
  <c r="F24" i="6"/>
  <c r="D25" i="4"/>
  <c r="D23" i="4"/>
  <c r="D24" i="4" s="1"/>
  <c r="M6" i="6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G24" i="3"/>
  <c r="K47" i="3" s="1"/>
  <c r="F24" i="3"/>
  <c r="M7" i="3"/>
  <c r="M8" i="3" s="1"/>
  <c r="M9" i="3" s="1"/>
  <c r="M10" i="3" s="1"/>
  <c r="M11" i="3" s="1"/>
  <c r="G18" i="3"/>
  <c r="G20" i="3" s="1"/>
  <c r="M9" i="1"/>
  <c r="C14" i="1"/>
  <c r="M6" i="1" s="1"/>
  <c r="B14" i="1"/>
  <c r="L5" i="1" s="1"/>
  <c r="C31" i="1"/>
  <c r="F8" i="1"/>
  <c r="E8" i="1"/>
  <c r="I7" i="1"/>
  <c r="B34" i="3" a="1"/>
  <c r="E4" i="1" a="1"/>
  <c r="F5" i="6" a="1"/>
  <c r="F5" i="3" a="1"/>
  <c r="C34" i="3" l="1"/>
  <c r="B35" i="3"/>
  <c r="C35" i="3"/>
  <c r="B34" i="3"/>
  <c r="E4" i="1"/>
  <c r="F5" i="3"/>
  <c r="F5" i="6"/>
  <c r="C17" i="3"/>
  <c r="K37" i="6"/>
  <c r="M8" i="1"/>
  <c r="M5" i="1"/>
  <c r="L8" i="1"/>
  <c r="L7" i="1"/>
  <c r="L4" i="1"/>
  <c r="L13" i="1"/>
  <c r="L12" i="1"/>
  <c r="M13" i="1"/>
  <c r="L11" i="1"/>
  <c r="M12" i="1"/>
  <c r="L10" i="1"/>
  <c r="M11" i="1"/>
  <c r="L9" i="1"/>
  <c r="M10" i="1"/>
  <c r="L6" i="1"/>
  <c r="M7" i="1"/>
  <c r="M4" i="1"/>
  <c r="K37" i="3"/>
  <c r="M12" i="3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H4" i="1" a="1"/>
  <c r="H4" i="1" l="1"/>
  <c r="F31" i="3"/>
  <c r="B17" i="3"/>
  <c r="I4" i="3"/>
  <c r="I18" i="1"/>
  <c r="E11" i="1" a="1"/>
  <c r="I12" i="1" a="1"/>
  <c r="B16" i="1" a="1"/>
  <c r="G11" i="6" a="1"/>
  <c r="I11" i="1" a="1"/>
  <c r="B19" i="1" a="1"/>
  <c r="G10" i="6" a="1"/>
  <c r="G11" i="3" a="1"/>
  <c r="G10" i="3" a="1"/>
  <c r="E19" i="1" l="1"/>
  <c r="E16" i="1"/>
  <c r="G10" i="6"/>
  <c r="G11" i="6"/>
  <c r="B19" i="1"/>
  <c r="I11" i="1"/>
  <c r="B16" i="1"/>
  <c r="I12" i="1"/>
  <c r="G10" i="3"/>
  <c r="G12" i="3" s="1"/>
  <c r="G11" i="3"/>
  <c r="E12" i="1"/>
  <c r="F11" i="1"/>
  <c r="E11" i="1"/>
  <c r="F12" i="1"/>
  <c r="G12" i="6" l="1"/>
  <c r="G13" i="6"/>
  <c r="J19" i="6" s="1"/>
  <c r="J18" i="3"/>
  <c r="O8" i="1"/>
  <c r="O6" i="1"/>
  <c r="O13" i="1"/>
  <c r="O4" i="1"/>
  <c r="O5" i="1"/>
  <c r="O7" i="1"/>
  <c r="O11" i="1"/>
  <c r="O10" i="1"/>
  <c r="O9" i="1"/>
  <c r="O12" i="1"/>
  <c r="I22" i="1"/>
  <c r="H23" i="1"/>
  <c r="I23" i="1"/>
  <c r="N13" i="1"/>
  <c r="N9" i="1"/>
  <c r="N8" i="1"/>
  <c r="N5" i="1"/>
  <c r="N6" i="1"/>
  <c r="N11" i="1"/>
  <c r="N12" i="1"/>
  <c r="N10" i="1"/>
  <c r="N7" i="1"/>
  <c r="J8" i="3"/>
  <c r="P4" i="1" l="1"/>
  <c r="Q4" i="1" s="1"/>
  <c r="J18" i="6"/>
  <c r="J8" i="6"/>
  <c r="J19" i="3"/>
  <c r="K45" i="3" s="1"/>
  <c r="C20" i="3"/>
  <c r="P9" i="1"/>
  <c r="Q9" i="1" s="1"/>
  <c r="K45" i="6"/>
  <c r="P13" i="1"/>
  <c r="Q13" i="1" s="1"/>
  <c r="P12" i="1"/>
  <c r="Q12" i="1" s="1"/>
  <c r="P10" i="1"/>
  <c r="Q10" i="1" s="1"/>
  <c r="P11" i="1"/>
  <c r="Q11" i="1" s="1"/>
  <c r="P8" i="1"/>
  <c r="Q8" i="1" s="1"/>
  <c r="P5" i="1"/>
  <c r="Q5" i="1" s="1"/>
  <c r="P7" i="1"/>
  <c r="Q7" i="1" s="1"/>
  <c r="J13" i="3"/>
  <c r="K44" i="3" s="1"/>
  <c r="J12" i="3"/>
  <c r="K34" i="3" s="1"/>
  <c r="K42" i="3"/>
  <c r="K32" i="3"/>
  <c r="I13" i="3"/>
  <c r="K41" i="3" s="1"/>
  <c r="I12" i="3"/>
  <c r="K31" i="3" s="1"/>
  <c r="J12" i="6" l="1"/>
  <c r="J13" i="6"/>
  <c r="I13" i="6"/>
  <c r="I12" i="6"/>
  <c r="K35" i="3"/>
  <c r="K35" i="6"/>
  <c r="K34" i="6"/>
  <c r="K44" i="6"/>
  <c r="K42" i="6"/>
  <c r="K32" i="6"/>
  <c r="O7" i="3"/>
  <c r="O18" i="3"/>
  <c r="P15" i="3"/>
  <c r="P10" i="3"/>
  <c r="P17" i="3"/>
  <c r="P16" i="3"/>
  <c r="O15" i="3"/>
  <c r="O9" i="3"/>
  <c r="P19" i="3"/>
  <c r="O24" i="3"/>
  <c r="P9" i="3"/>
  <c r="P8" i="3"/>
  <c r="O23" i="3"/>
  <c r="O19" i="3"/>
  <c r="P11" i="3"/>
  <c r="O14" i="3"/>
  <c r="O22" i="3"/>
  <c r="O21" i="3"/>
  <c r="O6" i="3"/>
  <c r="P20" i="3"/>
  <c r="O25" i="3"/>
  <c r="O13" i="3"/>
  <c r="O12" i="3"/>
  <c r="P23" i="3"/>
  <c r="P12" i="3"/>
  <c r="O16" i="3"/>
  <c r="O5" i="3"/>
  <c r="P5" i="3"/>
  <c r="O10" i="3"/>
  <c r="O17" i="3"/>
  <c r="P7" i="3"/>
  <c r="O11" i="3"/>
  <c r="O20" i="3"/>
  <c r="P21" i="3"/>
  <c r="O8" i="3"/>
  <c r="P6" i="3"/>
  <c r="P14" i="3"/>
  <c r="P22" i="3"/>
  <c r="P13" i="3"/>
  <c r="P18" i="3"/>
  <c r="P25" i="3"/>
  <c r="P24" i="3"/>
  <c r="P25" i="6" l="1"/>
  <c r="P23" i="6"/>
  <c r="P12" i="6"/>
  <c r="P9" i="6"/>
  <c r="P20" i="6"/>
  <c r="P18" i="6"/>
  <c r="P16" i="6"/>
  <c r="P6" i="6"/>
  <c r="K41" i="6"/>
  <c r="P13" i="6"/>
  <c r="P7" i="6"/>
  <c r="P24" i="6"/>
  <c r="P22" i="6"/>
  <c r="P10" i="6"/>
  <c r="P8" i="6"/>
  <c r="P19" i="6"/>
  <c r="P15" i="6"/>
  <c r="P5" i="6"/>
  <c r="P21" i="6"/>
  <c r="P17" i="6"/>
  <c r="P11" i="6"/>
  <c r="P14" i="6"/>
  <c r="O14" i="6"/>
  <c r="O7" i="6"/>
  <c r="O25" i="6"/>
  <c r="O23" i="6"/>
  <c r="O12" i="6"/>
  <c r="O9" i="6"/>
  <c r="O19" i="6"/>
  <c r="K31" i="6"/>
  <c r="O20" i="6"/>
  <c r="O18" i="6"/>
  <c r="O16" i="6"/>
  <c r="O13" i="6"/>
  <c r="O6" i="6"/>
  <c r="O24" i="6"/>
  <c r="O22" i="6"/>
  <c r="O10" i="6"/>
  <c r="O8" i="6"/>
  <c r="O15" i="6"/>
  <c r="O5" i="6"/>
  <c r="O21" i="6"/>
  <c r="O17" i="6"/>
  <c r="O1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<sst xmlns="http://schemas.openxmlformats.org/spreadsheetml/2006/main" count="213" uniqueCount="116">
  <si>
    <t>X</t>
  </si>
  <si>
    <t>Y</t>
  </si>
  <si>
    <t>n</t>
  </si>
  <si>
    <t>p</t>
  </si>
  <si>
    <t>chi-sq value</t>
  </si>
  <si>
    <t>let chi-sq value</t>
  </si>
  <si>
    <t>%inside</t>
  </si>
  <si>
    <t>let inside area</t>
  </si>
  <si>
    <t>https://www.real-statistics.com/multivariate-statistics/multivariate-normal-distribution/confidence-ellipse/</t>
  </si>
  <si>
    <t>Cov</t>
  </si>
  <si>
    <t>mean</t>
  </si>
  <si>
    <t>inv cov</t>
  </si>
  <si>
    <t>eval</t>
  </si>
  <si>
    <t>Trace of Cov.Matrix</t>
  </si>
  <si>
    <t>sum of eignen values</t>
  </si>
  <si>
    <t xml:space="preserve"> sum of the eigenvalues is equal to the trace of the covariance matrix</t>
  </si>
  <si>
    <t>product of the eigenvalues is equal to the determinant of the matrix</t>
  </si>
  <si>
    <t>Det. of Cov. Matrix</t>
  </si>
  <si>
    <t>Pdt.of eigen values</t>
  </si>
  <si>
    <t>eig1</t>
  </si>
  <si>
    <t>trace</t>
  </si>
  <si>
    <t>det</t>
  </si>
  <si>
    <t>eig2, trace-eig1</t>
  </si>
  <si>
    <t>=eig1*chi-sq value</t>
  </si>
  <si>
    <t>a</t>
  </si>
  <si>
    <t>b</t>
  </si>
  <si>
    <t>=eig2*chi-sq value</t>
  </si>
  <si>
    <t>ellipse angel with x axis, in radians</t>
  </si>
  <si>
    <t>eig2</t>
  </si>
  <si>
    <t>=ATAN2(CovXY,eig1-var.X)</t>
  </si>
  <si>
    <t>θ (rad)</t>
  </si>
  <si>
    <t>θ (deg)</t>
  </si>
  <si>
    <t>Q, rotation matrix</t>
  </si>
  <si>
    <t>Length of the axes of the ellipse</t>
  </si>
  <si>
    <t>X-xbar</t>
  </si>
  <si>
    <t>Y-ybar</t>
  </si>
  <si>
    <t>Term 1, rel to X</t>
  </si>
  <si>
    <t>Term 2, rel to Y</t>
  </si>
  <si>
    <t>Term1 + Term2</t>
  </si>
  <si>
    <r>
      <t>=[(</t>
    </r>
    <r>
      <rPr>
        <sz val="11"/>
        <color rgb="FF00B050"/>
        <rFont val="Calibri"/>
        <family val="2"/>
        <scheme val="minor"/>
      </rPr>
      <t>inv.var X</t>
    </r>
    <r>
      <rPr>
        <sz val="11"/>
        <color theme="1"/>
        <rFont val="Calibri"/>
        <family val="2"/>
        <scheme val="minor"/>
      </rPr>
      <t>*(X-Xbar) +</t>
    </r>
    <r>
      <rPr>
        <sz val="11"/>
        <color theme="4"/>
        <rFont val="Calibri"/>
        <family val="2"/>
        <scheme val="minor"/>
      </rPr>
      <t xml:space="preserve"> inv.Cov XY</t>
    </r>
    <r>
      <rPr>
        <sz val="11"/>
        <color theme="1"/>
        <rFont val="Calibri"/>
        <family val="2"/>
        <scheme val="minor"/>
      </rPr>
      <t>*(Y-Ybar)]* (X-Xbar)</t>
    </r>
  </si>
  <si>
    <r>
      <t>=[(</t>
    </r>
    <r>
      <rPr>
        <sz val="11"/>
        <color rgb="FF00B050"/>
        <rFont val="Calibri"/>
        <family val="2"/>
        <scheme val="minor"/>
      </rPr>
      <t>inv.var X</t>
    </r>
    <r>
      <rPr>
        <sz val="11"/>
        <color theme="1"/>
        <rFont val="Calibri"/>
        <family val="2"/>
        <scheme val="minor"/>
      </rPr>
      <t>*(Y-Ybar) +</t>
    </r>
    <r>
      <rPr>
        <sz val="11"/>
        <color theme="4"/>
        <rFont val="Calibri"/>
        <family val="2"/>
        <scheme val="minor"/>
      </rPr>
      <t xml:space="preserve"> inv.Cov XY</t>
    </r>
    <r>
      <rPr>
        <sz val="11"/>
        <color theme="1"/>
        <rFont val="Calibri"/>
        <family val="2"/>
        <scheme val="minor"/>
      </rPr>
      <t>*(X-Xbar) +  ]* (Y-Ybar)</t>
    </r>
  </si>
  <si>
    <t>point relative to ellipse</t>
  </si>
  <si>
    <t>=COS(θ (rad))</t>
  </si>
  <si>
    <t>=-SIN(θ (rad))</t>
  </si>
  <si>
    <t>=SIN(θ (rad))</t>
  </si>
  <si>
    <t>eig1, formula*</t>
  </si>
  <si>
    <t xml:space="preserve">*=(trace+SQRT(trace^2-4*det))/2 </t>
  </si>
  <si>
    <t>Get Eigen values</t>
  </si>
  <si>
    <t>Get Cov matrix</t>
  </si>
  <si>
    <t>eig1,formula*</t>
  </si>
  <si>
    <t>Choose chi-sq value</t>
  </si>
  <si>
    <t>Input Data</t>
  </si>
  <si>
    <t>ellipse angel with x axis</t>
  </si>
  <si>
    <t xml:space="preserve">Returns the arctangent, or inverse tangent, of the specified x- and y-coordinates. </t>
  </si>
  <si>
    <t>The arctangent is the angle from the x-axis to a line containing the origin (0, 0) and</t>
  </si>
  <si>
    <t xml:space="preserve"> a point with coordinates (x_num, y_num). </t>
  </si>
  <si>
    <t xml:space="preserve"> The angle is given in radians between -pi and pi, excluding -pi.</t>
  </si>
  <si>
    <t>Mean</t>
  </si>
  <si>
    <t>=ATAN2(2.0, 4.62-3.02)</t>
  </si>
  <si>
    <t>=ATAN2(2.0, 1.60)</t>
  </si>
  <si>
    <t>=ATAN2(CovXY,eig1-var.X)**</t>
  </si>
  <si>
    <t>** The ATAN2 function</t>
  </si>
  <si>
    <t>Syntax, ATAN2(x_num, y_num)</t>
  </si>
  <si>
    <t>Source</t>
  </si>
  <si>
    <t>https://en.wikipedia.org/wiki/Atan2</t>
  </si>
  <si>
    <t>x_num, 1/2</t>
  </si>
  <si>
    <t>y_num, sqrt(3)/2</t>
  </si>
  <si>
    <t>the values 0 to 2π in increments of π/10</t>
  </si>
  <si>
    <t>=(H$12*I$17*COS(L4)+I$12*I$18*SIN(L4))+F$23</t>
  </si>
  <si>
    <t>H$12</t>
  </si>
  <si>
    <t>I$17</t>
  </si>
  <si>
    <t>COS(L4)</t>
  </si>
  <si>
    <t>I$12</t>
  </si>
  <si>
    <t>I$18</t>
  </si>
  <si>
    <t>SIN(L4)</t>
  </si>
  <si>
    <t>F$23</t>
  </si>
  <si>
    <t>SIN(θ (rad))</t>
  </si>
  <si>
    <t>COS(value, frm o to 2π )</t>
  </si>
  <si>
    <t>ellipse axis, b</t>
  </si>
  <si>
    <t>ellipse axis, a</t>
  </si>
  <si>
    <t>SIN(value, frm o to 2π )</t>
  </si>
  <si>
    <t>=COS(L24), COS(0 to 6.28), (1,1)</t>
  </si>
  <si>
    <t>=SIN(L24), SIN(0 to 6.28), (0,0)</t>
  </si>
  <si>
    <t>Y mean</t>
  </si>
  <si>
    <t>COS(θ (rad))</t>
  </si>
  <si>
    <t>=(H$11*I$17*COS(L4)+I$11*I$18*SIN(L4))+E$23</t>
  </si>
  <si>
    <t>H$11</t>
  </si>
  <si>
    <t>I$11</t>
  </si>
  <si>
    <t>-SIN(θ (rad))</t>
  </si>
  <si>
    <t>E$23</t>
  </si>
  <si>
    <t>X mean</t>
  </si>
  <si>
    <t xml:space="preserve">Decoding formula for deriving X and Y, on ellipse with </t>
  </si>
  <si>
    <t>Last Week rates of return (%)</t>
  </si>
  <si>
    <t>This Week rates of return (%)</t>
  </si>
  <si>
    <t>Get chi-sq value for 95% CI</t>
  </si>
  <si>
    <t>Correlation</t>
  </si>
  <si>
    <t>Cov X,Y</t>
  </si>
  <si>
    <t>Sqrt(VarX)*Sqrt(VarY)</t>
  </si>
  <si>
    <t xml:space="preserve">θ (rad) obtained using correlation </t>
  </si>
  <si>
    <t>=ACOS(cor.coef.)</t>
  </si>
  <si>
    <t>=sqrt(eig1*chi-sq value)</t>
  </si>
  <si>
    <t>=sqrt(eig2*chi-sq value)</t>
  </si>
  <si>
    <t>Var Y</t>
  </si>
  <si>
    <t>Var X</t>
  </si>
  <si>
    <t>Sum</t>
  </si>
  <si>
    <t>eig.v.1</t>
  </si>
  <si>
    <t>eig.v.2</t>
  </si>
  <si>
    <t>=D24*180/PI()</t>
  </si>
  <si>
    <t>=D22</t>
  </si>
  <si>
    <t>=D23</t>
  </si>
  <si>
    <t>=ATAN2(D22,D23)</t>
  </si>
  <si>
    <t>eig1,formula^</t>
  </si>
  <si>
    <t xml:space="preserve">^=(trace+SQRT(trace^2-4*det))/2 </t>
  </si>
  <si>
    <r>
      <t>a,</t>
    </r>
    <r>
      <rPr>
        <sz val="9"/>
        <color theme="1"/>
        <rFont val="Calibri"/>
        <family val="2"/>
        <scheme val="minor"/>
      </rPr>
      <t>=SQRT(G12)*SQRT(G19)</t>
    </r>
  </si>
  <si>
    <r>
      <t>b,</t>
    </r>
    <r>
      <rPr>
        <sz val="9"/>
        <color theme="1"/>
        <rFont val="Calibri"/>
        <family val="2"/>
        <scheme val="minor"/>
      </rPr>
      <t>=SQRT(G13)*SQRT(G19)</t>
    </r>
  </si>
  <si>
    <t>using CORR()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</si>
</sst>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medium">
        <color indexed="64"/>
      </left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10" fontId="0" fillId="0" borderId="0" xfId="0" applyNumberFormat="1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2" fillId="0" borderId="9" xfId="0" applyFont="1" applyBorder="1"/>
    <xf numFmtId="0" fontId="2" fillId="0" borderId="6" xfId="0" applyFont="1" applyBorder="1"/>
    <xf numFmtId="0" fontId="0" fillId="2" borderId="2" xfId="0" applyFill="1" applyBorder="1"/>
    <xf numFmtId="0" fontId="0" fillId="2" borderId="12" xfId="0" applyFill="1" applyBorder="1"/>
    <xf numFmtId="0" fontId="0" fillId="2" borderId="3" xfId="0" applyFill="1" applyBorder="1"/>
    <xf numFmtId="0" fontId="0" fillId="0" borderId="10" xfId="0" quotePrefix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0" fontId="0" fillId="0" borderId="7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4" fontId="0" fillId="0" borderId="3" xfId="0" applyNumberFormat="1" applyBorder="1"/>
    <xf numFmtId="165" fontId="0" fillId="0" borderId="0" xfId="0" applyNumberFormat="1"/>
    <xf numFmtId="165" fontId="0" fillId="0" borderId="6" xfId="0" applyNumberFormat="1" applyBorder="1"/>
    <xf numFmtId="0" fontId="0" fillId="5" borderId="9" xfId="0" applyFill="1" applyBorder="1"/>
    <xf numFmtId="0" fontId="0" fillId="5" borderId="10" xfId="0" applyFill="1" applyBorder="1"/>
    <xf numFmtId="0" fontId="5" fillId="0" borderId="0" xfId="0" applyFont="1"/>
    <xf numFmtId="0" fontId="0" fillId="0" borderId="3" xfId="0" quotePrefix="1" applyBorder="1"/>
    <xf numFmtId="0" fontId="5" fillId="0" borderId="5" xfId="0" applyFont="1" applyBorder="1"/>
    <xf numFmtId="0" fontId="5" fillId="0" borderId="8" xfId="0" applyFont="1" applyBorder="1"/>
    <xf numFmtId="0" fontId="5" fillId="0" borderId="11" xfId="0" applyFont="1" applyBorder="1"/>
    <xf numFmtId="0" fontId="0" fillId="6" borderId="8" xfId="0" quotePrefix="1" applyFill="1" applyBorder="1"/>
    <xf numFmtId="2" fontId="0" fillId="0" borderId="10" xfId="0" applyNumberFormat="1" applyBorder="1"/>
    <xf numFmtId="0" fontId="0" fillId="4" borderId="8" xfId="0" quotePrefix="1" applyFill="1" applyBorder="1"/>
    <xf numFmtId="2" fontId="0" fillId="0" borderId="11" xfId="0" applyNumberFormat="1" applyBorder="1"/>
    <xf numFmtId="0" fontId="0" fillId="0" borderId="7" xfId="0" quotePrefix="1" applyBorder="1"/>
    <xf numFmtId="0" fontId="0" fillId="3" borderId="8" xfId="0" quotePrefix="1" applyFill="1" applyBorder="1"/>
    <xf numFmtId="165" fontId="0" fillId="7" borderId="4" xfId="0" applyNumberFormat="1" applyFill="1" applyBorder="1"/>
    <xf numFmtId="165" fontId="0" fillId="7" borderId="7" xfId="0" applyNumberFormat="1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13" xfId="0" applyBorder="1"/>
    <xf numFmtId="0" fontId="0" fillId="0" borderId="14" xfId="0" applyBorder="1"/>
    <xf numFmtId="2" fontId="0" fillId="0" borderId="0" xfId="0" applyNumberFormat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quotePrefix="1" applyBorder="1"/>
    <xf numFmtId="2" fontId="0" fillId="0" borderId="15" xfId="0" applyNumberFormat="1" applyBorder="1"/>
    <xf numFmtId="0" fontId="0" fillId="0" borderId="15" xfId="0" applyBorder="1"/>
    <xf numFmtId="0" fontId="0" fillId="0" borderId="16" xfId="0" quotePrefix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0" fontId="0" fillId="7" borderId="0" xfId="0" applyFill="1"/>
    <xf numFmtId="0" fontId="1" fillId="0" borderId="0" xfId="1" applyBorder="1"/>
    <xf numFmtId="0" fontId="0" fillId="3" borderId="0" xfId="0" quotePrefix="1" applyFill="1"/>
    <xf numFmtId="0" fontId="0" fillId="6" borderId="0" xfId="0" quotePrefix="1" applyFill="1"/>
    <xf numFmtId="0" fontId="0" fillId="4" borderId="0" xfId="0" quotePrefix="1" applyFill="1"/>
    <xf numFmtId="0" fontId="0" fillId="2" borderId="5" xfId="0" applyFill="1" applyBorder="1"/>
    <xf numFmtId="165" fontId="0" fillId="2" borderId="0" xfId="0" applyNumberFormat="1" applyFill="1"/>
    <xf numFmtId="0" fontId="0" fillId="0" borderId="4" xfId="0" quotePrefix="1" applyBorder="1"/>
    <xf numFmtId="164" fontId="0" fillId="0" borderId="0" xfId="0" applyNumberFormat="1"/>
    <xf numFmtId="165" fontId="0" fillId="0" borderId="9" xfId="0" applyNumberFormat="1" applyBorder="1"/>
    <xf numFmtId="164" fontId="0" fillId="0" borderId="9" xfId="0" applyNumberFormat="1" applyBorder="1"/>
    <xf numFmtId="0" fontId="5" fillId="0" borderId="0" xfId="0" quotePrefix="1" applyFont="1"/>
    <xf numFmtId="0" fontId="0" fillId="0" borderId="23" xfId="0" applyBorder="1"/>
    <xf numFmtId="0" fontId="0" fillId="0" borderId="24" xfId="0" applyBorder="1"/>
    <xf numFmtId="0" fontId="0" fillId="3" borderId="4" xfId="0" quotePrefix="1" applyFill="1" applyBorder="1"/>
    <xf numFmtId="0" fontId="0" fillId="3" borderId="5" xfId="0" quotePrefix="1" applyFill="1" applyBorder="1"/>
    <xf numFmtId="0" fontId="0" fillId="6" borderId="6" xfId="0" quotePrefix="1" applyFill="1" applyBorder="1"/>
    <xf numFmtId="0" fontId="0" fillId="4" borderId="7" xfId="0" quotePrefix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Ellipse with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'chi-square to acceptable data'!$C$5:$C$14</c:f>
              <c:numCache>
                <c:formatCode>General</c:formatCode>
                <c:ptCount val="10"/>
                <c:pt idx="0">
                  <c:v>27.11</c:v>
                </c:pt>
                <c:pt idx="1">
                  <c:v>26.77</c:v>
                </c:pt>
                <c:pt idx="2">
                  <c:v>27.35</c:v>
                </c:pt>
                <c:pt idx="3">
                  <c:v>29.2</c:v>
                </c:pt>
                <c:pt idx="4">
                  <c:v>27.44</c:v>
                </c:pt>
                <c:pt idx="5">
                  <c:v>26.16</c:v>
                </c:pt>
                <c:pt idx="6">
                  <c:v>26.25</c:v>
                </c:pt>
                <c:pt idx="7">
                  <c:v>31.21</c:v>
                </c:pt>
                <c:pt idx="8">
                  <c:v>29.34</c:v>
                </c:pt>
                <c:pt idx="9">
                  <c:v>30.06</c:v>
                </c:pt>
              </c:numCache>
            </c:numRef>
          </c:xVal>
          <c:yVal>
            <c:numRef>
              <c:f>'chi-square to acceptable data'!$D$5:$D$14</c:f>
              <c:numCache>
                <c:formatCode>General</c:formatCode>
                <c:ptCount val="10"/>
                <c:pt idx="0">
                  <c:v>13.8</c:v>
                </c:pt>
                <c:pt idx="1">
                  <c:v>13.42</c:v>
                </c:pt>
                <c:pt idx="2">
                  <c:v>12.76</c:v>
                </c:pt>
                <c:pt idx="3">
                  <c:v>14.88</c:v>
                </c:pt>
                <c:pt idx="4">
                  <c:v>14.56</c:v>
                </c:pt>
                <c:pt idx="5">
                  <c:v>14.35</c:v>
                </c:pt>
                <c:pt idx="6">
                  <c:v>13.86</c:v>
                </c:pt>
                <c:pt idx="7">
                  <c:v>17.61</c:v>
                </c:pt>
                <c:pt idx="8">
                  <c:v>16.559999999999999</c:v>
                </c:pt>
                <c:pt idx="9">
                  <c:v>14.77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1-49F1-999C-7385B64855AA}"/>
            </c:ext>
          </c:extLst>
        </c:ser>
        <c:ser>
          <c:idx val="2"/>
          <c:order val="2"/>
          <c:tx>
            <c:v>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'chi-square to acceptable data'!$F$24</c:f>
              <c:numCache>
                <c:formatCode>General</c:formatCode>
                <c:ptCount val="1"/>
                <c:pt idx="0">
                  <c:v>28.088999999999999</c:v>
                </c:pt>
              </c:numCache>
            </c:numRef>
          </c:xVal>
          <c:yVal>
            <c:numRef>
              <c:f>'chi-square to acceptable data'!$G$24</c:f>
              <c:numCache>
                <c:formatCode>General</c:formatCode>
                <c:ptCount val="1"/>
                <c:pt idx="0">
                  <c:v>14.657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51-49F1-999C-7385B6485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25727"/>
        <c:axId val="443948223"/>
      </c:scatterChart>
      <c:scatterChart>
        <c:scatterStyle val="smoothMarker"/>
        <c:varyColors val="0"/>
        <c:ser>
          <c:idx val="0"/>
          <c:order val="0"/>
          <c:tx>
            <c:v>Ellipse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'chi-square to acceptable data'!$O$5:$O$25</c:f>
              <c:numCache>
                <c:formatCode>0.00</c:formatCode>
                <c:ptCount val="21"/>
                <c:pt idx="0">
                  <c:v>30.609374187993012</c:v>
                </c:pt>
                <c:pt idx="1">
                  <c:v>30.27963832707384</c:v>
                </c:pt>
                <c:pt idx="2">
                  <c:v>29.735467523625971</c:v>
                </c:pt>
                <c:pt idx="3">
                  <c:v>29.030129007351803</c:v>
                </c:pt>
                <c:pt idx="4">
                  <c:v>28.232666226606678</c:v>
                </c:pt>
                <c:pt idx="5">
                  <c:v>27.42114039461983</c:v>
                </c:pt>
                <c:pt idx="6">
                  <c:v>26.674989314059079</c:v>
                </c:pt>
                <c:pt idx="7">
                  <c:v>26.067251451429986</c:v>
                </c:pt>
                <c:pt idx="8">
                  <c:v>25.657416423085358</c:v>
                </c:pt>
                <c:pt idx="9">
                  <c:v>25.485601737088118</c:v>
                </c:pt>
                <c:pt idx="10">
                  <c:v>25.568625812006985</c:v>
                </c:pt>
                <c:pt idx="11">
                  <c:v>25.898361672926157</c:v>
                </c:pt>
                <c:pt idx="12">
                  <c:v>26.442532476374026</c:v>
                </c:pt>
                <c:pt idx="13">
                  <c:v>27.14787099264819</c:v>
                </c:pt>
                <c:pt idx="14">
                  <c:v>27.945333773393319</c:v>
                </c:pt>
                <c:pt idx="15">
                  <c:v>28.756859605380168</c:v>
                </c:pt>
                <c:pt idx="16">
                  <c:v>29.503010685940918</c:v>
                </c:pt>
                <c:pt idx="17">
                  <c:v>30.110748548570012</c:v>
                </c:pt>
                <c:pt idx="18">
                  <c:v>30.520583576914639</c:v>
                </c:pt>
                <c:pt idx="19">
                  <c:v>30.69239826291188</c:v>
                </c:pt>
                <c:pt idx="20">
                  <c:v>30.609374187993012</c:v>
                </c:pt>
              </c:numCache>
            </c:numRef>
          </c:xVal>
          <c:yVal>
            <c:numRef>
              <c:f>'chi-square to acceptable data'!$P$5:$P$25</c:f>
              <c:numCache>
                <c:formatCode>0.00</c:formatCode>
                <c:ptCount val="21"/>
                <c:pt idx="0">
                  <c:v>16.670049558475387</c:v>
                </c:pt>
                <c:pt idx="1">
                  <c:v>16.829915325238854</c:v>
                </c:pt>
                <c:pt idx="2">
                  <c:v>16.77708100037664</c:v>
                </c:pt>
                <c:pt idx="3">
                  <c:v>16.516718375724654</c:v>
                </c:pt>
                <c:pt idx="4">
                  <c:v>16.074313559036899</c:v>
                </c:pt>
                <c:pt idx="5">
                  <c:v>15.493172216186382</c:v>
                </c:pt>
                <c:pt idx="6">
                  <c:v>14.83018051086114</c:v>
                </c:pt>
                <c:pt idx="7">
                  <c:v>14.150236690513239</c:v>
                </c:pt>
                <c:pt idx="8">
                  <c:v>13.519898393725496</c:v>
                </c:pt>
                <c:pt idx="9">
                  <c:v>13.000867524812657</c:v>
                </c:pt>
                <c:pt idx="10">
                  <c:v>12.643950441524613</c:v>
                </c:pt>
                <c:pt idx="11">
                  <c:v>12.484084674761146</c:v>
                </c:pt>
                <c:pt idx="12">
                  <c:v>12.536918999623358</c:v>
                </c:pt>
                <c:pt idx="13">
                  <c:v>12.797281624275348</c:v>
                </c:pt>
                <c:pt idx="14">
                  <c:v>13.239686440963101</c:v>
                </c:pt>
                <c:pt idx="15">
                  <c:v>13.820827783813618</c:v>
                </c:pt>
                <c:pt idx="16">
                  <c:v>14.48381948913886</c:v>
                </c:pt>
                <c:pt idx="17">
                  <c:v>15.163763309486761</c:v>
                </c:pt>
                <c:pt idx="18">
                  <c:v>15.794101606274504</c:v>
                </c:pt>
                <c:pt idx="19">
                  <c:v>16.313132475187345</c:v>
                </c:pt>
                <c:pt idx="20">
                  <c:v>16.670049558475387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51-49F1-999C-7385B6485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25727"/>
        <c:axId val="443948223"/>
      </c:scatterChart>
      <c:valAx>
        <c:axId val="421625727"/>
        <c:scaling>
          <c:orientation val="minMax"/>
          <c:max val="32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48223"/>
        <c:crosses val="autoZero"/>
        <c:crossBetween val="midCat"/>
      </c:valAx>
      <c:valAx>
        <c:axId val="443948223"/>
        <c:scaling>
          <c:orientation val="minMax"/>
          <c:max val="18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2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Ellipse with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5406399429037E-2"/>
          <c:y val="0.17356247383904308"/>
          <c:w val="0.89149194575937374"/>
          <c:h val="0.71788134569014816"/>
        </c:manualLayout>
      </c:layout>
      <c:scatterChart>
        <c:scatterStyle val="lineMarker"/>
        <c:varyColors val="0"/>
        <c:ser>
          <c:idx val="1"/>
          <c:order val="1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 correlation example'!$C$5:$C$24</c:f>
              <c:numCache>
                <c:formatCode>General</c:formatCode>
                <c:ptCount val="20"/>
                <c:pt idx="0">
                  <c:v>1.25</c:v>
                </c:pt>
                <c:pt idx="1">
                  <c:v>-0.9</c:v>
                </c:pt>
                <c:pt idx="2">
                  <c:v>0.54</c:v>
                </c:pt>
                <c:pt idx="3">
                  <c:v>0.01</c:v>
                </c:pt>
                <c:pt idx="4">
                  <c:v>-2.69</c:v>
                </c:pt>
                <c:pt idx="5">
                  <c:v>0.33</c:v>
                </c:pt>
                <c:pt idx="6">
                  <c:v>1.22</c:v>
                </c:pt>
                <c:pt idx="7">
                  <c:v>1.71</c:v>
                </c:pt>
                <c:pt idx="8">
                  <c:v>0.75</c:v>
                </c:pt>
                <c:pt idx="9">
                  <c:v>0.22</c:v>
                </c:pt>
                <c:pt idx="10">
                  <c:v>-1.1000000000000001</c:v>
                </c:pt>
                <c:pt idx="11">
                  <c:v>1.25</c:v>
                </c:pt>
                <c:pt idx="12">
                  <c:v>-1.37</c:v>
                </c:pt>
                <c:pt idx="13">
                  <c:v>-0.75</c:v>
                </c:pt>
                <c:pt idx="14">
                  <c:v>-3.14</c:v>
                </c:pt>
                <c:pt idx="15">
                  <c:v>-1.02</c:v>
                </c:pt>
                <c:pt idx="16">
                  <c:v>4.12</c:v>
                </c:pt>
                <c:pt idx="17">
                  <c:v>2.72</c:v>
                </c:pt>
                <c:pt idx="18">
                  <c:v>0.69</c:v>
                </c:pt>
                <c:pt idx="19">
                  <c:v>0.39</c:v>
                </c:pt>
              </c:numCache>
            </c:numRef>
          </c:xVal>
          <c:yVal>
            <c:numRef>
              <c:f>'No correlation example'!$D$5:$D$24</c:f>
              <c:numCache>
                <c:formatCode>General</c:formatCode>
                <c:ptCount val="20"/>
                <c:pt idx="0">
                  <c:v>-0.9</c:v>
                </c:pt>
                <c:pt idx="1">
                  <c:v>0.54</c:v>
                </c:pt>
                <c:pt idx="2">
                  <c:v>0.01</c:v>
                </c:pt>
                <c:pt idx="3">
                  <c:v>-2.69</c:v>
                </c:pt>
                <c:pt idx="4">
                  <c:v>0.33</c:v>
                </c:pt>
                <c:pt idx="5">
                  <c:v>1.22</c:v>
                </c:pt>
                <c:pt idx="6">
                  <c:v>1.71</c:v>
                </c:pt>
                <c:pt idx="7">
                  <c:v>0.75</c:v>
                </c:pt>
                <c:pt idx="8">
                  <c:v>0.22</c:v>
                </c:pt>
                <c:pt idx="9">
                  <c:v>-1.1000000000000001</c:v>
                </c:pt>
                <c:pt idx="10">
                  <c:v>1.25</c:v>
                </c:pt>
                <c:pt idx="11">
                  <c:v>-1.37</c:v>
                </c:pt>
                <c:pt idx="12">
                  <c:v>-0.75</c:v>
                </c:pt>
                <c:pt idx="13">
                  <c:v>-3.14</c:v>
                </c:pt>
                <c:pt idx="14">
                  <c:v>-1.02</c:v>
                </c:pt>
                <c:pt idx="15">
                  <c:v>4.12</c:v>
                </c:pt>
                <c:pt idx="16">
                  <c:v>2.72</c:v>
                </c:pt>
                <c:pt idx="17">
                  <c:v>0.69</c:v>
                </c:pt>
                <c:pt idx="18">
                  <c:v>0.39</c:v>
                </c:pt>
                <c:pt idx="19">
                  <c:v>1.1599999999999999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B-419C-9258-548A8CEA0316}"/>
            </c:ext>
          </c:extLst>
        </c:ser>
        <c:ser>
          <c:idx val="2"/>
          <c:order val="2"/>
          <c:tx>
            <c:v>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 correlation example'!$F$24</c:f>
              <c:numCache>
                <c:formatCode>General</c:formatCode>
                <c:ptCount val="1"/>
                <c:pt idx="0">
                  <c:v>0.21149999999999997</c:v>
                </c:pt>
              </c:numCache>
            </c:numRef>
          </c:xVal>
          <c:yVal>
            <c:numRef>
              <c:f>'No correlation example'!$G$24</c:f>
              <c:numCache>
                <c:formatCode>General</c:formatCode>
                <c:ptCount val="1"/>
                <c:pt idx="0">
                  <c:v>0.20699999999999999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9B-419C-9258-548A8CEA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25727"/>
        <c:axId val="443948223"/>
      </c:scatterChart>
      <c:scatterChart>
        <c:scatterStyle val="smoothMarker"/>
        <c:varyColors val="0"/>
        <c:ser>
          <c:idx val="0"/>
          <c:order val="0"/>
          <c:tx>
            <c:v>Ellipse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correlation example'!$O$5:$O$25</c:f>
              <c:numCache>
                <c:formatCode>0.00</c:formatCode>
                <c:ptCount val="21"/>
                <c:pt idx="0">
                  <c:v>3.5103156329233531</c:v>
                </c:pt>
                <c:pt idx="1">
                  <c:v>2.5585595917971657</c:v>
                </c:pt>
                <c:pt idx="2">
                  <c:v>1.3770570049001227</c:v>
                </c:pt>
                <c:pt idx="3">
                  <c:v>8.1461577450281542E-2</c:v>
                </c:pt>
                <c:pt idx="4">
                  <c:v>-1.201404783169427</c:v>
                </c:pt>
                <c:pt idx="5">
                  <c:v>-2.3459661793260311</c:v>
                </c:pt>
                <c:pt idx="6">
                  <c:v>-3.2401849669355558</c:v>
                </c:pt>
                <c:pt idx="7">
                  <c:v>-3.7965287806781332</c:v>
                </c:pt>
                <c:pt idx="8">
                  <c:v>-3.9605388117893598</c:v>
                </c:pt>
                <c:pt idx="9">
                  <c:v>-3.7161606156989868</c:v>
                </c:pt>
                <c:pt idx="10">
                  <c:v>-3.0873156329233535</c:v>
                </c:pt>
                <c:pt idx="11">
                  <c:v>-2.1355595917971666</c:v>
                </c:pt>
                <c:pt idx="12">
                  <c:v>-0.95405700490012291</c:v>
                </c:pt>
                <c:pt idx="13">
                  <c:v>0.34153842254971795</c:v>
                </c:pt>
                <c:pt idx="14">
                  <c:v>1.6244047831694266</c:v>
                </c:pt>
                <c:pt idx="15">
                  <c:v>2.7689661793260307</c:v>
                </c:pt>
                <c:pt idx="16">
                  <c:v>3.6631849669355558</c:v>
                </c:pt>
                <c:pt idx="17">
                  <c:v>4.2195287806781332</c:v>
                </c:pt>
                <c:pt idx="18">
                  <c:v>4.3835388117893599</c:v>
                </c:pt>
                <c:pt idx="19">
                  <c:v>4.1391606156989864</c:v>
                </c:pt>
                <c:pt idx="20">
                  <c:v>3.5103156329233536</c:v>
                </c:pt>
              </c:numCache>
            </c:numRef>
          </c:xVal>
          <c:yVal>
            <c:numRef>
              <c:f>'No correlation example'!$P$5:$P$25</c:f>
              <c:numCache>
                <c:formatCode>0.00</c:formatCode>
                <c:ptCount val="21"/>
                <c:pt idx="0">
                  <c:v>3.4838250396103621</c:v>
                </c:pt>
                <c:pt idx="1">
                  <c:v>4.1190499820688764</c:v>
                </c:pt>
                <c:pt idx="2">
                  <c:v>4.3713362154275268</c:v>
                </c:pt>
                <c:pt idx="3">
                  <c:v>4.215988205383618</c:v>
                </c:pt>
                <c:pt idx="4">
                  <c:v>3.6682124975334793</c:v>
                </c:pt>
                <c:pt idx="5">
                  <c:v>2.78162919473926</c:v>
                </c:pt>
                <c:pt idx="6">
                  <c:v>1.6430232478675555</c:v>
                </c:pt>
                <c:pt idx="7">
                  <c:v>0.36384934013227788</c:v>
                </c:pt>
                <c:pt idx="8">
                  <c:v>-0.93067807384876</c:v>
                </c:pt>
                <c:pt idx="9">
                  <c:v>-2.1138416312922419</c:v>
                </c:pt>
                <c:pt idx="10">
                  <c:v>-3.0698250396103619</c:v>
                </c:pt>
                <c:pt idx="11">
                  <c:v>-3.7050499820688767</c:v>
                </c:pt>
                <c:pt idx="12">
                  <c:v>-3.9573362154275262</c:v>
                </c:pt>
                <c:pt idx="13">
                  <c:v>-3.8019882053836183</c:v>
                </c:pt>
                <c:pt idx="14">
                  <c:v>-3.2542124975334801</c:v>
                </c:pt>
                <c:pt idx="15">
                  <c:v>-2.3676291947392607</c:v>
                </c:pt>
                <c:pt idx="16">
                  <c:v>-1.2290232478675556</c:v>
                </c:pt>
                <c:pt idx="17">
                  <c:v>5.0150659867721631E-2</c:v>
                </c:pt>
                <c:pt idx="18">
                  <c:v>1.3446780738487596</c:v>
                </c:pt>
                <c:pt idx="19">
                  <c:v>2.5278416312922412</c:v>
                </c:pt>
                <c:pt idx="20">
                  <c:v>3.4838250396103616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9B-419C-9258-548A8CEA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25727"/>
        <c:axId val="443948223"/>
      </c:scatterChart>
      <c:valAx>
        <c:axId val="421625727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48223"/>
        <c:crosses val="autoZero"/>
        <c:crossBetween val="midCat"/>
      </c:valAx>
      <c:valAx>
        <c:axId val="443948223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2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180974</xdr:rowOff>
    </xdr:from>
    <xdr:to>
      <xdr:col>9</xdr:col>
      <xdr:colOff>781050</xdr:colOff>
      <xdr:row>41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1BC501-EF94-1278-E850-414D8D3AC0E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30" t="5751" r="10353" b="5097"/>
        <a:stretch/>
      </xdr:blipFill>
      <xdr:spPr bwMode="auto">
        <a:xfrm>
          <a:off x="2400300" y="5467349"/>
          <a:ext cx="526732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201706</xdr:rowOff>
    </xdr:from>
    <xdr:to>
      <xdr:col>8</xdr:col>
      <xdr:colOff>4483</xdr:colOff>
      <xdr:row>18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96812E7-27ED-51F3-3A39-D52A6BB58757}"/>
            </a:ext>
          </a:extLst>
        </xdr:cNvPr>
        <xdr:cNvCxnSpPr/>
      </xdr:nvCxnSpPr>
      <xdr:spPr>
        <a:xfrm>
          <a:off x="5188324" y="2386853"/>
          <a:ext cx="990600" cy="1227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FB6D255-699A-4D36-95AC-8B05B9763742}"/>
            </a:ext>
          </a:extLst>
        </xdr:cNvPr>
        <xdr:cNvCxnSpPr/>
      </xdr:nvCxnSpPr>
      <xdr:spPr>
        <a:xfrm flipV="1">
          <a:off x="4457700" y="3333750"/>
          <a:ext cx="14382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1077445</xdr:colOff>
      <xdr:row>4</xdr:row>
      <xdr:rowOff>161925</xdr:rowOff>
    </xdr:from>
    <xdr:to>
      <xdr:col>8</xdr:col>
      <xdr:colOff>11206</xdr:colOff>
      <xdr:row>7</xdr:row>
      <xdr:rowOff>168089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2AB0A24-DD69-4BFF-9179-AACC7C5AB7D9}"/>
            </a:ext>
          </a:extLst>
        </xdr:cNvPr>
        <xdr:cNvCxnSpPr/>
      </xdr:nvCxnSpPr>
      <xdr:spPr>
        <a:xfrm>
          <a:off x="5156386" y="957543"/>
          <a:ext cx="1006849" cy="611281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694764</xdr:colOff>
      <xdr:row>7</xdr:row>
      <xdr:rowOff>190500</xdr:rowOff>
    </xdr:from>
    <xdr:to>
      <xdr:col>9</xdr:col>
      <xdr:colOff>705970</xdr:colOff>
      <xdr:row>10</xdr:row>
      <xdr:rowOff>134471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D8D0049-402B-4C72-A91D-843232016E52}"/>
            </a:ext>
          </a:extLst>
        </xdr:cNvPr>
        <xdr:cNvCxnSpPr/>
      </xdr:nvCxnSpPr>
      <xdr:spPr>
        <a:xfrm>
          <a:off x="7664823" y="1591235"/>
          <a:ext cx="11206" cy="526677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156883</xdr:rowOff>
    </xdr:from>
    <xdr:to>
      <xdr:col>8</xdr:col>
      <xdr:colOff>22412</xdr:colOff>
      <xdr:row>11</xdr:row>
      <xdr:rowOff>168088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DF30DDC-5128-4B44-BDC1-F184F2EB943D}"/>
            </a:ext>
          </a:extLst>
        </xdr:cNvPr>
        <xdr:cNvCxnSpPr/>
      </xdr:nvCxnSpPr>
      <xdr:spPr>
        <a:xfrm flipV="1">
          <a:off x="5165912" y="1557618"/>
          <a:ext cx="1008529" cy="795617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44546</xdr:colOff>
      <xdr:row>4</xdr:row>
      <xdr:rowOff>29975</xdr:rowOff>
    </xdr:from>
    <xdr:to>
      <xdr:col>4</xdr:col>
      <xdr:colOff>570945</xdr:colOff>
      <xdr:row>5</xdr:row>
      <xdr:rowOff>168085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59CAEF23-E59B-360A-69DF-01E86E36F8F4}"/>
            </a:ext>
          </a:extLst>
        </xdr:cNvPr>
        <xdr:cNvSpPr/>
      </xdr:nvSpPr>
      <xdr:spPr>
        <a:xfrm rot="16200000">
          <a:off x="2692779" y="732301"/>
          <a:ext cx="339816" cy="5263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185177</xdr:colOff>
      <xdr:row>17</xdr:row>
      <xdr:rowOff>115700</xdr:rowOff>
    </xdr:from>
    <xdr:to>
      <xdr:col>4</xdr:col>
      <xdr:colOff>547127</xdr:colOff>
      <xdr:row>19</xdr:row>
      <xdr:rowOff>39500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6842CB83-0C80-E724-E0F3-90F013802482}"/>
            </a:ext>
          </a:extLst>
        </xdr:cNvPr>
        <xdr:cNvSpPr/>
      </xdr:nvSpPr>
      <xdr:spPr>
        <a:xfrm rot="16200000">
          <a:off x="2757487" y="3482507"/>
          <a:ext cx="327212" cy="361950"/>
        </a:xfrm>
        <a:prstGeom prst="downArrow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104775</xdr:colOff>
      <xdr:row>2</xdr:row>
      <xdr:rowOff>9524</xdr:rowOff>
    </xdr:from>
    <xdr:to>
      <xdr:col>12</xdr:col>
      <xdr:colOff>400050</xdr:colOff>
      <xdr:row>4</xdr:row>
      <xdr:rowOff>28575</xdr:rowOff>
    </xdr:to>
    <xdr:sp macro="" textlink="">
      <xdr:nvSpPr>
        <xdr:cNvPr id="22" name="Arrow: Down 21">
          <a:extLst>
            <a:ext uri="{FF2B5EF4-FFF2-40B4-BE49-F238E27FC236}">
              <a16:creationId xmlns:a16="http://schemas.microsoft.com/office/drawing/2014/main" id="{E144A28A-30F8-4FC0-A2F5-F6496D3F534D}"/>
            </a:ext>
          </a:extLst>
        </xdr:cNvPr>
        <xdr:cNvSpPr/>
      </xdr:nvSpPr>
      <xdr:spPr>
        <a:xfrm>
          <a:off x="10391775" y="200024"/>
          <a:ext cx="295275" cy="419101"/>
        </a:xfrm>
        <a:prstGeom prst="downArrow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30255</xdr:colOff>
      <xdr:row>22</xdr:row>
      <xdr:rowOff>123825</xdr:rowOff>
    </xdr:from>
    <xdr:to>
      <xdr:col>4</xdr:col>
      <xdr:colOff>556654</xdr:colOff>
      <xdr:row>24</xdr:row>
      <xdr:rowOff>61910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DC59811-4277-4E01-866A-CB925EF8B12A}"/>
            </a:ext>
          </a:extLst>
        </xdr:cNvPr>
        <xdr:cNvSpPr/>
      </xdr:nvSpPr>
      <xdr:spPr>
        <a:xfrm rot="16200000">
          <a:off x="2677647" y="4412874"/>
          <a:ext cx="341497" cy="5263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109538</xdr:colOff>
      <xdr:row>7</xdr:row>
      <xdr:rowOff>109538</xdr:rowOff>
    </xdr:from>
    <xdr:to>
      <xdr:col>6</xdr:col>
      <xdr:colOff>404813</xdr:colOff>
      <xdr:row>9</xdr:row>
      <xdr:rowOff>80963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38FC30AF-7830-431B-A2B5-02859E5E23D3}"/>
            </a:ext>
          </a:extLst>
        </xdr:cNvPr>
        <xdr:cNvSpPr/>
      </xdr:nvSpPr>
      <xdr:spPr>
        <a:xfrm>
          <a:off x="3614738" y="1300163"/>
          <a:ext cx="295275" cy="361950"/>
        </a:xfrm>
        <a:prstGeom prst="downArrow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9525</xdr:colOff>
      <xdr:row>11</xdr:row>
      <xdr:rowOff>190500</xdr:rowOff>
    </xdr:from>
    <xdr:to>
      <xdr:col>13</xdr:col>
      <xdr:colOff>695325</xdr:colOff>
      <xdr:row>19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96350B9-1036-EDE3-AF63-5A519EFF0D6F}"/>
            </a:ext>
          </a:extLst>
        </xdr:cNvPr>
        <xdr:cNvCxnSpPr/>
      </xdr:nvCxnSpPr>
      <xdr:spPr>
        <a:xfrm>
          <a:off x="8267700" y="2152650"/>
          <a:ext cx="3952875" cy="140017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1838325</xdr:colOff>
      <xdr:row>17</xdr:row>
      <xdr:rowOff>180975</xdr:rowOff>
    </xdr:from>
    <xdr:to>
      <xdr:col>14</xdr:col>
      <xdr:colOff>0</xdr:colOff>
      <xdr:row>19</xdr:row>
      <xdr:rowOff>19050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DD99B4A-28F2-4A38-8478-597630EE0931}"/>
            </a:ext>
          </a:extLst>
        </xdr:cNvPr>
        <xdr:cNvCxnSpPr/>
      </xdr:nvCxnSpPr>
      <xdr:spPr>
        <a:xfrm>
          <a:off x="10096500" y="3324225"/>
          <a:ext cx="2133600" cy="228600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933450</xdr:colOff>
      <xdr:row>19</xdr:row>
      <xdr:rowOff>0</xdr:rowOff>
    </xdr:from>
    <xdr:to>
      <xdr:col>14</xdr:col>
      <xdr:colOff>28575</xdr:colOff>
      <xdr:row>23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6D3DC14-2415-42CB-85E0-3F7FCBF73A4E}"/>
            </a:ext>
          </a:extLst>
        </xdr:cNvPr>
        <xdr:cNvCxnSpPr/>
      </xdr:nvCxnSpPr>
      <xdr:spPr>
        <a:xfrm flipV="1">
          <a:off x="4438650" y="3533775"/>
          <a:ext cx="7115175" cy="895350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15</xdr:row>
      <xdr:rowOff>104775</xdr:rowOff>
    </xdr:from>
    <xdr:to>
      <xdr:col>14</xdr:col>
      <xdr:colOff>0</xdr:colOff>
      <xdr:row>19</xdr:row>
      <xdr:rowOff>57150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9031AD-0077-42F5-8FB5-FEBB1BEF5CBD}"/>
            </a:ext>
          </a:extLst>
        </xdr:cNvPr>
        <xdr:cNvCxnSpPr/>
      </xdr:nvCxnSpPr>
      <xdr:spPr>
        <a:xfrm>
          <a:off x="11534775" y="2857500"/>
          <a:ext cx="695325" cy="73342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173692</xdr:colOff>
      <xdr:row>6</xdr:row>
      <xdr:rowOff>51547</xdr:rowOff>
    </xdr:from>
    <xdr:to>
      <xdr:col>24</xdr:col>
      <xdr:colOff>509869</xdr:colOff>
      <xdr:row>19</xdr:row>
      <xdr:rowOff>206188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DC70E9C8-3756-45BF-A4D8-8D995FCC1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324971</xdr:colOff>
      <xdr:row>28</xdr:row>
      <xdr:rowOff>33619</xdr:rowOff>
    </xdr:from>
    <xdr:to>
      <xdr:col>19</xdr:col>
      <xdr:colOff>364566</xdr:colOff>
      <xdr:row>41</xdr:row>
      <xdr:rowOff>93197</xdr:rowOff>
    </xdr:to>
    <xdr:pic>
      <xdr:nvPicPr>
        <xdr:cNvPr id="59" name="Picture 58" descr="Diagram&#10;&#10;Description automatically generated">
          <a:extLst>
            <a:ext uri="{FF2B5EF4-FFF2-40B4-BE49-F238E27FC236}">
              <a16:creationId xmlns:a16="http://schemas.microsoft.com/office/drawing/2014/main" id="{2B7F8E16-8A67-4E5C-2E51-46FEA0458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9853" y="5614148"/>
          <a:ext cx="5194300" cy="2625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923925</xdr:colOff>
      <xdr:row>11</xdr:row>
      <xdr:rowOff>0</xdr:rowOff>
    </xdr:from>
    <xdr:to>
      <xdr:col>7</xdr:col>
      <xdr:colOff>1419225</xdr:colOff>
      <xdr:row>18</xdr:row>
      <xdr:rowOff>28575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EDEC65-2F1F-491B-A9A9-CEDF2453006C}"/>
            </a:ext>
          </a:extLst>
        </xdr:cNvPr>
        <xdr:cNvCxnSpPr/>
      </xdr:nvCxnSpPr>
      <xdr:spPr>
        <a:xfrm>
          <a:off x="5038725" y="2171700"/>
          <a:ext cx="101917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1E2B326-A2BD-408E-AE99-C16D179C0E5D}"/>
            </a:ext>
          </a:extLst>
        </xdr:cNvPr>
        <xdr:cNvCxnSpPr/>
      </xdr:nvCxnSpPr>
      <xdr:spPr>
        <a:xfrm flipV="1">
          <a:off x="5067300" y="3562350"/>
          <a:ext cx="9906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942975</xdr:colOff>
      <xdr:row>3</xdr:row>
      <xdr:rowOff>161925</xdr:rowOff>
    </xdr:from>
    <xdr:to>
      <xdr:col>7</xdr:col>
      <xdr:colOff>941294</xdr:colOff>
      <xdr:row>7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4AE82A5-F8D2-4C85-A3E8-291A7D790D3B}"/>
            </a:ext>
          </a:extLst>
        </xdr:cNvPr>
        <xdr:cNvCxnSpPr/>
      </xdr:nvCxnSpPr>
      <xdr:spPr>
        <a:xfrm>
          <a:off x="5057775" y="752475"/>
          <a:ext cx="950819" cy="7614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694764</xdr:colOff>
      <xdr:row>7</xdr:row>
      <xdr:rowOff>190500</xdr:rowOff>
    </xdr:from>
    <xdr:to>
      <xdr:col>9</xdr:col>
      <xdr:colOff>705970</xdr:colOff>
      <xdr:row>10</xdr:row>
      <xdr:rowOff>134471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4BFB570-6FF9-4070-8B92-5B8F96AAC5EB}"/>
            </a:ext>
          </a:extLst>
        </xdr:cNvPr>
        <xdr:cNvCxnSpPr/>
      </xdr:nvCxnSpPr>
      <xdr:spPr>
        <a:xfrm>
          <a:off x="7686114" y="1581150"/>
          <a:ext cx="11206" cy="524996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100853</xdr:rowOff>
    </xdr:from>
    <xdr:to>
      <xdr:col>7</xdr:col>
      <xdr:colOff>952500</xdr:colOff>
      <xdr:row>10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19C5ED-8584-47CF-9856-D4BCC3B2DCB4}"/>
            </a:ext>
          </a:extLst>
        </xdr:cNvPr>
        <xdr:cNvCxnSpPr/>
      </xdr:nvCxnSpPr>
      <xdr:spPr>
        <a:xfrm flipV="1">
          <a:off x="5067300" y="1491503"/>
          <a:ext cx="952500" cy="480172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122989</xdr:colOff>
      <xdr:row>4</xdr:row>
      <xdr:rowOff>97211</xdr:rowOff>
    </xdr:from>
    <xdr:to>
      <xdr:col>4</xdr:col>
      <xdr:colOff>930092</xdr:colOff>
      <xdr:row>6</xdr:row>
      <xdr:rowOff>11203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571D118B-0881-4421-A1C4-89756762D46C}"/>
            </a:ext>
          </a:extLst>
        </xdr:cNvPr>
        <xdr:cNvSpPr/>
      </xdr:nvSpPr>
      <xdr:spPr>
        <a:xfrm rot="16200000">
          <a:off x="5040692" y="636773"/>
          <a:ext cx="317404" cy="80710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521356</xdr:colOff>
      <xdr:row>17</xdr:row>
      <xdr:rowOff>126906</xdr:rowOff>
    </xdr:from>
    <xdr:to>
      <xdr:col>4</xdr:col>
      <xdr:colOff>883306</xdr:colOff>
      <xdr:row>19</xdr:row>
      <xdr:rowOff>50706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AD1646AB-3DA7-458E-A8E4-B24687C616DA}"/>
            </a:ext>
          </a:extLst>
        </xdr:cNvPr>
        <xdr:cNvSpPr/>
      </xdr:nvSpPr>
      <xdr:spPr>
        <a:xfrm rot="16200000">
          <a:off x="5211578" y="3471302"/>
          <a:ext cx="327211" cy="361950"/>
        </a:xfrm>
        <a:prstGeom prst="downArrow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104775</xdr:colOff>
      <xdr:row>2</xdr:row>
      <xdr:rowOff>9524</xdr:rowOff>
    </xdr:from>
    <xdr:to>
      <xdr:col>12</xdr:col>
      <xdr:colOff>400050</xdr:colOff>
      <xdr:row>4</xdr:row>
      <xdr:rowOff>28575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8B9D85E4-87CE-4CFF-AF30-12B49B064A8F}"/>
            </a:ext>
          </a:extLst>
        </xdr:cNvPr>
        <xdr:cNvSpPr/>
      </xdr:nvSpPr>
      <xdr:spPr>
        <a:xfrm>
          <a:off x="11087100" y="400049"/>
          <a:ext cx="295275" cy="419101"/>
        </a:xfrm>
        <a:prstGeom prst="downArrow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100856</xdr:colOff>
      <xdr:row>22</xdr:row>
      <xdr:rowOff>135029</xdr:rowOff>
    </xdr:from>
    <xdr:to>
      <xdr:col>5</xdr:col>
      <xdr:colOff>2</xdr:colOff>
      <xdr:row>24</xdr:row>
      <xdr:rowOff>89647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6760CD48-0778-4A80-B60B-9B8952EBC133}"/>
            </a:ext>
          </a:extLst>
        </xdr:cNvPr>
        <xdr:cNvSpPr/>
      </xdr:nvSpPr>
      <xdr:spPr>
        <a:xfrm rot="16200000">
          <a:off x="5014914" y="4252912"/>
          <a:ext cx="358030" cy="840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109538</xdr:colOff>
      <xdr:row>7</xdr:row>
      <xdr:rowOff>109538</xdr:rowOff>
    </xdr:from>
    <xdr:to>
      <xdr:col>6</xdr:col>
      <xdr:colOff>404813</xdr:colOff>
      <xdr:row>9</xdr:row>
      <xdr:rowOff>80963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0FF8E5AF-4BC8-479C-B203-A8D3C94FF952}"/>
            </a:ext>
          </a:extLst>
        </xdr:cNvPr>
        <xdr:cNvSpPr/>
      </xdr:nvSpPr>
      <xdr:spPr>
        <a:xfrm>
          <a:off x="4224338" y="1500188"/>
          <a:ext cx="295275" cy="361950"/>
        </a:xfrm>
        <a:prstGeom prst="downArrow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9525</xdr:colOff>
      <xdr:row>11</xdr:row>
      <xdr:rowOff>190500</xdr:rowOff>
    </xdr:from>
    <xdr:to>
      <xdr:col>13</xdr:col>
      <xdr:colOff>695325</xdr:colOff>
      <xdr:row>19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F6401CE-A44B-4541-B8F1-494C26C6FFFD}"/>
            </a:ext>
          </a:extLst>
        </xdr:cNvPr>
        <xdr:cNvCxnSpPr/>
      </xdr:nvCxnSpPr>
      <xdr:spPr>
        <a:xfrm>
          <a:off x="8429625" y="2362200"/>
          <a:ext cx="3952875" cy="141922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1838325</xdr:colOff>
      <xdr:row>17</xdr:row>
      <xdr:rowOff>180975</xdr:rowOff>
    </xdr:from>
    <xdr:to>
      <xdr:col>14</xdr:col>
      <xdr:colOff>0</xdr:colOff>
      <xdr:row>19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9FA9CB3-580C-4D6E-ABEC-B4CBF8C8510A}"/>
            </a:ext>
          </a:extLst>
        </xdr:cNvPr>
        <xdr:cNvCxnSpPr/>
      </xdr:nvCxnSpPr>
      <xdr:spPr>
        <a:xfrm>
          <a:off x="10258425" y="3543300"/>
          <a:ext cx="2133600" cy="23812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933450</xdr:colOff>
      <xdr:row>19</xdr:row>
      <xdr:rowOff>0</xdr:rowOff>
    </xdr:from>
    <xdr:to>
      <xdr:col>14</xdr:col>
      <xdr:colOff>28575</xdr:colOff>
      <xdr:row>23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D6C7531-7437-4AC4-BC6D-5814A1958126}"/>
            </a:ext>
          </a:extLst>
        </xdr:cNvPr>
        <xdr:cNvCxnSpPr/>
      </xdr:nvCxnSpPr>
      <xdr:spPr>
        <a:xfrm flipV="1">
          <a:off x="5048250" y="3762375"/>
          <a:ext cx="7372350" cy="90487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15</xdr:row>
      <xdr:rowOff>104775</xdr:rowOff>
    </xdr:from>
    <xdr:to>
      <xdr:col>14</xdr:col>
      <xdr:colOff>0</xdr:colOff>
      <xdr:row>19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BE78951-FD26-4AE1-8B3C-0285E0F4AB86}"/>
            </a:ext>
          </a:extLst>
        </xdr:cNvPr>
        <xdr:cNvCxnSpPr/>
      </xdr:nvCxnSpPr>
      <xdr:spPr>
        <a:xfrm>
          <a:off x="11696700" y="3076575"/>
          <a:ext cx="695325" cy="742950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173692</xdr:colOff>
      <xdr:row>6</xdr:row>
      <xdr:rowOff>51547</xdr:rowOff>
    </xdr:from>
    <xdr:to>
      <xdr:col>24</xdr:col>
      <xdr:colOff>509869</xdr:colOff>
      <xdr:row>19</xdr:row>
      <xdr:rowOff>206188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39746A-7A85-4946-A999-DBC019445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183610</xdr:colOff>
      <xdr:row>8</xdr:row>
      <xdr:rowOff>95250</xdr:rowOff>
    </xdr:from>
    <xdr:ext cx="2273840" cy="1943100"/>
    <xdr:pic>
      <xdr:nvPicPr>
        <xdr:cNvPr id="2" name="Picture 1">
          <a:extLst>
            <a:ext uri="{FF2B5EF4-FFF2-40B4-BE49-F238E27FC236}">
              <a16:creationId xmlns:a16="http://schemas.microsoft.com/office/drawing/2014/main" id="{5A423C49-594B-4EED-A78E-66311C0FF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10" y="1638300"/>
          <a:ext cx="227384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638176</xdr:colOff>
      <xdr:row>6</xdr:row>
      <xdr:rowOff>106204</xdr:rowOff>
    </xdr:from>
    <xdr:ext cx="2533650" cy="2829242"/>
    <xdr:pic>
      <xdr:nvPicPr>
        <xdr:cNvPr id="3" name="Picture 2">
          <a:extLst>
            <a:ext uri="{FF2B5EF4-FFF2-40B4-BE49-F238E27FC236}">
              <a16:creationId xmlns:a16="http://schemas.microsoft.com/office/drawing/2014/main" id="{C1389810-6899-4869-A432-72C7F8095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2003" y="1263858"/>
          <a:ext cx="2533650" cy="2829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Y_DOCUMENTS\XRealStats.xlam" TargetMode="External"/><Relationship Id="rId1" Type="http://schemas.openxmlformats.org/officeDocument/2006/relationships/externalLinkPath" Target="/MY_DOCUMENT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ORR"/>
      <definedName name="COV"/>
      <definedName name="DET"/>
      <definedName name="EVAL"/>
      <definedName name="TRAC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l-statistics.com/multivariate-statistics/multivariate-normal-distribution/confidence-ellips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Ata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n.wikipedia.org/wiki/Atan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7675-9837-4AE7-A2EB-30EA8BBD137B}">
  <dimension ref="B1:Q31"/>
  <sheetViews>
    <sheetView topLeftCell="B1" zoomScaleNormal="100" workbookViewId="0">
      <selection activeCell="I18" sqref="I18"/>
    </sheetView>
  </sheetViews>
  <sheetFormatPr defaultRowHeight="15" x14ac:dyDescent="0.25"/>
  <cols>
    <col min="1" max="1" width="6" customWidth="1"/>
    <col min="2" max="2" width="16.42578125" customWidth="1"/>
    <col min="4" max="4" width="4.42578125" customWidth="1"/>
    <col min="6" max="6" width="23.28515625" customWidth="1"/>
    <col min="7" max="7" width="7.42578125" customWidth="1"/>
    <col min="8" max="8" width="14.7109375" bestFit="1" customWidth="1"/>
    <col min="9" max="9" width="12.7109375" bestFit="1" customWidth="1"/>
    <col min="10" max="10" width="24.5703125" customWidth="1"/>
    <col min="11" max="11" width="8.5703125" customWidth="1"/>
    <col min="12" max="12" width="8.85546875" customWidth="1"/>
    <col min="13" max="13" width="9" customWidth="1"/>
    <col min="14" max="14" width="16" customWidth="1"/>
    <col min="15" max="15" width="16.140625" customWidth="1"/>
    <col min="16" max="16" width="18.28515625" customWidth="1"/>
    <col min="17" max="17" width="22.140625" bestFit="1" customWidth="1"/>
  </cols>
  <sheetData>
    <row r="1" spans="2:17" x14ac:dyDescent="0.25">
      <c r="N1" s="18" t="s">
        <v>39</v>
      </c>
    </row>
    <row r="2" spans="2:17" ht="15.75" thickBot="1" x14ac:dyDescent="0.3">
      <c r="E2" t="s">
        <v>9</v>
      </c>
      <c r="H2" t="s">
        <v>12</v>
      </c>
      <c r="O2" s="18" t="s">
        <v>40</v>
      </c>
    </row>
    <row r="3" spans="2:17" ht="15.75" thickBot="1" x14ac:dyDescent="0.3">
      <c r="B3" s="3" t="s">
        <v>0</v>
      </c>
      <c r="C3" s="17" t="s">
        <v>1</v>
      </c>
      <c r="D3" s="4"/>
      <c r="E3" s="20" t="s">
        <v>0</v>
      </c>
      <c r="F3" s="2"/>
      <c r="H3" t="s">
        <v>19</v>
      </c>
      <c r="I3" t="s">
        <v>28</v>
      </c>
      <c r="L3" s="24" t="s">
        <v>34</v>
      </c>
      <c r="M3" s="25" t="s">
        <v>35</v>
      </c>
      <c r="N3" s="24" t="s">
        <v>36</v>
      </c>
      <c r="O3" s="26" t="s">
        <v>37</v>
      </c>
      <c r="P3" s="24" t="s">
        <v>38</v>
      </c>
      <c r="Q3" s="26" t="s">
        <v>41</v>
      </c>
    </row>
    <row r="4" spans="2:17" ht="15.75" thickBot="1" x14ac:dyDescent="0.3">
      <c r="B4" s="5">
        <v>27.11</v>
      </c>
      <c r="C4" s="13">
        <v>13.8</v>
      </c>
      <c r="D4" s="6"/>
      <c r="E4" s="21" cm="1">
        <f t="array" ref="E4:F5">[1]!COV(B4:C13)</f>
        <v>3.0214766666666661</v>
      </c>
      <c r="F4" s="6">
        <v>2.0067522222222216</v>
      </c>
      <c r="H4" s="10" cm="1">
        <f t="array" ref="H4:I5">[1]!EVAL(E4:F5)</f>
        <v>4.6242909210575087</v>
      </c>
      <c r="I4" s="4">
        <v>0.50898685672026833</v>
      </c>
      <c r="L4" s="5">
        <f t="shared" ref="L4:L13" si="0">B4-$B$14</f>
        <v>-0.9789999999999992</v>
      </c>
      <c r="M4" s="13">
        <f t="shared" ref="M4:M13" si="1">C4-$C$14</f>
        <v>-0.85699999999999932</v>
      </c>
      <c r="N4" s="14">
        <f>(E$11*L4+F$11*M4)*L4</f>
        <v>0.14460855536273057</v>
      </c>
      <c r="O4" s="15">
        <f t="shared" ref="O4:O13" si="2">(F$12*M4+E$12*L4)*M4</f>
        <v>0.22749230183295838</v>
      </c>
      <c r="P4" s="14">
        <f>N4+O4</f>
        <v>0.37210085719568897</v>
      </c>
      <c r="Q4" s="27" t="str">
        <f>IF(P4&gt;=$I$8,"outside","inside")</f>
        <v>inside</v>
      </c>
    </row>
    <row r="5" spans="2:17" ht="15.75" thickBot="1" x14ac:dyDescent="0.3">
      <c r="B5" s="14">
        <v>26.77</v>
      </c>
      <c r="C5">
        <v>13.42</v>
      </c>
      <c r="D5" s="15"/>
      <c r="E5" s="16">
        <v>2.0067522222222216</v>
      </c>
      <c r="F5" s="19">
        <v>2.1118011111111104</v>
      </c>
      <c r="H5">
        <v>1.7823540174630473E-15</v>
      </c>
      <c r="I5">
        <v>-5.5788480722771492E-16</v>
      </c>
      <c r="L5" s="14">
        <f t="shared" si="0"/>
        <v>-1.3189999999999991</v>
      </c>
      <c r="M5">
        <f t="shared" si="1"/>
        <v>-1.2370000000000001</v>
      </c>
      <c r="N5" s="14">
        <f t="shared" ref="N4:N13" si="3">(E$11*L5+F$11*M5)*L5</f>
        <v>0.1698626444351084</v>
      </c>
      <c r="O5" s="15">
        <f t="shared" si="2"/>
        <v>0.57320180638456686</v>
      </c>
      <c r="P5" s="14">
        <f t="shared" ref="P5:P13" si="4">N5+O5</f>
        <v>0.74306445081967532</v>
      </c>
      <c r="Q5" s="27" t="str">
        <f t="shared" ref="Q5:Q13" si="5">IF(P5&gt;=$I$8,"outside","inside")</f>
        <v>inside</v>
      </c>
    </row>
    <row r="6" spans="2:17" x14ac:dyDescent="0.25">
      <c r="B6" s="14">
        <v>27.35</v>
      </c>
      <c r="C6">
        <v>12.76</v>
      </c>
      <c r="D6" s="15"/>
      <c r="F6" s="20" t="s">
        <v>1</v>
      </c>
      <c r="L6" s="14">
        <f t="shared" si="0"/>
        <v>-0.73899999999999721</v>
      </c>
      <c r="M6">
        <f t="shared" si="1"/>
        <v>-1.8970000000000002</v>
      </c>
      <c r="N6" s="14">
        <f t="shared" si="3"/>
        <v>-0.70524304852425035</v>
      </c>
      <c r="O6" s="15">
        <f t="shared" si="2"/>
        <v>3.4243403995756996</v>
      </c>
      <c r="P6" s="22">
        <f>N6+O6</f>
        <v>2.7190973510514493</v>
      </c>
      <c r="Q6" s="28" t="str">
        <f>IF(P6&gt;=$I$8,"outside","inside")</f>
        <v>outside</v>
      </c>
    </row>
    <row r="7" spans="2:17" ht="15.75" thickBot="1" x14ac:dyDescent="0.3">
      <c r="B7" s="14">
        <v>29.2</v>
      </c>
      <c r="C7">
        <v>14.88</v>
      </c>
      <c r="D7" s="15"/>
      <c r="E7" t="s">
        <v>10</v>
      </c>
      <c r="H7" t="s">
        <v>2</v>
      </c>
      <c r="I7">
        <f>COUNT(B4:B13)</f>
        <v>10</v>
      </c>
      <c r="L7" s="14">
        <f t="shared" si="0"/>
        <v>1.1110000000000007</v>
      </c>
      <c r="M7">
        <f t="shared" si="1"/>
        <v>0.22300000000000075</v>
      </c>
      <c r="N7" s="14">
        <f t="shared" si="3"/>
        <v>0.8962308781803987</v>
      </c>
      <c r="O7" s="15">
        <f t="shared" si="2"/>
        <v>-0.14739490320908682</v>
      </c>
      <c r="P7" s="14">
        <f t="shared" si="4"/>
        <v>0.74883597497131182</v>
      </c>
      <c r="Q7" s="27" t="str">
        <f t="shared" si="5"/>
        <v>inside</v>
      </c>
    </row>
    <row r="8" spans="2:17" ht="15.75" thickBot="1" x14ac:dyDescent="0.3">
      <c r="B8" s="14">
        <v>27.44</v>
      </c>
      <c r="C8">
        <v>14.56</v>
      </c>
      <c r="D8" s="15"/>
      <c r="E8" s="17">
        <f>AVERAGE(B4:B13)</f>
        <v>28.088999999999999</v>
      </c>
      <c r="F8" s="4">
        <f>AVERAGE(C4:C13)</f>
        <v>14.657</v>
      </c>
      <c r="H8" t="s">
        <v>5</v>
      </c>
      <c r="I8">
        <v>2.25</v>
      </c>
      <c r="L8" s="14">
        <f t="shared" si="0"/>
        <v>-0.64899999999999736</v>
      </c>
      <c r="M8">
        <f t="shared" si="1"/>
        <v>-9.6999999999999531E-2</v>
      </c>
      <c r="N8" s="14">
        <f t="shared" si="3"/>
        <v>0.32423868675522416</v>
      </c>
      <c r="O8" s="15">
        <f t="shared" si="2"/>
        <v>-4.1594876749917624E-2</v>
      </c>
      <c r="P8" s="14">
        <f t="shared" si="4"/>
        <v>0.28264381000530653</v>
      </c>
      <c r="Q8" s="27" t="str">
        <f t="shared" si="5"/>
        <v>inside</v>
      </c>
    </row>
    <row r="9" spans="2:17" x14ac:dyDescent="0.25">
      <c r="B9" s="14">
        <v>26.16</v>
      </c>
      <c r="C9">
        <v>14.35</v>
      </c>
      <c r="D9" s="15"/>
      <c r="H9" t="s">
        <v>6</v>
      </c>
      <c r="I9" s="1">
        <f>_xlfn.CHISQ.DIST(I8,C31,TRUE)</f>
        <v>0.67534753264165026</v>
      </c>
      <c r="L9" s="14">
        <f t="shared" si="0"/>
        <v>-1.9289999999999985</v>
      </c>
      <c r="M9">
        <f t="shared" si="1"/>
        <v>-0.30700000000000038</v>
      </c>
      <c r="N9" s="14">
        <f t="shared" si="3"/>
        <v>2.833702034875818</v>
      </c>
      <c r="O9" s="15">
        <f t="shared" si="2"/>
        <v>-0.38391989836607243</v>
      </c>
      <c r="P9" s="22">
        <f t="shared" si="4"/>
        <v>2.4497821365097456</v>
      </c>
      <c r="Q9" s="28" t="str">
        <f t="shared" si="5"/>
        <v>outside</v>
      </c>
    </row>
    <row r="10" spans="2:17" ht="15.75" thickBot="1" x14ac:dyDescent="0.3">
      <c r="B10" s="14">
        <v>26.25</v>
      </c>
      <c r="C10">
        <v>13.86</v>
      </c>
      <c r="D10" s="15"/>
      <c r="E10" t="s">
        <v>11</v>
      </c>
      <c r="L10" s="14">
        <f t="shared" si="0"/>
        <v>-1.8389999999999986</v>
      </c>
      <c r="M10">
        <f t="shared" si="1"/>
        <v>-0.7970000000000006</v>
      </c>
      <c r="N10" s="14">
        <f t="shared" si="3"/>
        <v>1.7847117380212634</v>
      </c>
      <c r="O10" s="15">
        <f t="shared" si="2"/>
        <v>-0.43420657359955339</v>
      </c>
      <c r="P10" s="14">
        <f t="shared" si="4"/>
        <v>1.3505051644217101</v>
      </c>
      <c r="Q10" s="27" t="str">
        <f t="shared" si="5"/>
        <v>inside</v>
      </c>
    </row>
    <row r="11" spans="2:17" x14ac:dyDescent="0.25">
      <c r="B11" s="14">
        <v>31.21</v>
      </c>
      <c r="C11">
        <v>17.61</v>
      </c>
      <c r="D11" s="15"/>
      <c r="E11" s="13">
        <f t="array" ref="E11:F12">MINVERSE(E4:F5)</f>
        <v>0.89722485866854607</v>
      </c>
      <c r="F11" s="6">
        <v>-0.85259353709630259</v>
      </c>
      <c r="H11" t="s">
        <v>20</v>
      </c>
      <c r="I11" cm="1">
        <f t="array" ref="I11">[1]!TRACE(_xlfn.ANCHORARRAY(E4))</f>
        <v>5.1332777777777761</v>
      </c>
      <c r="L11" s="14">
        <f t="shared" si="0"/>
        <v>3.1210000000000022</v>
      </c>
      <c r="M11">
        <f t="shared" si="1"/>
        <v>2.9529999999999994</v>
      </c>
      <c r="N11" s="14">
        <f t="shared" si="3"/>
        <v>0.88177634490941847</v>
      </c>
      <c r="O11" s="15">
        <f t="shared" si="2"/>
        <v>3.3364661667194162</v>
      </c>
      <c r="P11" s="22">
        <f t="shared" si="4"/>
        <v>4.2182425116288345</v>
      </c>
      <c r="Q11" s="28" t="str">
        <f t="shared" si="5"/>
        <v>outside</v>
      </c>
    </row>
    <row r="12" spans="2:17" ht="15.75" thickBot="1" x14ac:dyDescent="0.3">
      <c r="B12" s="14">
        <v>29.34</v>
      </c>
      <c r="C12">
        <v>16.559999999999999</v>
      </c>
      <c r="D12" s="15"/>
      <c r="E12" s="16">
        <v>-0.85259353709630259</v>
      </c>
      <c r="F12" s="8">
        <v>1.2837117856207414</v>
      </c>
      <c r="H12" t="s">
        <v>21</v>
      </c>
      <c r="I12" cm="1">
        <f t="array" ref="I12">[1]!DET(_xlfn.ANCHORARRAY(E4))</f>
        <v>2.3537033004691352</v>
      </c>
      <c r="L12" s="14">
        <f t="shared" si="0"/>
        <v>1.2510000000000012</v>
      </c>
      <c r="M12">
        <f t="shared" si="1"/>
        <v>1.9029999999999987</v>
      </c>
      <c r="N12" s="14">
        <f t="shared" si="3"/>
        <v>-0.62557156082778853</v>
      </c>
      <c r="O12" s="15">
        <f t="shared" si="2"/>
        <v>2.6191160519840926</v>
      </c>
      <c r="P12" s="14">
        <f t="shared" si="4"/>
        <v>1.9935444911563041</v>
      </c>
      <c r="Q12" s="27" t="str">
        <f t="shared" si="5"/>
        <v>inside</v>
      </c>
    </row>
    <row r="13" spans="2:17" ht="15.75" thickBot="1" x14ac:dyDescent="0.3">
      <c r="B13" s="7">
        <v>30.06</v>
      </c>
      <c r="C13" s="16">
        <v>14.77</v>
      </c>
      <c r="D13" s="8"/>
      <c r="H13" s="3" t="s">
        <v>45</v>
      </c>
      <c r="I13" s="11">
        <f>(B16+SQRT(B16^2-4*B19))/2</f>
        <v>4.6242909210575078</v>
      </c>
      <c r="L13" s="7">
        <f t="shared" si="0"/>
        <v>1.9710000000000001</v>
      </c>
      <c r="M13" s="16">
        <f t="shared" si="1"/>
        <v>0.11299999999999955</v>
      </c>
      <c r="N13" s="7">
        <f t="shared" si="3"/>
        <v>3.295683726812074</v>
      </c>
      <c r="O13" s="8">
        <f t="shared" si="2"/>
        <v>-0.17350047457210793</v>
      </c>
      <c r="P13" s="23">
        <f t="shared" si="4"/>
        <v>3.122183252239966</v>
      </c>
      <c r="Q13" s="29" t="str">
        <f t="shared" si="5"/>
        <v>outside</v>
      </c>
    </row>
    <row r="14" spans="2:17" x14ac:dyDescent="0.25">
      <c r="B14" s="5">
        <f>AVERAGE(B4:B13)</f>
        <v>28.088999999999999</v>
      </c>
      <c r="C14" s="13">
        <f>AVERAGE(C4:C13)</f>
        <v>14.657</v>
      </c>
      <c r="D14" s="13"/>
      <c r="E14" s="13"/>
      <c r="F14" s="6"/>
      <c r="H14" t="s">
        <v>22</v>
      </c>
      <c r="I14">
        <f>I11-I13</f>
        <v>0.50898685672026822</v>
      </c>
    </row>
    <row r="15" spans="2:17" ht="15.75" thickBot="1" x14ac:dyDescent="0.3">
      <c r="B15" s="14" t="s">
        <v>13</v>
      </c>
      <c r="E15" t="s">
        <v>14</v>
      </c>
      <c r="F15" s="15"/>
      <c r="H15" t="s">
        <v>46</v>
      </c>
    </row>
    <row r="16" spans="2:17" ht="15.75" thickBot="1" x14ac:dyDescent="0.3">
      <c r="B16" s="9" cm="1">
        <f t="array" ref="B16">[1]!TRACE(_xlfn.ANCHORARRAY(E4))</f>
        <v>5.1332777777777761</v>
      </c>
      <c r="E16" s="9">
        <f>H4+I4</f>
        <v>5.1332777777777769</v>
      </c>
      <c r="F16" s="15"/>
    </row>
    <row r="17" spans="2:14" x14ac:dyDescent="0.25">
      <c r="B17" s="14"/>
      <c r="F17" s="15"/>
      <c r="H17" t="s">
        <v>24</v>
      </c>
      <c r="I17">
        <f>SQRT(H4)*SQRT(I8)</f>
        <v>3.2256246794038814</v>
      </c>
      <c r="J17" s="18" t="s">
        <v>100</v>
      </c>
      <c r="K17" t="s">
        <v>33</v>
      </c>
      <c r="N17" s="18"/>
    </row>
    <row r="18" spans="2:14" ht="15.75" thickBot="1" x14ac:dyDescent="0.3">
      <c r="B18" s="14" t="s">
        <v>17</v>
      </c>
      <c r="E18" t="s">
        <v>18</v>
      </c>
      <c r="F18" s="15"/>
      <c r="H18" t="s">
        <v>25</v>
      </c>
      <c r="I18">
        <f>SQRT(I4)*SQRT(I8)</f>
        <v>1.0701497220579015</v>
      </c>
      <c r="J18" s="18" t="s">
        <v>101</v>
      </c>
      <c r="K18" t="s">
        <v>33</v>
      </c>
    </row>
    <row r="19" spans="2:14" ht="15.75" thickBot="1" x14ac:dyDescent="0.3">
      <c r="B19" s="9" cm="1">
        <f t="array" ref="B19">[1]!DET(_xlfn.ANCHORARRAY(E4))</f>
        <v>2.3537033004691352</v>
      </c>
      <c r="E19" s="9">
        <f>H4*I4</f>
        <v>2.3537033004691357</v>
      </c>
      <c r="F19" s="15"/>
      <c r="H19" t="s">
        <v>30</v>
      </c>
      <c r="I19">
        <f>ATAN2(F4,H4-E4)</f>
        <v>0.67395422285576023</v>
      </c>
      <c r="J19" s="18" t="s">
        <v>29</v>
      </c>
      <c r="K19" t="s">
        <v>27</v>
      </c>
    </row>
    <row r="20" spans="2:14" x14ac:dyDescent="0.25">
      <c r="B20" s="14"/>
      <c r="F20" s="15"/>
    </row>
    <row r="21" spans="2:14" ht="15.75" thickBot="1" x14ac:dyDescent="0.3">
      <c r="B21" s="14" t="s">
        <v>15</v>
      </c>
      <c r="F21" s="15"/>
      <c r="H21" t="s">
        <v>32</v>
      </c>
    </row>
    <row r="22" spans="2:14" x14ac:dyDescent="0.25">
      <c r="B22" s="14" t="s">
        <v>16</v>
      </c>
      <c r="F22" s="15"/>
      <c r="H22" s="5">
        <f>COS(I19)</f>
        <v>0.7813600274346848</v>
      </c>
      <c r="I22" s="6">
        <f>-SIN(I19)</f>
        <v>-0.62408052968128136</v>
      </c>
    </row>
    <row r="23" spans="2:14" ht="15.75" thickBot="1" x14ac:dyDescent="0.3">
      <c r="B23" s="7"/>
      <c r="C23" s="16"/>
      <c r="D23" s="16"/>
      <c r="E23" s="16"/>
      <c r="F23" s="8"/>
      <c r="H23" s="7">
        <f>SIN(I19)</f>
        <v>0.62408052968128136</v>
      </c>
      <c r="I23" s="8">
        <f>COS(I19)</f>
        <v>0.7813600274346848</v>
      </c>
    </row>
    <row r="27" spans="2:14" x14ac:dyDescent="0.25">
      <c r="B27" s="2" t="s">
        <v>8</v>
      </c>
    </row>
    <row r="29" spans="2:14" x14ac:dyDescent="0.25">
      <c r="B29" s="89" t="s">
        <v>7</v>
      </c>
      <c r="C29" s="89">
        <v>0.95</v>
      </c>
    </row>
    <row r="30" spans="2:14" x14ac:dyDescent="0.25">
      <c r="B30" t="s">
        <v>4</v>
      </c>
      <c r="C30">
        <f>_xlfn.CHISQ.INV(C29,C31)</f>
        <v>5.9914645471079799</v>
      </c>
    </row>
    <row r="31" spans="2:14" x14ac:dyDescent="0.25">
      <c r="B31" t="s">
        <v>3</v>
      </c>
      <c r="C31">
        <f>COUNT(B10:C10)</f>
        <v>2</v>
      </c>
    </row>
  </sheetData>
  <hyperlinks>
    <hyperlink ref="B27" r:id="rId1" xr:uid="{DE940FF4-5295-4030-A4E9-27138566D3D5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0477-2952-42EC-B55B-7B651A04C2C1}">
  <dimension ref="B1:Q47"/>
  <sheetViews>
    <sheetView topLeftCell="C1" zoomScale="85" zoomScaleNormal="85" workbookViewId="0">
      <selection activeCell="U26" sqref="U26"/>
    </sheetView>
  </sheetViews>
  <sheetFormatPr defaultRowHeight="15" x14ac:dyDescent="0.25"/>
  <cols>
    <col min="1" max="1" width="5.42578125" customWidth="1"/>
    <col min="2" max="2" width="9.85546875" customWidth="1"/>
    <col min="3" max="3" width="11.7109375" customWidth="1"/>
    <col min="4" max="4" width="10.28515625" customWidth="1"/>
    <col min="5" max="5" width="8.7109375" customWidth="1"/>
    <col min="6" max="6" width="15.140625" customWidth="1"/>
    <col min="7" max="7" width="16.28515625" customWidth="1"/>
    <col min="8" max="8" width="14.85546875" customWidth="1"/>
    <col min="9" max="9" width="20.42578125" customWidth="1"/>
    <col min="10" max="10" width="21.42578125" customWidth="1"/>
    <col min="11" max="11" width="27.7109375" customWidth="1"/>
    <col min="12" max="12" width="10.7109375" style="38" customWidth="1"/>
    <col min="13" max="13" width="10.5703125" bestFit="1" customWidth="1"/>
    <col min="14" max="14" width="10.5703125" customWidth="1"/>
  </cols>
  <sheetData>
    <row r="1" spans="2:17" ht="15.75" thickBot="1" x14ac:dyDescent="0.3"/>
    <row r="2" spans="2:17" x14ac:dyDescent="0.25">
      <c r="B2" s="5"/>
      <c r="C2" s="13"/>
      <c r="D2" s="13"/>
      <c r="E2" s="13"/>
      <c r="F2" s="13"/>
      <c r="G2" s="13"/>
      <c r="H2" s="13"/>
      <c r="I2" s="13"/>
      <c r="J2" s="13"/>
      <c r="K2" s="13"/>
      <c r="L2" s="41"/>
      <c r="M2" s="13" t="s">
        <v>67</v>
      </c>
      <c r="N2" s="13"/>
      <c r="O2" s="13"/>
      <c r="P2" s="13"/>
      <c r="Q2" s="6"/>
    </row>
    <row r="3" spans="2:17" ht="15.75" thickBot="1" x14ac:dyDescent="0.3">
      <c r="B3" s="14"/>
      <c r="C3" s="12" t="s">
        <v>51</v>
      </c>
      <c r="D3" s="12"/>
      <c r="F3" s="12" t="s">
        <v>48</v>
      </c>
      <c r="Q3" s="15"/>
    </row>
    <row r="4" spans="2:17" ht="15.75" thickBot="1" x14ac:dyDescent="0.3">
      <c r="B4" s="14"/>
      <c r="C4" s="3" t="s">
        <v>0</v>
      </c>
      <c r="D4" s="4" t="s">
        <v>1</v>
      </c>
      <c r="F4" s="71" t="s">
        <v>0</v>
      </c>
      <c r="G4" s="72"/>
      <c r="I4" s="34">
        <f>F5+G6</f>
        <v>5.1332777777777761</v>
      </c>
      <c r="M4" s="66"/>
      <c r="O4" t="s">
        <v>0</v>
      </c>
      <c r="P4" t="s">
        <v>1</v>
      </c>
      <c r="Q4" s="15"/>
    </row>
    <row r="5" spans="2:17" ht="15.75" thickTop="1" x14ac:dyDescent="0.25">
      <c r="B5" s="14"/>
      <c r="C5" s="5">
        <v>27.11</v>
      </c>
      <c r="D5" s="6">
        <v>13.8</v>
      </c>
      <c r="F5" s="49" cm="1">
        <f t="array" ref="F5:G6">[1]!COV(C5:D14)</f>
        <v>3.0214766666666661</v>
      </c>
      <c r="G5" s="31">
        <v>2.0067522222222216</v>
      </c>
      <c r="M5" s="68">
        <v>0</v>
      </c>
      <c r="N5" s="58"/>
      <c r="O5" s="51">
        <f>(I$12*J$18*COS(M5)+J$12*J$19*SIN(M5))+F$24</f>
        <v>30.609374187993012</v>
      </c>
      <c r="P5" s="52">
        <f t="shared" ref="P5:P25" si="0">(I$13*J$18*COS(M5)+J$13*J$19*SIN(M5))+G$24</f>
        <v>16.670049558475387</v>
      </c>
      <c r="Q5" s="15"/>
    </row>
    <row r="6" spans="2:17" ht="15.75" thickBot="1" x14ac:dyDescent="0.3">
      <c r="B6" s="14"/>
      <c r="C6" s="14">
        <v>26.77</v>
      </c>
      <c r="D6" s="15">
        <v>13.42</v>
      </c>
      <c r="F6" s="35">
        <v>2.0067522222222216</v>
      </c>
      <c r="G6" s="50">
        <v>2.1118011111111104</v>
      </c>
      <c r="M6" s="69">
        <f>PI()/10</f>
        <v>0.31415926535897931</v>
      </c>
      <c r="N6" s="58"/>
      <c r="O6" s="53">
        <f t="shared" ref="O6:O25" si="1">(I$12*J$18*COS(M6)+J$12*J$19*SIN(M6))+F$24</f>
        <v>30.27963832707384</v>
      </c>
      <c r="P6" s="44">
        <f t="shared" si="0"/>
        <v>16.829915325238854</v>
      </c>
      <c r="Q6" s="15"/>
    </row>
    <row r="7" spans="2:17" ht="15.75" thickBot="1" x14ac:dyDescent="0.3">
      <c r="B7" s="14"/>
      <c r="C7" s="14">
        <v>27.35</v>
      </c>
      <c r="D7" s="15">
        <v>12.76</v>
      </c>
      <c r="G7" s="71" t="s">
        <v>1</v>
      </c>
      <c r="I7" s="12" t="s">
        <v>52</v>
      </c>
      <c r="J7" s="12"/>
      <c r="K7" s="12"/>
      <c r="M7" s="69">
        <f t="shared" ref="M7:M12" si="2">M6+M$6</f>
        <v>0.62831853071795862</v>
      </c>
      <c r="N7" s="58"/>
      <c r="O7" s="53">
        <f t="shared" si="1"/>
        <v>29.735467523625971</v>
      </c>
      <c r="P7" s="44">
        <f t="shared" si="0"/>
        <v>16.77708100037664</v>
      </c>
      <c r="Q7" s="15"/>
    </row>
    <row r="8" spans="2:17" ht="15.75" thickBot="1" x14ac:dyDescent="0.3">
      <c r="B8" s="14"/>
      <c r="C8" s="14">
        <v>29.2</v>
      </c>
      <c r="D8" s="15">
        <v>14.88</v>
      </c>
      <c r="I8" s="3" t="s">
        <v>30</v>
      </c>
      <c r="J8" s="17">
        <f>ATAN2(G5,G12-F5)</f>
        <v>0.67395422285576001</v>
      </c>
      <c r="K8" s="39" t="s">
        <v>60</v>
      </c>
      <c r="M8" s="69">
        <f t="shared" si="2"/>
        <v>0.94247779607693793</v>
      </c>
      <c r="N8" s="58"/>
      <c r="O8" s="53">
        <f t="shared" si="1"/>
        <v>29.030129007351803</v>
      </c>
      <c r="P8" s="44">
        <f t="shared" si="0"/>
        <v>16.516718375724654</v>
      </c>
      <c r="Q8" s="15"/>
    </row>
    <row r="9" spans="2:17" x14ac:dyDescent="0.25">
      <c r="B9" s="14"/>
      <c r="C9" s="14">
        <v>27.44</v>
      </c>
      <c r="D9" s="15">
        <v>14.56</v>
      </c>
      <c r="F9" s="12" t="s">
        <v>47</v>
      </c>
      <c r="K9" s="18" t="s">
        <v>58</v>
      </c>
      <c r="M9" s="69">
        <f t="shared" si="2"/>
        <v>1.2566370614359172</v>
      </c>
      <c r="N9" s="58"/>
      <c r="O9" s="53">
        <f t="shared" si="1"/>
        <v>28.232666226606678</v>
      </c>
      <c r="P9" s="44">
        <f t="shared" si="0"/>
        <v>16.074313559036899</v>
      </c>
      <c r="Q9" s="15"/>
    </row>
    <row r="10" spans="2:17" x14ac:dyDescent="0.25">
      <c r="B10" s="14"/>
      <c r="C10" s="14">
        <v>26.16</v>
      </c>
      <c r="D10" s="15">
        <v>14.35</v>
      </c>
      <c r="F10" t="s">
        <v>20</v>
      </c>
      <c r="G10" s="34" cm="1">
        <f t="array" ref="G10">[1]!TRACE(_xlfn.ANCHORARRAY(F5))</f>
        <v>5.1332777777777761</v>
      </c>
      <c r="K10" s="18" t="s">
        <v>59</v>
      </c>
      <c r="M10" s="69">
        <f t="shared" si="2"/>
        <v>1.5707963267948966</v>
      </c>
      <c r="N10" s="58"/>
      <c r="O10" s="53">
        <f t="shared" si="1"/>
        <v>27.42114039461983</v>
      </c>
      <c r="P10" s="44">
        <f t="shared" si="0"/>
        <v>15.493172216186382</v>
      </c>
      <c r="Q10" s="15"/>
    </row>
    <row r="11" spans="2:17" ht="15.75" thickBot="1" x14ac:dyDescent="0.3">
      <c r="B11" s="14"/>
      <c r="C11" s="14">
        <v>26.25</v>
      </c>
      <c r="D11" s="15">
        <v>13.86</v>
      </c>
      <c r="F11" t="s">
        <v>21</v>
      </c>
      <c r="G11" s="34" cm="1">
        <f t="array" ref="G11">[1]!DET(_xlfn.ANCHORARRAY(F5))</f>
        <v>2.3537033004691352</v>
      </c>
      <c r="I11" s="59" t="s">
        <v>32</v>
      </c>
      <c r="J11" s="59"/>
      <c r="M11" s="69">
        <f t="shared" si="2"/>
        <v>1.8849555921538759</v>
      </c>
      <c r="N11" s="58"/>
      <c r="O11" s="53">
        <f t="shared" si="1"/>
        <v>26.674989314059079</v>
      </c>
      <c r="P11" s="44">
        <f t="shared" si="0"/>
        <v>14.83018051086114</v>
      </c>
      <c r="Q11" s="15"/>
    </row>
    <row r="12" spans="2:17" ht="16.5" thickTop="1" thickBot="1" x14ac:dyDescent="0.3">
      <c r="B12" s="14"/>
      <c r="C12" s="14">
        <v>31.21</v>
      </c>
      <c r="D12" s="15">
        <v>17.61</v>
      </c>
      <c r="F12" s="3" t="s">
        <v>49</v>
      </c>
      <c r="G12" s="33">
        <f>(G10+SQRT(G10^2-4*G11))/2</f>
        <v>4.6242909210575078</v>
      </c>
      <c r="H12" s="61"/>
      <c r="I12">
        <f>COS(J8)</f>
        <v>0.78136002743468491</v>
      </c>
      <c r="J12" s="60">
        <f>-SIN(J8)</f>
        <v>-0.62408052968128114</v>
      </c>
      <c r="M12" s="69">
        <f t="shared" si="2"/>
        <v>2.1991148575128552</v>
      </c>
      <c r="N12" s="58"/>
      <c r="O12" s="53">
        <f t="shared" si="1"/>
        <v>26.067251451429986</v>
      </c>
      <c r="P12" s="44">
        <f t="shared" si="0"/>
        <v>14.150236690513239</v>
      </c>
      <c r="Q12" s="15"/>
    </row>
    <row r="13" spans="2:17" ht="15.75" thickBot="1" x14ac:dyDescent="0.3">
      <c r="B13" s="14"/>
      <c r="C13" s="14">
        <v>29.34</v>
      </c>
      <c r="D13" s="15">
        <v>16.559999999999999</v>
      </c>
      <c r="F13" s="3" t="s">
        <v>22</v>
      </c>
      <c r="G13" s="33">
        <f>G10-G12</f>
        <v>0.50898685672026822</v>
      </c>
      <c r="H13" s="61"/>
      <c r="I13" s="62">
        <f>SIN(J8)</f>
        <v>0.62408052968128114</v>
      </c>
      <c r="J13" s="63">
        <f>COS(J8)</f>
        <v>0.78136002743468491</v>
      </c>
      <c r="M13" s="69">
        <f t="shared" ref="M13:M23" si="3">M12+M$6</f>
        <v>2.5132741228718345</v>
      </c>
      <c r="N13" s="58"/>
      <c r="O13" s="53">
        <f t="shared" si="1"/>
        <v>25.657416423085358</v>
      </c>
      <c r="P13" s="44">
        <f t="shared" si="0"/>
        <v>13.519898393725496</v>
      </c>
      <c r="Q13" s="15"/>
    </row>
    <row r="14" spans="2:17" ht="15.75" thickBot="1" x14ac:dyDescent="0.3">
      <c r="B14" s="14"/>
      <c r="C14" s="7">
        <v>30.06</v>
      </c>
      <c r="D14" s="8">
        <v>14.77</v>
      </c>
      <c r="F14" t="s">
        <v>46</v>
      </c>
      <c r="I14" s="73" t="s">
        <v>42</v>
      </c>
      <c r="J14" s="73" t="s">
        <v>43</v>
      </c>
      <c r="M14" s="69">
        <f t="shared" si="3"/>
        <v>2.8274333882308138</v>
      </c>
      <c r="N14" s="58"/>
      <c r="O14" s="53">
        <f t="shared" si="1"/>
        <v>25.485601737088118</v>
      </c>
      <c r="P14" s="44">
        <f t="shared" si="0"/>
        <v>13.000867524812657</v>
      </c>
      <c r="Q14" s="15"/>
    </row>
    <row r="15" spans="2:17" x14ac:dyDescent="0.25">
      <c r="B15" s="14"/>
      <c r="I15" s="74" t="s">
        <v>44</v>
      </c>
      <c r="J15" s="75" t="s">
        <v>42</v>
      </c>
      <c r="M15" s="69">
        <f t="shared" si="3"/>
        <v>3.1415926535897931</v>
      </c>
      <c r="N15" s="58"/>
      <c r="O15" s="53">
        <f t="shared" si="1"/>
        <v>25.568625812006985</v>
      </c>
      <c r="P15" s="44">
        <f t="shared" si="0"/>
        <v>12.643950441524613</v>
      </c>
      <c r="Q15" s="15"/>
    </row>
    <row r="16" spans="2:17" x14ac:dyDescent="0.25">
      <c r="B16" s="14" t="s">
        <v>103</v>
      </c>
      <c r="C16" t="s">
        <v>102</v>
      </c>
      <c r="D16" t="s">
        <v>104</v>
      </c>
      <c r="M16" s="69">
        <f t="shared" si="3"/>
        <v>3.4557519189487724</v>
      </c>
      <c r="N16" s="58"/>
      <c r="O16" s="53">
        <f t="shared" si="1"/>
        <v>25.898361672926157</v>
      </c>
      <c r="P16" s="44">
        <f t="shared" si="0"/>
        <v>12.484084674761146</v>
      </c>
      <c r="Q16" s="15"/>
    </row>
    <row r="17" spans="2:17" ht="15.75" thickBot="1" x14ac:dyDescent="0.3">
      <c r="B17" s="80">
        <f>F5</f>
        <v>3.0214766666666661</v>
      </c>
      <c r="C17" s="79">
        <f>G6</f>
        <v>2.1118011111111104</v>
      </c>
      <c r="D17" s="79">
        <f>B17+C17</f>
        <v>5.1332777777777761</v>
      </c>
      <c r="F17" s="12" t="s">
        <v>50</v>
      </c>
      <c r="G17" s="12"/>
      <c r="I17" s="59" t="s">
        <v>33</v>
      </c>
      <c r="J17" s="59"/>
      <c r="K17" s="59"/>
      <c r="M17" s="69">
        <f t="shared" si="3"/>
        <v>3.7699111843077517</v>
      </c>
      <c r="N17" s="58"/>
      <c r="O17" s="53">
        <f t="shared" si="1"/>
        <v>26.442532476374026</v>
      </c>
      <c r="P17" s="44">
        <f t="shared" si="0"/>
        <v>12.536918999623358</v>
      </c>
      <c r="Q17" s="15"/>
    </row>
    <row r="18" spans="2:17" ht="15.75" thickTop="1" x14ac:dyDescent="0.25">
      <c r="B18" s="14"/>
      <c r="D18" s="79"/>
      <c r="F18" s="5" t="s">
        <v>3</v>
      </c>
      <c r="G18" s="6">
        <f>COUNT(C11:D11)</f>
        <v>2</v>
      </c>
      <c r="H18" s="61"/>
      <c r="I18" t="s">
        <v>24</v>
      </c>
      <c r="J18" s="58">
        <f>SQRT(G12)*SQRT(G19)</f>
        <v>3.2256246794038814</v>
      </c>
      <c r="K18" s="67" t="s">
        <v>100</v>
      </c>
      <c r="M18" s="69">
        <f t="shared" si="3"/>
        <v>4.0840704496667311</v>
      </c>
      <c r="N18" s="58"/>
      <c r="O18" s="53">
        <f t="shared" si="1"/>
        <v>27.14787099264819</v>
      </c>
      <c r="P18" s="44">
        <f t="shared" si="0"/>
        <v>12.797281624275348</v>
      </c>
      <c r="Q18" s="15"/>
    </row>
    <row r="19" spans="2:17" ht="15.75" thickBot="1" x14ac:dyDescent="0.3">
      <c r="B19" s="14" t="s">
        <v>105</v>
      </c>
      <c r="C19" t="s">
        <v>106</v>
      </c>
      <c r="D19" s="79"/>
      <c r="F19" s="36" t="s">
        <v>5</v>
      </c>
      <c r="G19" s="37">
        <v>2.25</v>
      </c>
      <c r="H19" s="61"/>
      <c r="I19" s="66" t="s">
        <v>25</v>
      </c>
      <c r="J19" s="65">
        <f>SQRT(G13)*SQRT(G19)</f>
        <v>1.0701497220579013</v>
      </c>
      <c r="K19" s="64" t="s">
        <v>101</v>
      </c>
      <c r="M19" s="69">
        <f t="shared" si="3"/>
        <v>4.3982297150257104</v>
      </c>
      <c r="N19" s="58"/>
      <c r="O19" s="53">
        <f t="shared" si="1"/>
        <v>27.945333773393319</v>
      </c>
      <c r="P19" s="44">
        <f t="shared" si="0"/>
        <v>13.239686440963101</v>
      </c>
      <c r="Q19" s="15"/>
    </row>
    <row r="20" spans="2:17" ht="16.5" thickTop="1" thickBot="1" x14ac:dyDescent="0.3">
      <c r="B20" s="81">
        <f>G12</f>
        <v>4.6242909210575078</v>
      </c>
      <c r="C20" s="79">
        <f>G13</f>
        <v>0.50898685672026822</v>
      </c>
      <c r="D20" s="79">
        <f>B20+C20</f>
        <v>5.1332777777777761</v>
      </c>
      <c r="F20" s="7" t="s">
        <v>6</v>
      </c>
      <c r="G20" s="30">
        <f>_xlfn.CHISQ.DIST(G19,G18,TRUE)</f>
        <v>0.67534753264165026</v>
      </c>
      <c r="M20" s="69">
        <f t="shared" si="3"/>
        <v>4.7123889803846897</v>
      </c>
      <c r="N20" s="58"/>
      <c r="O20" s="53">
        <f t="shared" si="1"/>
        <v>28.756859605380168</v>
      </c>
      <c r="P20" s="44">
        <f t="shared" si="0"/>
        <v>13.820827783813618</v>
      </c>
      <c r="Q20" s="15"/>
    </row>
    <row r="21" spans="2:17" x14ac:dyDescent="0.25">
      <c r="B21" s="14"/>
      <c r="M21" s="69">
        <f t="shared" si="3"/>
        <v>5.026548245743669</v>
      </c>
      <c r="N21" s="58"/>
      <c r="O21" s="53">
        <f t="shared" si="1"/>
        <v>29.503010685940918</v>
      </c>
      <c r="P21" s="44">
        <f t="shared" si="0"/>
        <v>14.48381948913886</v>
      </c>
      <c r="Q21" s="15"/>
    </row>
    <row r="22" spans="2:17" x14ac:dyDescent="0.25">
      <c r="B22" s="14"/>
      <c r="M22" s="69">
        <f t="shared" si="3"/>
        <v>5.3407075111026483</v>
      </c>
      <c r="N22" s="58"/>
      <c r="O22" s="53">
        <f t="shared" si="1"/>
        <v>30.110748548570012</v>
      </c>
      <c r="P22" s="44">
        <f t="shared" si="0"/>
        <v>15.163763309486761</v>
      </c>
      <c r="Q22" s="15"/>
    </row>
    <row r="23" spans="2:17" ht="15.75" thickBot="1" x14ac:dyDescent="0.3">
      <c r="B23" s="14"/>
      <c r="F23" t="s">
        <v>57</v>
      </c>
      <c r="M23" s="69">
        <f t="shared" si="3"/>
        <v>5.6548667764616276</v>
      </c>
      <c r="N23" s="58"/>
      <c r="O23" s="53">
        <f t="shared" si="1"/>
        <v>30.520583576914639</v>
      </c>
      <c r="P23" s="44">
        <f t="shared" si="0"/>
        <v>15.794101606274504</v>
      </c>
      <c r="Q23" s="15"/>
    </row>
    <row r="24" spans="2:17" ht="15.75" thickBot="1" x14ac:dyDescent="0.3">
      <c r="B24" s="14"/>
      <c r="F24" s="56">
        <f>AVERAGE(C5:C14)</f>
        <v>28.088999999999999</v>
      </c>
      <c r="G24" s="57">
        <f>AVERAGE(D5:D14)</f>
        <v>14.657</v>
      </c>
      <c r="M24" s="69">
        <f>M23+M$6</f>
        <v>5.9690260418206069</v>
      </c>
      <c r="N24" s="58"/>
      <c r="O24" s="53">
        <f t="shared" si="1"/>
        <v>30.69239826291188</v>
      </c>
      <c r="P24" s="44">
        <f t="shared" si="0"/>
        <v>16.313132475187345</v>
      </c>
      <c r="Q24" s="15"/>
    </row>
    <row r="25" spans="2:17" ht="15.75" thickBot="1" x14ac:dyDescent="0.3">
      <c r="B25" s="14"/>
      <c r="L25"/>
      <c r="M25" s="70">
        <f>M24+M$6</f>
        <v>6.2831853071795862</v>
      </c>
      <c r="N25" s="58"/>
      <c r="O25" s="54">
        <f t="shared" si="1"/>
        <v>30.609374187993012</v>
      </c>
      <c r="P25" s="55">
        <f t="shared" si="0"/>
        <v>16.670049558475387</v>
      </c>
      <c r="Q25" s="15"/>
    </row>
    <row r="26" spans="2:17" ht="16.5" thickTop="1" thickBot="1" x14ac:dyDescent="0.3">
      <c r="B26" s="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8"/>
    </row>
    <row r="27" spans="2:17" x14ac:dyDescent="0.25">
      <c r="L27"/>
    </row>
    <row r="28" spans="2:17" x14ac:dyDescent="0.25">
      <c r="L28"/>
    </row>
    <row r="29" spans="2:17" ht="15.75" thickBot="1" x14ac:dyDescent="0.3">
      <c r="B29" s="12" t="s">
        <v>95</v>
      </c>
      <c r="C29" s="77"/>
      <c r="D29" s="12"/>
      <c r="F29" s="12" t="s">
        <v>98</v>
      </c>
      <c r="G29" s="12"/>
      <c r="I29" s="12" t="s">
        <v>91</v>
      </c>
      <c r="J29" s="12"/>
      <c r="K29" s="12"/>
      <c r="L29"/>
    </row>
    <row r="30" spans="2:17" ht="15.75" thickBot="1" x14ac:dyDescent="0.3">
      <c r="B30" s="5" t="s">
        <v>96</v>
      </c>
      <c r="C30" s="32">
        <f>G5</f>
        <v>2.0067522222222216</v>
      </c>
      <c r="D30" s="76">
        <f>C30/C31</f>
        <v>0.79443363497944253</v>
      </c>
      <c r="F30" s="78" t="s">
        <v>99</v>
      </c>
      <c r="G30" s="6"/>
      <c r="I30" s="18" t="s">
        <v>85</v>
      </c>
      <c r="L30"/>
    </row>
    <row r="31" spans="2:17" ht="15.75" thickBot="1" x14ac:dyDescent="0.3">
      <c r="B31" s="7" t="s">
        <v>97</v>
      </c>
      <c r="C31" s="16">
        <f>SQRT(F5)*SQRT(G6)</f>
        <v>2.5260161879653422</v>
      </c>
      <c r="D31" s="8"/>
      <c r="F31" s="7">
        <f>ACOS(D30)</f>
        <v>0.65272183371031023</v>
      </c>
      <c r="G31" s="8"/>
      <c r="I31" s="5" t="s">
        <v>86</v>
      </c>
      <c r="J31" s="48" t="s">
        <v>84</v>
      </c>
      <c r="K31" s="6">
        <f>I$12</f>
        <v>0.78136002743468491</v>
      </c>
      <c r="L31"/>
    </row>
    <row r="32" spans="2:17" x14ac:dyDescent="0.25">
      <c r="I32" s="14" t="s">
        <v>70</v>
      </c>
      <c r="J32" t="s">
        <v>79</v>
      </c>
      <c r="K32" s="44">
        <f>J$18</f>
        <v>3.2256246794038814</v>
      </c>
      <c r="L32"/>
    </row>
    <row r="33" spans="2:12" ht="15.75" thickBot="1" x14ac:dyDescent="0.3">
      <c r="B33" s="12" t="s">
        <v>115</v>
      </c>
      <c r="C33" s="12"/>
      <c r="D33" s="12"/>
      <c r="I33" s="7" t="s">
        <v>71</v>
      </c>
      <c r="J33" s="46" t="s">
        <v>77</v>
      </c>
      <c r="K33" s="47" t="s">
        <v>81</v>
      </c>
      <c r="L33"/>
    </row>
    <row r="34" spans="2:12" x14ac:dyDescent="0.25">
      <c r="B34" s="5">
        <f t="array" ref="B34:C35">[1]!CORR(C5:D14)</f>
        <v>0.99999999999990719</v>
      </c>
      <c r="C34" s="6">
        <v>0.79443363497939778</v>
      </c>
      <c r="I34" s="5" t="s">
        <v>87</v>
      </c>
      <c r="J34" s="48" t="s">
        <v>88</v>
      </c>
      <c r="K34" s="6">
        <f>J$12</f>
        <v>-0.62408052968128114</v>
      </c>
      <c r="L34"/>
    </row>
    <row r="35" spans="2:12" ht="15.75" thickBot="1" x14ac:dyDescent="0.3">
      <c r="B35" s="7">
        <v>0.79443363497939778</v>
      </c>
      <c r="C35" s="8">
        <v>0.99999999999997979</v>
      </c>
      <c r="I35" s="14" t="s">
        <v>73</v>
      </c>
      <c r="J35" t="s">
        <v>78</v>
      </c>
      <c r="K35" s="44">
        <f>J$19</f>
        <v>1.0701497220579013</v>
      </c>
      <c r="L35"/>
    </row>
    <row r="36" spans="2:12" ht="15.75" thickBot="1" x14ac:dyDescent="0.3">
      <c r="I36" s="7" t="s">
        <v>74</v>
      </c>
      <c r="J36" s="16" t="s">
        <v>80</v>
      </c>
      <c r="K36" s="47" t="s">
        <v>82</v>
      </c>
      <c r="L36"/>
    </row>
    <row r="37" spans="2:12" ht="15.75" thickBot="1" x14ac:dyDescent="0.3">
      <c r="C37" t="s">
        <v>63</v>
      </c>
      <c r="I37" s="3" t="s">
        <v>89</v>
      </c>
      <c r="J37" s="17" t="s">
        <v>90</v>
      </c>
      <c r="K37" s="4">
        <f>G$24</f>
        <v>14.657</v>
      </c>
      <c r="L37"/>
    </row>
    <row r="38" spans="2:12" x14ac:dyDescent="0.25">
      <c r="C38" s="2" t="s">
        <v>64</v>
      </c>
      <c r="L38"/>
    </row>
    <row r="39" spans="2:12" x14ac:dyDescent="0.25">
      <c r="I39" s="18"/>
      <c r="L39"/>
    </row>
    <row r="40" spans="2:12" ht="15.75" thickBot="1" x14ac:dyDescent="0.3">
      <c r="I40" s="18" t="s">
        <v>68</v>
      </c>
    </row>
    <row r="41" spans="2:12" x14ac:dyDescent="0.25">
      <c r="I41" s="5" t="s">
        <v>69</v>
      </c>
      <c r="J41" s="43" t="s">
        <v>76</v>
      </c>
      <c r="K41" s="6">
        <f>I$13</f>
        <v>0.62408052968128114</v>
      </c>
    </row>
    <row r="42" spans="2:12" x14ac:dyDescent="0.25">
      <c r="I42" s="14" t="s">
        <v>70</v>
      </c>
      <c r="J42" t="s">
        <v>79</v>
      </c>
      <c r="K42" s="44">
        <f>J$18</f>
        <v>3.2256246794038814</v>
      </c>
    </row>
    <row r="43" spans="2:12" ht="15.75" thickBot="1" x14ac:dyDescent="0.3">
      <c r="I43" s="7" t="s">
        <v>71</v>
      </c>
      <c r="J43" s="46" t="s">
        <v>77</v>
      </c>
      <c r="K43" s="47" t="s">
        <v>81</v>
      </c>
    </row>
    <row r="44" spans="2:12" x14ac:dyDescent="0.25">
      <c r="I44" s="5" t="s">
        <v>72</v>
      </c>
      <c r="J44" s="45" t="s">
        <v>84</v>
      </c>
      <c r="K44" s="6">
        <f>J$13</f>
        <v>0.78136002743468491</v>
      </c>
    </row>
    <row r="45" spans="2:12" x14ac:dyDescent="0.25">
      <c r="I45" s="14" t="s">
        <v>73</v>
      </c>
      <c r="J45" t="s">
        <v>78</v>
      </c>
      <c r="K45" s="44">
        <f>J$19</f>
        <v>1.0701497220579013</v>
      </c>
    </row>
    <row r="46" spans="2:12" ht="15.75" thickBot="1" x14ac:dyDescent="0.3">
      <c r="I46" s="7" t="s">
        <v>74</v>
      </c>
      <c r="J46" s="16" t="s">
        <v>80</v>
      </c>
      <c r="K46" s="47" t="s">
        <v>82</v>
      </c>
    </row>
    <row r="47" spans="2:12" ht="15.75" thickBot="1" x14ac:dyDescent="0.3">
      <c r="I47" s="3" t="s">
        <v>75</v>
      </c>
      <c r="J47" s="17" t="s">
        <v>83</v>
      </c>
      <c r="K47" s="4">
        <f>G$24</f>
        <v>14.657</v>
      </c>
    </row>
  </sheetData>
  <hyperlinks>
    <hyperlink ref="C38" r:id="rId1" xr:uid="{79EE70AD-2EB7-4265-ABD7-F75D3CD504DA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E32C-C2F1-433C-9069-E9FDA159EA13}">
  <dimension ref="B1:Q47"/>
  <sheetViews>
    <sheetView tabSelected="1" topLeftCell="I1" zoomScale="115" zoomScaleNormal="115" workbookViewId="0">
      <selection activeCell="V22" sqref="V22"/>
    </sheetView>
  </sheetViews>
  <sheetFormatPr defaultRowHeight="15" x14ac:dyDescent="0.25"/>
  <cols>
    <col min="1" max="1" width="6.28515625" customWidth="1"/>
    <col min="2" max="2" width="7.28515625" customWidth="1"/>
    <col min="3" max="3" width="29.42578125" customWidth="1"/>
    <col min="4" max="4" width="27.140625" customWidth="1"/>
    <col min="5" max="5" width="14.140625" customWidth="1"/>
    <col min="6" max="6" width="15.140625" customWidth="1"/>
    <col min="7" max="7" width="14.28515625" customWidth="1"/>
    <col min="8" max="8" width="14.85546875" customWidth="1"/>
    <col min="9" max="9" width="19.5703125" customWidth="1"/>
    <col min="10" max="10" width="21.42578125" customWidth="1"/>
    <col min="11" max="11" width="27.7109375" customWidth="1"/>
    <col min="12" max="12" width="10.7109375" style="38" customWidth="1"/>
    <col min="13" max="13" width="10.5703125" bestFit="1" customWidth="1"/>
    <col min="14" max="14" width="10.5703125" customWidth="1"/>
  </cols>
  <sheetData>
    <row r="1" spans="2:17" ht="15.75" thickBot="1" x14ac:dyDescent="0.3"/>
    <row r="2" spans="2:17" x14ac:dyDescent="0.25">
      <c r="B2" s="5"/>
      <c r="C2" s="13"/>
      <c r="D2" s="13"/>
      <c r="E2" s="13"/>
      <c r="F2" s="13"/>
      <c r="G2" s="13"/>
      <c r="H2" s="13"/>
      <c r="I2" s="13"/>
      <c r="J2" s="13"/>
      <c r="K2" s="13"/>
      <c r="L2" s="41"/>
      <c r="M2" s="13" t="s">
        <v>67</v>
      </c>
      <c r="N2" s="13"/>
      <c r="O2" s="13"/>
      <c r="P2" s="13"/>
      <c r="Q2" s="6"/>
    </row>
    <row r="3" spans="2:17" x14ac:dyDescent="0.25">
      <c r="B3" s="14"/>
      <c r="C3" s="12" t="s">
        <v>51</v>
      </c>
      <c r="D3" s="12"/>
      <c r="F3" s="12" t="s">
        <v>48</v>
      </c>
      <c r="Q3" s="15"/>
    </row>
    <row r="4" spans="2:17" ht="15.75" thickBot="1" x14ac:dyDescent="0.3">
      <c r="B4" s="14"/>
      <c r="C4" t="s">
        <v>92</v>
      </c>
      <c r="D4" t="s">
        <v>93</v>
      </c>
      <c r="F4" s="71" t="s">
        <v>0</v>
      </c>
      <c r="G4" s="72"/>
      <c r="M4" s="66"/>
      <c r="O4" t="s">
        <v>0</v>
      </c>
      <c r="P4" t="s">
        <v>1</v>
      </c>
      <c r="Q4" s="15"/>
    </row>
    <row r="5" spans="2:17" ht="15.75" thickTop="1" x14ac:dyDescent="0.25">
      <c r="B5" s="14">
        <v>1</v>
      </c>
      <c r="C5">
        <v>1.25</v>
      </c>
      <c r="D5">
        <v>-0.9</v>
      </c>
      <c r="F5" s="49" cm="1">
        <f t="array" ref="F5:G6">[1]!COV(C5:D24)</f>
        <v>2.9079397368421054</v>
      </c>
      <c r="G5" s="31">
        <v>0.70518894736842108</v>
      </c>
      <c r="M5" s="68">
        <v>0</v>
      </c>
      <c r="N5" s="58"/>
      <c r="O5" s="51">
        <f>(I$12*J$18*COS(M5)+J$12*J$19*SIN(M5))+F$24</f>
        <v>3.5103156329233531</v>
      </c>
      <c r="P5" s="52">
        <f t="shared" ref="P5:P25" si="0">(I$13*J$18*COS(M5)+J$13*J$19*SIN(M5))+G$24</f>
        <v>3.4838250396103621</v>
      </c>
      <c r="Q5" s="15"/>
    </row>
    <row r="6" spans="2:17" ht="15.75" thickBot="1" x14ac:dyDescent="0.3">
      <c r="B6" s="14">
        <v>2</v>
      </c>
      <c r="C6">
        <v>-0.9</v>
      </c>
      <c r="D6">
        <v>0.54</v>
      </c>
      <c r="F6" s="35">
        <v>0.70518894736842108</v>
      </c>
      <c r="G6" s="50">
        <v>2.8985063157894735</v>
      </c>
      <c r="M6" s="69">
        <f>PI()/10</f>
        <v>0.31415926535897931</v>
      </c>
      <c r="N6" s="58"/>
      <c r="O6" s="53">
        <f t="shared" ref="O6:O25" si="1">(I$12*J$18*COS(M6)+J$12*J$19*SIN(M6))+F$24</f>
        <v>2.5585595917971657</v>
      </c>
      <c r="P6" s="44">
        <f t="shared" si="0"/>
        <v>4.1190499820688764</v>
      </c>
      <c r="Q6" s="15"/>
    </row>
    <row r="7" spans="2:17" ht="15.75" thickBot="1" x14ac:dyDescent="0.3">
      <c r="B7" s="14">
        <v>3</v>
      </c>
      <c r="C7">
        <v>0.54</v>
      </c>
      <c r="D7">
        <v>0.01</v>
      </c>
      <c r="G7" s="71" t="s">
        <v>1</v>
      </c>
      <c r="I7" s="12" t="s">
        <v>52</v>
      </c>
      <c r="J7" s="12"/>
      <c r="K7" s="12"/>
      <c r="M7" s="69">
        <f t="shared" ref="M7:M12" si="2">M6+M$6</f>
        <v>0.62831853071795862</v>
      </c>
      <c r="N7" s="58"/>
      <c r="O7" s="53">
        <f t="shared" si="1"/>
        <v>1.3770570049001227</v>
      </c>
      <c r="P7" s="44">
        <f t="shared" si="0"/>
        <v>4.3713362154275268</v>
      </c>
      <c r="Q7" s="15"/>
    </row>
    <row r="8" spans="2:17" ht="15.75" thickBot="1" x14ac:dyDescent="0.3">
      <c r="B8" s="14">
        <v>4</v>
      </c>
      <c r="C8">
        <v>0.01</v>
      </c>
      <c r="D8">
        <v>-2.69</v>
      </c>
      <c r="I8" s="3" t="s">
        <v>30</v>
      </c>
      <c r="J8" s="17">
        <f>ATAN2(G5,G12-F5)</f>
        <v>0.78205392480114666</v>
      </c>
      <c r="K8" s="39" t="s">
        <v>29</v>
      </c>
      <c r="M8" s="69">
        <f t="shared" si="2"/>
        <v>0.94247779607693793</v>
      </c>
      <c r="N8" s="58"/>
      <c r="O8" s="53">
        <f t="shared" si="1"/>
        <v>8.1461577450281542E-2</v>
      </c>
      <c r="P8" s="44">
        <f t="shared" si="0"/>
        <v>4.215988205383618</v>
      </c>
      <c r="Q8" s="15"/>
    </row>
    <row r="9" spans="2:17" x14ac:dyDescent="0.25">
      <c r="B9" s="14">
        <v>5</v>
      </c>
      <c r="C9">
        <v>-2.69</v>
      </c>
      <c r="D9">
        <v>0.33</v>
      </c>
      <c r="F9" s="12" t="s">
        <v>47</v>
      </c>
      <c r="K9" s="18"/>
      <c r="M9" s="69">
        <f t="shared" si="2"/>
        <v>1.2566370614359172</v>
      </c>
      <c r="N9" s="58"/>
      <c r="O9" s="53">
        <f t="shared" si="1"/>
        <v>-1.201404783169427</v>
      </c>
      <c r="P9" s="44">
        <f t="shared" si="0"/>
        <v>3.6682124975334793</v>
      </c>
      <c r="Q9" s="15"/>
    </row>
    <row r="10" spans="2:17" x14ac:dyDescent="0.25">
      <c r="B10" s="14">
        <v>6</v>
      </c>
      <c r="C10">
        <v>0.33</v>
      </c>
      <c r="D10">
        <v>1.22</v>
      </c>
      <c r="F10" t="s">
        <v>20</v>
      </c>
      <c r="G10" s="34" cm="1">
        <f t="array" ref="G10">[1]!TRACE(_xlfn.ANCHORARRAY(F5))</f>
        <v>5.8064460526315784</v>
      </c>
      <c r="K10" s="18"/>
      <c r="M10" s="69">
        <f t="shared" si="2"/>
        <v>1.5707963267948966</v>
      </c>
      <c r="N10" s="58"/>
      <c r="O10" s="53">
        <f t="shared" si="1"/>
        <v>-2.3459661793260311</v>
      </c>
      <c r="P10" s="44">
        <f t="shared" si="0"/>
        <v>2.78162919473926</v>
      </c>
      <c r="Q10" s="15"/>
    </row>
    <row r="11" spans="2:17" ht="15.75" thickBot="1" x14ac:dyDescent="0.3">
      <c r="B11" s="14">
        <v>7</v>
      </c>
      <c r="C11">
        <v>1.22</v>
      </c>
      <c r="D11">
        <v>1.71</v>
      </c>
      <c r="F11" t="s">
        <v>21</v>
      </c>
      <c r="G11" s="34" cm="1">
        <f t="array" ref="G11">[1]!DET(_xlfn.ANCHORARRAY(F5))</f>
        <v>7.9313902416814406</v>
      </c>
      <c r="I11" s="59" t="s">
        <v>32</v>
      </c>
      <c r="J11" s="59"/>
      <c r="M11" s="69">
        <f t="shared" si="2"/>
        <v>1.8849555921538759</v>
      </c>
      <c r="N11" s="58"/>
      <c r="O11" s="53">
        <f t="shared" si="1"/>
        <v>-3.2401849669355558</v>
      </c>
      <c r="P11" s="44">
        <f t="shared" si="0"/>
        <v>1.6430232478675555</v>
      </c>
      <c r="Q11" s="15"/>
    </row>
    <row r="12" spans="2:17" ht="16.5" thickTop="1" thickBot="1" x14ac:dyDescent="0.3">
      <c r="B12" s="14">
        <v>8</v>
      </c>
      <c r="C12">
        <v>1.71</v>
      </c>
      <c r="D12">
        <v>0.75</v>
      </c>
      <c r="F12" s="3" t="s">
        <v>111</v>
      </c>
      <c r="G12" s="33">
        <f>(G10+SQRT(G10^2-4*G11))/2</f>
        <v>3.608427747548403</v>
      </c>
      <c r="H12" s="61"/>
      <c r="I12">
        <f>COS(J8)</f>
        <v>0.7094675564547448</v>
      </c>
      <c r="J12" s="60">
        <f>-SIN(J8)</f>
        <v>-0.70473809769171236</v>
      </c>
      <c r="M12" s="69">
        <f t="shared" si="2"/>
        <v>2.1991148575128552</v>
      </c>
      <c r="N12" s="58"/>
      <c r="O12" s="53">
        <f t="shared" si="1"/>
        <v>-3.7965287806781332</v>
      </c>
      <c r="P12" s="44">
        <f t="shared" si="0"/>
        <v>0.36384934013227788</v>
      </c>
      <c r="Q12" s="15"/>
    </row>
    <row r="13" spans="2:17" ht="15.75" thickBot="1" x14ac:dyDescent="0.3">
      <c r="B13" s="14">
        <v>9</v>
      </c>
      <c r="C13">
        <v>0.75</v>
      </c>
      <c r="D13">
        <v>0.22</v>
      </c>
      <c r="F13" s="3" t="s">
        <v>22</v>
      </c>
      <c r="G13" s="33">
        <f>G10-G12</f>
        <v>2.1980183050831754</v>
      </c>
      <c r="H13" s="61"/>
      <c r="I13" s="83">
        <f>SIN(J8)</f>
        <v>0.70473809769171236</v>
      </c>
      <c r="J13" s="84">
        <f>COS(J8)</f>
        <v>0.7094675564547448</v>
      </c>
      <c r="M13" s="69">
        <f t="shared" ref="M13:M23" si="3">M12+M$6</f>
        <v>2.5132741228718345</v>
      </c>
      <c r="N13" s="58"/>
      <c r="O13" s="53">
        <f t="shared" si="1"/>
        <v>-3.9605388117893598</v>
      </c>
      <c r="P13" s="44">
        <f t="shared" si="0"/>
        <v>-0.93067807384876</v>
      </c>
      <c r="Q13" s="15"/>
    </row>
    <row r="14" spans="2:17" x14ac:dyDescent="0.25">
      <c r="B14" s="14">
        <v>10</v>
      </c>
      <c r="C14">
        <v>0.22</v>
      </c>
      <c r="D14">
        <v>-1.1000000000000001</v>
      </c>
      <c r="F14" t="s">
        <v>112</v>
      </c>
      <c r="I14" s="85" t="s">
        <v>42</v>
      </c>
      <c r="J14" s="86" t="s">
        <v>43</v>
      </c>
      <c r="M14" s="69">
        <f t="shared" si="3"/>
        <v>2.8274333882308138</v>
      </c>
      <c r="N14" s="58"/>
      <c r="O14" s="53">
        <f t="shared" si="1"/>
        <v>-3.7161606156989868</v>
      </c>
      <c r="P14" s="44">
        <f t="shared" si="0"/>
        <v>-2.1138416312922419</v>
      </c>
      <c r="Q14" s="15"/>
    </row>
    <row r="15" spans="2:17" ht="15.75" thickBot="1" x14ac:dyDescent="0.3">
      <c r="B15" s="14">
        <v>11</v>
      </c>
      <c r="C15">
        <v>-1.1000000000000001</v>
      </c>
      <c r="D15">
        <v>1.25</v>
      </c>
      <c r="I15" s="87" t="s">
        <v>44</v>
      </c>
      <c r="J15" s="88" t="s">
        <v>42</v>
      </c>
      <c r="M15" s="69">
        <f t="shared" si="3"/>
        <v>3.1415926535897931</v>
      </c>
      <c r="N15" s="58"/>
      <c r="O15" s="53">
        <f t="shared" si="1"/>
        <v>-3.0873156329233535</v>
      </c>
      <c r="P15" s="44">
        <f t="shared" si="0"/>
        <v>-3.0698250396103619</v>
      </c>
      <c r="Q15" s="15"/>
    </row>
    <row r="16" spans="2:17" x14ac:dyDescent="0.25">
      <c r="B16" s="14">
        <v>12</v>
      </c>
      <c r="C16">
        <v>1.25</v>
      </c>
      <c r="D16">
        <v>-1.37</v>
      </c>
      <c r="M16" s="69">
        <f t="shared" si="3"/>
        <v>3.4557519189487724</v>
      </c>
      <c r="N16" s="58"/>
      <c r="O16" s="53">
        <f t="shared" si="1"/>
        <v>-2.1355595917971666</v>
      </c>
      <c r="P16" s="44">
        <f t="shared" si="0"/>
        <v>-3.7050499820688767</v>
      </c>
      <c r="Q16" s="15"/>
    </row>
    <row r="17" spans="2:17" ht="15.75" thickBot="1" x14ac:dyDescent="0.3">
      <c r="B17" s="14">
        <v>13</v>
      </c>
      <c r="C17">
        <v>-1.37</v>
      </c>
      <c r="D17">
        <v>-0.75</v>
      </c>
      <c r="F17" s="12" t="s">
        <v>94</v>
      </c>
      <c r="G17" s="12"/>
      <c r="I17" s="59" t="s">
        <v>33</v>
      </c>
      <c r="J17" s="59"/>
      <c r="K17" s="59"/>
      <c r="M17" s="69">
        <f t="shared" si="3"/>
        <v>3.7699111843077517</v>
      </c>
      <c r="N17" s="58"/>
      <c r="O17" s="53">
        <f t="shared" si="1"/>
        <v>-0.95405700490012291</v>
      </c>
      <c r="P17" s="44">
        <f t="shared" si="0"/>
        <v>-3.9573362154275262</v>
      </c>
      <c r="Q17" s="15"/>
    </row>
    <row r="18" spans="2:17" ht="15.75" thickTop="1" x14ac:dyDescent="0.25">
      <c r="B18" s="14">
        <v>14</v>
      </c>
      <c r="C18">
        <v>-0.75</v>
      </c>
      <c r="D18">
        <v>-3.14</v>
      </c>
      <c r="F18" s="5" t="s">
        <v>3</v>
      </c>
      <c r="G18" s="6">
        <f>COUNT(C5:D5)</f>
        <v>2</v>
      </c>
      <c r="H18" s="61"/>
      <c r="I18" t="s">
        <v>113</v>
      </c>
      <c r="J18" s="58">
        <f>SQRT(G12)*SQRT(G19)</f>
        <v>4.6497061111684204</v>
      </c>
      <c r="K18" s="67" t="s">
        <v>23</v>
      </c>
      <c r="M18" s="69">
        <f t="shared" si="3"/>
        <v>4.0840704496667311</v>
      </c>
      <c r="N18" s="58"/>
      <c r="O18" s="53">
        <f t="shared" si="1"/>
        <v>0.34153842254971795</v>
      </c>
      <c r="P18" s="44">
        <f t="shared" si="0"/>
        <v>-3.8019882053836183</v>
      </c>
      <c r="Q18" s="15"/>
    </row>
    <row r="19" spans="2:17" ht="15.75" thickBot="1" x14ac:dyDescent="0.3">
      <c r="B19" s="14">
        <v>15</v>
      </c>
      <c r="C19">
        <v>-3.14</v>
      </c>
      <c r="D19">
        <v>-1.02</v>
      </c>
      <c r="F19" s="36" t="s">
        <v>4</v>
      </c>
      <c r="G19" s="37">
        <f>_xlfn.CHISQ.INV(G20,G18)</f>
        <v>5.9914645471079799</v>
      </c>
      <c r="H19" s="61"/>
      <c r="I19" s="66" t="s">
        <v>114</v>
      </c>
      <c r="J19" s="65">
        <f>SQRT(G13)*SQRT(G19)</f>
        <v>3.6289597336978292</v>
      </c>
      <c r="K19" s="64" t="s">
        <v>26</v>
      </c>
      <c r="M19" s="69">
        <f t="shared" si="3"/>
        <v>4.3982297150257104</v>
      </c>
      <c r="N19" s="58"/>
      <c r="O19" s="53">
        <f t="shared" si="1"/>
        <v>1.6244047831694266</v>
      </c>
      <c r="P19" s="44">
        <f t="shared" si="0"/>
        <v>-3.2542124975334801</v>
      </c>
      <c r="Q19" s="15"/>
    </row>
    <row r="20" spans="2:17" ht="16.5" thickTop="1" thickBot="1" x14ac:dyDescent="0.3">
      <c r="B20" s="14">
        <v>16</v>
      </c>
      <c r="C20">
        <v>-1.02</v>
      </c>
      <c r="D20">
        <v>4.12</v>
      </c>
      <c r="F20" s="7" t="s">
        <v>6</v>
      </c>
      <c r="G20" s="30">
        <v>0.95</v>
      </c>
      <c r="M20" s="69">
        <f t="shared" si="3"/>
        <v>4.7123889803846897</v>
      </c>
      <c r="N20" s="58"/>
      <c r="O20" s="53">
        <f t="shared" si="1"/>
        <v>2.7689661793260307</v>
      </c>
      <c r="P20" s="44">
        <f t="shared" si="0"/>
        <v>-2.3676291947392607</v>
      </c>
      <c r="Q20" s="15"/>
    </row>
    <row r="21" spans="2:17" x14ac:dyDescent="0.25">
      <c r="B21" s="14">
        <v>17</v>
      </c>
      <c r="C21">
        <v>4.12</v>
      </c>
      <c r="D21">
        <v>2.72</v>
      </c>
      <c r="M21" s="69">
        <f t="shared" si="3"/>
        <v>5.026548245743669</v>
      </c>
      <c r="N21" s="58"/>
      <c r="O21" s="53">
        <f t="shared" si="1"/>
        <v>3.6631849669355558</v>
      </c>
      <c r="P21" s="44">
        <f t="shared" si="0"/>
        <v>-1.2290232478675556</v>
      </c>
      <c r="Q21" s="15"/>
    </row>
    <row r="22" spans="2:17" x14ac:dyDescent="0.25">
      <c r="B22" s="14">
        <v>18</v>
      </c>
      <c r="C22">
        <v>2.72</v>
      </c>
      <c r="D22">
        <v>0.69</v>
      </c>
      <c r="M22" s="69">
        <f t="shared" si="3"/>
        <v>5.3407075111026483</v>
      </c>
      <c r="N22" s="58"/>
      <c r="O22" s="53">
        <f t="shared" si="1"/>
        <v>4.2195287806781332</v>
      </c>
      <c r="P22" s="44">
        <f t="shared" si="0"/>
        <v>5.0150659867721631E-2</v>
      </c>
      <c r="Q22" s="15"/>
    </row>
    <row r="23" spans="2:17" ht="15.75" thickBot="1" x14ac:dyDescent="0.3">
      <c r="B23" s="14">
        <v>19</v>
      </c>
      <c r="C23">
        <v>0.69</v>
      </c>
      <c r="D23">
        <v>0.39</v>
      </c>
      <c r="F23" t="s">
        <v>57</v>
      </c>
      <c r="M23" s="69">
        <f t="shared" si="3"/>
        <v>5.6548667764616276</v>
      </c>
      <c r="N23" s="58"/>
      <c r="O23" s="53">
        <f t="shared" si="1"/>
        <v>4.3835388117893599</v>
      </c>
      <c r="P23" s="44">
        <f t="shared" si="0"/>
        <v>1.3446780738487596</v>
      </c>
      <c r="Q23" s="15"/>
    </row>
    <row r="24" spans="2:17" ht="15.75" thickBot="1" x14ac:dyDescent="0.3">
      <c r="B24" s="14">
        <v>20</v>
      </c>
      <c r="C24">
        <v>0.39</v>
      </c>
      <c r="D24">
        <v>1.1599999999999999</v>
      </c>
      <c r="F24" s="56">
        <f>AVERAGE(C5:C24)</f>
        <v>0.21149999999999997</v>
      </c>
      <c r="G24" s="57">
        <f>AVERAGE(D5:D24)</f>
        <v>0.20699999999999999</v>
      </c>
      <c r="M24" s="69">
        <f>M23+M$6</f>
        <v>5.9690260418206069</v>
      </c>
      <c r="N24" s="58"/>
      <c r="O24" s="53">
        <f t="shared" si="1"/>
        <v>4.1391606156989864</v>
      </c>
      <c r="P24" s="44">
        <f t="shared" si="0"/>
        <v>2.5278416312922412</v>
      </c>
      <c r="Q24" s="15"/>
    </row>
    <row r="25" spans="2:17" ht="15.75" thickBot="1" x14ac:dyDescent="0.3">
      <c r="B25" s="14"/>
      <c r="L25"/>
      <c r="M25" s="70">
        <f>M24+M$6</f>
        <v>6.2831853071795862</v>
      </c>
      <c r="N25" s="58"/>
      <c r="O25" s="54">
        <f t="shared" si="1"/>
        <v>3.5103156329233536</v>
      </c>
      <c r="P25" s="55">
        <f t="shared" si="0"/>
        <v>3.4838250396103616</v>
      </c>
      <c r="Q25" s="15"/>
    </row>
    <row r="26" spans="2:17" ht="16.5" thickTop="1" thickBot="1" x14ac:dyDescent="0.3">
      <c r="B26" s="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8"/>
    </row>
    <row r="27" spans="2:17" x14ac:dyDescent="0.25">
      <c r="L27"/>
    </row>
    <row r="28" spans="2:17" x14ac:dyDescent="0.25">
      <c r="B28" t="s">
        <v>63</v>
      </c>
      <c r="L28"/>
    </row>
    <row r="29" spans="2:17" x14ac:dyDescent="0.25">
      <c r="B29" s="2" t="s">
        <v>64</v>
      </c>
      <c r="I29" s="12" t="s">
        <v>91</v>
      </c>
      <c r="J29" s="12"/>
      <c r="K29" s="12"/>
      <c r="L29"/>
    </row>
    <row r="30" spans="2:17" ht="15.75" thickBot="1" x14ac:dyDescent="0.3">
      <c r="I30" s="18" t="s">
        <v>85</v>
      </c>
      <c r="L30"/>
    </row>
    <row r="31" spans="2:17" x14ac:dyDescent="0.25">
      <c r="I31" s="5" t="s">
        <v>86</v>
      </c>
      <c r="J31" s="48" t="s">
        <v>84</v>
      </c>
      <c r="K31" s="6">
        <f>I$12</f>
        <v>0.7094675564547448</v>
      </c>
      <c r="L31"/>
    </row>
    <row r="32" spans="2:17" x14ac:dyDescent="0.25">
      <c r="I32" s="14" t="s">
        <v>70</v>
      </c>
      <c r="J32" t="s">
        <v>79</v>
      </c>
      <c r="K32" s="44">
        <f>J$18</f>
        <v>4.6497061111684204</v>
      </c>
      <c r="L32"/>
    </row>
    <row r="33" spans="9:12" ht="15.75" thickBot="1" x14ac:dyDescent="0.3">
      <c r="I33" s="7" t="s">
        <v>71</v>
      </c>
      <c r="J33" s="46" t="s">
        <v>77</v>
      </c>
      <c r="K33" s="47" t="s">
        <v>81</v>
      </c>
      <c r="L33"/>
    </row>
    <row r="34" spans="9:12" x14ac:dyDescent="0.25">
      <c r="I34" s="5" t="s">
        <v>87</v>
      </c>
      <c r="J34" s="48" t="s">
        <v>88</v>
      </c>
      <c r="K34" s="6">
        <f>J$12</f>
        <v>-0.70473809769171236</v>
      </c>
      <c r="L34"/>
    </row>
    <row r="35" spans="9:12" x14ac:dyDescent="0.25">
      <c r="I35" s="14" t="s">
        <v>73</v>
      </c>
      <c r="J35" t="s">
        <v>78</v>
      </c>
      <c r="K35" s="44">
        <f>J$19</f>
        <v>3.6289597336978292</v>
      </c>
      <c r="L35"/>
    </row>
    <row r="36" spans="9:12" ht="15.75" thickBot="1" x14ac:dyDescent="0.3">
      <c r="I36" s="7" t="s">
        <v>74</v>
      </c>
      <c r="J36" s="16" t="s">
        <v>80</v>
      </c>
      <c r="K36" s="47" t="s">
        <v>82</v>
      </c>
      <c r="L36"/>
    </row>
    <row r="37" spans="9:12" ht="15.75" thickBot="1" x14ac:dyDescent="0.3">
      <c r="I37" s="3" t="s">
        <v>89</v>
      </c>
      <c r="J37" s="17" t="s">
        <v>90</v>
      </c>
      <c r="K37" s="4">
        <f>G$24</f>
        <v>0.20699999999999999</v>
      </c>
      <c r="L37"/>
    </row>
    <row r="38" spans="9:12" x14ac:dyDescent="0.25">
      <c r="L38"/>
    </row>
    <row r="39" spans="9:12" x14ac:dyDescent="0.25">
      <c r="I39" s="18"/>
      <c r="L39"/>
    </row>
    <row r="40" spans="9:12" ht="15.75" thickBot="1" x14ac:dyDescent="0.3">
      <c r="I40" s="18" t="s">
        <v>68</v>
      </c>
    </row>
    <row r="41" spans="9:12" x14ac:dyDescent="0.25">
      <c r="I41" s="5" t="s">
        <v>69</v>
      </c>
      <c r="J41" s="43" t="s">
        <v>76</v>
      </c>
      <c r="K41" s="6">
        <f>I$13</f>
        <v>0.70473809769171236</v>
      </c>
    </row>
    <row r="42" spans="9:12" x14ac:dyDescent="0.25">
      <c r="I42" s="14" t="s">
        <v>70</v>
      </c>
      <c r="J42" t="s">
        <v>79</v>
      </c>
      <c r="K42" s="44">
        <f>J$18</f>
        <v>4.6497061111684204</v>
      </c>
    </row>
    <row r="43" spans="9:12" ht="15.75" thickBot="1" x14ac:dyDescent="0.3">
      <c r="I43" s="7" t="s">
        <v>71</v>
      </c>
      <c r="J43" s="46" t="s">
        <v>77</v>
      </c>
      <c r="K43" s="47" t="s">
        <v>81</v>
      </c>
    </row>
    <row r="44" spans="9:12" x14ac:dyDescent="0.25">
      <c r="I44" s="5" t="s">
        <v>72</v>
      </c>
      <c r="J44" s="45" t="s">
        <v>84</v>
      </c>
      <c r="K44" s="6">
        <f>J$13</f>
        <v>0.7094675564547448</v>
      </c>
    </row>
    <row r="45" spans="9:12" x14ac:dyDescent="0.25">
      <c r="I45" s="14" t="s">
        <v>73</v>
      </c>
      <c r="J45" t="s">
        <v>78</v>
      </c>
      <c r="K45" s="44">
        <f>J$19</f>
        <v>3.6289597336978292</v>
      </c>
    </row>
    <row r="46" spans="9:12" ht="15.75" thickBot="1" x14ac:dyDescent="0.3">
      <c r="I46" s="7" t="s">
        <v>74</v>
      </c>
      <c r="J46" s="16" t="s">
        <v>80</v>
      </c>
      <c r="K46" s="47" t="s">
        <v>82</v>
      </c>
    </row>
    <row r="47" spans="9:12" ht="15.75" thickBot="1" x14ac:dyDescent="0.3">
      <c r="I47" s="3" t="s">
        <v>75</v>
      </c>
      <c r="J47" s="17" t="s">
        <v>83</v>
      </c>
      <c r="K47" s="4">
        <f>G$24</f>
        <v>0.20699999999999999</v>
      </c>
    </row>
  </sheetData>
  <hyperlinks>
    <hyperlink ref="B29" r:id="rId1" xr:uid="{025AACCC-04E7-4CCA-B1B7-F225AF82C9A3}"/>
  </hyperlinks>
  <pageMargins left="0.7" right="0.7" top="0.75" bottom="0.75" header="0.3" footer="0.3"/>
  <ignoredErrors>
    <ignoredError sqref="G18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6526-5A15-42EE-817F-228C6245CFD7}">
  <dimension ref="B1:H26"/>
  <sheetViews>
    <sheetView topLeftCell="A6" zoomScale="130" zoomScaleNormal="130" workbookViewId="0">
      <selection activeCell="L19" sqref="L19"/>
    </sheetView>
  </sheetViews>
  <sheetFormatPr defaultRowHeight="15" x14ac:dyDescent="0.25"/>
  <cols>
    <col min="3" max="3" width="19" customWidth="1"/>
    <col min="4" max="4" width="15.7109375" customWidth="1"/>
  </cols>
  <sheetData>
    <row r="1" spans="2:8" ht="15.75" thickBot="1" x14ac:dyDescent="0.3"/>
    <row r="2" spans="2:8" ht="15.75" thickBot="1" x14ac:dyDescent="0.3">
      <c r="B2" s="5" t="s">
        <v>61</v>
      </c>
      <c r="C2" s="13"/>
      <c r="D2" s="13" t="s">
        <v>62</v>
      </c>
      <c r="E2" s="40"/>
      <c r="F2" s="13"/>
      <c r="G2" s="13"/>
      <c r="H2" s="6"/>
    </row>
    <row r="3" spans="2:8" x14ac:dyDescent="0.25">
      <c r="B3" s="5" t="s">
        <v>53</v>
      </c>
      <c r="C3" s="13"/>
      <c r="D3" s="13"/>
      <c r="E3" s="41"/>
      <c r="F3" s="13"/>
      <c r="G3" s="13"/>
      <c r="H3" s="6"/>
    </row>
    <row r="4" spans="2:8" x14ac:dyDescent="0.25">
      <c r="B4" s="14" t="s">
        <v>54</v>
      </c>
      <c r="E4" s="38"/>
      <c r="H4" s="15"/>
    </row>
    <row r="5" spans="2:8" x14ac:dyDescent="0.25">
      <c r="B5" s="14" t="s">
        <v>55</v>
      </c>
      <c r="E5" s="38"/>
      <c r="H5" s="15"/>
    </row>
    <row r="6" spans="2:8" x14ac:dyDescent="0.25">
      <c r="B6" s="14" t="s">
        <v>56</v>
      </c>
      <c r="E6" s="38"/>
      <c r="H6" s="15"/>
    </row>
    <row r="7" spans="2:8" x14ac:dyDescent="0.25">
      <c r="B7" s="14"/>
      <c r="E7" s="38"/>
      <c r="H7" s="15"/>
    </row>
    <row r="8" spans="2:8" x14ac:dyDescent="0.25">
      <c r="B8" s="14"/>
      <c r="E8" s="38"/>
      <c r="H8" s="15"/>
    </row>
    <row r="9" spans="2:8" x14ac:dyDescent="0.25">
      <c r="B9" s="14"/>
      <c r="E9" s="38"/>
      <c r="H9" s="15"/>
    </row>
    <row r="10" spans="2:8" x14ac:dyDescent="0.25">
      <c r="B10" s="14"/>
      <c r="E10" s="38"/>
      <c r="H10" s="15"/>
    </row>
    <row r="11" spans="2:8" x14ac:dyDescent="0.25">
      <c r="B11" s="14"/>
      <c r="E11" s="38"/>
      <c r="H11" s="15"/>
    </row>
    <row r="12" spans="2:8" x14ac:dyDescent="0.25">
      <c r="B12" s="14"/>
      <c r="E12" s="38"/>
      <c r="H12" s="15"/>
    </row>
    <row r="13" spans="2:8" x14ac:dyDescent="0.25">
      <c r="B13" s="14"/>
      <c r="E13" s="38"/>
      <c r="H13" s="15"/>
    </row>
    <row r="14" spans="2:8" x14ac:dyDescent="0.25">
      <c r="B14" s="14"/>
      <c r="E14" s="38"/>
      <c r="H14" s="15"/>
    </row>
    <row r="15" spans="2:8" x14ac:dyDescent="0.25">
      <c r="B15" s="14"/>
      <c r="E15" s="38"/>
      <c r="H15" s="15"/>
    </row>
    <row r="16" spans="2:8" x14ac:dyDescent="0.25">
      <c r="B16" s="14"/>
      <c r="E16" s="38"/>
      <c r="H16" s="15"/>
    </row>
    <row r="17" spans="2:8" x14ac:dyDescent="0.25">
      <c r="B17" s="14"/>
      <c r="E17" s="38"/>
      <c r="H17" s="15"/>
    </row>
    <row r="18" spans="2:8" x14ac:dyDescent="0.25">
      <c r="B18" s="14"/>
      <c r="E18" s="38"/>
      <c r="H18" s="15"/>
    </row>
    <row r="19" spans="2:8" x14ac:dyDescent="0.25">
      <c r="B19" s="14"/>
      <c r="E19" s="38"/>
      <c r="H19" s="15"/>
    </row>
    <row r="20" spans="2:8" x14ac:dyDescent="0.25">
      <c r="B20" s="14"/>
      <c r="E20" s="38"/>
      <c r="H20" s="15"/>
    </row>
    <row r="21" spans="2:8" x14ac:dyDescent="0.25">
      <c r="B21" s="14"/>
      <c r="E21" s="38"/>
      <c r="H21" s="15"/>
    </row>
    <row r="22" spans="2:8" x14ac:dyDescent="0.25">
      <c r="B22" s="14"/>
      <c r="C22" t="s">
        <v>65</v>
      </c>
      <c r="D22">
        <v>0.5</v>
      </c>
      <c r="E22" s="82" t="s">
        <v>108</v>
      </c>
      <c r="H22" s="15"/>
    </row>
    <row r="23" spans="2:8" x14ac:dyDescent="0.25">
      <c r="B23" s="14"/>
      <c r="C23" t="s">
        <v>66</v>
      </c>
      <c r="D23">
        <f>SQRT(3)/2</f>
        <v>0.8660254037844386</v>
      </c>
      <c r="E23" s="82" t="s">
        <v>109</v>
      </c>
      <c r="H23" s="15"/>
    </row>
    <row r="24" spans="2:8" x14ac:dyDescent="0.25">
      <c r="B24" s="14"/>
      <c r="C24" t="s">
        <v>30</v>
      </c>
      <c r="D24">
        <f>ATAN2(0.5,D23)</f>
        <v>1.0471975511965976</v>
      </c>
      <c r="E24" s="82" t="s">
        <v>110</v>
      </c>
      <c r="H24" s="15"/>
    </row>
    <row r="25" spans="2:8" x14ac:dyDescent="0.25">
      <c r="B25" s="14"/>
      <c r="C25" t="s">
        <v>31</v>
      </c>
      <c r="D25">
        <f>D24*180/PI()</f>
        <v>59.999999999999993</v>
      </c>
      <c r="E25" s="82" t="s">
        <v>107</v>
      </c>
      <c r="H25" s="15"/>
    </row>
    <row r="26" spans="2:8" ht="15.75" thickBot="1" x14ac:dyDescent="0.3">
      <c r="B26" s="7"/>
      <c r="C26" s="16"/>
      <c r="D26" s="16"/>
      <c r="E26" s="42"/>
      <c r="F26" s="16"/>
      <c r="G26" s="16"/>
      <c r="H2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 to chi-square</vt:lpstr>
      <vt:lpstr>chi-square to acceptable data</vt:lpstr>
      <vt:lpstr>No correlation example</vt:lpstr>
      <vt:lpstr>ATAN2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Nilkanth Chapole</dc:creator>
  <cp:lastModifiedBy>Nikanth Chapole</cp:lastModifiedBy>
  <dcterms:created xsi:type="dcterms:W3CDTF">2022-12-08T13:15:55Z</dcterms:created>
  <dcterms:modified xsi:type="dcterms:W3CDTF">2023-12-12T09:00:22Z</dcterms:modified>
</cp:coreProperties>
</file>