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/>
  <mc:AlternateContent xmlns:mc="http://schemas.openxmlformats.org/markup-compatibility/2006">
    <mc:Choice Requires="x15">
      <x15ac:absPath xmlns:x15ac="http://schemas.microsoft.com/office/spreadsheetml/2010/11/ac" url="https://finamex-my.sharepoint.com/personal/fvfentanes_finamex_com_mx/Documents/"/>
    </mc:Choice>
  </mc:AlternateContent>
  <xr:revisionPtr revIDLastSave="674" documentId="8_{4AC9B477-62C2-4B1B-9B20-98B1319ECB8E}" xr6:coauthVersionLast="47" xr6:coauthVersionMax="47" xr10:uidLastSave="{B46302F0-0172-44EC-9085-D9B060CF1054}"/>
  <bookViews>
    <workbookView xWindow="-120" yWindow="-120" windowWidth="28110" windowHeight="16440" xr2:uid="{4A615B0F-696A-4D0B-8C43-2CD291EDFE40}"/>
  </bookViews>
  <sheets>
    <sheet name="Dashboard" sheetId="1" r:id="rId1"/>
    <sheet name="Alternativos" sheetId="3" r:id="rId2"/>
    <sheet name="Inversiones" sheetId="2" r:id="rId3"/>
    <sheet name="Retiro" sheetId="4" r:id="rId4"/>
    <sheet name="Hoja2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B7" i="1"/>
  <c r="D3" i="1"/>
  <c r="L5" i="1"/>
  <c r="I5" i="1"/>
  <c r="I2" i="1"/>
  <c r="V12" i="1"/>
  <c r="U13" i="1"/>
  <c r="V11" i="1"/>
  <c r="U11" i="1"/>
  <c r="N5" i="2"/>
  <c r="O7" i="4"/>
  <c r="N7" i="4"/>
  <c r="P6" i="4"/>
  <c r="O6" i="4"/>
  <c r="P6" i="1"/>
  <c r="P5" i="1"/>
  <c r="O4" i="1"/>
  <c r="N5" i="4"/>
  <c r="P5" i="4" s="1"/>
  <c r="J9" i="4"/>
  <c r="J4" i="4"/>
  <c r="I4" i="4"/>
  <c r="H9" i="4"/>
  <c r="F9" i="4"/>
  <c r="F8" i="4"/>
  <c r="F7" i="4"/>
  <c r="F6" i="4"/>
  <c r="F5" i="4"/>
  <c r="D1" i="4"/>
  <c r="E5" i="4" s="1"/>
  <c r="J2" i="3"/>
  <c r="L5" i="3"/>
  <c r="K5" i="3"/>
  <c r="J5" i="3"/>
  <c r="F3" i="3"/>
  <c r="J1" i="3"/>
  <c r="G3" i="3"/>
  <c r="D3" i="3"/>
  <c r="E22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M5" i="2" s="1"/>
  <c r="O5" i="2" s="1"/>
  <c r="G2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C9" i="1"/>
  <c r="K11" i="1"/>
  <c r="I11" i="1"/>
  <c r="F19" i="2"/>
  <c r="L1" i="2" s="1"/>
  <c r="M2" i="1"/>
  <c r="G3" i="1"/>
  <c r="G2" i="1"/>
  <c r="D2" i="1"/>
  <c r="D33" i="1"/>
  <c r="C33" i="1"/>
  <c r="B33" i="1"/>
  <c r="B5" i="1"/>
  <c r="I8" i="4" l="1"/>
  <c r="J8" i="4" s="1"/>
  <c r="I5" i="4"/>
  <c r="J5" i="4" s="1"/>
  <c r="I6" i="4"/>
  <c r="J6" i="4" s="1"/>
  <c r="I7" i="4"/>
  <c r="J7" i="4" s="1"/>
  <c r="E8" i="4"/>
  <c r="E7" i="4"/>
  <c r="E6" i="4"/>
  <c r="H7" i="2"/>
  <c r="I7" i="2" s="1"/>
  <c r="H3" i="2"/>
  <c r="H6" i="2"/>
  <c r="I6" i="2" s="1"/>
  <c r="H22" i="2"/>
  <c r="I22" i="2" s="1"/>
  <c r="H17" i="2"/>
  <c r="I17" i="2" s="1"/>
  <c r="H4" i="2"/>
  <c r="I4" i="2" s="1"/>
  <c r="B11" i="1"/>
  <c r="H16" i="2"/>
  <c r="H5" i="2"/>
  <c r="I5" i="2" s="1"/>
  <c r="H10" i="2"/>
  <c r="I10" i="2" s="1"/>
  <c r="H8" i="2"/>
  <c r="H15" i="2"/>
  <c r="I15" i="2" s="1"/>
  <c r="H14" i="2"/>
  <c r="H13" i="2"/>
  <c r="I13" i="2" s="1"/>
  <c r="H12" i="2"/>
  <c r="I12" i="2" s="1"/>
  <c r="H9" i="2"/>
  <c r="I9" i="2" s="1"/>
  <c r="H11" i="2"/>
  <c r="I3" i="2"/>
  <c r="I11" i="2"/>
  <c r="I8" i="2"/>
  <c r="I16" i="2"/>
  <c r="I14" i="2"/>
  <c r="J3" i="1"/>
  <c r="C4" i="1"/>
  <c r="C3" i="1"/>
  <c r="C2" i="1"/>
  <c r="C5" i="1" s="1"/>
  <c r="D4" i="1"/>
  <c r="I19" i="2" l="1"/>
  <c r="L2" i="2" s="1"/>
  <c r="C7" i="1"/>
  <c r="H19" i="2"/>
  <c r="J2" i="1"/>
</calcChain>
</file>

<file path=xl/sharedStrings.xml><?xml version="1.0" encoding="utf-8"?>
<sst xmlns="http://schemas.openxmlformats.org/spreadsheetml/2006/main" count="135" uniqueCount="92">
  <si>
    <t>Portafolio</t>
  </si>
  <si>
    <t>Cuadre</t>
  </si>
  <si>
    <t>Retiro Location</t>
  </si>
  <si>
    <t>Inversiones Location</t>
  </si>
  <si>
    <t>Alternativos Locations</t>
  </si>
  <si>
    <t>Cash</t>
  </si>
  <si>
    <t>Retiro</t>
  </si>
  <si>
    <t>Finamex</t>
  </si>
  <si>
    <t>Inversiones</t>
  </si>
  <si>
    <t>Cetes Dir</t>
  </si>
  <si>
    <t>TD</t>
  </si>
  <si>
    <t>Finamex Rogelio</t>
  </si>
  <si>
    <t>Total de Retiro</t>
  </si>
  <si>
    <t>Inicio Vida laboral</t>
  </si>
  <si>
    <t>Fecha Actual</t>
  </si>
  <si>
    <t>Meses Trabajados</t>
  </si>
  <si>
    <t>Factor de ahorro</t>
  </si>
  <si>
    <t>Alternativos</t>
  </si>
  <si>
    <t>Finamex Eli</t>
  </si>
  <si>
    <t>Finamex Tania</t>
  </si>
  <si>
    <t>Totales</t>
  </si>
  <si>
    <t>Total</t>
  </si>
  <si>
    <t>Renta Fija</t>
  </si>
  <si>
    <t>Cetes</t>
  </si>
  <si>
    <t>Diferencia</t>
  </si>
  <si>
    <t>Renta Variable</t>
  </si>
  <si>
    <t>Total Finamex</t>
  </si>
  <si>
    <t>Tipo de CAMBIO</t>
  </si>
  <si>
    <t>Total SCHWAB</t>
  </si>
  <si>
    <t>MXN=X</t>
  </si>
  <si>
    <t>Total CETES Directo</t>
  </si>
  <si>
    <t>Cuadre Portafolio</t>
  </si>
  <si>
    <t>Total Binance</t>
  </si>
  <si>
    <t>Valor Total Finamex</t>
  </si>
  <si>
    <t>Valor Total Cetes</t>
  </si>
  <si>
    <t>Instrumento</t>
  </si>
  <si>
    <t>Titulos</t>
  </si>
  <si>
    <t>Precio</t>
  </si>
  <si>
    <t>Valuacion</t>
  </si>
  <si>
    <t>Monto</t>
  </si>
  <si>
    <t>P&amp;L</t>
  </si>
  <si>
    <t>Lista de ETFS</t>
  </si>
  <si>
    <t>Total Equity</t>
  </si>
  <si>
    <t>MEXICO</t>
  </si>
  <si>
    <t>NAFTRAC</t>
  </si>
  <si>
    <t>SPY</t>
  </si>
  <si>
    <t>USA</t>
  </si>
  <si>
    <t>Inflows</t>
  </si>
  <si>
    <t>EWW</t>
  </si>
  <si>
    <t xml:space="preserve">Inversiones </t>
  </si>
  <si>
    <t>IWM</t>
  </si>
  <si>
    <t>Emisora</t>
  </si>
  <si>
    <t>Títulos</t>
  </si>
  <si>
    <t>Costo</t>
  </si>
  <si>
    <t>Monto inicial</t>
  </si>
  <si>
    <t>Valuación</t>
  </si>
  <si>
    <t>Rendimiento</t>
  </si>
  <si>
    <t>Rendimiento Total</t>
  </si>
  <si>
    <t>BBVAMX S4031 000</t>
  </si>
  <si>
    <t>Evolucion Del portafolio</t>
  </si>
  <si>
    <t>Monto Inicial</t>
  </si>
  <si>
    <t>Monto Final</t>
  </si>
  <si>
    <t>Peso ponderado</t>
  </si>
  <si>
    <t>ASUR B 017</t>
  </si>
  <si>
    <t>AXTEL CPO 000</t>
  </si>
  <si>
    <t>BABA N 000</t>
  </si>
  <si>
    <t>CADU A 000</t>
  </si>
  <si>
    <t>CEMEX CPO 000</t>
  </si>
  <si>
    <t>COXA * 000</t>
  </si>
  <si>
    <t>GFNORTE O 008</t>
  </si>
  <si>
    <t>GOOGL * 000</t>
  </si>
  <si>
    <t>LAB B 003</t>
  </si>
  <si>
    <t>LIVEPOL C-1 000</t>
  </si>
  <si>
    <t>MEDICA B 029</t>
  </si>
  <si>
    <t>MEGA CPO 000</t>
  </si>
  <si>
    <t>NAFTRAC ISHRS 000</t>
  </si>
  <si>
    <t>TLEVISA CPO 000</t>
  </si>
  <si>
    <t>URBI * 000</t>
  </si>
  <si>
    <t>BONOS 270304 000</t>
  </si>
  <si>
    <t xml:space="preserve">Instrumento </t>
  </si>
  <si>
    <t>Precio Adqusicion</t>
  </si>
  <si>
    <t>Vencimiento</t>
  </si>
  <si>
    <t>Dias X vencer</t>
  </si>
  <si>
    <t>Monto Invertido</t>
  </si>
  <si>
    <t>Tasa</t>
  </si>
  <si>
    <t>Cetes Varios</t>
  </si>
  <si>
    <t>BONNDIA</t>
  </si>
  <si>
    <t>Cete 240530</t>
  </si>
  <si>
    <t>Cete 240627</t>
  </si>
  <si>
    <t>Cete 240919</t>
  </si>
  <si>
    <t>Cete 241211</t>
  </si>
  <si>
    <t>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</si>
</sst>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&quot;$&quot;#,##0.00;[Red]\-&quot;$&quot;#,##0.00"/>
    <numFmt numFmtId="165" formatCode="_-[$$-409]* #,##0.00_ ;_-[$$-409]* \-#,##0.00\ ;_-[$$-409]* &quot;-&quot;??_ ;_-@_ "/>
    <numFmt numFmtId="166" formatCode="_-[$$-80A]* #,##0.00_-;\-[$$-80A]* #,##0.00_-;_-[$$-80A]* &quot;-&quot;??_-;_-@_-"/>
    <numFmt numFmtId="167" formatCode="0.000%"/>
    <numFmt numFmtId="168" formatCode="&quot;$&quot;#,##0.00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232A31"/>
      <name val="Yahoo Sans Finance"/>
      <charset val="1"/>
    </font>
    <font>
      <b/>
      <sz val="10"/>
      <color rgb="FF000000"/>
      <name val="Aptos Narrow"/>
      <family val="2"/>
    </font>
    <font>
      <sz val="10"/>
      <color rgb="FF000000"/>
      <name val="Aptos Narrow"/>
      <family val="2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7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center"/>
    </xf>
    <xf numFmtId="43" fontId="0" fillId="2" borderId="0" xfId="1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4" borderId="0" xfId="0" applyFill="1"/>
    <xf numFmtId="0" fontId="2" fillId="4" borderId="2" xfId="0" applyFont="1" applyFill="1" applyBorder="1"/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wrapText="1"/>
    </xf>
    <xf numFmtId="4" fontId="9" fillId="0" borderId="3" xfId="0" applyNumberFormat="1" applyFont="1" applyBorder="1" applyAlignment="1">
      <alignment wrapText="1"/>
    </xf>
    <xf numFmtId="164" fontId="0" fillId="0" borderId="0" xfId="0" applyNumberFormat="1"/>
    <xf numFmtId="164" fontId="5" fillId="0" borderId="0" xfId="0" applyNumberFormat="1" applyFont="1" applyAlignment="1">
      <alignment wrapText="1"/>
    </xf>
    <xf numFmtId="0" fontId="0" fillId="2" borderId="0" xfId="0" applyFill="1"/>
    <xf numFmtId="0" fontId="2" fillId="2" borderId="0" xfId="0" applyFont="1" applyFill="1"/>
    <xf numFmtId="0" fontId="7" fillId="2" borderId="0" xfId="0" applyFont="1" applyFill="1"/>
    <xf numFmtId="0" fontId="6" fillId="2" borderId="0" xfId="0" applyFont="1" applyFill="1"/>
    <xf numFmtId="164" fontId="2" fillId="2" borderId="0" xfId="0" applyNumberFormat="1" applyFont="1" applyFill="1"/>
    <xf numFmtId="164" fontId="6" fillId="2" borderId="0" xfId="0" applyNumberFormat="1" applyFont="1" applyFill="1"/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4" fontId="0" fillId="2" borderId="0" xfId="0" applyNumberFormat="1" applyFill="1"/>
    <xf numFmtId="164" fontId="5" fillId="0" borderId="5" xfId="0" applyNumberFormat="1" applyFont="1" applyBorder="1" applyAlignment="1">
      <alignment wrapText="1"/>
    </xf>
    <xf numFmtId="0" fontId="10" fillId="5" borderId="0" xfId="0" applyFont="1" applyFill="1"/>
    <xf numFmtId="0" fontId="0" fillId="0" borderId="0" xfId="0" applyAlignment="1">
      <alignment horizontal="center" vertical="center"/>
    </xf>
    <xf numFmtId="164" fontId="6" fillId="6" borderId="0" xfId="0" applyNumberFormat="1" applyFont="1" applyFill="1"/>
    <xf numFmtId="0" fontId="2" fillId="4" borderId="6" xfId="0" applyFont="1" applyFill="1" applyBorder="1"/>
    <xf numFmtId="166" fontId="0" fillId="0" borderId="6" xfId="0" applyNumberFormat="1" applyBorder="1"/>
    <xf numFmtId="0" fontId="0" fillId="0" borderId="6" xfId="0" applyBorder="1"/>
    <xf numFmtId="0" fontId="2" fillId="0" borderId="0" xfId="0" applyFont="1"/>
    <xf numFmtId="9" fontId="0" fillId="2" borderId="0" xfId="0" applyNumberFormat="1" applyFill="1"/>
    <xf numFmtId="167" fontId="0" fillId="2" borderId="0" xfId="0" applyNumberFormat="1" applyFill="1"/>
    <xf numFmtId="10" fontId="0" fillId="0" borderId="0" xfId="0" applyNumberFormat="1"/>
    <xf numFmtId="167" fontId="0" fillId="0" borderId="0" xfId="0" applyNumberFormat="1"/>
    <xf numFmtId="167" fontId="0" fillId="0" borderId="0" xfId="2" applyNumberFormat="1" applyFont="1"/>
    <xf numFmtId="14" fontId="0" fillId="0" borderId="0" xfId="0" applyNumberFormat="1"/>
    <xf numFmtId="164" fontId="5" fillId="0" borderId="1" xfId="0" applyNumberFormat="1" applyFont="1" applyBorder="1" applyAlignment="1">
      <alignment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" fontId="0" fillId="0" borderId="0" xfId="0" applyNumberFormat="1"/>
    <xf numFmtId="167" fontId="0" fillId="0" borderId="0" xfId="1" applyNumberFormat="1" applyFont="1"/>
    <xf numFmtId="10" fontId="0" fillId="0" borderId="1" xfId="0" applyNumberFormat="1" applyBorder="1"/>
    <xf numFmtId="0" fontId="11" fillId="7" borderId="3" xfId="0" applyFont="1" applyFill="1" applyBorder="1" applyAlignment="1">
      <alignment horizontal="center"/>
    </xf>
    <xf numFmtId="0" fontId="12" fillId="0" borderId="0" xfId="0" applyFont="1"/>
    <xf numFmtId="14" fontId="12" fillId="0" borderId="0" xfId="0" applyNumberFormat="1" applyFont="1"/>
    <xf numFmtId="0" fontId="11" fillId="2" borderId="0" xfId="0" applyFont="1" applyFill="1"/>
    <xf numFmtId="164" fontId="0" fillId="4" borderId="0" xfId="0" applyNumberFormat="1" applyFill="1"/>
    <xf numFmtId="0" fontId="2" fillId="8" borderId="0" xfId="0" applyFont="1" applyFill="1" applyAlignment="1">
      <alignment horizontal="center"/>
    </xf>
    <xf numFmtId="168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Distribución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2A-4385-94AB-DF9C595E55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2A-4385-94AB-DF9C595E55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2A-4385-94AB-DF9C595E55E4}"/>
              </c:ext>
            </c:extLst>
          </c:dPt>
          <c:cat>
            <c:strRef>
              <c:f>Dashboard!$A$2:$A$4</c:f>
              <c:strCache>
                <c:ptCount val="3"/>
                <c:pt idx="0">
                  <c:v>Retiro</c:v>
                </c:pt>
                <c:pt idx="1">
                  <c:v>Inversiones</c:v>
                </c:pt>
                <c:pt idx="2">
                  <c:v>Alternativos</c:v>
                </c:pt>
              </c:strCache>
            </c:strRef>
          </c:cat>
          <c:val>
            <c:numRef>
              <c:f>Dashboard!$B$2:$B$4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2-4240-B7B7-2C1F6D54BF0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2A-4385-94AB-DF9C595E55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2A-4385-94AB-DF9C595E55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2A-4385-94AB-DF9C595E55E4}"/>
              </c:ext>
            </c:extLst>
          </c:dPt>
          <c:cat>
            <c:strRef>
              <c:f>Dashboard!$A$2:$A$4</c:f>
              <c:strCache>
                <c:ptCount val="3"/>
                <c:pt idx="0">
                  <c:v>Retiro</c:v>
                </c:pt>
                <c:pt idx="1">
                  <c:v>Inversiones</c:v>
                </c:pt>
                <c:pt idx="2">
                  <c:v>Alternativos</c:v>
                </c:pt>
              </c:strCache>
            </c:strRef>
          </c:cat>
          <c:val>
            <c:numRef>
              <c:f>Dashboard!$C$2:$C$4</c:f>
              <c:numCache>
                <c:formatCode>0%</c:formatCode>
                <c:ptCount val="3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2-4240-B7B7-2C1F6D54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15</xdr:row>
      <xdr:rowOff>166687</xdr:rowOff>
    </xdr:from>
    <xdr:to>
      <xdr:col>8</xdr:col>
      <xdr:colOff>190500</xdr:colOff>
      <xdr:row>25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2814B2-20D8-5C87-BA4E-9EA4FD2D5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C83B-6A54-40CF-AE2D-BCA02C6AC626}">
  <dimension ref="A1:X33"/>
  <sheetViews>
    <sheetView tabSelected="1" topLeftCell="G1" workbookViewId="0">
      <selection activeCell="P2" sqref="P2"/>
    </sheetView>
  </sheetViews>
  <sheetFormatPr defaultColWidth="11.42578125" defaultRowHeight="15"/>
  <cols>
    <col min="1" max="1" width="18.28515625" bestFit="1" customWidth="1"/>
    <col min="2" max="2" width="12.5703125" bestFit="1" customWidth="1"/>
    <col min="8" max="8" width="18.5703125" bestFit="1" customWidth="1"/>
    <col min="9" max="9" width="16.5703125" bestFit="1" customWidth="1"/>
    <col min="11" max="11" width="15.85546875" bestFit="1" customWidth="1"/>
    <col min="12" max="12" width="12.85546875" bestFit="1" customWidth="1"/>
    <col min="15" max="15" width="13.5703125" bestFit="1" customWidth="1"/>
    <col min="16" max="16" width="18.85546875" bestFit="1" customWidth="1"/>
    <col min="17" max="17" width="13.85546875" bestFit="1" customWidth="1"/>
    <col min="19" max="19" width="15.5703125" bestFit="1" customWidth="1"/>
    <col min="21" max="21" width="11.7109375" bestFit="1" customWidth="1"/>
  </cols>
  <sheetData>
    <row r="1" spans="1:24">
      <c r="A1" s="56" t="s">
        <v>0</v>
      </c>
      <c r="B1" s="56"/>
      <c r="C1" s="56"/>
      <c r="D1" s="3" t="s">
        <v>1</v>
      </c>
      <c r="E1" s="56" t="s">
        <v>2</v>
      </c>
      <c r="F1" s="56"/>
      <c r="G1" s="56"/>
      <c r="H1" s="56" t="s">
        <v>3</v>
      </c>
      <c r="I1" s="56"/>
      <c r="J1" s="56"/>
      <c r="K1" s="56" t="s">
        <v>4</v>
      </c>
      <c r="L1" s="56"/>
      <c r="M1" s="56"/>
      <c r="O1" t="s">
        <v>5</v>
      </c>
      <c r="P1" s="32">
        <f>57270.81+15277.76</f>
        <v>72548.569999999992</v>
      </c>
    </row>
    <row r="2" spans="1:24">
      <c r="A2" s="5" t="s">
        <v>6</v>
      </c>
      <c r="B2" s="6">
        <v>10</v>
      </c>
      <c r="C2" s="7">
        <f>B2/$B$5</f>
        <v>0.33333333333333331</v>
      </c>
      <c r="D2" s="4">
        <f>B2-F4</f>
        <v>0</v>
      </c>
      <c r="E2" t="s">
        <v>7</v>
      </c>
      <c r="F2">
        <v>0</v>
      </c>
      <c r="G2" s="2">
        <f>F2/$F$4</f>
        <v>0</v>
      </c>
      <c r="H2" t="s">
        <v>7</v>
      </c>
      <c r="I2" s="18">
        <f>Inversiones!L1</f>
        <v>92061.51</v>
      </c>
      <c r="J2" s="2">
        <f>I2/$I$5</f>
        <v>1</v>
      </c>
      <c r="K2" t="s">
        <v>7</v>
      </c>
      <c r="L2" s="9">
        <v>31655</v>
      </c>
      <c r="M2" s="2">
        <f>L2/L5</f>
        <v>1</v>
      </c>
    </row>
    <row r="3" spans="1:24">
      <c r="A3" s="5" t="s">
        <v>8</v>
      </c>
      <c r="B3" s="6">
        <v>10</v>
      </c>
      <c r="C3" s="7">
        <f>B3/$B$5</f>
        <v>0.33333333333333331</v>
      </c>
      <c r="D3" s="4">
        <f>B3-I5</f>
        <v>-92051.51</v>
      </c>
      <c r="E3" t="s">
        <v>9</v>
      </c>
      <c r="F3">
        <v>2</v>
      </c>
      <c r="G3" s="2">
        <f>F3/$F$4</f>
        <v>0.2</v>
      </c>
      <c r="H3" t="s">
        <v>10</v>
      </c>
      <c r="I3">
        <v>0</v>
      </c>
      <c r="J3" s="2">
        <f>I3/$I$5</f>
        <v>0</v>
      </c>
      <c r="K3" s="30" t="s">
        <v>11</v>
      </c>
      <c r="L3" s="9"/>
      <c r="O3" s="21" t="s">
        <v>12</v>
      </c>
      <c r="P3" s="49" t="s">
        <v>13</v>
      </c>
      <c r="Q3" s="49" t="s">
        <v>14</v>
      </c>
      <c r="R3" s="52" t="s">
        <v>15</v>
      </c>
      <c r="S3" s="21" t="s">
        <v>16</v>
      </c>
    </row>
    <row r="4" spans="1:24">
      <c r="A4" s="5" t="s">
        <v>17</v>
      </c>
      <c r="B4" s="6">
        <v>10</v>
      </c>
      <c r="C4" s="7">
        <f>B4/$B$5</f>
        <v>0.33333333333333331</v>
      </c>
      <c r="D4" s="4">
        <f>B4-L4</f>
        <v>10</v>
      </c>
      <c r="F4">
        <v>10</v>
      </c>
      <c r="G4" s="9"/>
      <c r="H4" s="30" t="s">
        <v>18</v>
      </c>
      <c r="I4" s="55">
        <v>33501</v>
      </c>
      <c r="K4" s="30" t="s">
        <v>19</v>
      </c>
      <c r="L4" s="9"/>
      <c r="O4" s="18">
        <f>R4*S4</f>
        <v>42000</v>
      </c>
      <c r="P4" s="51">
        <v>44774</v>
      </c>
      <c r="Q4" s="51">
        <v>45425</v>
      </c>
      <c r="R4" s="50">
        <v>21</v>
      </c>
      <c r="S4" s="18">
        <v>2000</v>
      </c>
    </row>
    <row r="5" spans="1:24">
      <c r="A5" s="5" t="s">
        <v>20</v>
      </c>
      <c r="B5" s="6">
        <f>SUM(B2:B4)</f>
        <v>30</v>
      </c>
      <c r="C5" s="6">
        <f>SUM(C2:C4)</f>
        <v>1</v>
      </c>
      <c r="D5" s="3"/>
      <c r="H5" t="s">
        <v>21</v>
      </c>
      <c r="I5" s="18">
        <f>SUM(I2:I4)-I4</f>
        <v>92061.51</v>
      </c>
      <c r="K5" t="s">
        <v>20</v>
      </c>
      <c r="L5" s="9">
        <f>SUM(L2:L4)</f>
        <v>31655</v>
      </c>
      <c r="O5" t="s">
        <v>22</v>
      </c>
      <c r="P5" s="18">
        <f>Retiro!F9</f>
        <v>30752.756909999996</v>
      </c>
      <c r="Q5" t="s">
        <v>23</v>
      </c>
    </row>
    <row r="6" spans="1:24" s="10" customFormat="1">
      <c r="C6" s="10" t="s">
        <v>24</v>
      </c>
      <c r="O6" s="10" t="s">
        <v>25</v>
      </c>
      <c r="P6" s="53">
        <f>O4-P5</f>
        <v>11247.243090000004</v>
      </c>
      <c r="Q6" s="10" t="s">
        <v>25</v>
      </c>
    </row>
    <row r="7" spans="1:24">
      <c r="A7" s="11" t="s">
        <v>26</v>
      </c>
      <c r="B7" s="9">
        <f>F2+I2+L2+P1</f>
        <v>196265.08</v>
      </c>
      <c r="C7" s="9">
        <f>B7-I11</f>
        <v>-78131.920000000013</v>
      </c>
      <c r="F7" t="s">
        <v>27</v>
      </c>
    </row>
    <row r="8" spans="1:24">
      <c r="A8" s="11" t="s">
        <v>28</v>
      </c>
      <c r="F8" s="12" t="s">
        <v>29</v>
      </c>
      <c r="G8" s="8">
        <v>16.791</v>
      </c>
    </row>
    <row r="9" spans="1:24">
      <c r="A9" s="11" t="s">
        <v>30</v>
      </c>
      <c r="B9" s="18">
        <v>35435</v>
      </c>
      <c r="C9" s="9">
        <f>K11-K11</f>
        <v>0</v>
      </c>
      <c r="I9" s="31" t="s">
        <v>31</v>
      </c>
    </row>
    <row r="10" spans="1:24">
      <c r="A10" s="11" t="s">
        <v>32</v>
      </c>
      <c r="H10" t="s">
        <v>33</v>
      </c>
      <c r="I10" s="18">
        <v>307898</v>
      </c>
      <c r="J10" t="s">
        <v>34</v>
      </c>
      <c r="K10" s="18">
        <v>35435</v>
      </c>
      <c r="P10" s="54" t="s">
        <v>25</v>
      </c>
      <c r="Q10" s="54" t="s">
        <v>35</v>
      </c>
      <c r="R10" s="54" t="s">
        <v>36</v>
      </c>
      <c r="S10" s="54" t="s">
        <v>37</v>
      </c>
      <c r="T10" s="54" t="s">
        <v>38</v>
      </c>
      <c r="U10" s="54" t="s">
        <v>39</v>
      </c>
      <c r="V10" s="54" t="s">
        <v>40</v>
      </c>
      <c r="X10" t="s">
        <v>41</v>
      </c>
    </row>
    <row r="11" spans="1:24">
      <c r="A11" s="33" t="s">
        <v>42</v>
      </c>
      <c r="B11" s="34">
        <f>B7+B8+B9+B10</f>
        <v>231700.08</v>
      </c>
      <c r="C11" s="35"/>
      <c r="H11" t="s">
        <v>1</v>
      </c>
      <c r="I11" s="18">
        <f>I10-L3-L4-I4</f>
        <v>274397</v>
      </c>
      <c r="J11" t="s">
        <v>1</v>
      </c>
      <c r="K11" s="9">
        <f>K10</f>
        <v>35435</v>
      </c>
      <c r="P11" t="s">
        <v>43</v>
      </c>
      <c r="Q11" t="s">
        <v>44</v>
      </c>
      <c r="R11">
        <v>210</v>
      </c>
      <c r="S11">
        <v>52.73</v>
      </c>
      <c r="T11">
        <v>52.34</v>
      </c>
      <c r="U11" s="8">
        <f>T11*R11</f>
        <v>10991.400000000001</v>
      </c>
      <c r="V11" s="8">
        <f>T11*R11-R11*S11</f>
        <v>-81.899999999997817</v>
      </c>
      <c r="X11" t="s">
        <v>45</v>
      </c>
    </row>
    <row r="12" spans="1:24">
      <c r="A12" s="36"/>
      <c r="B12" s="9"/>
      <c r="I12" s="18"/>
      <c r="K12" s="9"/>
      <c r="P12" t="s">
        <v>46</v>
      </c>
      <c r="Q12" t="s">
        <v>45</v>
      </c>
      <c r="V12" s="8">
        <f>T12*R12-R12*S12</f>
        <v>0</v>
      </c>
      <c r="X12" t="s">
        <v>44</v>
      </c>
    </row>
    <row r="13" spans="1:24">
      <c r="A13" s="57" t="s">
        <v>47</v>
      </c>
      <c r="B13" s="57"/>
      <c r="C13" s="57"/>
      <c r="D13" s="57"/>
      <c r="E13" s="9"/>
      <c r="P13" t="s">
        <v>21</v>
      </c>
      <c r="U13" s="8">
        <f>U11+U12</f>
        <v>10991.400000000001</v>
      </c>
      <c r="X13" t="s">
        <v>48</v>
      </c>
    </row>
    <row r="14" spans="1:24">
      <c r="B14" t="s">
        <v>6</v>
      </c>
      <c r="C14" t="s">
        <v>49</v>
      </c>
      <c r="D14" t="s">
        <v>17</v>
      </c>
      <c r="X14" t="s">
        <v>50</v>
      </c>
    </row>
    <row r="15" spans="1:24">
      <c r="A15" s="1">
        <v>44927</v>
      </c>
    </row>
    <row r="16" spans="1:24">
      <c r="A16" s="1">
        <v>44958</v>
      </c>
    </row>
    <row r="17" spans="1:1">
      <c r="A17" s="1">
        <v>44986</v>
      </c>
    </row>
    <row r="18" spans="1:1">
      <c r="A18" s="1">
        <v>45017</v>
      </c>
    </row>
    <row r="19" spans="1:1">
      <c r="A19" s="1">
        <v>45047</v>
      </c>
    </row>
    <row r="20" spans="1:1">
      <c r="A20" s="1">
        <v>45078</v>
      </c>
    </row>
    <row r="21" spans="1:1">
      <c r="A21" s="1">
        <v>45108</v>
      </c>
    </row>
    <row r="22" spans="1:1">
      <c r="A22" s="1">
        <v>45139</v>
      </c>
    </row>
    <row r="23" spans="1:1">
      <c r="A23" s="1">
        <v>45170</v>
      </c>
    </row>
    <row r="24" spans="1:1">
      <c r="A24" s="1">
        <v>45200</v>
      </c>
    </row>
    <row r="25" spans="1:1">
      <c r="A25" s="1">
        <v>45231</v>
      </c>
    </row>
    <row r="26" spans="1:1">
      <c r="A26" s="1">
        <v>45261</v>
      </c>
    </row>
    <row r="27" spans="1:1">
      <c r="A27" s="1">
        <v>45292</v>
      </c>
    </row>
    <row r="28" spans="1:1">
      <c r="A28" s="1">
        <v>45323</v>
      </c>
    </row>
    <row r="29" spans="1:1">
      <c r="A29" s="1">
        <v>45352</v>
      </c>
    </row>
    <row r="30" spans="1:1">
      <c r="A30" s="1">
        <v>45383</v>
      </c>
    </row>
    <row r="31" spans="1:1">
      <c r="A31" s="1">
        <v>45413</v>
      </c>
    </row>
    <row r="32" spans="1:1">
      <c r="A32" s="1">
        <v>45444</v>
      </c>
    </row>
    <row r="33" spans="2:4">
      <c r="B33">
        <f>SUM(B15:B32)</f>
        <v>0</v>
      </c>
      <c r="C33">
        <f>SUM(C15:C32)</f>
        <v>0</v>
      </c>
      <c r="D33">
        <f>SUM(D15:D32)</f>
        <v>0</v>
      </c>
    </row>
  </sheetData>
  <mergeCells count="5">
    <mergeCell ref="A1:C1"/>
    <mergeCell ref="A13:D13"/>
    <mergeCell ref="E1:G1"/>
    <mergeCell ref="H1:J1"/>
    <mergeCell ref="K1:M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9DD3-A847-4818-A8F1-897EAB5B6A6C}">
  <dimension ref="A1:L5"/>
  <sheetViews>
    <sheetView workbookViewId="0">
      <selection activeCell="J1" sqref="J1"/>
    </sheetView>
  </sheetViews>
  <sheetFormatPr defaultColWidth="11.42578125" defaultRowHeight="15"/>
  <cols>
    <col min="1" max="1" width="31.85546875" customWidth="1"/>
    <col min="9" max="9" width="15" bestFit="1" customWidth="1"/>
  </cols>
  <sheetData>
    <row r="1" spans="1:12" s="20" customFormat="1">
      <c r="A1" s="20" t="s">
        <v>17</v>
      </c>
      <c r="I1" s="20" t="s">
        <v>20</v>
      </c>
      <c r="J1" s="28">
        <f>F3</f>
        <v>31665</v>
      </c>
    </row>
    <row r="2" spans="1:12" ht="19.5" customHeight="1">
      <c r="A2" s="15" t="s">
        <v>51</v>
      </c>
      <c r="B2" s="15" t="s">
        <v>52</v>
      </c>
      <c r="C2" s="15" t="s">
        <v>53</v>
      </c>
      <c r="D2" s="15" t="s">
        <v>54</v>
      </c>
      <c r="E2" s="15" t="s">
        <v>37</v>
      </c>
      <c r="F2" s="15" t="s">
        <v>55</v>
      </c>
      <c r="G2" s="44" t="s">
        <v>56</v>
      </c>
      <c r="I2" s="45" t="s">
        <v>57</v>
      </c>
      <c r="J2" s="39">
        <f>L5</f>
        <v>5.5500000000000001E-2</v>
      </c>
    </row>
    <row r="3" spans="1:12" ht="16.5" customHeight="1">
      <c r="A3" s="16" t="s">
        <v>58</v>
      </c>
      <c r="B3" s="16">
        <v>300</v>
      </c>
      <c r="C3" s="16">
        <v>100</v>
      </c>
      <c r="D3" s="16">
        <f>B3*C3</f>
        <v>30000</v>
      </c>
      <c r="E3" s="16">
        <v>105.55</v>
      </c>
      <c r="F3" s="17">
        <f>B3*E3</f>
        <v>31665</v>
      </c>
      <c r="G3" s="39">
        <f>(E3-C3)/C3</f>
        <v>5.5499999999999973E-2</v>
      </c>
    </row>
    <row r="4" spans="1:12">
      <c r="I4" t="s">
        <v>59</v>
      </c>
      <c r="J4" t="s">
        <v>60</v>
      </c>
      <c r="K4" t="s">
        <v>61</v>
      </c>
      <c r="L4" t="s">
        <v>56</v>
      </c>
    </row>
    <row r="5" spans="1:12">
      <c r="I5" s="42">
        <v>45425</v>
      </c>
      <c r="J5">
        <f>D3</f>
        <v>30000</v>
      </c>
      <c r="K5" s="46">
        <f>F3</f>
        <v>31665</v>
      </c>
      <c r="L5" s="39">
        <f>(K5-J5)/J5</f>
        <v>5.5500000000000001E-2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7E79-9735-47AF-ACC9-55BFE1516627}">
  <dimension ref="A1:O22"/>
  <sheetViews>
    <sheetView workbookViewId="0">
      <selection activeCell="C6" sqref="C6"/>
    </sheetView>
  </sheetViews>
  <sheetFormatPr defaultColWidth="11.42578125" defaultRowHeight="15"/>
  <cols>
    <col min="1" max="1" width="17.42578125" customWidth="1"/>
    <col min="6" max="6" width="11" bestFit="1" customWidth="1"/>
    <col min="8" max="8" width="15.28515625" customWidth="1"/>
    <col min="12" max="12" width="22.28515625" bestFit="1" customWidth="1"/>
  </cols>
  <sheetData>
    <row r="1" spans="1:15" s="20" customFormat="1">
      <c r="A1" s="22" t="s">
        <v>25</v>
      </c>
      <c r="K1" s="20" t="s">
        <v>20</v>
      </c>
      <c r="L1" s="28">
        <f>F19+F22</f>
        <v>92061.51</v>
      </c>
    </row>
    <row r="2" spans="1:15" ht="27">
      <c r="A2" s="14" t="s">
        <v>51</v>
      </c>
      <c r="B2" s="13" t="s">
        <v>52</v>
      </c>
      <c r="C2" s="13" t="s">
        <v>53</v>
      </c>
      <c r="D2" s="13" t="s">
        <v>37</v>
      </c>
      <c r="E2" s="13" t="s">
        <v>60</v>
      </c>
      <c r="F2" s="13" t="s">
        <v>55</v>
      </c>
      <c r="G2" s="13" t="s">
        <v>56</v>
      </c>
      <c r="H2" s="13" t="s">
        <v>62</v>
      </c>
      <c r="I2" s="13" t="s">
        <v>56</v>
      </c>
      <c r="K2" s="13" t="s">
        <v>57</v>
      </c>
      <c r="L2" s="40">
        <f>I19+I22</f>
        <v>0.20720105479169892</v>
      </c>
    </row>
    <row r="3" spans="1:15">
      <c r="A3" s="14" t="s">
        <v>63</v>
      </c>
      <c r="B3" s="14">
        <v>3</v>
      </c>
      <c r="C3" s="14">
        <v>397.54</v>
      </c>
      <c r="D3" s="14">
        <v>589.15</v>
      </c>
      <c r="E3" s="19">
        <f>B3*C3</f>
        <v>1192.6200000000001</v>
      </c>
      <c r="F3" s="19">
        <v>1767.45</v>
      </c>
      <c r="G3" s="2">
        <f>(D3-C3)/D3</f>
        <v>0.32523126538233044</v>
      </c>
      <c r="H3" s="2">
        <f>F3/$L$1</f>
        <v>1.9198577125228558E-2</v>
      </c>
      <c r="I3">
        <f>G3*H3</f>
        <v>6.243977531978348E-3</v>
      </c>
    </row>
    <row r="4" spans="1:15">
      <c r="A4" s="14" t="s">
        <v>64</v>
      </c>
      <c r="B4" s="14">
        <v>630</v>
      </c>
      <c r="C4" s="14">
        <v>0.91</v>
      </c>
      <c r="D4" s="14">
        <v>1.84</v>
      </c>
      <c r="E4" s="19">
        <f>B4*C4</f>
        <v>573.30000000000007</v>
      </c>
      <c r="F4" s="19">
        <v>1159.2</v>
      </c>
      <c r="G4" s="2">
        <f t="shared" ref="G4:G17" si="0">(D4-C4)/D4</f>
        <v>0.50543478260869568</v>
      </c>
      <c r="H4" s="2">
        <f>F4/$L$1</f>
        <v>1.2591581432891989E-2</v>
      </c>
      <c r="I4">
        <f>G4*H4</f>
        <v>6.3642232242334508E-3</v>
      </c>
      <c r="L4" t="s">
        <v>59</v>
      </c>
      <c r="M4" t="s">
        <v>60</v>
      </c>
      <c r="N4" t="s">
        <v>61</v>
      </c>
    </row>
    <row r="5" spans="1:15">
      <c r="A5" s="14" t="s">
        <v>65</v>
      </c>
      <c r="B5" s="14">
        <v>1</v>
      </c>
      <c r="C5" s="14">
        <v>1303.8</v>
      </c>
      <c r="D5" s="14">
        <v>1422.32</v>
      </c>
      <c r="E5" s="19">
        <f>B5*C5</f>
        <v>1303.8</v>
      </c>
      <c r="F5" s="19">
        <v>1422.32</v>
      </c>
      <c r="G5" s="2">
        <f t="shared" si="0"/>
        <v>8.3328646155576794E-2</v>
      </c>
      <c r="H5" s="2">
        <f>F5/$L$1</f>
        <v>1.5449670551786518E-2</v>
      </c>
      <c r="I5">
        <f>G5*H5</f>
        <v>1.2874001306300536E-3</v>
      </c>
      <c r="L5" s="42">
        <v>45425</v>
      </c>
      <c r="M5" s="18">
        <f>SUM(E3:E17)+E22</f>
        <v>76267.840000000011</v>
      </c>
      <c r="N5" s="18">
        <f>SUM(F3:F17)+F22-3000</f>
        <v>89061.51</v>
      </c>
      <c r="O5" s="39">
        <f>(N5-M5)/M5</f>
        <v>0.16774658886366758</v>
      </c>
    </row>
    <row r="6" spans="1:15">
      <c r="A6" s="14" t="s">
        <v>66</v>
      </c>
      <c r="B6" s="14">
        <v>1323</v>
      </c>
      <c r="C6" s="14">
        <v>4.2</v>
      </c>
      <c r="D6" s="14">
        <v>4.3</v>
      </c>
      <c r="E6" s="19">
        <f>B6*C6</f>
        <v>5556.6</v>
      </c>
      <c r="F6" s="19">
        <v>5688.9</v>
      </c>
      <c r="G6" s="2">
        <f t="shared" si="0"/>
        <v>2.3255813953488292E-2</v>
      </c>
      <c r="H6" s="2">
        <f>F6/$L$1</f>
        <v>6.1794554532073179E-2</v>
      </c>
      <c r="I6">
        <f>G6*H6</f>
        <v>1.4370826635365806E-3</v>
      </c>
    </row>
    <row r="7" spans="1:15">
      <c r="A7" s="14" t="s">
        <v>67</v>
      </c>
      <c r="B7" s="14">
        <v>100</v>
      </c>
      <c r="C7" s="14">
        <v>13.58</v>
      </c>
      <c r="D7" s="14">
        <v>13.36</v>
      </c>
      <c r="E7" s="19">
        <f>B7*C7</f>
        <v>1358</v>
      </c>
      <c r="F7" s="19">
        <v>1336</v>
      </c>
      <c r="G7" s="2">
        <f t="shared" si="0"/>
        <v>-1.6467065868263523E-2</v>
      </c>
      <c r="H7" s="2">
        <f>F7/$L$1</f>
        <v>1.4512036572070132E-2</v>
      </c>
      <c r="I7">
        <f>G7*H7</f>
        <v>-2.3897066211492804E-4</v>
      </c>
    </row>
    <row r="8" spans="1:15">
      <c r="A8" s="14" t="s">
        <v>68</v>
      </c>
      <c r="B8" s="14">
        <v>10</v>
      </c>
      <c r="C8" s="14">
        <v>33</v>
      </c>
      <c r="D8" s="14">
        <v>33.799999999999997</v>
      </c>
      <c r="E8" s="19">
        <f>B8*C8</f>
        <v>330</v>
      </c>
      <c r="F8" s="19">
        <v>338</v>
      </c>
      <c r="G8" s="2">
        <f t="shared" si="0"/>
        <v>2.3668639053254354E-2</v>
      </c>
      <c r="H8" s="2">
        <f>F8/$L$1</f>
        <v>3.6714583543111558E-3</v>
      </c>
      <c r="I8">
        <f>G8*H8</f>
        <v>8.6898422587245979E-5</v>
      </c>
    </row>
    <row r="9" spans="1:15">
      <c r="A9" s="14" t="s">
        <v>69</v>
      </c>
      <c r="B9" s="14">
        <v>36</v>
      </c>
      <c r="C9" s="14">
        <v>168.88</v>
      </c>
      <c r="D9" s="14">
        <v>178.23</v>
      </c>
      <c r="E9" s="19">
        <f>B9*C9</f>
        <v>6079.68</v>
      </c>
      <c r="F9" s="19">
        <v>6416.28</v>
      </c>
      <c r="G9" s="2">
        <f t="shared" si="0"/>
        <v>5.2460304101441931E-2</v>
      </c>
      <c r="H9" s="2">
        <f>F9/$L$1</f>
        <v>6.9695576359762076E-2</v>
      </c>
      <c r="I9">
        <f>G9*H9</f>
        <v>3.6562511303583857E-3</v>
      </c>
    </row>
    <row r="10" spans="1:15">
      <c r="A10" s="14" t="s">
        <v>70</v>
      </c>
      <c r="B10" s="14">
        <v>1</v>
      </c>
      <c r="C10" s="14">
        <v>2622</v>
      </c>
      <c r="D10" s="14">
        <v>2843.63</v>
      </c>
      <c r="E10" s="19">
        <f>B10*C10</f>
        <v>2622</v>
      </c>
      <c r="F10" s="19">
        <v>2843.63</v>
      </c>
      <c r="G10" s="2">
        <f t="shared" si="0"/>
        <v>7.7939113035099539E-2</v>
      </c>
      <c r="H10" s="2">
        <f>F10/$L$1</f>
        <v>3.0888370177721398E-2</v>
      </c>
      <c r="I10">
        <f>G10*H10</f>
        <v>2.4074121747514258E-3</v>
      </c>
    </row>
    <row r="11" spans="1:15">
      <c r="A11" s="14" t="s">
        <v>71</v>
      </c>
      <c r="B11" s="14">
        <v>20</v>
      </c>
      <c r="C11" s="14">
        <v>13.94</v>
      </c>
      <c r="D11" s="14">
        <v>17.28</v>
      </c>
      <c r="E11" s="19">
        <f>B11*C11</f>
        <v>278.8</v>
      </c>
      <c r="F11" s="19">
        <v>345.6</v>
      </c>
      <c r="G11" s="2">
        <f t="shared" si="0"/>
        <v>0.19328703703703712</v>
      </c>
      <c r="H11" s="2">
        <f>F11/$L$1</f>
        <v>3.7540118557690401E-3</v>
      </c>
      <c r="I11">
        <f>G11*H11</f>
        <v>7.2560182860350686E-4</v>
      </c>
    </row>
    <row r="12" spans="1:15">
      <c r="A12" s="14" t="s">
        <v>72</v>
      </c>
      <c r="B12" s="14">
        <v>10</v>
      </c>
      <c r="C12" s="14">
        <v>138.82</v>
      </c>
      <c r="D12" s="14">
        <v>143.63</v>
      </c>
      <c r="E12" s="19">
        <f>B12*C12</f>
        <v>1388.1999999999998</v>
      </c>
      <c r="F12" s="19">
        <v>1436.3</v>
      </c>
      <c r="G12" s="2">
        <f t="shared" si="0"/>
        <v>3.3488825454292298E-2</v>
      </c>
      <c r="H12" s="2">
        <f>F12/$L$1</f>
        <v>1.5601525545257731E-2</v>
      </c>
      <c r="I12">
        <f>G12*H12</f>
        <v>5.2247676580581862E-4</v>
      </c>
    </row>
    <row r="13" spans="1:15">
      <c r="A13" s="14" t="s">
        <v>73</v>
      </c>
      <c r="B13" s="14">
        <v>1</v>
      </c>
      <c r="C13" s="14">
        <v>42</v>
      </c>
      <c r="D13" s="14">
        <v>40.1</v>
      </c>
      <c r="E13" s="19">
        <f>B13*C13</f>
        <v>42</v>
      </c>
      <c r="F13" s="19">
        <v>40.1</v>
      </c>
      <c r="G13" s="2">
        <f t="shared" si="0"/>
        <v>-4.7381546134663305E-2</v>
      </c>
      <c r="H13" s="2">
        <f>F13/$L$1</f>
        <v>4.3557834321857205E-4</v>
      </c>
      <c r="I13">
        <f>G13*H13</f>
        <v>-2.063837536447098E-5</v>
      </c>
    </row>
    <row r="14" spans="1:15">
      <c r="A14" t="s">
        <v>74</v>
      </c>
      <c r="B14">
        <v>50</v>
      </c>
      <c r="C14">
        <v>46.99</v>
      </c>
      <c r="D14">
        <v>52.99</v>
      </c>
      <c r="E14" s="19">
        <f>B14*C14</f>
        <v>2349.5</v>
      </c>
      <c r="F14" s="18">
        <v>2649.5</v>
      </c>
      <c r="G14" s="2">
        <f t="shared" si="0"/>
        <v>0.11322891111530477</v>
      </c>
      <c r="H14" s="2">
        <f>F14/$L$1</f>
        <v>2.877967133061363E-2</v>
      </c>
      <c r="I14">
        <f>G14*H14</f>
        <v>3.2586908470217356E-3</v>
      </c>
    </row>
    <row r="15" spans="1:15">
      <c r="A15" t="s">
        <v>75</v>
      </c>
      <c r="B15">
        <v>10</v>
      </c>
      <c r="C15">
        <v>52.09</v>
      </c>
      <c r="D15">
        <v>57.54</v>
      </c>
      <c r="E15" s="19">
        <f>B15*C15</f>
        <v>520.90000000000009</v>
      </c>
      <c r="F15" s="18">
        <v>575.4</v>
      </c>
      <c r="G15" s="2">
        <f t="shared" si="0"/>
        <v>9.4716718804309971E-2</v>
      </c>
      <c r="H15" s="2">
        <f>F15/$L$1</f>
        <v>6.2501690445876893E-3</v>
      </c>
      <c r="I15">
        <f>G15*H15</f>
        <v>5.9199550387561484E-4</v>
      </c>
    </row>
    <row r="16" spans="1:15">
      <c r="A16" t="s">
        <v>76</v>
      </c>
      <c r="B16">
        <v>100</v>
      </c>
      <c r="C16">
        <v>11.21</v>
      </c>
      <c r="D16">
        <v>11.15</v>
      </c>
      <c r="E16" s="19">
        <f>B16*C16</f>
        <v>1121</v>
      </c>
      <c r="F16" s="18">
        <v>1115</v>
      </c>
      <c r="G16" s="2">
        <f t="shared" si="0"/>
        <v>-5.3811659192825557E-3</v>
      </c>
      <c r="H16" s="2">
        <f>F16/$L$1</f>
        <v>1.2111467648097451E-2</v>
      </c>
      <c r="I16">
        <f>G16*H16</f>
        <v>-6.5173816940435257E-5</v>
      </c>
    </row>
    <row r="17" spans="1:9">
      <c r="A17" t="s">
        <v>77</v>
      </c>
      <c r="B17">
        <v>576</v>
      </c>
      <c r="C17">
        <v>80.89</v>
      </c>
      <c r="D17">
        <v>111.88</v>
      </c>
      <c r="E17" s="43">
        <f>B17*C17</f>
        <v>46592.639999999999</v>
      </c>
      <c r="F17" s="18">
        <v>59904</v>
      </c>
      <c r="G17" s="2">
        <f t="shared" si="0"/>
        <v>0.27699320700750801</v>
      </c>
      <c r="H17" s="2">
        <f>F17/$L$1</f>
        <v>0.65069538833330021</v>
      </c>
      <c r="I17">
        <f>G17*H17</f>
        <v>0.18023820239943664</v>
      </c>
    </row>
    <row r="18" spans="1:9">
      <c r="E18" s="19"/>
      <c r="F18" s="18"/>
      <c r="G18" s="2"/>
      <c r="H18" s="2"/>
    </row>
    <row r="19" spans="1:9" s="20" customFormat="1">
      <c r="A19" s="23" t="s">
        <v>20</v>
      </c>
      <c r="F19" s="25">
        <f>SUM(F3:F17)</f>
        <v>87037.68</v>
      </c>
      <c r="G19" s="37"/>
      <c r="H19" s="37">
        <f>SUM(H3:H17)</f>
        <v>0.94542963720668938</v>
      </c>
      <c r="I19" s="38">
        <f>SUM(I3:I17)</f>
        <v>0.20649542976839896</v>
      </c>
    </row>
    <row r="20" spans="1:9">
      <c r="F20" s="18"/>
    </row>
    <row r="21" spans="1:9" s="21" customFormat="1">
      <c r="A21" s="23" t="s">
        <v>22</v>
      </c>
      <c r="F21" s="24"/>
    </row>
    <row r="22" spans="1:9">
      <c r="A22" s="26" t="s">
        <v>78</v>
      </c>
      <c r="B22" s="27">
        <v>56</v>
      </c>
      <c r="C22" s="27">
        <v>88.55</v>
      </c>
      <c r="D22" s="27">
        <v>89.71</v>
      </c>
      <c r="E22" s="43">
        <f>B22*C22</f>
        <v>4958.8</v>
      </c>
      <c r="F22" s="29">
        <v>5023.83</v>
      </c>
      <c r="G22" s="40">
        <f>(D22-C22)/D22</f>
        <v>1.2930554007357003E-2</v>
      </c>
      <c r="H22" s="41">
        <f>F22/L1</f>
        <v>5.4570362793310692E-2</v>
      </c>
      <c r="I22" s="39">
        <f>G22*H22</f>
        <v>7.0562502329996903E-4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5C8D-B9CB-4EF7-97AF-6E9D2508253A}">
  <dimension ref="A1:P22"/>
  <sheetViews>
    <sheetView workbookViewId="0">
      <selection activeCell="A9" sqref="A1:F9"/>
    </sheetView>
  </sheetViews>
  <sheetFormatPr defaultColWidth="11.42578125" defaultRowHeight="15"/>
  <cols>
    <col min="2" max="2" width="17.140625" bestFit="1" customWidth="1"/>
    <col min="13" max="13" width="22.28515625" bestFit="1" customWidth="1"/>
  </cols>
  <sheetData>
    <row r="1" spans="1:16">
      <c r="D1" s="42">
        <f ca="1">TODAY()</f>
        <v>45730</v>
      </c>
      <c r="E1" s="42"/>
    </row>
    <row r="2" spans="1:16">
      <c r="A2" t="s">
        <v>79</v>
      </c>
      <c r="B2" t="s">
        <v>80</v>
      </c>
      <c r="C2" t="s">
        <v>36</v>
      </c>
      <c r="D2" t="s">
        <v>81</v>
      </c>
      <c r="E2" t="s">
        <v>82</v>
      </c>
      <c r="F2" t="s">
        <v>83</v>
      </c>
      <c r="G2" t="s">
        <v>84</v>
      </c>
      <c r="H2" t="s">
        <v>38</v>
      </c>
      <c r="I2" t="s">
        <v>62</v>
      </c>
    </row>
    <row r="3" spans="1:16">
      <c r="A3" t="s">
        <v>85</v>
      </c>
    </row>
    <row r="4" spans="1:16">
      <c r="A4" t="s">
        <v>86</v>
      </c>
      <c r="F4">
        <v>2572.29</v>
      </c>
      <c r="G4" s="40">
        <v>0.10879999999999999</v>
      </c>
      <c r="H4">
        <v>2572.29</v>
      </c>
      <c r="I4">
        <f>H4/H9</f>
        <v>7.2593119388390068E-2</v>
      </c>
      <c r="J4">
        <f>I4*G4</f>
        <v>7.8981313894568392E-3</v>
      </c>
      <c r="M4" t="s">
        <v>59</v>
      </c>
      <c r="N4" t="s">
        <v>60</v>
      </c>
      <c r="O4" t="s">
        <v>61</v>
      </c>
      <c r="P4" t="s">
        <v>56</v>
      </c>
    </row>
    <row r="5" spans="1:16">
      <c r="A5" t="s">
        <v>87</v>
      </c>
      <c r="B5">
        <v>9.4788879999999995</v>
      </c>
      <c r="C5">
        <v>1002</v>
      </c>
      <c r="D5" s="42">
        <v>45442</v>
      </c>
      <c r="E5">
        <f ca="1">D5-$D$1</f>
        <v>-288</v>
      </c>
      <c r="F5">
        <f>B5*C5</f>
        <v>9497.8457760000001</v>
      </c>
      <c r="G5" s="47">
        <v>0.11310000000000001</v>
      </c>
      <c r="H5">
        <v>9959.02</v>
      </c>
      <c r="I5">
        <f>H5/$H$9</f>
        <v>0.28105552945094237</v>
      </c>
      <c r="J5">
        <f>G5*I5</f>
        <v>3.1787380380901585E-2</v>
      </c>
      <c r="M5" s="42">
        <v>45425</v>
      </c>
      <c r="N5" s="18">
        <f>O5/(1+J9)</f>
        <v>31798.056082127317</v>
      </c>
      <c r="O5" s="18">
        <v>35434.35</v>
      </c>
      <c r="P5" s="48">
        <f>(O5-N5)/N5</f>
        <v>0.11435585585738138</v>
      </c>
    </row>
    <row r="6" spans="1:16">
      <c r="A6" t="s">
        <v>88</v>
      </c>
      <c r="B6">
        <v>9.0024999999999995</v>
      </c>
      <c r="C6">
        <v>677</v>
      </c>
      <c r="D6" s="42">
        <v>45470</v>
      </c>
      <c r="E6">
        <f ca="1">D6-$D$1</f>
        <v>-260</v>
      </c>
      <c r="F6">
        <f>B6*C6</f>
        <v>6094.6925000000001</v>
      </c>
      <c r="G6" s="47">
        <v>0.114</v>
      </c>
      <c r="H6">
        <v>6671.17</v>
      </c>
      <c r="I6">
        <f>H6/$H$9</f>
        <v>0.18826844573133128</v>
      </c>
      <c r="J6">
        <f>G6*I6</f>
        <v>2.1462602813371767E-2</v>
      </c>
      <c r="M6" s="42">
        <v>45425</v>
      </c>
      <c r="N6" s="18">
        <v>12000</v>
      </c>
      <c r="O6" s="18">
        <f>N6</f>
        <v>12000</v>
      </c>
      <c r="P6" s="48">
        <f>(O6-N6)/N6</f>
        <v>0</v>
      </c>
    </row>
    <row r="7" spans="1:16">
      <c r="A7" t="s">
        <v>89</v>
      </c>
      <c r="B7">
        <v>8.945411</v>
      </c>
      <c r="C7">
        <v>1514</v>
      </c>
      <c r="D7" s="42">
        <v>45554</v>
      </c>
      <c r="E7">
        <f ca="1">D7-$D$1</f>
        <v>-176</v>
      </c>
      <c r="F7">
        <f>B7*C7</f>
        <v>13543.352253999999</v>
      </c>
      <c r="G7" s="47">
        <v>0.1166</v>
      </c>
      <c r="H7">
        <v>14544.82</v>
      </c>
      <c r="I7">
        <f>H7/$H$9</f>
        <v>0.41047232417131957</v>
      </c>
      <c r="J7">
        <f>G7*I7</f>
        <v>4.7861072998375859E-2</v>
      </c>
      <c r="M7" t="s">
        <v>21</v>
      </c>
      <c r="N7" s="18">
        <f>N5+N6</f>
        <v>43798.056082127317</v>
      </c>
      <c r="O7" s="18">
        <f>O6+O5</f>
        <v>47434.35</v>
      </c>
    </row>
    <row r="8" spans="1:16">
      <c r="A8" t="s">
        <v>90</v>
      </c>
      <c r="B8">
        <v>8.9825909999999993</v>
      </c>
      <c r="C8">
        <v>180</v>
      </c>
      <c r="D8" s="42">
        <v>45637</v>
      </c>
      <c r="E8">
        <f ca="1">D8-$D$1</f>
        <v>-93</v>
      </c>
      <c r="F8">
        <f>B8*C8</f>
        <v>1616.8663799999999</v>
      </c>
      <c r="G8" s="47">
        <v>0.1123</v>
      </c>
      <c r="H8">
        <v>1687.05</v>
      </c>
      <c r="I8">
        <f>H8/$H$9</f>
        <v>4.7610581258016579E-2</v>
      </c>
      <c r="J8">
        <f>G8*I8</f>
        <v>5.3466682752752615E-3</v>
      </c>
    </row>
    <row r="9" spans="1:16">
      <c r="F9">
        <f>SUM(F5:F8)</f>
        <v>30752.756909999996</v>
      </c>
      <c r="H9" s="18">
        <f>SUM(H4:H8)</f>
        <v>35434.350000000006</v>
      </c>
      <c r="J9" s="39">
        <f>SUM(J4:J8)</f>
        <v>0.11435585585738131</v>
      </c>
    </row>
    <row r="18" spans="1:1">
      <c r="A18" t="s">
        <v>25</v>
      </c>
    </row>
    <row r="20" spans="1:1">
      <c r="A20" t="s">
        <v>45</v>
      </c>
    </row>
    <row r="21" spans="1:1">
      <c r="A21" t="s">
        <v>44</v>
      </c>
    </row>
    <row r="22" spans="1:1">
      <c r="A2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8C873-83C3-4087-8CDC-FF4ED91E9EB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Javier Vargas Fentanes</dc:creator>
  <cp:keywords/>
  <dc:description/>
  <cp:lastModifiedBy>Francisco Javier Vargas Fentanes</cp:lastModifiedBy>
  <cp:revision/>
  <dcterms:created xsi:type="dcterms:W3CDTF">2024-05-10T19:03:16Z</dcterms:created>
  <dcterms:modified xsi:type="dcterms:W3CDTF">2025-03-14T14:28:18Z</dcterms:modified>
  <cp:category/>
  <cp:contentStatus/>
</cp:coreProperties>
</file>