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UI/images/vertex42_logo0.png" ContentType="image/.png"/>
  <Override PartName="/customUI/images/vertex42_logo.png" ContentType="image/.png"/>
  <Override PartName="/customUI/images/personal-monthly-budget_180.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8953a91e1d294b72" Type="http://schemas.microsoft.com/office/2006/relationships/ui/extensibility" Target="customUI/customUI.xml"/><Relationship Id="R47968f6ed1a44332" Type="http://schemas.microsoft.com/office/2007/relationships/ui/extensibility" Target="customUI/customUI14.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06"/>
  <workbookPr codeName="ThisWorkbook"/>
  <mc:AlternateContent xmlns:mc="http://schemas.openxmlformats.org/markup-compatibility/2006">
    <mc:Choice Requires="x15">
      <x15ac:absPath xmlns:x15ac="http://schemas.microsoft.com/office/spreadsheetml/2010/11/ac" url="C:\Users\fvfentanes\Downloads\"/>
    </mc:Choice>
  </mc:AlternateContent>
  <xr:revisionPtr revIDLastSave="600" documentId="13_ncr:1_{D9DADCCD-C477-4915-8DCC-BCA97B656587}" xr6:coauthVersionLast="47" xr6:coauthVersionMax="47" xr10:uidLastSave="{A152490A-4FAA-4CEF-9CB7-6C84B40E6B15}"/>
  <bookViews>
    <workbookView xWindow="23880" yWindow="-120" windowWidth="24240" windowHeight="13020" firstSheet="5" activeTab="5" xr2:uid="{00000000-000D-0000-FFFF-FFFF00000000}"/>
  </bookViews>
  <sheets>
    <sheet name="Agosto" sheetId="1" r:id="rId1"/>
    <sheet name="Septiembre" sheetId="6" r:id="rId2"/>
    <sheet name="Hoja1" sheetId="9" r:id="rId3"/>
    <sheet name="Noviembre" sheetId="10" r:id="rId4"/>
    <sheet name="Diciembre" sheetId="11" r:id="rId5"/>
    <sheet name="Enero" sheetId="14" r:id="rId6"/>
    <sheet name="Dash" sheetId="7" r:id="rId7"/>
    <sheet name="Renta Fija" sheetId="8" r:id="rId8"/>
    <sheet name="VIDA" sheetId="12" r:id="rId9"/>
    <sheet name="RISK" sheetId="13" r:id="rId10"/>
    <sheet name="Help" sheetId="2" r:id="rId11"/>
    <sheet name="©" sheetId="5" r:id="rId12"/>
  </sheets>
  <definedNames>
    <definedName name="_xlnm._FilterDatabase" localSheetId="7" hidden="1">'Renta Fija'!$C$10:$L$10</definedName>
    <definedName name="_xlnm.Print_Area" localSheetId="11">'©'!$A:$C</definedName>
    <definedName name="_xlnm.Print_Area" localSheetId="0">Agosto!$A$1:$I$63</definedName>
    <definedName name="_xlnm.Print_Area" localSheetId="4">Septiembre!$A$1:$I$63</definedName>
    <definedName name="_xlnm.Print_Area" localSheetId="5">Septiembre!$A$1:$I$63</definedName>
    <definedName name="_xlnm.Print_Area" localSheetId="10">Help!$A:$C</definedName>
    <definedName name="_xlnm.Print_Area" localSheetId="3">Septiembre!$A$1:$I$63</definedName>
    <definedName name="_xlnm.Print_Area" localSheetId="1">Septiembre!$A$1:$I$63</definedName>
    <definedName name="valuevx">42.314159</definedName>
    <definedName name="vertex42_copyright" hidden="1">"© 2008-2019 Vertex42 LLC"</definedName>
    <definedName name="vertex42_id" hidden="1">"personal-monthly-budget.xlsx"</definedName>
    <definedName name="vertex42_title" hidden="1">"Personal Monthly Budget"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7" i="8" l="1"/>
  <c r="I23" i="8"/>
  <c r="M12" i="8"/>
  <c r="C4" i="12"/>
  <c r="C3" i="12"/>
  <c r="B1" i="12"/>
  <c r="H63" i="14"/>
  <c r="G63" i="14"/>
  <c r="F63" i="14"/>
  <c r="C63" i="14"/>
  <c r="B63" i="14"/>
  <c r="A63" i="14"/>
  <c r="I62" i="14"/>
  <c r="D62" i="14"/>
  <c r="I61" i="14"/>
  <c r="D61" i="14"/>
  <c r="I60" i="14"/>
  <c r="D60" i="14"/>
  <c r="I59" i="14"/>
  <c r="I63" i="14" s="1"/>
  <c r="D59" i="14"/>
  <c r="D63" i="14" s="1"/>
  <c r="H56" i="14"/>
  <c r="G56" i="14"/>
  <c r="F56" i="14"/>
  <c r="C56" i="14"/>
  <c r="B56" i="14"/>
  <c r="A56" i="14"/>
  <c r="I55" i="14"/>
  <c r="D55" i="14"/>
  <c r="I54" i="14"/>
  <c r="D54" i="14"/>
  <c r="I53" i="14"/>
  <c r="D53" i="14"/>
  <c r="I52" i="14"/>
  <c r="D52" i="14"/>
  <c r="D56" i="14" s="1"/>
  <c r="I51" i="14"/>
  <c r="I50" i="14"/>
  <c r="I49" i="14"/>
  <c r="C49" i="14"/>
  <c r="B49" i="14"/>
  <c r="A49" i="14"/>
  <c r="I48" i="14"/>
  <c r="I56" i="14" s="1"/>
  <c r="D48" i="14"/>
  <c r="D47" i="14"/>
  <c r="D46" i="14"/>
  <c r="H45" i="14"/>
  <c r="G45" i="14"/>
  <c r="F45" i="14"/>
  <c r="D45" i="14"/>
  <c r="I44" i="14"/>
  <c r="D44" i="14"/>
  <c r="I43" i="14"/>
  <c r="D43" i="14"/>
  <c r="I42" i="14"/>
  <c r="D42" i="14"/>
  <c r="D49" i="14" s="1"/>
  <c r="I41" i="14"/>
  <c r="I40" i="14"/>
  <c r="I39" i="14"/>
  <c r="C39" i="14"/>
  <c r="B39" i="14"/>
  <c r="A39" i="14"/>
  <c r="I38" i="14"/>
  <c r="I45" i="14" s="1"/>
  <c r="D38" i="14"/>
  <c r="D37" i="14"/>
  <c r="D36" i="14"/>
  <c r="H35" i="14"/>
  <c r="G35" i="14"/>
  <c r="F35" i="14"/>
  <c r="D35" i="14"/>
  <c r="I34" i="14"/>
  <c r="D34" i="14"/>
  <c r="I33" i="14"/>
  <c r="D33" i="14"/>
  <c r="I32" i="14"/>
  <c r="D32" i="14"/>
  <c r="D39" i="14" s="1"/>
  <c r="I31" i="14"/>
  <c r="I30" i="14"/>
  <c r="I29" i="14"/>
  <c r="C29" i="14"/>
  <c r="B29" i="14"/>
  <c r="A29" i="14"/>
  <c r="I28" i="14"/>
  <c r="D28" i="14"/>
  <c r="I27" i="14"/>
  <c r="D27" i="14"/>
  <c r="I26" i="14"/>
  <c r="D26" i="14"/>
  <c r="I25" i="14"/>
  <c r="D25" i="14"/>
  <c r="I24" i="14"/>
  <c r="I35" i="14" s="1"/>
  <c r="D24" i="14"/>
  <c r="D23" i="14"/>
  <c r="D22" i="14"/>
  <c r="H21" i="14"/>
  <c r="G21" i="14"/>
  <c r="F21" i="14"/>
  <c r="D21" i="14"/>
  <c r="I20" i="14"/>
  <c r="D20" i="14"/>
  <c r="I19" i="14"/>
  <c r="D19" i="14"/>
  <c r="I18" i="14"/>
  <c r="D18" i="14"/>
  <c r="I17" i="14"/>
  <c r="D17" i="14"/>
  <c r="I16" i="14"/>
  <c r="D16" i="14"/>
  <c r="D29" i="14" s="1"/>
  <c r="I15" i="14"/>
  <c r="I14" i="14"/>
  <c r="I13" i="14"/>
  <c r="C13" i="14"/>
  <c r="B13" i="14"/>
  <c r="A13" i="14"/>
  <c r="I12" i="14"/>
  <c r="D12" i="14"/>
  <c r="I11" i="14"/>
  <c r="I21" i="14" s="1"/>
  <c r="D11" i="14"/>
  <c r="D10" i="14"/>
  <c r="D9" i="14"/>
  <c r="D8" i="14"/>
  <c r="D7" i="14"/>
  <c r="H6" i="14"/>
  <c r="G6" i="14"/>
  <c r="I6" i="14" s="1"/>
  <c r="D6" i="14"/>
  <c r="H5" i="14"/>
  <c r="H7" i="14" s="1"/>
  <c r="G5" i="14"/>
  <c r="D5" i="14"/>
  <c r="D13" i="14" s="1"/>
  <c r="B5" i="10"/>
  <c r="G6" i="8"/>
  <c r="G4" i="8"/>
  <c r="J3" i="8"/>
  <c r="F15" i="8"/>
  <c r="F14" i="8"/>
  <c r="F13" i="8"/>
  <c r="N9" i="8" a="1"/>
  <c r="N9" i="8"/>
  <c r="D2" i="8"/>
  <c r="E2" i="8" s="1"/>
  <c r="H63" i="11"/>
  <c r="G63" i="11"/>
  <c r="F63" i="11"/>
  <c r="C63" i="11"/>
  <c r="B63" i="11"/>
  <c r="A63" i="11"/>
  <c r="I62" i="11"/>
  <c r="D62" i="11"/>
  <c r="I61" i="11"/>
  <c r="D61" i="11"/>
  <c r="I60" i="11"/>
  <c r="D60" i="11"/>
  <c r="I59" i="11"/>
  <c r="I63" i="11" s="1"/>
  <c r="D59" i="11"/>
  <c r="D63" i="11" s="1"/>
  <c r="H56" i="11"/>
  <c r="G56" i="11"/>
  <c r="F56" i="11"/>
  <c r="C56" i="11"/>
  <c r="B56" i="11"/>
  <c r="A56" i="11"/>
  <c r="I55" i="11"/>
  <c r="D55" i="11"/>
  <c r="I54" i="11"/>
  <c r="D54" i="11"/>
  <c r="I53" i="11"/>
  <c r="D53" i="11"/>
  <c r="I52" i="11"/>
  <c r="D52" i="11"/>
  <c r="D56" i="11" s="1"/>
  <c r="I51" i="11"/>
  <c r="I50" i="11"/>
  <c r="I49" i="11"/>
  <c r="C49" i="11"/>
  <c r="B49" i="11"/>
  <c r="A49" i="11"/>
  <c r="I48" i="11"/>
  <c r="I56" i="11" s="1"/>
  <c r="D48" i="11"/>
  <c r="D47" i="11"/>
  <c r="D46" i="11"/>
  <c r="H45" i="11"/>
  <c r="G45" i="11"/>
  <c r="F45" i="11"/>
  <c r="D45" i="11"/>
  <c r="I44" i="11"/>
  <c r="D44" i="11"/>
  <c r="I43" i="11"/>
  <c r="D43" i="11"/>
  <c r="I42" i="11"/>
  <c r="D42" i="11"/>
  <c r="D49" i="11" s="1"/>
  <c r="I41" i="11"/>
  <c r="I40" i="11"/>
  <c r="I39" i="11"/>
  <c r="C39" i="11"/>
  <c r="B39" i="11"/>
  <c r="A39" i="11"/>
  <c r="I38" i="11"/>
  <c r="I45" i="11" s="1"/>
  <c r="D38" i="11"/>
  <c r="D37" i="11"/>
  <c r="D36" i="11"/>
  <c r="H35" i="11"/>
  <c r="G35" i="11"/>
  <c r="F35" i="11"/>
  <c r="D35" i="11"/>
  <c r="I34" i="11"/>
  <c r="D34" i="11"/>
  <c r="I33" i="11"/>
  <c r="D33" i="11"/>
  <c r="I32" i="11"/>
  <c r="D32" i="11"/>
  <c r="D39" i="11" s="1"/>
  <c r="I31" i="11"/>
  <c r="I30" i="11"/>
  <c r="I29" i="11"/>
  <c r="C29" i="11"/>
  <c r="B29" i="11"/>
  <c r="A29" i="11"/>
  <c r="I28" i="11"/>
  <c r="D28" i="11"/>
  <c r="I27" i="11"/>
  <c r="D27" i="11"/>
  <c r="I26" i="11"/>
  <c r="D26" i="11"/>
  <c r="I25" i="11"/>
  <c r="D25" i="11"/>
  <c r="I24" i="11"/>
  <c r="I35" i="11" s="1"/>
  <c r="D24" i="11"/>
  <c r="D23" i="11"/>
  <c r="D22" i="11"/>
  <c r="G21" i="11"/>
  <c r="F21" i="11"/>
  <c r="D21" i="11"/>
  <c r="I20" i="11"/>
  <c r="D20" i="11"/>
  <c r="I19" i="11"/>
  <c r="D19" i="11"/>
  <c r="I18" i="11"/>
  <c r="D18" i="11"/>
  <c r="I17" i="11"/>
  <c r="D17" i="11"/>
  <c r="D16" i="11"/>
  <c r="D29" i="11" s="1"/>
  <c r="I15" i="11"/>
  <c r="I14" i="11"/>
  <c r="I13" i="11"/>
  <c r="C13" i="11"/>
  <c r="A13" i="11"/>
  <c r="I12" i="11"/>
  <c r="D12" i="11"/>
  <c r="I11" i="11"/>
  <c r="D11" i="11"/>
  <c r="D10" i="11"/>
  <c r="D9" i="11"/>
  <c r="D8" i="11"/>
  <c r="D7" i="11"/>
  <c r="G6" i="11"/>
  <c r="D6" i="11"/>
  <c r="H5" i="11"/>
  <c r="H16" i="10"/>
  <c r="D16" i="10"/>
  <c r="H63" i="10"/>
  <c r="G63" i="10"/>
  <c r="F63" i="10"/>
  <c r="C63" i="10"/>
  <c r="B63" i="10"/>
  <c r="A63" i="10"/>
  <c r="I62" i="10"/>
  <c r="D62" i="10"/>
  <c r="I61" i="10"/>
  <c r="D61" i="10"/>
  <c r="I60" i="10"/>
  <c r="D60" i="10"/>
  <c r="I59" i="10"/>
  <c r="I63" i="10" s="1"/>
  <c r="D59" i="10"/>
  <c r="D63" i="10" s="1"/>
  <c r="H56" i="10"/>
  <c r="G56" i="10"/>
  <c r="F56" i="10"/>
  <c r="C56" i="10"/>
  <c r="B56" i="10"/>
  <c r="A56" i="10"/>
  <c r="I55" i="10"/>
  <c r="D55" i="10"/>
  <c r="I54" i="10"/>
  <c r="D54" i="10"/>
  <c r="I53" i="10"/>
  <c r="D53" i="10"/>
  <c r="I52" i="10"/>
  <c r="D52" i="10"/>
  <c r="D56" i="10" s="1"/>
  <c r="I51" i="10"/>
  <c r="I50" i="10"/>
  <c r="I49" i="10"/>
  <c r="C49" i="10"/>
  <c r="B49" i="10"/>
  <c r="A49" i="10"/>
  <c r="I48" i="10"/>
  <c r="I56" i="10" s="1"/>
  <c r="D48" i="10"/>
  <c r="D47" i="10"/>
  <c r="D46" i="10"/>
  <c r="H45" i="10"/>
  <c r="G45" i="10"/>
  <c r="F45" i="10"/>
  <c r="D45" i="10"/>
  <c r="I44" i="10"/>
  <c r="D44" i="10"/>
  <c r="I43" i="10"/>
  <c r="D43" i="10"/>
  <c r="I42" i="10"/>
  <c r="D42" i="10"/>
  <c r="D49" i="10" s="1"/>
  <c r="I41" i="10"/>
  <c r="I40" i="10"/>
  <c r="I39" i="10"/>
  <c r="C39" i="10"/>
  <c r="B39" i="10"/>
  <c r="A39" i="10"/>
  <c r="I38" i="10"/>
  <c r="I45" i="10" s="1"/>
  <c r="D38" i="10"/>
  <c r="D37" i="10"/>
  <c r="D36" i="10"/>
  <c r="H35" i="10"/>
  <c r="G35" i="10"/>
  <c r="F35" i="10"/>
  <c r="D35" i="10"/>
  <c r="I34" i="10"/>
  <c r="D34" i="10"/>
  <c r="I33" i="10"/>
  <c r="D33" i="10"/>
  <c r="I32" i="10"/>
  <c r="D32" i="10"/>
  <c r="D39" i="10" s="1"/>
  <c r="I31" i="10"/>
  <c r="I30" i="10"/>
  <c r="I29" i="10"/>
  <c r="C29" i="10"/>
  <c r="B29" i="10"/>
  <c r="A29" i="10"/>
  <c r="I28" i="10"/>
  <c r="D28" i="10"/>
  <c r="I27" i="10"/>
  <c r="D27" i="10"/>
  <c r="I26" i="10"/>
  <c r="D26" i="10"/>
  <c r="I25" i="10"/>
  <c r="D25" i="10"/>
  <c r="I24" i="10"/>
  <c r="I35" i="10" s="1"/>
  <c r="D24" i="10"/>
  <c r="D23" i="10"/>
  <c r="D22" i="10"/>
  <c r="G21" i="10"/>
  <c r="F21" i="10"/>
  <c r="D21" i="10"/>
  <c r="I20" i="10"/>
  <c r="D20" i="10"/>
  <c r="I19" i="10"/>
  <c r="D19" i="10"/>
  <c r="I18" i="10"/>
  <c r="D18" i="10"/>
  <c r="I17" i="10"/>
  <c r="D17" i="10"/>
  <c r="D29" i="10"/>
  <c r="I15" i="10"/>
  <c r="I14" i="10"/>
  <c r="I13" i="10"/>
  <c r="A13" i="10"/>
  <c r="I12" i="10"/>
  <c r="D12" i="10"/>
  <c r="I11" i="10"/>
  <c r="D10" i="10"/>
  <c r="D9" i="10"/>
  <c r="D8" i="10"/>
  <c r="D7" i="10"/>
  <c r="G6" i="10"/>
  <c r="D6" i="10"/>
  <c r="E3" i="7"/>
  <c r="B3" i="7"/>
  <c r="D16" i="6"/>
  <c r="D17" i="6"/>
  <c r="D18" i="6"/>
  <c r="D19" i="6"/>
  <c r="D20" i="6"/>
  <c r="D21" i="6"/>
  <c r="D22" i="6"/>
  <c r="D23" i="6"/>
  <c r="D24" i="6"/>
  <c r="D25" i="6"/>
  <c r="D26" i="6"/>
  <c r="D27" i="6"/>
  <c r="D28" i="6"/>
  <c r="F12" i="8"/>
  <c r="C8" i="8"/>
  <c r="F11" i="8"/>
  <c r="G23" i="7"/>
  <c r="G24" i="7"/>
  <c r="G25" i="7"/>
  <c r="I25" i="7" s="1"/>
  <c r="G26" i="7"/>
  <c r="I26" i="7" s="1"/>
  <c r="G27" i="7"/>
  <c r="I27" i="7" s="1"/>
  <c r="G28" i="7"/>
  <c r="I28" i="7" s="1"/>
  <c r="G29" i="7"/>
  <c r="I29" i="7" s="1"/>
  <c r="G30" i="7"/>
  <c r="I30" i="7" s="1"/>
  <c r="G31" i="7"/>
  <c r="I31" i="7" s="1"/>
  <c r="G32" i="7"/>
  <c r="I32" i="7" s="1"/>
  <c r="G33" i="7"/>
  <c r="I33" i="7" s="1"/>
  <c r="G34" i="7"/>
  <c r="I34" i="7" s="1"/>
  <c r="G35" i="7"/>
  <c r="I35" i="7" s="1"/>
  <c r="G36" i="7"/>
  <c r="I36" i="7" s="1"/>
  <c r="G37" i="7"/>
  <c r="I37" i="7" s="1"/>
  <c r="G38" i="7"/>
  <c r="I38" i="7" s="1"/>
  <c r="G39" i="7"/>
  <c r="I39" i="7" s="1"/>
  <c r="G40" i="7"/>
  <c r="I40" i="7" s="1"/>
  <c r="G41" i="7"/>
  <c r="I41" i="7" s="1"/>
  <c r="G42" i="7"/>
  <c r="I42" i="7" s="1"/>
  <c r="G43" i="7"/>
  <c r="I43" i="7" s="1"/>
  <c r="B2" i="7"/>
  <c r="D44" i="7"/>
  <c r="B44" i="7"/>
  <c r="C4" i="8" s="1"/>
  <c r="H6" i="8" s="1"/>
  <c r="G3" i="7"/>
  <c r="G4" i="7"/>
  <c r="G5" i="7"/>
  <c r="G6" i="7"/>
  <c r="G7" i="7"/>
  <c r="G8" i="7"/>
  <c r="G9" i="7"/>
  <c r="G10" i="7"/>
  <c r="G11" i="7"/>
  <c r="G12" i="7"/>
  <c r="G13" i="7"/>
  <c r="G14" i="7"/>
  <c r="G15" i="7"/>
  <c r="G16" i="7"/>
  <c r="G17" i="7"/>
  <c r="G18" i="7"/>
  <c r="G19" i="7"/>
  <c r="G20" i="7"/>
  <c r="G21" i="7"/>
  <c r="G22" i="7"/>
  <c r="I3" i="7"/>
  <c r="I4" i="7"/>
  <c r="I5" i="7"/>
  <c r="I6" i="7"/>
  <c r="I7" i="7"/>
  <c r="I8" i="7"/>
  <c r="I9" i="7"/>
  <c r="I10" i="7"/>
  <c r="I11" i="7"/>
  <c r="I12" i="7"/>
  <c r="I13" i="7"/>
  <c r="I14" i="7"/>
  <c r="I15" i="7"/>
  <c r="I16" i="7"/>
  <c r="I17" i="7"/>
  <c r="I18" i="7"/>
  <c r="I19" i="7"/>
  <c r="I20" i="7"/>
  <c r="I21" i="7"/>
  <c r="I22" i="7"/>
  <c r="I23" i="7"/>
  <c r="I24" i="7"/>
  <c r="G2" i="7"/>
  <c r="I2" i="7" s="1"/>
  <c r="C11" i="6"/>
  <c r="H16" i="6"/>
  <c r="H63" i="6"/>
  <c r="G63" i="6"/>
  <c r="F63" i="6"/>
  <c r="D63" i="6"/>
  <c r="C63" i="6"/>
  <c r="B63" i="6"/>
  <c r="A63" i="6"/>
  <c r="I62" i="6"/>
  <c r="D62" i="6"/>
  <c r="I61" i="6"/>
  <c r="D61" i="6"/>
  <c r="I60" i="6"/>
  <c r="D60" i="6"/>
  <c r="I59" i="6"/>
  <c r="I63" i="6" s="1"/>
  <c r="D59" i="6"/>
  <c r="H56" i="6"/>
  <c r="G56" i="6"/>
  <c r="F56" i="6"/>
  <c r="C56" i="6"/>
  <c r="B56" i="6"/>
  <c r="A56" i="6"/>
  <c r="I55" i="6"/>
  <c r="D55" i="6"/>
  <c r="I54" i="6"/>
  <c r="D54" i="6"/>
  <c r="I53" i="6"/>
  <c r="D53" i="6"/>
  <c r="I52" i="6"/>
  <c r="D52" i="6"/>
  <c r="D56" i="6" s="1"/>
  <c r="I51" i="6"/>
  <c r="I50" i="6"/>
  <c r="I49" i="6"/>
  <c r="I56" i="6" s="1"/>
  <c r="C49" i="6"/>
  <c r="B49" i="6"/>
  <c r="A49" i="6"/>
  <c r="I48" i="6"/>
  <c r="D48" i="6"/>
  <c r="D47" i="6"/>
  <c r="D46" i="6"/>
  <c r="H45" i="6"/>
  <c r="G45" i="6"/>
  <c r="F45" i="6"/>
  <c r="D45" i="6"/>
  <c r="I44" i="6"/>
  <c r="D44" i="6"/>
  <c r="I43" i="6"/>
  <c r="D43" i="6"/>
  <c r="D49" i="6" s="1"/>
  <c r="I42" i="6"/>
  <c r="D42" i="6"/>
  <c r="I41" i="6"/>
  <c r="I40" i="6"/>
  <c r="I39" i="6"/>
  <c r="I45" i="6" s="1"/>
  <c r="C39" i="6"/>
  <c r="B39" i="6"/>
  <c r="A39" i="6"/>
  <c r="I38" i="6"/>
  <c r="D38" i="6"/>
  <c r="D37" i="6"/>
  <c r="D36" i="6"/>
  <c r="H35" i="6"/>
  <c r="G35" i="6"/>
  <c r="F35" i="6"/>
  <c r="D35" i="6"/>
  <c r="I34" i="6"/>
  <c r="D34" i="6"/>
  <c r="I33" i="6"/>
  <c r="D33" i="6"/>
  <c r="I32" i="6"/>
  <c r="D32" i="6"/>
  <c r="D39" i="6" s="1"/>
  <c r="I31" i="6"/>
  <c r="I30" i="6"/>
  <c r="I29" i="6"/>
  <c r="C29" i="6"/>
  <c r="B29" i="6"/>
  <c r="A29" i="6"/>
  <c r="I28" i="6"/>
  <c r="I27" i="6"/>
  <c r="I26" i="6"/>
  <c r="I35" i="6" s="1"/>
  <c r="I25" i="6"/>
  <c r="I24" i="6"/>
  <c r="H21" i="6"/>
  <c r="H6" i="6" s="1"/>
  <c r="G21" i="6"/>
  <c r="F21" i="6"/>
  <c r="I20" i="6"/>
  <c r="I19" i="6"/>
  <c r="I18" i="6"/>
  <c r="I17" i="6"/>
  <c r="I16" i="6"/>
  <c r="D29" i="6"/>
  <c r="I15" i="6"/>
  <c r="I14" i="6"/>
  <c r="I13" i="6"/>
  <c r="C13" i="6"/>
  <c r="H5" i="6" s="1"/>
  <c r="A13" i="6"/>
  <c r="I12" i="6"/>
  <c r="D12" i="6"/>
  <c r="I11" i="6"/>
  <c r="I21" i="6" s="1"/>
  <c r="D11" i="6"/>
  <c r="D10" i="6"/>
  <c r="D9" i="6"/>
  <c r="D8" i="6"/>
  <c r="D7" i="6"/>
  <c r="D6" i="6"/>
  <c r="B5" i="6"/>
  <c r="B13" i="6" s="1"/>
  <c r="G5" i="6" s="1"/>
  <c r="G7" i="1"/>
  <c r="G6" i="1"/>
  <c r="B5" i="1"/>
  <c r="I54" i="1"/>
  <c r="I53" i="1"/>
  <c r="G7" i="14" l="1"/>
  <c r="I5" i="14"/>
  <c r="I7" i="14"/>
  <c r="K16" i="8"/>
  <c r="K17" i="8"/>
  <c r="D4" i="8"/>
  <c r="H4" i="8" s="1"/>
  <c r="K14" i="8"/>
  <c r="K15" i="8"/>
  <c r="K12" i="8"/>
  <c r="K13" i="8"/>
  <c r="K11" i="8"/>
  <c r="B13" i="11"/>
  <c r="G5" i="11" s="1"/>
  <c r="D5" i="11"/>
  <c r="D13" i="11" s="1"/>
  <c r="H21" i="11"/>
  <c r="H6" i="11" s="1"/>
  <c r="I16" i="11"/>
  <c r="I21" i="11" s="1"/>
  <c r="B13" i="10"/>
  <c r="G5" i="10" s="1"/>
  <c r="D5" i="10"/>
  <c r="C13" i="10"/>
  <c r="H5" i="10" s="1"/>
  <c r="D11" i="10"/>
  <c r="H21" i="10"/>
  <c r="H6" i="10" s="1"/>
  <c r="I16" i="10"/>
  <c r="I21" i="10" s="1"/>
  <c r="H7" i="6"/>
  <c r="G6" i="6"/>
  <c r="G7" i="6" s="1"/>
  <c r="I5" i="6"/>
  <c r="D5" i="6"/>
  <c r="D13" i="6" s="1"/>
  <c r="I43" i="1"/>
  <c r="I17" i="1"/>
  <c r="I18" i="1"/>
  <c r="H7" i="11" l="1"/>
  <c r="I6" i="11"/>
  <c r="G7" i="11"/>
  <c r="I5" i="11"/>
  <c r="I6" i="10"/>
  <c r="H7" i="10"/>
  <c r="D13" i="10"/>
  <c r="G7" i="10"/>
  <c r="I5" i="10"/>
  <c r="I6" i="6"/>
  <c r="I7" i="6"/>
  <c r="B45" i="2"/>
  <c r="B43" i="2"/>
  <c r="B41" i="2"/>
  <c r="B39" i="2"/>
  <c r="B37" i="2"/>
  <c r="B35" i="2"/>
  <c r="I7" i="11" l="1"/>
  <c r="I7" i="10"/>
  <c r="B47" i="2"/>
  <c r="H63" i="1" l="1"/>
  <c r="G63" i="1"/>
  <c r="C63" i="1"/>
  <c r="B63" i="1"/>
  <c r="H56" i="1"/>
  <c r="G56" i="1"/>
  <c r="C56" i="1"/>
  <c r="B56" i="1"/>
  <c r="C49" i="1"/>
  <c r="B49" i="1"/>
  <c r="H45" i="1"/>
  <c r="G45" i="1"/>
  <c r="C39" i="1"/>
  <c r="B39" i="1"/>
  <c r="H35" i="1"/>
  <c r="G35" i="1"/>
  <c r="C29" i="1"/>
  <c r="B29" i="1"/>
  <c r="G21" i="1"/>
  <c r="H21" i="1"/>
  <c r="C13" i="1"/>
  <c r="B13" i="1"/>
  <c r="G5" i="1" s="1"/>
  <c r="I39" i="1" l="1"/>
  <c r="I40" i="1"/>
  <c r="I27" i="1"/>
  <c r="I28" i="1"/>
  <c r="I29" i="1"/>
  <c r="I30" i="1"/>
  <c r="I31" i="1"/>
  <c r="I12" i="1"/>
  <c r="I13" i="1"/>
  <c r="I14" i="1"/>
  <c r="I15" i="1"/>
  <c r="I16" i="1"/>
  <c r="I19" i="1"/>
  <c r="I20" i="1"/>
  <c r="F21" i="1" l="1"/>
  <c r="F35" i="1"/>
  <c r="F45" i="1"/>
  <c r="F56" i="1"/>
  <c r="F63" i="1"/>
  <c r="A63" i="1"/>
  <c r="A56" i="1"/>
  <c r="A49" i="1"/>
  <c r="A39" i="1"/>
  <c r="A29" i="1"/>
  <c r="A13" i="1"/>
  <c r="H6" i="1"/>
  <c r="H5" i="1"/>
  <c r="I6" i="1" l="1"/>
  <c r="I5" i="1"/>
  <c r="I61" i="1"/>
  <c r="I42" i="1"/>
  <c r="D12" i="1"/>
  <c r="D11" i="1"/>
  <c r="D10" i="1"/>
  <c r="D9" i="1"/>
  <c r="D8" i="1"/>
  <c r="D7" i="1"/>
  <c r="D6" i="1"/>
  <c r="D5" i="1"/>
  <c r="I34" i="1"/>
  <c r="D25" i="1"/>
  <c r="I44" i="1"/>
  <c r="I41" i="1"/>
  <c r="I38" i="1"/>
  <c r="D46" i="1"/>
  <c r="D45" i="1"/>
  <c r="D44" i="1"/>
  <c r="D47" i="1"/>
  <c r="D43" i="1"/>
  <c r="D48" i="1"/>
  <c r="D42" i="1"/>
  <c r="I50" i="1"/>
  <c r="I25" i="1"/>
  <c r="I33" i="1"/>
  <c r="I32" i="1"/>
  <c r="I24" i="1"/>
  <c r="I26" i="1"/>
  <c r="I11" i="1"/>
  <c r="I21" i="1" s="1"/>
  <c r="I62" i="1"/>
  <c r="I60" i="1"/>
  <c r="I59" i="1"/>
  <c r="D38" i="1"/>
  <c r="D34" i="1"/>
  <c r="D37" i="1"/>
  <c r="D36" i="1"/>
  <c r="D35" i="1"/>
  <c r="D33" i="1"/>
  <c r="D32" i="1"/>
  <c r="I48" i="1"/>
  <c r="I51" i="1"/>
  <c r="I55" i="1"/>
  <c r="I52" i="1"/>
  <c r="I49" i="1"/>
  <c r="D62" i="1"/>
  <c r="D61" i="1"/>
  <c r="D60" i="1"/>
  <c r="D59" i="1"/>
  <c r="D53" i="1"/>
  <c r="D54" i="1"/>
  <c r="D55" i="1"/>
  <c r="D52" i="1"/>
  <c r="D28" i="1"/>
  <c r="D17" i="1"/>
  <c r="D18" i="1"/>
  <c r="D19" i="1"/>
  <c r="D20" i="1"/>
  <c r="D21" i="1"/>
  <c r="D22" i="1"/>
  <c r="D23" i="1"/>
  <c r="D24" i="1"/>
  <c r="D26" i="1"/>
  <c r="D27" i="1"/>
  <c r="D16" i="1"/>
  <c r="I45" i="1" l="1"/>
  <c r="D63" i="1"/>
  <c r="I63" i="1"/>
  <c r="D49" i="1"/>
  <c r="I56" i="1"/>
  <c r="D39" i="1"/>
  <c r="D13" i="1"/>
  <c r="D29" i="1"/>
  <c r="I35" i="1"/>
  <c r="D56" i="1"/>
  <c r="H7" i="1"/>
  <c r="I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tc={C5761B51-FD00-44C5-960C-32900EBDF289}</author>
    <author>tc={6567D7AA-4E67-4FB4-9BE2-1F1B74D7D09C}</author>
    <author>tc={8EE8873F-78A2-462E-9DC9-CC1ECE8F76F7}</author>
  </authors>
  <commentList>
    <comment ref="D3" authorId="0" shapeId="0" xr:uid="{C5761B51-FD00-44C5-960C-32900EBDF289}">
      <text>
        <t xml:space="preserve">[Threaded comment]
Your version of Excel allows you to read this threaded comment; however, any edits to it will get removed if the file is opened in a newer version of Excel. Learn more: https://go.microsoft.com/fwlink/?linkid=870924
Comment:
    Esto se actualiza mes con mes, es lo que deberia de tener ahorrado desde el inicio de mi vida laboral.
</t>
      </text>
    </comment>
    <comment ref="G4" authorId="1" shapeId="0" xr:uid="{6567D7AA-4E67-4FB4-9BE2-1F1B74D7D09C}">
      <text>
        <t xml:space="preserve">[Threaded comment]
Your version of Excel allows you to read this threaded comment; however, any edits to it will get removed if the file is opened in a newer version of Excel. Learn more: https://go.microsoft.com/fwlink/?linkid=870924
Comment:
    31,120 son la jefa
</t>
      </text>
    </comment>
    <comment ref="F12" authorId="2" shapeId="0" xr:uid="{8EE8873F-78A2-462E-9DC9-CC1ECE8F76F7}">
      <text>
        <t xml:space="preserve">[Threaded comment]
Your version of Excel allows you to read this threaded comment; however, any edits to it will get removed if the file is opened in a newer version of Excel. Learn more: https://go.microsoft.com/fwlink/?linkid=870924
Comment:
    31,120 No son míos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<sst xmlns="http://schemas.openxmlformats.org/spreadsheetml/2006/main" count="733" uniqueCount="175">
  <si>
    <t>Montly Budget</t>
  </si>
  <si>
    <t>INCOME</t>
  </si>
  <si>
    <t>Budget</t>
  </si>
  <si>
    <t>Actual</t>
  </si>
  <si>
    <t>Difference</t>
  </si>
  <si>
    <t>[42]</t>
  </si>
  <si>
    <t>BUDGET SUMMARY</t>
  </si>
  <si>
    <t>Salario</t>
  </si>
  <si>
    <t>Total Income</t>
  </si>
  <si>
    <t>Ingresos por intereses</t>
  </si>
  <si>
    <t>Total Expenses</t>
  </si>
  <si>
    <t>Dividends</t>
  </si>
  <si>
    <t>NET</t>
  </si>
  <si>
    <t>Regalos Recibidos</t>
  </si>
  <si>
    <t>Devoluciones</t>
  </si>
  <si>
    <t>Transferencias de ahorros</t>
  </si>
  <si>
    <t>DAILY LIVING</t>
  </si>
  <si>
    <t>Otros</t>
  </si>
  <si>
    <t>Super</t>
  </si>
  <si>
    <t>Cosas personales</t>
  </si>
  <si>
    <t>Ropa</t>
  </si>
  <si>
    <t>Limpieza</t>
  </si>
  <si>
    <t>Gastos Vivienda</t>
  </si>
  <si>
    <t>Educacion</t>
  </si>
  <si>
    <t xml:space="preserve">Pago a casa </t>
  </si>
  <si>
    <t>Salidas/restaurantes</t>
  </si>
  <si>
    <t>Telefono</t>
  </si>
  <si>
    <t>Barberia</t>
  </si>
  <si>
    <t>Comida del perro</t>
  </si>
  <si>
    <t xml:space="preserve">Estacionamiento </t>
  </si>
  <si>
    <t xml:space="preserve">Diversion </t>
  </si>
  <si>
    <t>Actividades</t>
  </si>
  <si>
    <t>Libros</t>
  </si>
  <si>
    <t>Videojuegos</t>
  </si>
  <si>
    <t>Hoobbies</t>
  </si>
  <si>
    <t>Media</t>
  </si>
  <si>
    <t>Cine</t>
  </si>
  <si>
    <t>Vacaciones</t>
  </si>
  <si>
    <t>Transporte</t>
  </si>
  <si>
    <t>Deportes</t>
  </si>
  <si>
    <t xml:space="preserve">Pagos Auto </t>
  </si>
  <si>
    <t xml:space="preserve">Conciertos </t>
  </si>
  <si>
    <t>Seguro de auto</t>
  </si>
  <si>
    <t>OTROS</t>
  </si>
  <si>
    <t>Gasolina</t>
  </si>
  <si>
    <t>Taxis/camion/metro</t>
  </si>
  <si>
    <t>Reparaciones</t>
  </si>
  <si>
    <t>Multas/Fees</t>
  </si>
  <si>
    <t>Ahorros</t>
  </si>
  <si>
    <t xml:space="preserve">Ahorro Casa </t>
  </si>
  <si>
    <t>Fondo de retiro</t>
  </si>
  <si>
    <t>Inversiones</t>
  </si>
  <si>
    <t>Salud</t>
  </si>
  <si>
    <t xml:space="preserve">Ahorro diversion </t>
  </si>
  <si>
    <t>Seguro de salud</t>
  </si>
  <si>
    <t>Doctor/Dentista</t>
  </si>
  <si>
    <t>Medicina</t>
  </si>
  <si>
    <t xml:space="preserve">Creamas </t>
  </si>
  <si>
    <t>Seguro de vida</t>
  </si>
  <si>
    <t>Gastos Mascota</t>
  </si>
  <si>
    <t xml:space="preserve">Oblgiaciones </t>
  </si>
  <si>
    <t>Impuestos</t>
  </si>
  <si>
    <t>Tarjetas de credito</t>
  </si>
  <si>
    <t>Otras deudas</t>
  </si>
  <si>
    <t>CHARITY/GIFTS</t>
  </si>
  <si>
    <t>Regalos dados</t>
  </si>
  <si>
    <t>Donaciones</t>
  </si>
  <si>
    <t>Ofrendas</t>
  </si>
  <si>
    <t>Subscrpciones</t>
  </si>
  <si>
    <t>Misc</t>
  </si>
  <si>
    <t xml:space="preserve">Spotify </t>
  </si>
  <si>
    <t>Comisiones del banco</t>
  </si>
  <si>
    <t xml:space="preserve">Gimnasio </t>
  </si>
  <si>
    <t xml:space="preserve">Otras </t>
  </si>
  <si>
    <t>Gastos Escuela</t>
  </si>
  <si>
    <t>Anytime</t>
  </si>
  <si>
    <t>Spotify</t>
  </si>
  <si>
    <t>Otros(Verificacion Vehicular)</t>
  </si>
  <si>
    <t>Doctor/Dentista (Doctor)</t>
  </si>
  <si>
    <t xml:space="preserve">Cremas </t>
  </si>
  <si>
    <t>Of</t>
  </si>
  <si>
    <t>Mes</t>
  </si>
  <si>
    <t>Monto Casa</t>
  </si>
  <si>
    <t>Lo realizaste?</t>
  </si>
  <si>
    <t>Monto Retiro</t>
  </si>
  <si>
    <t>Casa Xochi=</t>
  </si>
  <si>
    <t>Total</t>
  </si>
  <si>
    <t>Monto Establecido</t>
  </si>
  <si>
    <t>Diferencia</t>
  </si>
  <si>
    <t>Agosto</t>
  </si>
  <si>
    <t>Si</t>
  </si>
  <si>
    <t>No</t>
  </si>
  <si>
    <t>Septiembre</t>
  </si>
  <si>
    <t>Octubre</t>
  </si>
  <si>
    <t>NO</t>
  </si>
  <si>
    <t>Fueron a TRADING MEXICO</t>
  </si>
  <si>
    <t>Los recupero Con el fondo de ahorro</t>
  </si>
  <si>
    <t>Noviembre</t>
  </si>
  <si>
    <t>Diciembre</t>
  </si>
  <si>
    <t>Enero</t>
  </si>
  <si>
    <t>Febrero</t>
  </si>
  <si>
    <t>Marzo</t>
  </si>
  <si>
    <t>Abril</t>
  </si>
  <si>
    <t>Mayo</t>
  </si>
  <si>
    <t>Junio</t>
  </si>
  <si>
    <t>Julio</t>
  </si>
  <si>
    <t>Inicio Vida laboral</t>
  </si>
  <si>
    <t>Fecha Actual</t>
  </si>
  <si>
    <t>(Numero de meses que llevo trabajando)</t>
  </si>
  <si>
    <t xml:space="preserve">Casa </t>
  </si>
  <si>
    <t>VIDA</t>
  </si>
  <si>
    <t>Excedente</t>
  </si>
  <si>
    <t>Se van a corto plazo</t>
  </si>
  <si>
    <t>Se van a mas largo plazo</t>
  </si>
  <si>
    <t>CASA</t>
  </si>
  <si>
    <t xml:space="preserve">Distribucion </t>
  </si>
  <si>
    <t>Instrumento</t>
  </si>
  <si>
    <t>Titulos</t>
  </si>
  <si>
    <t>Precio compra</t>
  </si>
  <si>
    <t>Monto</t>
  </si>
  <si>
    <t>Tasa</t>
  </si>
  <si>
    <t xml:space="preserve">Valuacion </t>
  </si>
  <si>
    <t>Vencimiento</t>
  </si>
  <si>
    <t>Plataforma</t>
  </si>
  <si>
    <t>Años al vencimiento</t>
  </si>
  <si>
    <t>Concepto</t>
  </si>
  <si>
    <t>M-Bono-270304</t>
  </si>
  <si>
    <t>Finamex</t>
  </si>
  <si>
    <t>Retiro</t>
  </si>
  <si>
    <t>Cete-240208</t>
  </si>
  <si>
    <t>Realmente son mios</t>
  </si>
  <si>
    <t>Vida</t>
  </si>
  <si>
    <t>(Estan en Finamex)</t>
  </si>
  <si>
    <t>Cete-240627</t>
  </si>
  <si>
    <t>CetedDir</t>
  </si>
  <si>
    <t>Casa</t>
  </si>
  <si>
    <t>(Estan en Cetes Directo)</t>
  </si>
  <si>
    <t>Cete-240919</t>
  </si>
  <si>
    <t>Cete-240321</t>
  </si>
  <si>
    <t>Cete-240530</t>
  </si>
  <si>
    <t>Ponderacion</t>
  </si>
  <si>
    <t>Renta Fija</t>
  </si>
  <si>
    <t>Renta Variable</t>
  </si>
  <si>
    <t>HELP</t>
  </si>
  <si>
    <t>https://www.vertex42.com/ExcelTemplates/personal-monthly-budget.html</t>
  </si>
  <si>
    <t>© 2008-2019 Vertex42 LLC</t>
  </si>
  <si>
    <t>Introduction</t>
  </si>
  <si>
    <t>The purpose of this template is to help you define a monthly budget and compare your budget to your actual income and expenses.</t>
  </si>
  <si>
    <t>This worksheet uses a separate Excel Table for each major Budget category. This allows you to insert and delete sub-categories easily.</t>
  </si>
  <si>
    <t>Step 1</t>
  </si>
  <si>
    <t>Update Budget Categories</t>
  </si>
  <si>
    <t>You can modify the sub-categories within each table, but if you remove an entire major category, then you will need to modify the formulas in the Budget Summary table.</t>
  </si>
  <si>
    <t>Step 2</t>
  </si>
  <si>
    <t>Enter Budget Amounts</t>
  </si>
  <si>
    <t>Enter values in the Budget column within each table.</t>
  </si>
  <si>
    <t>If you are not sure how to set up your budget, read the article "How to Make a Budget with a Spreadsheet" listed below.</t>
  </si>
  <si>
    <t>Step 3</t>
  </si>
  <si>
    <t>Enter Actual Amounts</t>
  </si>
  <si>
    <t>You can either update the worksheet throughout the month, or wait until the end of the month to enter the actual income and expenses.</t>
  </si>
  <si>
    <t>Difference Column</t>
  </si>
  <si>
    <t>The cells in the Difference column use conditional formatting to make negative numbers red. If you spend more than you budgeted, the Difference between the Projected and Actual values will be negative, and if your Actual income is less than your Projected income, the Difference will be a negative number.</t>
  </si>
  <si>
    <t>Budget Summary</t>
  </si>
  <si>
    <t>The Monthly Budget Summary table totals up all your income and expenses and calculates the Net as Income minus Expenses. If your Net is negative, that means you have overspent your monthly budget.</t>
  </si>
  <si>
    <t>Taking the Next Step</t>
  </si>
  <si>
    <t>This worksheet is a simple way to create a monthly budget, but when you are ready to move on to a more advanced budgeting tool, try our Money Management Template listed below.</t>
  </si>
  <si>
    <t>Related Templates and Resources</t>
  </si>
  <si>
    <t>Personal Monthly Budget</t>
  </si>
  <si>
    <t>By Vertex42.com</t>
  </si>
  <si>
    <t>© 2008 - 2019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</si>
  <si>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</si>
  <si>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</si>
  <si>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</si>
  <si>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</si>
  <si>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</si>
  <si>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Do not delete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</si>
</sst>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0;[Red]\-&quot;$&quot;#,##0.00"/>
    <numFmt numFmtId="165" formatCode="_(&quot;$&quot;* #,##0.00_);_(&quot;$&quot;* \(#,##0.00\);_(&quot;$&quot;* &quot;-&quot;??_);_(@_)"/>
    <numFmt numFmtId="166" formatCode="_(* #,##0.00_);_(* \(#,##0.00\);_(* &quot;-&quot;??_);_(@_)"/>
    <numFmt numFmtId="167" formatCode="#,##0.00\ &quot;€&quot;"/>
    <numFmt numFmtId="168" formatCode="0.0"/>
    <numFmt numFmtId="169" formatCode="_-[$$-409]* #,##0.00_ ;_-[$$-409]* \-#,##0.00\ ;_-[$$-409]* &quot;-&quot;??_ ;_-@_ "/>
  </numFmts>
  <fonts count="32">
    <font>
      <sz val="11"/>
      <name val="Arial"/>
      <family val="2"/>
    </font>
    <font>
      <sz val="10"/>
      <name val="Arial"/>
      <family val="2"/>
    </font>
    <font>
      <u/>
      <sz val="10"/>
      <color indexed="12"/>
      <name val="Arial"/>
      <family val="2"/>
    </font>
    <font>
      <sz val="10"/>
      <name val="Trebuchet MS"/>
      <family val="2"/>
      <scheme val="minor"/>
    </font>
    <font>
      <sz val="8"/>
      <name val="Trebuchet MS"/>
      <family val="2"/>
      <scheme val="minor"/>
    </font>
    <font>
      <b/>
      <sz val="8"/>
      <name val="Trebuchet MS"/>
      <family val="2"/>
      <scheme val="minor"/>
    </font>
    <font>
      <b/>
      <sz val="10"/>
      <name val="Trebuchet MS"/>
      <family val="2"/>
      <scheme val="minor"/>
    </font>
    <font>
      <b/>
      <sz val="11"/>
      <name val="Trebuchet MS"/>
      <family val="2"/>
      <scheme val="minor"/>
    </font>
    <font>
      <b/>
      <sz val="10"/>
      <name val="Arial"/>
      <family val="2"/>
      <scheme val="major"/>
    </font>
    <font>
      <sz val="9"/>
      <name val="Arial"/>
      <family val="2"/>
      <scheme val="major"/>
    </font>
    <font>
      <sz val="6"/>
      <color theme="0"/>
      <name val="Trebuchet MS"/>
      <family val="2"/>
      <scheme val="minor"/>
    </font>
    <font>
      <b/>
      <sz val="11"/>
      <color theme="1"/>
      <name val="Trebuchet MS"/>
      <family val="2"/>
      <scheme val="minor"/>
    </font>
    <font>
      <b/>
      <sz val="10"/>
      <color theme="0"/>
      <name val="Arial"/>
      <family val="2"/>
      <scheme val="major"/>
    </font>
    <font>
      <b/>
      <sz val="9"/>
      <color theme="1"/>
      <name val="Trebuchet MS"/>
      <family val="2"/>
      <scheme val="minor"/>
    </font>
    <font>
      <sz val="18"/>
      <color theme="4"/>
      <name val="Trebuchet MS"/>
      <family val="2"/>
      <scheme val="minor"/>
    </font>
    <font>
      <sz val="9"/>
      <color theme="0" tint="-0.499984740745262"/>
      <name val="Arial"/>
      <family val="2"/>
    </font>
    <font>
      <sz val="11"/>
      <name val="Arial"/>
      <family val="2"/>
    </font>
    <font>
      <u/>
      <sz val="11"/>
      <color indexed="12"/>
      <name val="Arial"/>
      <family val="2"/>
    </font>
    <font>
      <sz val="12"/>
      <name val="Arial"/>
      <family val="2"/>
    </font>
    <font>
      <b/>
      <sz val="12"/>
      <name val="Arial"/>
      <family val="2"/>
    </font>
    <font>
      <u/>
      <sz val="12"/>
      <color indexed="12"/>
      <name val="Arial"/>
      <family val="2"/>
    </font>
    <font>
      <b/>
      <sz val="18"/>
      <color theme="0"/>
      <name val="Arial"/>
      <family val="2"/>
    </font>
    <font>
      <sz val="18"/>
      <color theme="0"/>
      <name val="Arial"/>
      <family val="2"/>
    </font>
    <font>
      <sz val="12"/>
      <color theme="1"/>
      <name val="Arial"/>
      <family val="2"/>
    </font>
    <font>
      <b/>
      <sz val="12"/>
      <color rgb="FF234372"/>
      <name val="Arial"/>
      <family val="2"/>
    </font>
    <font>
      <sz val="12"/>
      <color rgb="FF234372"/>
      <name val="Arial"/>
      <family val="2"/>
    </font>
    <font>
      <sz val="14"/>
      <color rgb="FF234372"/>
      <name val="Arial"/>
      <family val="2"/>
    </font>
    <font>
      <sz val="1"/>
      <color theme="0"/>
      <name val="Trebuchet MS"/>
      <family val="2"/>
      <scheme val="minor"/>
    </font>
    <font>
      <sz val="26"/>
      <color theme="4"/>
      <name val="Trebuchet MS"/>
      <family val="2"/>
      <scheme val="minor"/>
    </font>
    <font>
      <sz val="8"/>
      <name val="Arial"/>
      <family val="2"/>
    </font>
    <font>
      <b/>
      <sz val="11"/>
      <name val="Arial"/>
      <family val="2"/>
    </font>
    <font>
      <sz val="10"/>
      <color rgb="FFFF0000"/>
      <name val="Trebuchet MS"/>
      <family val="2"/>
      <scheme val="minor"/>
    </font>
  </fonts>
  <fills count="11">
    <fill>
      <patternFill patternType="none"/>
    </fill>
    <fill>
      <patternFill patternType="gray125"/>
    </fill>
    <fill>
      <patternFill patternType="solid">
        <fgColor theme="1"/>
        <bgColor theme="1"/>
      </patternFill>
    </fill>
    <fill>
      <patternFill patternType="solid">
        <fgColor theme="0" tint="-4.9989318521683403E-2"/>
        <bgColor indexed="64"/>
      </patternFill>
    </fill>
    <fill>
      <patternFill patternType="solid">
        <fgColor rgb="FF3464AB"/>
        <bgColor indexed="64"/>
      </patternFill>
    </fill>
    <fill>
      <patternFill patternType="solid">
        <fgColor theme="0"/>
        <bgColor indexed="64"/>
      </patternFill>
    </fill>
    <fill>
      <patternFill patternType="solid">
        <fgColor rgb="FFDEE8F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7" tint="0.59999389629810485"/>
        <bgColor indexed="64"/>
      </patternFill>
    </fill>
  </fills>
  <borders count="10">
    <border>
      <left/>
      <right/>
      <top/>
      <bottom/>
      <diagonal/>
    </border>
    <border>
      <left style="thin">
        <color indexed="55"/>
      </left>
      <right style="thin">
        <color indexed="55"/>
      </right>
      <top/>
      <bottom style="thin">
        <color indexed="55"/>
      </bottom>
      <diagonal/>
    </border>
    <border>
      <left style="thin">
        <color indexed="55"/>
      </left>
      <right style="thin">
        <color indexed="55"/>
      </right>
      <top/>
      <bottom/>
      <diagonal/>
    </border>
    <border>
      <left style="thin">
        <color indexed="55"/>
      </left>
      <right style="thin">
        <color indexed="55"/>
      </right>
      <top style="thin">
        <color indexed="55"/>
      </top>
      <bottom/>
      <diagonal/>
    </border>
    <border>
      <left/>
      <right/>
      <top style="double">
        <color indexed="64"/>
      </top>
      <bottom/>
      <diagonal/>
    </border>
    <border>
      <left/>
      <right/>
      <top/>
      <bottom style="thin">
        <color rgb="FF3464AB"/>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166" fontId="1" fillId="0" borderId="0" applyFont="0" applyFill="0" applyBorder="0" applyAlignment="0" applyProtection="0"/>
    <xf numFmtId="165"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75">
    <xf numFmtId="0" fontId="0" fillId="0" borderId="0" xfId="0"/>
    <xf numFmtId="0" fontId="3" fillId="0" borderId="0" xfId="0" applyFont="1"/>
    <xf numFmtId="0" fontId="4" fillId="0" borderId="0" xfId="0" applyFont="1"/>
    <xf numFmtId="0" fontId="5" fillId="0" borderId="0" xfId="0" applyFont="1" applyAlignment="1">
      <alignment horizontal="right"/>
    </xf>
    <xf numFmtId="0" fontId="6" fillId="0" borderId="0" xfId="0" applyFont="1"/>
    <xf numFmtId="0" fontId="3" fillId="0" borderId="0" xfId="0" applyFont="1" applyAlignment="1">
      <alignment horizontal="left"/>
    </xf>
    <xf numFmtId="4" fontId="3" fillId="0" borderId="1" xfId="1" applyNumberFormat="1" applyFont="1" applyFill="1" applyBorder="1"/>
    <xf numFmtId="166" fontId="3" fillId="0" borderId="0" xfId="1" applyFont="1" applyFill="1" applyBorder="1"/>
    <xf numFmtId="4" fontId="3" fillId="0" borderId="2" xfId="1" applyNumberFormat="1" applyFont="1" applyFill="1" applyBorder="1"/>
    <xf numFmtId="166" fontId="3" fillId="0" borderId="0" xfId="0" applyNumberFormat="1" applyFont="1"/>
    <xf numFmtId="4" fontId="3" fillId="0" borderId="3" xfId="1" applyNumberFormat="1" applyFont="1" applyFill="1" applyBorder="1"/>
    <xf numFmtId="0" fontId="3" fillId="0" borderId="0" xfId="0" applyFont="1" applyAlignment="1">
      <alignment horizontal="right"/>
    </xf>
    <xf numFmtId="4" fontId="3" fillId="0" borderId="0" xfId="0" applyNumberFormat="1" applyFont="1"/>
    <xf numFmtId="0" fontId="10" fillId="0" borderId="0" xfId="0" applyFont="1" applyAlignment="1">
      <alignment horizontal="left"/>
    </xf>
    <xf numFmtId="0" fontId="8" fillId="0" borderId="0" xfId="0" applyFont="1"/>
    <xf numFmtId="166" fontId="9" fillId="0" borderId="0" xfId="0" applyNumberFormat="1" applyFont="1" applyAlignment="1">
      <alignment horizontal="center"/>
    </xf>
    <xf numFmtId="0" fontId="9" fillId="0" borderId="0" xfId="0" applyFont="1" applyAlignment="1">
      <alignment horizontal="center"/>
    </xf>
    <xf numFmtId="0" fontId="3" fillId="0" borderId="0" xfId="0" applyFont="1" applyAlignment="1">
      <alignment horizontal="right" indent="1"/>
    </xf>
    <xf numFmtId="40" fontId="13" fillId="0" borderId="0" xfId="2" applyNumberFormat="1" applyFont="1" applyBorder="1" applyAlignment="1">
      <alignment horizontal="right" vertical="center"/>
    </xf>
    <xf numFmtId="0" fontId="12" fillId="2" borderId="0" xfId="0" applyFont="1" applyFill="1"/>
    <xf numFmtId="0" fontId="12" fillId="2" borderId="0" xfId="0" applyFont="1" applyFill="1" applyAlignment="1">
      <alignment horizontal="center"/>
    </xf>
    <xf numFmtId="0" fontId="11" fillId="0" borderId="0" xfId="0" applyFont="1" applyAlignment="1">
      <alignment horizontal="right" vertical="center"/>
    </xf>
    <xf numFmtId="0" fontId="11" fillId="3" borderId="4" xfId="0" applyFont="1" applyFill="1" applyBorder="1" applyAlignment="1">
      <alignment horizontal="right" vertical="center"/>
    </xf>
    <xf numFmtId="40" fontId="13" fillId="3" borderId="4" xfId="2" applyNumberFormat="1" applyFont="1" applyFill="1" applyBorder="1" applyAlignment="1">
      <alignment horizontal="right" vertical="center"/>
    </xf>
    <xf numFmtId="0" fontId="14" fillId="0" borderId="0" xfId="0" applyFont="1" applyAlignment="1">
      <alignment vertical="center"/>
    </xf>
    <xf numFmtId="0" fontId="15" fillId="0" borderId="0" xfId="0" applyFont="1" applyAlignment="1">
      <alignment horizontal="right" vertical="center"/>
    </xf>
    <xf numFmtId="0" fontId="0" fillId="0" borderId="0" xfId="0" applyAlignment="1">
      <alignment vertical="top"/>
    </xf>
    <xf numFmtId="0" fontId="7" fillId="0" borderId="0" xfId="0" applyFont="1"/>
    <xf numFmtId="0" fontId="0" fillId="0" borderId="0" xfId="0" applyAlignment="1">
      <alignment vertical="top" wrapText="1"/>
    </xf>
    <xf numFmtId="0" fontId="16" fillId="0" borderId="0" xfId="0" applyFont="1"/>
    <xf numFmtId="0" fontId="2" fillId="0" borderId="0" xfId="3" applyAlignment="1" applyProtection="1">
      <alignment horizontal="left" vertical="top"/>
    </xf>
    <xf numFmtId="0" fontId="1" fillId="0" borderId="0" xfId="0" applyFont="1"/>
    <xf numFmtId="0" fontId="21" fillId="4" borderId="5" xfId="0" applyFont="1" applyFill="1" applyBorder="1" applyAlignment="1">
      <alignment horizontal="left" vertical="center" indent="1"/>
    </xf>
    <xf numFmtId="0" fontId="21" fillId="4" borderId="5" xfId="0" applyFont="1" applyFill="1" applyBorder="1" applyAlignment="1">
      <alignment horizontal="left" vertical="center"/>
    </xf>
    <xf numFmtId="0" fontId="22" fillId="4" borderId="5" xfId="0" applyFont="1" applyFill="1" applyBorder="1" applyAlignment="1">
      <alignment vertical="center"/>
    </xf>
    <xf numFmtId="0" fontId="1" fillId="5" borderId="0" xfId="0" applyFont="1" applyFill="1"/>
    <xf numFmtId="0" fontId="18" fillId="5" borderId="0" xfId="0" applyFont="1" applyFill="1" applyAlignment="1">
      <alignment horizontal="left" wrapText="1" indent="1"/>
    </xf>
    <xf numFmtId="0" fontId="16" fillId="5" borderId="0" xfId="0" applyFont="1" applyFill="1"/>
    <xf numFmtId="0" fontId="18" fillId="5" borderId="0" xfId="0" applyFont="1" applyFill="1"/>
    <xf numFmtId="0" fontId="2" fillId="5" borderId="0" xfId="3" applyFill="1" applyAlignment="1" applyProtection="1">
      <alignment horizontal="left" wrapText="1"/>
    </xf>
    <xf numFmtId="0" fontId="18" fillId="5" borderId="0" xfId="0" applyFont="1" applyFill="1" applyAlignment="1">
      <alignment horizontal="left" wrapText="1"/>
    </xf>
    <xf numFmtId="0" fontId="19" fillId="5" borderId="0" xfId="0" applyFont="1" applyFill="1" applyAlignment="1">
      <alignment horizontal="left" wrapText="1"/>
    </xf>
    <xf numFmtId="0" fontId="20" fillId="5" borderId="0" xfId="0" applyFont="1" applyFill="1" applyAlignment="1">
      <alignment horizontal="left" wrapText="1"/>
    </xf>
    <xf numFmtId="0" fontId="18" fillId="5" borderId="0" xfId="0" applyFont="1" applyFill="1" applyAlignment="1">
      <alignment horizontal="left"/>
    </xf>
    <xf numFmtId="0" fontId="23" fillId="5" borderId="0" xfId="0" applyFont="1" applyFill="1" applyAlignment="1">
      <alignment horizontal="left" wrapText="1"/>
    </xf>
    <xf numFmtId="0" fontId="24" fillId="6" borderId="0" xfId="0" applyFont="1" applyFill="1" applyAlignment="1">
      <alignment vertical="center"/>
    </xf>
    <xf numFmtId="0" fontId="25" fillId="6" borderId="0" xfId="0" applyFont="1" applyFill="1" applyAlignment="1">
      <alignment vertical="center"/>
    </xf>
    <xf numFmtId="0" fontId="26" fillId="6" borderId="0" xfId="0" applyFont="1" applyFill="1" applyAlignment="1">
      <alignment vertical="center"/>
    </xf>
    <xf numFmtId="0" fontId="17" fillId="0" borderId="0" xfId="3" applyFont="1" applyAlignment="1" applyProtection="1"/>
    <xf numFmtId="0" fontId="27" fillId="0" borderId="0" xfId="0" applyFont="1"/>
    <xf numFmtId="164" fontId="0" fillId="0" borderId="0" xfId="0" applyNumberFormat="1"/>
    <xf numFmtId="167" fontId="0" fillId="0" borderId="0" xfId="0" applyNumberFormat="1"/>
    <xf numFmtId="0" fontId="30" fillId="7" borderId="6" xfId="0" applyFont="1" applyFill="1" applyBorder="1"/>
    <xf numFmtId="14" fontId="0" fillId="0" borderId="0" xfId="0" applyNumberFormat="1"/>
    <xf numFmtId="168" fontId="0" fillId="0" borderId="0" xfId="0" applyNumberFormat="1"/>
    <xf numFmtId="0" fontId="30" fillId="8" borderId="0" xfId="0" applyFont="1" applyFill="1" applyAlignment="1">
      <alignment horizontal="center"/>
    </xf>
    <xf numFmtId="0" fontId="30" fillId="8" borderId="6" xfId="0" applyFont="1" applyFill="1" applyBorder="1" applyAlignment="1">
      <alignment horizontal="center"/>
    </xf>
    <xf numFmtId="0" fontId="30" fillId="8" borderId="8" xfId="0" applyFont="1" applyFill="1" applyBorder="1" applyAlignment="1">
      <alignment horizontal="center"/>
    </xf>
    <xf numFmtId="0" fontId="30" fillId="8" borderId="7" xfId="0" applyFont="1" applyFill="1" applyBorder="1" applyAlignment="1">
      <alignment horizontal="center"/>
    </xf>
    <xf numFmtId="166" fontId="31" fillId="0" borderId="0" xfId="1" applyFont="1" applyFill="1" applyBorder="1"/>
    <xf numFmtId="0" fontId="0" fillId="7" borderId="0" xfId="0" applyFill="1"/>
    <xf numFmtId="0" fontId="30" fillId="9" borderId="7" xfId="0" applyFont="1" applyFill="1" applyBorder="1"/>
    <xf numFmtId="0" fontId="0" fillId="9" borderId="0" xfId="0" applyFill="1"/>
    <xf numFmtId="4" fontId="3" fillId="10" borderId="3" xfId="1" applyNumberFormat="1" applyFont="1" applyFill="1" applyBorder="1"/>
    <xf numFmtId="4" fontId="3" fillId="10" borderId="2" xfId="1" applyNumberFormat="1" applyFont="1" applyFill="1" applyBorder="1"/>
    <xf numFmtId="1" fontId="0" fillId="0" borderId="0" xfId="0" applyNumberFormat="1"/>
    <xf numFmtId="0" fontId="30" fillId="0" borderId="0" xfId="0" applyFont="1" applyAlignment="1">
      <alignment horizontal="center"/>
    </xf>
    <xf numFmtId="169" fontId="0" fillId="0" borderId="0" xfId="0" applyNumberFormat="1"/>
    <xf numFmtId="0" fontId="30" fillId="10" borderId="0" xfId="0" applyFont="1" applyFill="1" applyAlignment="1">
      <alignment horizontal="center"/>
    </xf>
    <xf numFmtId="0" fontId="30" fillId="7" borderId="9" xfId="0" applyFont="1" applyFill="1" applyBorder="1" applyAlignment="1">
      <alignment horizontal="center"/>
    </xf>
    <xf numFmtId="169" fontId="0" fillId="0" borderId="0" xfId="0" applyNumberFormat="1" applyAlignment="1">
      <alignment horizontal="center"/>
    </xf>
    <xf numFmtId="10" fontId="0" fillId="0" borderId="0" xfId="0" applyNumberFormat="1"/>
    <xf numFmtId="169" fontId="0" fillId="0" borderId="0" xfId="0" applyNumberFormat="1" applyAlignment="1">
      <alignment horizontal="center" vertical="center"/>
    </xf>
    <xf numFmtId="9" fontId="0" fillId="0" borderId="0" xfId="0" applyNumberFormat="1" applyAlignment="1">
      <alignment horizontal="center" vertical="center"/>
    </xf>
    <xf numFmtId="0" fontId="28" fillId="0" borderId="0" xfId="0" applyFont="1" applyAlignment="1">
      <alignment horizontal="center" vertical="center"/>
    </xf>
  </cellXfs>
  <cellStyles count="4">
    <cellStyle name="Hipervínculo" xfId="3" builtinId="8"/>
    <cellStyle name="Millares" xfId="1" builtinId="3"/>
    <cellStyle name="Moneda" xfId="2" builtinId="4"/>
    <cellStyle name="Normal" xfId="0" builtinId="0" customBuiltin="1"/>
  </cellStyles>
  <dxfs count="656">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outline="0">
        <top style="thin">
          <color rgb="FFB2B2B2"/>
        </top>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outline="0">
        <top style="thin">
          <color rgb="FFB2B2B2"/>
        </top>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outline="0">
        <top style="thin">
          <color rgb="FFB2B2B2"/>
        </top>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family val="2"/>
        <scheme val="minor"/>
      </font>
      <numFmt numFmtId="4" formatCode="#,##0.00"/>
    </dxf>
    <dxf>
      <numFmt numFmtId="4" formatCode="#,##0.00"/>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outline="0">
        <top style="thin">
          <color rgb="FFB2B2B2"/>
        </top>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rgb="FF666666"/>
        </bottom>
      </border>
    </dxf>
    <dxf>
      <border diagonalUp="0" diagonalDown="0">
        <left/>
        <right/>
        <top/>
        <bottom/>
      </border>
    </dxf>
    <dxf>
      <font>
        <strike val="0"/>
        <outline val="0"/>
        <shadow val="0"/>
        <u val="none"/>
        <vertAlign val="baseline"/>
        <color auto="1"/>
        <name val="Trebuchet MS"/>
        <scheme val="none"/>
      </font>
      <fill>
        <patternFill patternType="none">
          <fgColor rgb="FF000000"/>
          <bgColor auto="1"/>
        </patternFill>
      </fill>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outline="0">
        <top style="thin">
          <color indexed="55"/>
        </top>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166"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family val="2"/>
        <scheme val="minor"/>
      </font>
      <numFmt numFmtId="166" formatCode="_(* #,##0.00_);_(* \(#,##0.00\);_(* &quot;-&quot;??_);_(@_)"/>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numFmt numFmtId="4" formatCode="#,##0.00"/>
    </dxf>
    <dxf>
      <font>
        <b val="0"/>
        <i val="0"/>
        <strike val="0"/>
        <condense val="0"/>
        <extend val="0"/>
        <outline val="0"/>
        <shadow val="0"/>
        <u val="none"/>
        <vertAlign val="baseline"/>
        <sz val="10"/>
        <color auto="1"/>
        <name val="Trebuchet MS"/>
        <family val="2"/>
        <scheme val="minor"/>
      </font>
      <alignment horizontal="right" vertical="bottom" textRotation="0" wrapText="0" indent="1" justifyLastLine="0" shrinkToFit="0" readingOrder="0"/>
    </dxf>
    <dxf>
      <border outline="0">
        <bottom style="medium">
          <color indexed="23"/>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ill>
        <patternFill>
          <bgColor theme="0" tint="-4.9989318521683403E-2"/>
        </patternFill>
      </fill>
      <border diagonalUp="0" diagonalDown="0">
        <left/>
        <right/>
        <top/>
        <bottom/>
        <vertical/>
        <horizontal/>
      </border>
    </dxf>
    <dxf>
      <font>
        <b/>
        <color theme="1"/>
      </font>
    </dxf>
    <dxf>
      <font>
        <b/>
        <color theme="1"/>
      </font>
      <fill>
        <patternFill>
          <bgColor theme="0" tint="-4.9989318521683403E-2"/>
        </patternFill>
      </fill>
      <border diagonalUp="0" diagonalDown="0">
        <left/>
        <right/>
        <top style="double">
          <color theme="6"/>
        </top>
        <bottom/>
        <vertical/>
        <horizontal/>
      </border>
    </dxf>
    <dxf>
      <font>
        <b/>
        <color theme="0"/>
      </font>
      <fill>
        <patternFill patternType="solid">
          <fgColor theme="6"/>
          <bgColor theme="6"/>
        </patternFill>
      </fill>
      <border>
        <bottom style="thin">
          <color theme="0" tint="-0.24994659260841701"/>
        </bottom>
      </border>
    </dxf>
    <dxf>
      <font>
        <color theme="1"/>
      </font>
      <border>
        <left/>
        <right/>
        <top/>
        <bottom/>
      </border>
    </dxf>
    <dxf>
      <fill>
        <patternFill>
          <bgColor theme="0" tint="-4.9989318521683403E-2"/>
        </patternFill>
      </fill>
      <border diagonalUp="0" diagonalDown="0">
        <left/>
        <right/>
        <top/>
        <bottom/>
        <vertical/>
        <horizontal/>
      </border>
    </dxf>
    <dxf>
      <font>
        <b/>
        <color theme="1"/>
      </font>
    </dxf>
    <dxf>
      <font>
        <b/>
        <color theme="1"/>
      </font>
      <fill>
        <patternFill>
          <bgColor theme="0" tint="-4.9989318521683403E-2"/>
        </patternFill>
      </fill>
      <border diagonalUp="0" diagonalDown="0">
        <left/>
        <right/>
        <top style="double">
          <color theme="4"/>
        </top>
        <bottom/>
        <vertical/>
        <horizontal/>
      </border>
    </dxf>
    <dxf>
      <font>
        <b/>
        <color theme="0"/>
      </font>
      <fill>
        <patternFill patternType="solid">
          <fgColor auto="1"/>
          <bgColor theme="4"/>
        </patternFill>
      </fill>
      <border>
        <bottom style="thin">
          <color theme="0" tint="-0.24994659260841701"/>
        </bottom>
      </border>
    </dxf>
    <dxf>
      <font>
        <color theme="1"/>
      </font>
      <border>
        <left/>
        <right/>
        <top/>
        <bottom/>
      </border>
    </dxf>
  </dxfs>
  <tableStyles count="2" defaultTableStyle="TableStyleMedium2" defaultPivotStyle="PivotStyleLight16">
    <tableStyle name="V42_ExpenseTable" pivot="0" count="5" xr9:uid="{00000000-0011-0000-FFFF-FFFF00000000}">
      <tableStyleElement type="wholeTable" dxfId="655"/>
      <tableStyleElement type="headerRow" dxfId="654"/>
      <tableStyleElement type="totalRow" dxfId="653"/>
      <tableStyleElement type="firstColumn" dxfId="652"/>
      <tableStyleElement type="lastColumn" dxfId="651"/>
    </tableStyle>
    <tableStyle name="V42_IncomeTable" pivot="0" count="5" xr9:uid="{00000000-0011-0000-FFFF-FFFF01000000}">
      <tableStyleElement type="wholeTable" dxfId="650"/>
      <tableStyleElement type="headerRow" dxfId="649"/>
      <tableStyleElement type="totalRow" dxfId="648"/>
      <tableStyleElement type="firstColumn" dxfId="647"/>
      <tableStyleElement type="lastColumn" dxfId="6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4191000</xdr:colOff>
      <xdr:row>0</xdr:row>
      <xdr:rowOff>0</xdr:rowOff>
    </xdr:from>
    <xdr:to>
      <xdr:col>1</xdr:col>
      <xdr:colOff>4191000</xdr:colOff>
      <xdr:row>0</xdr:row>
      <xdr:rowOff>179546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800" y="0"/>
          <a:ext cx="1390650" cy="312896"/>
        </a:xfrm>
        <a:prstGeom prst="rect">
          <a:avLst/>
        </a:prstGeom>
      </xdr:spPr>
    </xdr:pic>
    <xdr:clientData/>
  </xdr:twoCellAnchor>
  <xdr:twoCellAnchor editAs="oneCell">
    <xdr:from>
      <xdr:col>2</xdr:col>
      <xdr:colOff>28575</xdr:colOff>
      <xdr:row>0</xdr:row>
      <xdr:rowOff>47625</xdr:rowOff>
    </xdr:from>
    <xdr:to>
      <xdr:col>2</xdr:col>
      <xdr:colOff>1247775</xdr:colOff>
      <xdr:row>0</xdr:row>
      <xdr:rowOff>352425</xdr:rowOff>
    </xdr:to>
    <xdr:pic>
      <xdr:nvPicPr>
        <xdr:cNvPr id="6" name="Picture 5">
          <a:extLst>
            <a:ext uri="{FF2B5EF4-FFF2-40B4-BE49-F238E27FC236}">
              <a16:creationId xmlns:a16="http://schemas.microsoft.com/office/drawing/2014/main" id="{0EFAF439-99F2-43E8-893D-A3FE9D2194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72125" y="47625"/>
          <a:ext cx="121920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91FA50D5-A4BF-4473-B9FA-0ECDF54E9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Francisco Javier Vargas Fentanes" id="{EE5A7884-1CD5-4E44-8CFC-2857E2232D92}" userId="S::fvfentanes@finamex.com.mx::169905d3-5917-40ba-8d1d-5fb8e3e9e6f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3" totalsRowCount="1" headerRowDxfId="643" dataDxfId="642" headerRowBorderDxfId="640" tableBorderDxfId="641">
  <tableColumns count="4">
    <tableColumn id="1" xr3:uid="{00000000-0010-0000-0000-000001000000}" name="INCOME" totalsRowFunction="custom" totalsRowDxfId="639">
      <totalsRowFormula>"Total " &amp; Table2[[#Headers],[INCOME]]</totalsRowFormula>
    </tableColumn>
    <tableColumn id="2" xr3:uid="{00000000-0010-0000-0000-000002000000}" name="Budget" totalsRowFunction="custom" totalsRowDxfId="638">
      <totalsRowFormula>SUBTOTAL(9,Table2[Budget])</totalsRowFormula>
    </tableColumn>
    <tableColumn id="3" xr3:uid="{00000000-0010-0000-0000-000003000000}" name="Actual" totalsRowFunction="custom" totalsRowDxfId="637">
      <totalsRowFormula>SUBTOTAL(9,Table2[Actual])</totalsRowFormula>
    </tableColumn>
    <tableColumn id="4" xr3:uid="{00000000-0010-0000-0000-000004000000}" name="Difference" totalsRowFunction="custom" totalsRowDxfId="636">
      <calculatedColumnFormula>C5-B5</calculatedColumnFormula>
      <totalsRowFormula>SUBTOTAL(9,Table2[Difference])</totalsRowFormula>
    </tableColumn>
  </tableColumns>
  <tableStyleInfo name="V42_IncomeTable" showFirstColumn="0" showLastColumn="1"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5:D29" totalsRowCount="1" headerRowDxfId="635" dataDxfId="634" headerRowBorderDxfId="632" tableBorderDxfId="633">
  <tableColumns count="4">
    <tableColumn id="1" xr3:uid="{00000000-0010-0000-0100-000001000000}" name="Gastos Vivienda" totalsRowFunction="custom" dataDxfId="630" totalsRowDxfId="631">
      <totalsRowFormula>"Total " &amp; Table5[[#Headers],[Gastos Vivienda]]</totalsRowFormula>
    </tableColumn>
    <tableColumn id="2" xr3:uid="{00000000-0010-0000-0100-000002000000}" name="Budget" totalsRowFunction="custom" dataDxfId="628" totalsRowDxfId="629">
      <totalsRowFormula>SUBTOTAL(9,Table5[Budget])</totalsRowFormula>
    </tableColumn>
    <tableColumn id="3" xr3:uid="{00000000-0010-0000-0100-000003000000}" name="Actual" totalsRowFunction="custom" dataDxfId="626" totalsRowDxfId="627">
      <totalsRowFormula>SUBTOTAL(9,Table5[Actual])</totalsRowFormula>
    </tableColumn>
    <tableColumn id="4" xr3:uid="{00000000-0010-0000-0100-000004000000}" name="Difference" totalsRowFunction="custom" dataDxfId="624" totalsRowDxfId="625">
      <calculatedColumnFormula>B16-C16</calculatedColumnFormula>
      <totalsRowFormula>SUBTOTAL(9,Table5[Difference])</totalsRowFormula>
    </tableColumn>
  </tableColumns>
  <tableStyleInfo name="V42_ExpenseTable" showFirstColumn="0" showLastColumn="1"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F10:I21" totalsRowCount="1" headerRowDxfId="623" dataDxfId="622" headerRowBorderDxfId="620" tableBorderDxfId="621">
  <tableColumns count="4">
    <tableColumn id="1" xr3:uid="{00000000-0010-0000-0200-000001000000}" name="DAILY LIVING" totalsRowFunction="custom" dataDxfId="618" totalsRowDxfId="619">
      <totalsRowFormula>"Total " &amp; Table6[[#Headers],[DAILY LIVING]]</totalsRowFormula>
    </tableColumn>
    <tableColumn id="2" xr3:uid="{00000000-0010-0000-0200-000002000000}" name="Budget" totalsRowFunction="custom" dataDxfId="616" totalsRowDxfId="617">
      <totalsRowFormula>SUBTOTAL(9,Table6[Budget])</totalsRowFormula>
    </tableColumn>
    <tableColumn id="3" xr3:uid="{00000000-0010-0000-0200-000003000000}" name="Actual" totalsRowFunction="custom" dataDxfId="614" totalsRowDxfId="615">
      <totalsRowFormula>SUBTOTAL(9,Table6[Actual])</totalsRowFormula>
    </tableColumn>
    <tableColumn id="4" xr3:uid="{00000000-0010-0000-0200-000004000000}" name="Difference" totalsRowFunction="custom" dataDxfId="612" totalsRowDxfId="613">
      <calculatedColumnFormula>G11-H11</calculatedColumnFormula>
      <totalsRowFormula>SUBTOTAL(9,Table6[Difference])</totalsRowFormula>
    </tableColumn>
  </tableColumns>
  <tableStyleInfo name="V42_ExpenseTable" showFirstColumn="0" showLastColumn="1"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7" displayName="Table7" ref="F23:I35" totalsRowCount="1" headerRowDxfId="611" dataDxfId="610" headerRowBorderDxfId="608" tableBorderDxfId="609">
  <tableColumns count="4">
    <tableColumn id="1" xr3:uid="{00000000-0010-0000-0300-000001000000}" name="Diversion " totalsRowFunction="custom" dataDxfId="606" totalsRowDxfId="607">
      <totalsRowFormula>"Total " &amp; Table7[[#Headers],[Diversion ]]</totalsRowFormula>
    </tableColumn>
    <tableColumn id="2" xr3:uid="{00000000-0010-0000-0300-000002000000}" name="Budget" totalsRowFunction="custom" dataDxfId="604" totalsRowDxfId="605">
      <totalsRowFormula>SUBTOTAL(9,Table7[Budget])</totalsRowFormula>
    </tableColumn>
    <tableColumn id="3" xr3:uid="{00000000-0010-0000-0300-000003000000}" name="Actual" totalsRowFunction="custom" dataDxfId="602" totalsRowDxfId="603">
      <totalsRowFormula>SUBTOTAL(9,Table7[Actual])</totalsRowFormula>
    </tableColumn>
    <tableColumn id="4" xr3:uid="{00000000-0010-0000-0300-000004000000}" name="Difference" totalsRowFunction="custom" dataDxfId="600" totalsRowDxfId="601">
      <calculatedColumnFormula>G24-H24</calculatedColumnFormula>
      <totalsRowFormula>SUBTOTAL(9,Table7[Difference])</totalsRowFormula>
    </tableColumn>
  </tableColumns>
  <tableStyleInfo name="V42_ExpenseTable" showFirstColumn="0" showLastColumn="1"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8" displayName="Table8" ref="F37:I45" totalsRowCount="1" headerRowDxfId="599" dataDxfId="598" headerRowBorderDxfId="596" tableBorderDxfId="597">
  <tableColumns count="4">
    <tableColumn id="1" xr3:uid="{00000000-0010-0000-0400-000001000000}" name="Ahorros" totalsRowFunction="custom" dataDxfId="594" totalsRowDxfId="595">
      <totalsRowFormula>"Total " &amp; Table8[[#Headers],[Ahorros]]</totalsRowFormula>
    </tableColumn>
    <tableColumn id="2" xr3:uid="{00000000-0010-0000-0400-000002000000}" name="Budget" totalsRowFunction="custom" dataDxfId="592" totalsRowDxfId="593">
      <totalsRowFormula>SUBTOTAL(9,Table8[Budget])</totalsRowFormula>
    </tableColumn>
    <tableColumn id="3" xr3:uid="{00000000-0010-0000-0400-000003000000}" name="Actual" totalsRowFunction="custom" dataDxfId="590" totalsRowDxfId="591">
      <totalsRowFormula>SUBTOTAL(9,Table8[Actual])</totalsRowFormula>
    </tableColumn>
    <tableColumn id="4" xr3:uid="{00000000-0010-0000-0400-000004000000}" name="Difference" totalsRowFunction="custom" dataDxfId="588" totalsRowDxfId="589">
      <calculatedColumnFormula>G38-H38</calculatedColumnFormula>
      <totalsRowFormula>SUBTOTAL(9,Table8[Difference])</totalsRowFormula>
    </tableColumn>
  </tableColumns>
  <tableStyleInfo name="V42_ExpenseTable" showFirstColumn="0" showLastColumn="1"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10" displayName="Table10" ref="F47:I56" totalsRowCount="1" headerRowDxfId="587" dataDxfId="586" headerRowBorderDxfId="585">
  <tableColumns count="4">
    <tableColumn id="1" xr3:uid="{00000000-0010-0000-0500-000001000000}" name="Oblgiaciones " totalsRowFunction="custom" dataDxfId="583" totalsRowDxfId="584">
      <totalsRowFormula>"Total " &amp; Table10[[#Headers],[Oblgiaciones ]]</totalsRowFormula>
    </tableColumn>
    <tableColumn id="2" xr3:uid="{00000000-0010-0000-0500-000002000000}" name="Budget" totalsRowFunction="custom" dataDxfId="581" totalsRowDxfId="582">
      <totalsRowFormula>SUBTOTAL(9,Table10[Budget])</totalsRowFormula>
    </tableColumn>
    <tableColumn id="3" xr3:uid="{00000000-0010-0000-0500-000003000000}" name="Actual" totalsRowFunction="custom" dataDxfId="579" totalsRowDxfId="580">
      <totalsRowFormula>SUBTOTAL(9,Table10[Actual])</totalsRowFormula>
    </tableColumn>
    <tableColumn id="4" xr3:uid="{00000000-0010-0000-0500-000004000000}" name="Difference" totalsRowFunction="custom" dataDxfId="577" totalsRowDxfId="578">
      <calculatedColumnFormula>G48-H48</calculatedColumnFormula>
      <totalsRowFormula>SUBTOTAL(9,Table10[Difference])</totalsRowFormula>
    </tableColumn>
  </tableColumns>
  <tableStyleInfo name="V42_ExpenseTable" showFirstColumn="0" showLastColumn="1"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6000000}" name="Table14" displayName="Table14" ref="F58:I63" totalsRowCount="1" headerRowDxfId="576" dataDxfId="575" headerRowBorderDxfId="573" tableBorderDxfId="574">
  <tableColumns count="4">
    <tableColumn id="1" xr3:uid="{00000000-0010-0000-0600-000001000000}" name="Misc" totalsRowFunction="custom" dataDxfId="571" totalsRowDxfId="572">
      <totalsRowFormula>"Total " &amp; Table14[[#Headers],[Misc]]</totalsRowFormula>
    </tableColumn>
    <tableColumn id="2" xr3:uid="{00000000-0010-0000-0600-000002000000}" name="Budget" totalsRowFunction="custom" dataDxfId="569" totalsRowDxfId="570">
      <totalsRowFormula>SUBTOTAL(9,Table14[Budget])</totalsRowFormula>
    </tableColumn>
    <tableColumn id="3" xr3:uid="{00000000-0010-0000-0600-000003000000}" name="Actual" totalsRowFunction="custom" dataDxfId="567" totalsRowDxfId="568">
      <totalsRowFormula>SUBTOTAL(9,Table14[Actual])</totalsRowFormula>
    </tableColumn>
    <tableColumn id="4" xr3:uid="{00000000-0010-0000-0600-000004000000}" name="Difference" totalsRowFunction="custom" dataDxfId="565" totalsRowDxfId="566">
      <calculatedColumnFormula>G59-H59</calculatedColumnFormula>
      <totalsRowFormula>SUBTOTAL(9,Table14[Difference])</totalsRowFormula>
    </tableColumn>
  </tableColumns>
  <tableStyleInfo name="V42_ExpenseTable" showFirstColumn="0" showLastColumn="1"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15" displayName="Table15" ref="A58:D63" totalsRowCount="1" headerRowDxfId="564" dataDxfId="563" headerRowBorderDxfId="561" tableBorderDxfId="562">
  <tableColumns count="4">
    <tableColumn id="1" xr3:uid="{00000000-0010-0000-0700-000001000000}" name="Subscrpciones" totalsRowFunction="custom" dataDxfId="559" totalsRowDxfId="560">
      <totalsRowFormula>"Total " &amp; Table15[[#Headers],[Subscrpciones]]</totalsRowFormula>
    </tableColumn>
    <tableColumn id="2" xr3:uid="{00000000-0010-0000-0700-000002000000}" name="Budget" totalsRowFunction="custom" dataDxfId="557" totalsRowDxfId="558">
      <totalsRowFormula>SUBTOTAL(9,Table15[Budget])</totalsRowFormula>
    </tableColumn>
    <tableColumn id="3" xr3:uid="{00000000-0010-0000-0700-000003000000}" name="Actual" totalsRowFunction="custom" dataDxfId="555" totalsRowDxfId="556">
      <totalsRowFormula>SUBTOTAL(9,Table15[Actual])</totalsRowFormula>
    </tableColumn>
    <tableColumn id="4" xr3:uid="{00000000-0010-0000-0700-000004000000}" name="Difference" totalsRowFunction="custom" dataDxfId="553" totalsRowDxfId="554">
      <calculatedColumnFormula>B59-C59</calculatedColumnFormula>
      <totalsRowFormula>SUBTOTAL(9,Table15[Difference])</totalsRowFormula>
    </tableColumn>
  </tableColumns>
  <tableStyleInfo name="V42_ExpenseTable" showFirstColumn="0" showLastColumn="1"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Table19" displayName="Table19" ref="A51:D56" totalsRowCount="1" headerRowDxfId="552" dataDxfId="551" headerRowBorderDxfId="549" tableBorderDxfId="550">
  <tableColumns count="4">
    <tableColumn id="1" xr3:uid="{00000000-0010-0000-0800-000001000000}" name="CHARITY/GIFTS" totalsRowFunction="custom" dataDxfId="547" totalsRowDxfId="548">
      <totalsRowFormula>"Total " &amp; Table19[[#Headers],[CHARITY/GIFTS]]</totalsRowFormula>
    </tableColumn>
    <tableColumn id="2" xr3:uid="{00000000-0010-0000-0800-000002000000}" name="Budget" totalsRowFunction="custom" dataDxfId="545" totalsRowDxfId="546">
      <totalsRowFormula>SUBTOTAL(9,Table19[Budget])</totalsRowFormula>
    </tableColumn>
    <tableColumn id="3" xr3:uid="{00000000-0010-0000-0800-000003000000}" name="Actual" totalsRowFunction="custom" dataDxfId="543" totalsRowDxfId="544">
      <totalsRowFormula>SUBTOTAL(9,Table19[Actual])</totalsRowFormula>
    </tableColumn>
    <tableColumn id="4" xr3:uid="{00000000-0010-0000-0800-000004000000}" name="Difference" totalsRowFunction="custom" dataDxfId="541" totalsRowDxfId="542">
      <calculatedColumnFormula>B52-C52</calculatedColumnFormula>
      <totalsRowFormula>SUBTOTAL(9,Table19[Difference])</totalsRowFormula>
    </tableColumn>
  </tableColumns>
  <tableStyleInfo name="V42_ExpenseTable" showFirstColumn="0" showLastColumn="1"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9000000}" name="Table20" displayName="Table20" ref="A31:D39" totalsRowCount="1" headerRowDxfId="540" dataDxfId="539" headerRowBorderDxfId="537" tableBorderDxfId="538">
  <tableColumns count="4">
    <tableColumn id="1" xr3:uid="{00000000-0010-0000-0900-000001000000}" name="Transporte" totalsRowFunction="custom" dataDxfId="535" totalsRowDxfId="536">
      <totalsRowFormula>"Total " &amp; Table20[[#Headers],[Transporte]]</totalsRowFormula>
    </tableColumn>
    <tableColumn id="2" xr3:uid="{00000000-0010-0000-0900-000002000000}" name="Budget" totalsRowFunction="custom" dataDxfId="533" totalsRowDxfId="534">
      <totalsRowFormula>SUBTOTAL(9,Table20[Budget])</totalsRowFormula>
    </tableColumn>
    <tableColumn id="3" xr3:uid="{00000000-0010-0000-0900-000003000000}" name="Actual" totalsRowFunction="custom" dataDxfId="531" totalsRowDxfId="532">
      <totalsRowFormula>SUBTOTAL(9,Table20[Actual])</totalsRowFormula>
    </tableColumn>
    <tableColumn id="4" xr3:uid="{00000000-0010-0000-0900-000004000000}" name="Difference" totalsRowFunction="custom" dataDxfId="529" totalsRowDxfId="530">
      <calculatedColumnFormula>B32-C32</calculatedColumnFormula>
      <totalsRowFormula>SUBTOTAL(9,Table20[Difference])</totalsRowFormula>
    </tableColumn>
  </tableColumns>
  <tableStyleInfo name="V42_ExpenseTable" showFirstColumn="0" showLastColumn="1"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A000000}" name="Table21" displayName="Table21" ref="A41:D49" totalsRowCount="1" headerRowDxfId="528" dataDxfId="527" headerRowBorderDxfId="525" tableBorderDxfId="526">
  <tableColumns count="4">
    <tableColumn id="1" xr3:uid="{00000000-0010-0000-0A00-000001000000}" name="Salud" totalsRowFunction="custom" dataDxfId="523" totalsRowDxfId="524">
      <totalsRowFormula>"Total " &amp; Table21[[#Headers],[Salud]]</totalsRowFormula>
    </tableColumn>
    <tableColumn id="2" xr3:uid="{00000000-0010-0000-0A00-000002000000}" name="Budget" totalsRowFunction="custom" dataDxfId="521" totalsRowDxfId="522">
      <totalsRowFormula>SUBTOTAL(9,Table21[Budget])</totalsRowFormula>
    </tableColumn>
    <tableColumn id="3" xr3:uid="{00000000-0010-0000-0A00-000003000000}" name="Actual" totalsRowFunction="custom" dataDxfId="519" totalsRowDxfId="520">
      <totalsRowFormula>SUBTOTAL(9,Table21[Actual])</totalsRowFormula>
    </tableColumn>
    <tableColumn id="4" xr3:uid="{00000000-0010-0000-0A00-000004000000}" name="Difference" totalsRowFunction="custom" dataDxfId="517" totalsRowDxfId="518">
      <calculatedColumnFormula>B42-C42</calculatedColumnFormula>
      <totalsRowFormula>SUBTOTAL(9,Table21[Difference])</totalsRowFormula>
    </tableColumn>
  </tableColumns>
  <tableStyleInfo name="V42_ExpenseTable" showFirstColumn="0" showLastColumn="1"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FBA5C-AA13-4328-BE44-5871293A0DC2}" name="Table22" displayName="Table22" ref="A4:D13" totalsRowCount="1" headerRowDxfId="514" dataDxfId="513" headerRowBorderDxfId="511" tableBorderDxfId="512">
  <tableColumns count="4">
    <tableColumn id="1" xr3:uid="{48C721FB-A039-498A-ABBB-8C6AA4ABF25B}" name="INCOME" totalsRowFunction="custom" totalsRowDxfId="510">
      <totalsRowFormula>"Total " &amp; Table22[[#Headers],[INCOME]]</totalsRowFormula>
    </tableColumn>
    <tableColumn id="2" xr3:uid="{FDB888AF-4B7A-43E9-9EB2-9DE2E85650D7}" name="Budget" totalsRowFunction="custom" totalsRowDxfId="509">
      <totalsRowFormula>SUBTOTAL(9,Table22[Budget])</totalsRowFormula>
    </tableColumn>
    <tableColumn id="3" xr3:uid="{24721597-6A9B-4BB1-BC31-1BE0F5B04FB4}" name="Actual" totalsRowFunction="custom" totalsRowDxfId="508">
      <totalsRowFormula>SUBTOTAL(9,Table22[Actual])</totalsRowFormula>
    </tableColumn>
    <tableColumn id="4" xr3:uid="{93FE3576-202F-4153-BA4B-E4CCAF94BEB8}" name="Difference" totalsRowFunction="custom" totalsRowDxfId="507">
      <calculatedColumnFormula>C5-B5</calculatedColumnFormula>
      <totalsRowFormula>SUBTOTAL(9,Table22[Difference])</totalsRowFormula>
    </tableColumn>
  </tableColumns>
  <tableStyleInfo name="V42_IncomeTable" showFirstColumn="0" showLastColumn="1"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38CF8B-0630-497B-8F18-0B4005A073FE}" name="Table54" displayName="Table54" ref="A15:D29" totalsRowCount="1" headerRowDxfId="506" dataDxfId="505" headerRowBorderDxfId="503" tableBorderDxfId="504">
  <tableColumns count="4">
    <tableColumn id="1" xr3:uid="{2926DD23-C103-4F76-8469-303A2FFF6944}" name="Gastos Vivienda" totalsRowFunction="custom" dataDxfId="501" totalsRowDxfId="502">
      <totalsRowFormula>"Total " &amp; Table54[[#Headers],[Gastos Vivienda]]</totalsRowFormula>
    </tableColumn>
    <tableColumn id="2" xr3:uid="{1DACF25E-815A-472E-8896-A1CCA98228CB}" name="Budget" totalsRowFunction="custom" dataDxfId="499" totalsRowDxfId="500">
      <totalsRowFormula>SUBTOTAL(9,Table54[Budget])</totalsRowFormula>
    </tableColumn>
    <tableColumn id="3" xr3:uid="{216863B0-4E4F-4FF1-A6FE-CC1271E73437}" name="Actual" totalsRowFunction="custom" dataDxfId="497" totalsRowDxfId="498">
      <totalsRowFormula>SUBTOTAL(9,Table54[Actual])</totalsRowFormula>
    </tableColumn>
    <tableColumn id="4" xr3:uid="{FB42ACAE-BDA0-4B25-8B64-76A0EFA80A60}" name="Difference" totalsRowFunction="custom" dataDxfId="495" totalsRowDxfId="496">
      <calculatedColumnFormula>B16-C16</calculatedColumnFormula>
      <totalsRowFormula>SUBTOTAL(9,Table54[Difference])</totalsRowFormula>
    </tableColumn>
  </tableColumns>
  <tableStyleInfo name="V42_ExpenseTable" showFirstColumn="0" showLastColumn="1"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DF1705-F2C7-4AF0-8FE1-43FFC657E8EA}" name="Table65" displayName="Table65" ref="F10:I21" totalsRowCount="1" headerRowDxfId="494" dataDxfId="493" headerRowBorderDxfId="491" tableBorderDxfId="492">
  <tableColumns count="4">
    <tableColumn id="1" xr3:uid="{2C9213FD-8D97-4419-AAA0-0C386CE1C0B5}" name="DAILY LIVING" totalsRowFunction="custom" dataDxfId="489" totalsRowDxfId="490">
      <totalsRowFormula>"Total " &amp; Table65[[#Headers],[DAILY LIVING]]</totalsRowFormula>
    </tableColumn>
    <tableColumn id="2" xr3:uid="{33095C21-1C50-44D0-87F8-66533FFB3859}" name="Budget" totalsRowFunction="custom" dataDxfId="487" totalsRowDxfId="488">
      <totalsRowFormula>SUBTOTAL(9,Table65[Budget])</totalsRowFormula>
    </tableColumn>
    <tableColumn id="3" xr3:uid="{8293813F-9937-42E7-B0B0-E76BFE5AB559}" name="Actual" totalsRowFunction="custom" dataDxfId="485" totalsRowDxfId="486">
      <totalsRowFormula>SUBTOTAL(9,Table65[Actual])</totalsRowFormula>
    </tableColumn>
    <tableColumn id="4" xr3:uid="{059C3837-FCD3-4427-B4FE-AC9B4DBCCE57}" name="Difference" totalsRowFunction="custom" dataDxfId="483" totalsRowDxfId="484">
      <calculatedColumnFormula>G11-H11</calculatedColumnFormula>
      <totalsRowFormula>SUBTOTAL(9,Table65[Difference])</totalsRowFormula>
    </tableColumn>
  </tableColumns>
  <tableStyleInfo name="V42_ExpenseTable" showFirstColumn="0" showLastColumn="1"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BC78C5-7FD4-4663-B0AB-0614ABEB3938}" name="Table710" displayName="Table710" ref="F23:I35" totalsRowCount="1" headerRowDxfId="482" dataDxfId="481" headerRowBorderDxfId="479" tableBorderDxfId="480">
  <tableColumns count="4">
    <tableColumn id="1" xr3:uid="{072917FF-3070-4211-BC1A-3CFF2915F918}" name="Diversion " totalsRowFunction="custom" dataDxfId="477" totalsRowDxfId="478">
      <totalsRowFormula>"Total " &amp; Table710[[#Headers],[Diversion ]]</totalsRowFormula>
    </tableColumn>
    <tableColumn id="2" xr3:uid="{802DD2EF-FE6E-4B23-819B-7FB1A67D6002}" name="Budget" totalsRowFunction="custom" dataDxfId="475" totalsRowDxfId="476">
      <totalsRowFormula>SUBTOTAL(9,Table710[Budget])</totalsRowFormula>
    </tableColumn>
    <tableColumn id="3" xr3:uid="{EC6F72AC-8CBF-4C0B-9C7F-38A193DF1981}" name="Actual" totalsRowFunction="custom" dataDxfId="473" totalsRowDxfId="474">
      <totalsRowFormula>SUBTOTAL(9,Table710[Actual])</totalsRowFormula>
    </tableColumn>
    <tableColumn id="4" xr3:uid="{07835EE6-8F3A-43F2-9E6F-1D44EF4A8898}" name="Difference" totalsRowFunction="custom" dataDxfId="471" totalsRowDxfId="472">
      <calculatedColumnFormula>G24-H24</calculatedColumnFormula>
      <totalsRowFormula>SUBTOTAL(9,Table710[Difference])</totalsRowFormula>
    </tableColumn>
  </tableColumns>
  <tableStyleInfo name="V42_ExpenseTable" showFirstColumn="0" showLastColumn="1"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DBFAC0C-27E2-4754-95F0-A9AB25932BDC}" name="Table812" displayName="Table812" ref="F37:I45" totalsRowCount="1" headerRowDxfId="470" dataDxfId="469" headerRowBorderDxfId="467" tableBorderDxfId="468">
  <tableColumns count="4">
    <tableColumn id="1" xr3:uid="{D14F2640-44FC-41D7-A0EF-D3B3BAB43C81}" name="Ahorros" totalsRowFunction="custom" dataDxfId="465" totalsRowDxfId="466">
      <totalsRowFormula>"Total " &amp; Table812[[#Headers],[Ahorros]]</totalsRowFormula>
    </tableColumn>
    <tableColumn id="2" xr3:uid="{1B879943-F1D0-4195-BE98-EB90B91032D0}" name="Budget" totalsRowFunction="custom" dataDxfId="463" totalsRowDxfId="464">
      <totalsRowFormula>SUBTOTAL(9,Table812[Budget])</totalsRowFormula>
    </tableColumn>
    <tableColumn id="3" xr3:uid="{18BD9227-CBBC-40BF-9448-48C48103962E}" name="Actual" totalsRowFunction="custom" dataDxfId="461" totalsRowDxfId="462">
      <totalsRowFormula>SUBTOTAL(9,Table812[Actual])</totalsRowFormula>
    </tableColumn>
    <tableColumn id="4" xr3:uid="{A4FA1963-5BED-46DC-9A31-6DAB17108FA0}" name="Difference" totalsRowFunction="custom" dataDxfId="459" totalsRowDxfId="460">
      <calculatedColumnFormula>G38-H38</calculatedColumnFormula>
      <totalsRowFormula>SUBTOTAL(9,Table812[Difference])</totalsRowFormula>
    </tableColumn>
  </tableColumns>
  <tableStyleInfo name="V42_ExpenseTable" showFirstColumn="0" showLastColumn="1"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935A986-6D2A-4B57-8680-FEE43BE81393}" name="Table1013" displayName="Table1013" ref="F47:I56" totalsRowCount="1" headerRowDxfId="458" dataDxfId="457" headerRowBorderDxfId="456">
  <tableColumns count="4">
    <tableColumn id="1" xr3:uid="{7536EAA0-64C8-4DED-99D1-3FB92C68A1C8}" name="Oblgiaciones " totalsRowFunction="custom" dataDxfId="454" totalsRowDxfId="455">
      <totalsRowFormula>"Total " &amp; Table1013[[#Headers],[Oblgiaciones ]]</totalsRowFormula>
    </tableColumn>
    <tableColumn id="2" xr3:uid="{6D016091-1A34-4073-B5B1-83921C9D798E}" name="Budget" totalsRowFunction="custom" dataDxfId="452" totalsRowDxfId="453">
      <totalsRowFormula>SUBTOTAL(9,Table1013[Budget])</totalsRowFormula>
    </tableColumn>
    <tableColumn id="3" xr3:uid="{1E081EB7-84A9-4A3A-968D-77DB58BFEFDC}" name="Actual" totalsRowFunction="custom" dataDxfId="450" totalsRowDxfId="451">
      <totalsRowFormula>SUBTOTAL(9,Table1013[Actual])</totalsRowFormula>
    </tableColumn>
    <tableColumn id="4" xr3:uid="{6C20710C-70F5-45B1-8CCF-2CBC4C519955}" name="Difference" totalsRowFunction="custom" dataDxfId="448" totalsRowDxfId="449">
      <calculatedColumnFormula>G48-H48</calculatedColumnFormula>
      <totalsRowFormula>SUBTOTAL(9,Table1013[Difference])</totalsRowFormula>
    </tableColumn>
  </tableColumns>
  <tableStyleInfo name="V42_ExpenseTable" showFirstColumn="0" showLastColumn="1"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92A1D9-73CC-47CB-8A14-078CCB251C5C}" name="Table1414" displayName="Table1414" ref="F58:I63" totalsRowCount="1" headerRowDxfId="447" dataDxfId="446" headerRowBorderDxfId="444" tableBorderDxfId="445">
  <tableColumns count="4">
    <tableColumn id="1" xr3:uid="{A6733DD3-F19E-485A-BE54-0B71725C7D24}" name="Misc" totalsRowFunction="custom" dataDxfId="442" totalsRowDxfId="443">
      <totalsRowFormula>"Total " &amp; Table1414[[#Headers],[Misc]]</totalsRowFormula>
    </tableColumn>
    <tableColumn id="2" xr3:uid="{5C69D848-167E-47AF-B741-3897C651B1D8}" name="Budget" totalsRowFunction="custom" dataDxfId="440" totalsRowDxfId="441">
      <totalsRowFormula>SUBTOTAL(9,Table1414[Budget])</totalsRowFormula>
    </tableColumn>
    <tableColumn id="3" xr3:uid="{4419A1B5-4DA6-4543-8AC4-D71359C05399}" name="Actual" totalsRowFunction="custom" dataDxfId="438" totalsRowDxfId="439">
      <totalsRowFormula>SUBTOTAL(9,Table1414[Actual])</totalsRowFormula>
    </tableColumn>
    <tableColumn id="4" xr3:uid="{2464D577-89AC-4525-B52B-F1B746E4D8CB}" name="Difference" totalsRowFunction="custom" dataDxfId="436" totalsRowDxfId="437">
      <calculatedColumnFormula>G59-H59</calculatedColumnFormula>
      <totalsRowFormula>SUBTOTAL(9,Table1414[Difference])</totalsRowFormula>
    </tableColumn>
  </tableColumns>
  <tableStyleInfo name="V42_ExpenseTable" showFirstColumn="0" showLastColumn="1"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7048D0B-0F8A-45BD-9EFB-E3ECDC17707F}" name="Table1517" displayName="Table1517" ref="A58:D63" totalsRowCount="1" headerRowDxfId="435" dataDxfId="434" headerRowBorderDxfId="432" tableBorderDxfId="433">
  <tableColumns count="4">
    <tableColumn id="1" xr3:uid="{C725BC24-54DD-40CD-9119-03EE3297B3D7}" name="Subscrpciones" totalsRowFunction="custom" dataDxfId="430" totalsRowDxfId="431">
      <totalsRowFormula>"Total " &amp; Table1517[[#Headers],[Subscrpciones]]</totalsRowFormula>
    </tableColumn>
    <tableColumn id="2" xr3:uid="{99D1D0CF-7769-4611-BFE7-FB24F17E33D0}" name="Budget" totalsRowFunction="custom" dataDxfId="428" totalsRowDxfId="429">
      <totalsRowFormula>SUBTOTAL(9,Table1517[Budget])</totalsRowFormula>
    </tableColumn>
    <tableColumn id="3" xr3:uid="{6495E647-C563-4A69-81DA-ED130F1C5B8E}" name="Actual" totalsRowFunction="custom" dataDxfId="426" totalsRowDxfId="427">
      <totalsRowFormula>SUBTOTAL(9,Table1517[Actual])</totalsRowFormula>
    </tableColumn>
    <tableColumn id="4" xr3:uid="{2DDCE74C-1290-4C40-898E-884B32F2B94C}" name="Difference" totalsRowFunction="custom" dataDxfId="424" totalsRowDxfId="425">
      <calculatedColumnFormula>B59-C59</calculatedColumnFormula>
      <totalsRowFormula>SUBTOTAL(9,Table1517[Difference])</totalsRowFormula>
    </tableColumn>
  </tableColumns>
  <tableStyleInfo name="V42_ExpenseTable" showFirstColumn="0" showLastColumn="1"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E57B58E-3F86-4194-B880-B4D9F0063E09}" name="Table1918" displayName="Table1918" ref="A51:D56" totalsRowCount="1" headerRowDxfId="423" dataDxfId="422" headerRowBorderDxfId="420" tableBorderDxfId="421">
  <tableColumns count="4">
    <tableColumn id="1" xr3:uid="{9D500513-C17E-4CA9-A091-FC88F2155B01}" name="CHARITY/GIFTS" totalsRowFunction="custom" dataDxfId="418" totalsRowDxfId="419">
      <totalsRowFormula>"Total " &amp; Table1918[[#Headers],[CHARITY/GIFTS]]</totalsRowFormula>
    </tableColumn>
    <tableColumn id="2" xr3:uid="{5A9CCFB8-2FAF-4CDF-92AF-889D2236E788}" name="Budget" totalsRowFunction="custom" dataDxfId="416" totalsRowDxfId="417">
      <totalsRowFormula>SUBTOTAL(9,Table1918[Budget])</totalsRowFormula>
    </tableColumn>
    <tableColumn id="3" xr3:uid="{1E525DD5-31DE-47B2-BFE4-ED0680AB9AC7}" name="Actual" totalsRowFunction="custom" dataDxfId="414" totalsRowDxfId="415">
      <totalsRowFormula>SUBTOTAL(9,Table1918[Actual])</totalsRowFormula>
    </tableColumn>
    <tableColumn id="4" xr3:uid="{BADD02C4-01D9-4325-885B-3BC97FC466DA}" name="Difference" totalsRowFunction="custom" dataDxfId="412" totalsRowDxfId="413">
      <calculatedColumnFormula>B52-C52</calculatedColumnFormula>
      <totalsRowFormula>SUBTOTAL(9,Table1918[Difference])</totalsRowFormula>
    </tableColumn>
  </tableColumns>
  <tableStyleInfo name="V42_ExpenseTable" showFirstColumn="0" showLastColumn="1"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D5D67C6-CD5E-49A8-AEBB-C8C7003F613B}" name="Table2019" displayName="Table2019" ref="A31:D39" totalsRowCount="1" headerRowDxfId="411" dataDxfId="410" headerRowBorderDxfId="408" tableBorderDxfId="409">
  <tableColumns count="4">
    <tableColumn id="1" xr3:uid="{8B003AA7-52CF-4F6D-8E20-13EC707D942C}" name="Transporte" totalsRowFunction="custom" dataDxfId="406" totalsRowDxfId="407">
      <totalsRowFormula>"Total " &amp; Table2019[[#Headers],[Transporte]]</totalsRowFormula>
    </tableColumn>
    <tableColumn id="2" xr3:uid="{EC18AED7-EFCB-4E2B-BEF6-C64B59087782}" name="Budget" totalsRowFunction="custom" dataDxfId="404" totalsRowDxfId="405">
      <totalsRowFormula>SUBTOTAL(9,Table2019[Budget])</totalsRowFormula>
    </tableColumn>
    <tableColumn id="3" xr3:uid="{F5081E92-D578-4B1E-BD19-0504C8D100A6}" name="Actual" totalsRowFunction="custom" dataDxfId="402" totalsRowDxfId="403">
      <totalsRowFormula>SUBTOTAL(9,Table2019[Actual])</totalsRowFormula>
    </tableColumn>
    <tableColumn id="4" xr3:uid="{A22EF2AB-DD8C-40B5-8265-B7DF6916DEF1}" name="Difference" totalsRowFunction="custom" dataDxfId="400" totalsRowDxfId="401">
      <calculatedColumnFormula>B32-C32</calculatedColumnFormula>
      <totalsRowFormula>SUBTOTAL(9,Table2019[Difference])</totalsRowFormula>
    </tableColumn>
  </tableColumns>
  <tableStyleInfo name="V42_ExpenseTable" showFirstColumn="0" showLastColumn="1"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9AC3DC6-F1FC-418E-93FC-91FE3C7CAD49}" name="Table2123" displayName="Table2123" ref="A41:D49" totalsRowCount="1" headerRowDxfId="399" dataDxfId="398" headerRowBorderDxfId="396" tableBorderDxfId="397">
  <tableColumns count="4">
    <tableColumn id="1" xr3:uid="{DEB2C493-A86E-49F2-BB4B-23E4B7042EF7}" name="Salud" totalsRowFunction="custom" dataDxfId="394" totalsRowDxfId="395">
      <totalsRowFormula>"Total " &amp; Table2123[[#Headers],[Salud]]</totalsRowFormula>
    </tableColumn>
    <tableColumn id="2" xr3:uid="{40972271-D334-4710-99A0-0606C2759F39}" name="Budget" totalsRowFunction="custom" dataDxfId="392" totalsRowDxfId="393">
      <totalsRowFormula>SUBTOTAL(9,Table2123[Budget])</totalsRowFormula>
    </tableColumn>
    <tableColumn id="3" xr3:uid="{CA100870-DA4D-499D-AAFB-CE9982B51D39}" name="Actual" totalsRowFunction="custom" dataDxfId="390" totalsRowDxfId="391">
      <totalsRowFormula>SUBTOTAL(9,Table2123[Actual])</totalsRowFormula>
    </tableColumn>
    <tableColumn id="4" xr3:uid="{4A2047D2-AC09-49DC-9FD4-00CC031BA3D7}" name="Difference" totalsRowFunction="custom" dataDxfId="388" totalsRowDxfId="389">
      <calculatedColumnFormula>B42-C42</calculatedColumnFormula>
      <totalsRowFormula>SUBTOTAL(9,Table2123[Difference])</totalsRowFormula>
    </tableColumn>
  </tableColumns>
  <tableStyleInfo name="V42_ExpenseTable" showFirstColumn="0" showLastColumn="1"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4842D35-F87C-4695-A43C-216BF2001779}" name="Table2224" displayName="Table2224" ref="A4:D13" totalsRowCount="1" headerRowDxfId="385" dataDxfId="384" headerRowBorderDxfId="382" tableBorderDxfId="383">
  <tableColumns count="4">
    <tableColumn id="1" xr3:uid="{C6166D24-BBD9-496B-9B77-28139F8AC6D4}" name="INCOME" totalsRowFunction="custom" totalsRowDxfId="381">
      <totalsRowFormula>"Total " &amp; Table2224[[#Headers],[INCOME]]</totalsRowFormula>
    </tableColumn>
    <tableColumn id="2" xr3:uid="{7143E211-45B4-46C2-982B-9B73582A523E}" name="Budget" totalsRowFunction="custom" dataDxfId="379" totalsRowDxfId="380">
      <calculatedColumnFormula>23211</calculatedColumnFormula>
      <totalsRowFormula>SUBTOTAL(9,Table2224[Budget])</totalsRowFormula>
    </tableColumn>
    <tableColumn id="3" xr3:uid="{136D4633-1A8D-40EF-94BF-0601CFEF42A1}" name="Actual" totalsRowFunction="custom" totalsRowDxfId="378">
      <totalsRowFormula>SUBTOTAL(9,Table2224[Actual])</totalsRowFormula>
    </tableColumn>
    <tableColumn id="4" xr3:uid="{E16A985F-4D69-48AE-BF72-657A109CA84F}" name="Difference" totalsRowFunction="custom" totalsRowDxfId="377">
      <calculatedColumnFormula>C5-B5</calculatedColumnFormula>
      <totalsRowFormula>SUBTOTAL(9,Table2224[Difference])</totalsRowFormula>
    </tableColumn>
  </tableColumns>
  <tableStyleInfo name="V42_IncomeTable" showFirstColumn="0" showLastColumn="1"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EA8C478-24F2-431B-9A3A-DE29366CBBB1}" name="Table5425" displayName="Table5425" ref="A15:D29" totalsRowCount="1" headerRowDxfId="376" dataDxfId="375" headerRowBorderDxfId="373" tableBorderDxfId="374">
  <tableColumns count="4">
    <tableColumn id="1" xr3:uid="{319B2669-C7F0-4B05-B665-932C946A0677}" name="Gastos Vivienda" totalsRowFunction="custom" dataDxfId="371" totalsRowDxfId="372">
      <totalsRowFormula>"Total " &amp; Table5425[[#Headers],[Gastos Vivienda]]</totalsRowFormula>
    </tableColumn>
    <tableColumn id="2" xr3:uid="{708C639B-8D20-43EC-9B8F-9F04CE79A693}" name="Budget" totalsRowFunction="custom" dataDxfId="369" totalsRowDxfId="370">
      <totalsRowFormula>SUBTOTAL(9,Table5425[Budget])</totalsRowFormula>
    </tableColumn>
    <tableColumn id="3" xr3:uid="{846F5B95-3335-4298-8DA1-6DBBD685318A}" name="Actual" totalsRowFunction="custom" dataDxfId="367" totalsRowDxfId="368">
      <totalsRowFormula>SUBTOTAL(9,Table5425[Actual])</totalsRowFormula>
    </tableColumn>
    <tableColumn id="4" xr3:uid="{4930DCD4-03E9-424E-B8D1-55A500DEE913}" name="Difference" totalsRowFunction="custom" dataDxfId="365" totalsRowDxfId="366">
      <calculatedColumnFormula>B16-C16</calculatedColumnFormula>
      <totalsRowFormula>SUBTOTAL(9,Table5425[Difference])</totalsRowFormula>
    </tableColumn>
  </tableColumns>
  <tableStyleInfo name="V42_ExpenseTable" showFirstColumn="0" showLastColumn="1"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56DA554-118C-4095-BEEB-13094713D9AE}" name="Table6526" displayName="Table6526" ref="F10:I21" totalsRowCount="1" headerRowDxfId="364" dataDxfId="363" headerRowBorderDxfId="361" tableBorderDxfId="362">
  <tableColumns count="4">
    <tableColumn id="1" xr3:uid="{C7FD2348-9D71-4FB1-9317-14EED0867C8A}" name="DAILY LIVING" totalsRowFunction="custom" dataDxfId="359" totalsRowDxfId="360">
      <totalsRowFormula>"Total " &amp; Table6526[[#Headers],[DAILY LIVING]]</totalsRowFormula>
    </tableColumn>
    <tableColumn id="2" xr3:uid="{B5F50ABE-004F-4F92-932A-E58E152928FC}" name="Budget" totalsRowFunction="custom" dataDxfId="357" totalsRowDxfId="358">
      <totalsRowFormula>SUBTOTAL(9,Table6526[Budget])</totalsRowFormula>
    </tableColumn>
    <tableColumn id="3" xr3:uid="{A20B9DC2-5BEC-4D3C-BC33-89BAB2396B35}" name="Actual" totalsRowFunction="custom" dataDxfId="355" totalsRowDxfId="356">
      <totalsRowFormula>SUBTOTAL(9,Table6526[Actual])</totalsRowFormula>
    </tableColumn>
    <tableColumn id="4" xr3:uid="{82E724D6-FFD5-437C-AA8D-AE13C303D6F1}" name="Difference" totalsRowFunction="custom" dataDxfId="353" totalsRowDxfId="354">
      <calculatedColumnFormula>G11-H11</calculatedColumnFormula>
      <totalsRowFormula>SUBTOTAL(9,Table6526[Difference])</totalsRowFormula>
    </tableColumn>
  </tableColumns>
  <tableStyleInfo name="V42_ExpenseTable" showFirstColumn="0" showLastColumn="1"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0680259-9B66-4B17-8FD2-4E540CF1A572}" name="Table71027" displayName="Table71027" ref="F23:I35" totalsRowCount="1" headerRowDxfId="352" dataDxfId="351" headerRowBorderDxfId="349" tableBorderDxfId="350">
  <tableColumns count="4">
    <tableColumn id="1" xr3:uid="{8E6673CC-62D9-41EF-8F10-1D44CE22FB85}" name="Diversion " totalsRowFunction="custom" dataDxfId="347" totalsRowDxfId="348">
      <totalsRowFormula>"Total " &amp; Table71027[[#Headers],[Diversion ]]</totalsRowFormula>
    </tableColumn>
    <tableColumn id="2" xr3:uid="{8A7CB355-E3C8-4171-AD72-C5A3133C95F6}" name="Budget" totalsRowFunction="custom" dataDxfId="345" totalsRowDxfId="346">
      <totalsRowFormula>SUBTOTAL(9,Table71027[Budget])</totalsRowFormula>
    </tableColumn>
    <tableColumn id="3" xr3:uid="{C319AAB7-1A5C-4D79-8F58-C266D06D856B}" name="Actual" totalsRowFunction="custom" dataDxfId="343" totalsRowDxfId="344">
      <totalsRowFormula>SUBTOTAL(9,Table71027[Actual])</totalsRowFormula>
    </tableColumn>
    <tableColumn id="4" xr3:uid="{8675A183-036C-46E5-A8EF-0CED1B4589DB}" name="Difference" totalsRowFunction="custom" dataDxfId="341" totalsRowDxfId="342">
      <calculatedColumnFormula>G24-H24</calculatedColumnFormula>
      <totalsRowFormula>SUBTOTAL(9,Table71027[Difference])</totalsRowFormula>
    </tableColumn>
  </tableColumns>
  <tableStyleInfo name="V42_ExpenseTable" showFirstColumn="0" showLastColumn="1"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5E50C08-FFCE-4738-9FBB-6BBCA5E06A3D}" name="Table81228" displayName="Table81228" ref="F37:I45" totalsRowCount="1" headerRowDxfId="340" dataDxfId="339" headerRowBorderDxfId="337" tableBorderDxfId="338">
  <tableColumns count="4">
    <tableColumn id="1" xr3:uid="{110DF071-618D-4DEF-82EF-4BE3F8185014}" name="Ahorros" totalsRowFunction="custom" dataDxfId="335" totalsRowDxfId="336">
      <totalsRowFormula>"Total " &amp; Table81228[[#Headers],[Ahorros]]</totalsRowFormula>
    </tableColumn>
    <tableColumn id="2" xr3:uid="{91F903C1-DD46-41C7-83EE-2D2725FCBF3F}" name="Budget" totalsRowFunction="custom" dataDxfId="333" totalsRowDxfId="334">
      <totalsRowFormula>SUBTOTAL(9,Table81228[Budget])</totalsRowFormula>
    </tableColumn>
    <tableColumn id="3" xr3:uid="{4378B480-1D32-4F98-9DCC-6B8130518735}" name="Actual" totalsRowFunction="custom" dataDxfId="331" totalsRowDxfId="332">
      <totalsRowFormula>SUBTOTAL(9,Table81228[Actual])</totalsRowFormula>
    </tableColumn>
    <tableColumn id="4" xr3:uid="{46035DAF-4D55-4551-9628-97874B75FD3D}" name="Difference" totalsRowFunction="custom" dataDxfId="329" totalsRowDxfId="330">
      <calculatedColumnFormula>G38-H38</calculatedColumnFormula>
      <totalsRowFormula>SUBTOTAL(9,Table81228[Difference])</totalsRowFormula>
    </tableColumn>
  </tableColumns>
  <tableStyleInfo name="V42_ExpenseTable" showFirstColumn="0" showLastColumn="1"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F6895A1-4B88-4221-BD02-641273BD132B}" name="Table101329" displayName="Table101329" ref="F47:I56" totalsRowCount="1" headerRowDxfId="328" dataDxfId="327" headerRowBorderDxfId="326">
  <tableColumns count="4">
    <tableColumn id="1" xr3:uid="{8DBAA38B-6560-4C53-B677-418D4BA8FAC1}" name="Oblgiaciones " totalsRowFunction="custom" dataDxfId="324" totalsRowDxfId="325">
      <totalsRowFormula>"Total " &amp; Table101329[[#Headers],[Oblgiaciones ]]</totalsRowFormula>
    </tableColumn>
    <tableColumn id="2" xr3:uid="{EF5F8E6E-770F-4354-95A3-96467C9009FF}" name="Budget" totalsRowFunction="custom" dataDxfId="322" totalsRowDxfId="323">
      <totalsRowFormula>SUBTOTAL(9,Table101329[Budget])</totalsRowFormula>
    </tableColumn>
    <tableColumn id="3" xr3:uid="{2F859FD1-4FEE-48B5-93D5-C2DFF0DA18F9}" name="Actual" totalsRowFunction="custom" dataDxfId="320" totalsRowDxfId="321">
      <totalsRowFormula>SUBTOTAL(9,Table101329[Actual])</totalsRowFormula>
    </tableColumn>
    <tableColumn id="4" xr3:uid="{EC5FBEC9-4DD1-4B6B-A9F1-4143DA8179A7}" name="Difference" totalsRowFunction="custom" dataDxfId="318" totalsRowDxfId="319">
      <calculatedColumnFormula>G48-H48</calculatedColumnFormula>
      <totalsRowFormula>SUBTOTAL(9,Table101329[Difference])</totalsRowFormula>
    </tableColumn>
  </tableColumns>
  <tableStyleInfo name="V42_ExpenseTable" showFirstColumn="0" showLastColumn="1"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A86F121-0E98-4101-950F-561C943EC31B}" name="Table141430" displayName="Table141430" ref="F58:I63" totalsRowCount="1" headerRowDxfId="317" dataDxfId="316" headerRowBorderDxfId="314" tableBorderDxfId="315">
  <tableColumns count="4">
    <tableColumn id="1" xr3:uid="{88493A9F-CE59-4907-947B-F09C0AFE8138}" name="Misc" totalsRowFunction="custom" dataDxfId="312" totalsRowDxfId="313">
      <totalsRowFormula>"Total " &amp; Table141430[[#Headers],[Misc]]</totalsRowFormula>
    </tableColumn>
    <tableColumn id="2" xr3:uid="{02C2DB1F-E691-43EB-B678-2E58B133D377}" name="Budget" totalsRowFunction="custom" dataDxfId="310" totalsRowDxfId="311">
      <totalsRowFormula>SUBTOTAL(9,Table141430[Budget])</totalsRowFormula>
    </tableColumn>
    <tableColumn id="3" xr3:uid="{50F172CE-2323-4237-B0D1-34DED328F275}" name="Actual" totalsRowFunction="custom" dataDxfId="308" totalsRowDxfId="309">
      <totalsRowFormula>SUBTOTAL(9,Table141430[Actual])</totalsRowFormula>
    </tableColumn>
    <tableColumn id="4" xr3:uid="{7BEA1AEE-63A6-45D2-B1E3-8B907ABA2C1F}" name="Difference" totalsRowFunction="custom" dataDxfId="306" totalsRowDxfId="307">
      <calculatedColumnFormula>G59-H59</calculatedColumnFormula>
      <totalsRowFormula>SUBTOTAL(9,Table141430[Difference])</totalsRowFormula>
    </tableColumn>
  </tableColumns>
  <tableStyleInfo name="V42_ExpenseTable" showFirstColumn="0" showLastColumn="1"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8AD7890-0529-4BDA-B917-CCCD54D16CD7}" name="Table151731" displayName="Table151731" ref="A58:D63" totalsRowCount="1" headerRowDxfId="305" dataDxfId="304" headerRowBorderDxfId="302" tableBorderDxfId="303">
  <tableColumns count="4">
    <tableColumn id="1" xr3:uid="{C46664A0-17BD-4EB4-8336-8AD1576B968B}" name="Subscrpciones" totalsRowFunction="custom" dataDxfId="300" totalsRowDxfId="301">
      <totalsRowFormula>"Total " &amp; Table151731[[#Headers],[Subscrpciones]]</totalsRowFormula>
    </tableColumn>
    <tableColumn id="2" xr3:uid="{B31641F4-7444-4949-84F5-0B84593A0554}" name="Budget" totalsRowFunction="custom" dataDxfId="298" totalsRowDxfId="299">
      <totalsRowFormula>SUBTOTAL(9,Table151731[Budget])</totalsRowFormula>
    </tableColumn>
    <tableColumn id="3" xr3:uid="{B7557EF9-8F0B-479A-9A41-E8165A599322}" name="Actual" totalsRowFunction="custom" dataDxfId="296" totalsRowDxfId="297">
      <totalsRowFormula>SUBTOTAL(9,Table151731[Actual])</totalsRowFormula>
    </tableColumn>
    <tableColumn id="4" xr3:uid="{15095621-C19A-49AE-96C6-6B70313893DC}" name="Difference" totalsRowFunction="custom" dataDxfId="294" totalsRowDxfId="295">
      <calculatedColumnFormula>B59-C59</calculatedColumnFormula>
      <totalsRowFormula>SUBTOTAL(9,Table151731[Difference])</totalsRowFormula>
    </tableColumn>
  </tableColumns>
  <tableStyleInfo name="V42_ExpenseTable" showFirstColumn="0" showLastColumn="1"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2043883-D47E-4521-A81F-72F7CD7DFF3A}" name="Table191832" displayName="Table191832" ref="A51:D56" totalsRowCount="1" headerRowDxfId="293" dataDxfId="292" headerRowBorderDxfId="290" tableBorderDxfId="291">
  <tableColumns count="4">
    <tableColumn id="1" xr3:uid="{AAC89501-66B7-4DA5-B045-37209933D41D}" name="CHARITY/GIFTS" totalsRowFunction="custom" dataDxfId="288" totalsRowDxfId="289">
      <totalsRowFormula>"Total " &amp; Table191832[[#Headers],[CHARITY/GIFTS]]</totalsRowFormula>
    </tableColumn>
    <tableColumn id="2" xr3:uid="{DA74B968-F11A-462F-8B20-B1AECDCD2B4C}" name="Budget" totalsRowFunction="custom" dataDxfId="286" totalsRowDxfId="287">
      <totalsRowFormula>SUBTOTAL(9,Table191832[Budget])</totalsRowFormula>
    </tableColumn>
    <tableColumn id="3" xr3:uid="{6808C2BE-20FF-4D44-A0C0-0E607C285064}" name="Actual" totalsRowFunction="custom" dataDxfId="284" totalsRowDxfId="285">
      <totalsRowFormula>SUBTOTAL(9,Table191832[Actual])</totalsRowFormula>
    </tableColumn>
    <tableColumn id="4" xr3:uid="{335D9D4B-B3DC-47E9-8480-EDFDFAA0D5E9}" name="Difference" totalsRowFunction="custom" dataDxfId="282" totalsRowDxfId="283">
      <calculatedColumnFormula>B52-C52</calculatedColumnFormula>
      <totalsRowFormula>SUBTOTAL(9,Table191832[Difference])</totalsRowFormula>
    </tableColumn>
  </tableColumns>
  <tableStyleInfo name="V42_ExpenseTable" showFirstColumn="0" showLastColumn="1"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AF5CBC9-39CD-48BF-B2AD-30FF64345DF8}" name="Table201933" displayName="Table201933" ref="A31:D39" totalsRowCount="1" headerRowDxfId="281" dataDxfId="280" headerRowBorderDxfId="278" tableBorderDxfId="279">
  <tableColumns count="4">
    <tableColumn id="1" xr3:uid="{B4B635BD-F405-4F5C-BBE0-7EC580552003}" name="Transporte" totalsRowFunction="custom" dataDxfId="276" totalsRowDxfId="277">
      <totalsRowFormula>"Total " &amp; Table201933[[#Headers],[Transporte]]</totalsRowFormula>
    </tableColumn>
    <tableColumn id="2" xr3:uid="{C4BC635E-4D78-4D08-9126-6A102757571F}" name="Budget" totalsRowFunction="custom" dataDxfId="274" totalsRowDxfId="275">
      <totalsRowFormula>SUBTOTAL(9,Table201933[Budget])</totalsRowFormula>
    </tableColumn>
    <tableColumn id="3" xr3:uid="{70B8F82C-1EBE-426C-BA7A-0778BB0B45D9}" name="Actual" totalsRowFunction="custom" dataDxfId="272" totalsRowDxfId="273">
      <totalsRowFormula>SUBTOTAL(9,Table201933[Actual])</totalsRowFormula>
    </tableColumn>
    <tableColumn id="4" xr3:uid="{3D5155D6-3569-420A-A768-D71F67FBB50C}" name="Difference" totalsRowFunction="custom" dataDxfId="270" totalsRowDxfId="271">
      <calculatedColumnFormula>B32-C32</calculatedColumnFormula>
      <totalsRowFormula>SUBTOTAL(9,Table201933[Difference])</totalsRowFormula>
    </tableColumn>
  </tableColumns>
  <tableStyleInfo name="V42_ExpenseTable" showFirstColumn="0" showLastColumn="1"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FAC58F5-807B-4124-B243-B06917D61F1B}" name="Table212334" displayName="Table212334" ref="A41:D49" totalsRowCount="1" headerRowDxfId="269" dataDxfId="268" headerRowBorderDxfId="266" tableBorderDxfId="267">
  <tableColumns count="4">
    <tableColumn id="1" xr3:uid="{1E3B3AA0-49F5-4040-A78E-0C8F106533B9}" name="Salud" totalsRowFunction="custom" dataDxfId="264" totalsRowDxfId="265">
      <totalsRowFormula>"Total " &amp; Table212334[[#Headers],[Salud]]</totalsRowFormula>
    </tableColumn>
    <tableColumn id="2" xr3:uid="{AE2B3E68-42C4-47E9-B66F-DF0E13CF2FE6}" name="Budget" totalsRowFunction="custom" dataDxfId="262" totalsRowDxfId="263">
      <totalsRowFormula>SUBTOTAL(9,Table212334[Budget])</totalsRowFormula>
    </tableColumn>
    <tableColumn id="3" xr3:uid="{6F985869-846B-4835-AC8E-2D57D4A95B54}" name="Actual" totalsRowFunction="custom" dataDxfId="260" totalsRowDxfId="261">
      <totalsRowFormula>SUBTOTAL(9,Table212334[Actual])</totalsRowFormula>
    </tableColumn>
    <tableColumn id="4" xr3:uid="{2D738640-4492-41F5-8E3B-15C2B0519B28}" name="Difference" totalsRowFunction="custom" dataDxfId="258" totalsRowDxfId="259">
      <calculatedColumnFormula>B42-C42</calculatedColumnFormula>
      <totalsRowFormula>SUBTOTAL(9,Table212334[Difference])</totalsRowFormula>
    </tableColumn>
  </tableColumns>
  <tableStyleInfo name="V42_ExpenseTable" showFirstColumn="0" showLastColumn="1"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F85516A-DE9C-4E9D-A325-C3CDD9F171A1}" name="Table222435" displayName="Table222435" ref="A4:D13" totalsRowCount="1" headerRowDxfId="255" dataDxfId="254" headerRowBorderDxfId="252" tableBorderDxfId="253">
  <tableColumns count="4">
    <tableColumn id="1" xr3:uid="{2EF178D0-7AFA-4197-BC53-BFD12CD4D9CE}" name="INCOME" totalsRowFunction="custom" totalsRowDxfId="251">
      <totalsRowFormula>"Total " &amp; Table222435[[#Headers],[INCOME]]</totalsRowFormula>
    </tableColumn>
    <tableColumn id="2" xr3:uid="{36B5F156-5F0B-4964-AE3E-E7BFB5DE7562}" name="Budget" totalsRowFunction="custom" totalsRowDxfId="250">
      <totalsRowFormula>SUBTOTAL(9,Table222435[Budget])</totalsRowFormula>
    </tableColumn>
    <tableColumn id="3" xr3:uid="{535186BE-1D26-4351-826F-86502805CF46}" name="Actual" totalsRowFunction="custom" totalsRowDxfId="249">
      <totalsRowFormula>SUBTOTAL(9,Table222435[Actual])</totalsRowFormula>
    </tableColumn>
    <tableColumn id="4" xr3:uid="{EE0FF842-7D37-437C-8BA5-5641C8D73281}" name="Difference" totalsRowFunction="custom" totalsRowDxfId="248">
      <calculatedColumnFormula>C5-B5</calculatedColumnFormula>
      <totalsRowFormula>SUBTOTAL(9,Table222435[Difference])</totalsRowFormula>
    </tableColumn>
  </tableColumns>
  <tableStyleInfo name="V42_IncomeTable" showFirstColumn="0" showLastColumn="1"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08A91B3-6576-4204-89DD-B219D022F0CD}" name="Table542536" displayName="Table542536" ref="A15:D29" totalsRowCount="1" headerRowDxfId="247" dataDxfId="246" headerRowBorderDxfId="244" tableBorderDxfId="245">
  <tableColumns count="4">
    <tableColumn id="1" xr3:uid="{D3407A8C-1322-4921-8865-32652853387A}" name="Gastos Vivienda" totalsRowFunction="custom" dataDxfId="242" totalsRowDxfId="243">
      <totalsRowFormula>"Total " &amp; Table542536[[#Headers],[Gastos Vivienda]]</totalsRowFormula>
    </tableColumn>
    <tableColumn id="2" xr3:uid="{483421C0-6C6A-487F-A882-71F1D663FE74}" name="Budget" totalsRowFunction="custom" dataDxfId="240" totalsRowDxfId="241">
      <totalsRowFormula>SUBTOTAL(9,Table542536[Budget])</totalsRowFormula>
    </tableColumn>
    <tableColumn id="3" xr3:uid="{8C8A20BA-2ECD-4FA1-9FA8-2C2BCB7B5815}" name="Actual" totalsRowFunction="custom" dataDxfId="238" totalsRowDxfId="239">
      <totalsRowFormula>SUBTOTAL(9,Table542536[Actual])</totalsRowFormula>
    </tableColumn>
    <tableColumn id="4" xr3:uid="{E6F08BE4-9D8A-4DC7-9540-CF0CCAE55975}" name="Difference" totalsRowFunction="custom" dataDxfId="236" totalsRowDxfId="237">
      <calculatedColumnFormula>B16-C16</calculatedColumnFormula>
      <totalsRowFormula>SUBTOTAL(9,Table542536[Difference])</totalsRowFormula>
    </tableColumn>
  </tableColumns>
  <tableStyleInfo name="V42_ExpenseTable" showFirstColumn="0" showLastColumn="1"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12AE01D-E9D5-4D2A-8310-4EAF93A389E8}" name="Table652637" displayName="Table652637" ref="F10:I21" totalsRowCount="1" headerRowDxfId="235" dataDxfId="234" headerRowBorderDxfId="232" tableBorderDxfId="233">
  <tableColumns count="4">
    <tableColumn id="1" xr3:uid="{A932EAEE-AA29-4755-9F55-CCD7C8D093F4}" name="DAILY LIVING" totalsRowFunction="custom" dataDxfId="230" totalsRowDxfId="231">
      <totalsRowFormula>"Total " &amp; Table652637[[#Headers],[DAILY LIVING]]</totalsRowFormula>
    </tableColumn>
    <tableColumn id="2" xr3:uid="{BEABCAFF-3259-4F10-B4CA-162DA172E6E3}" name="Budget" totalsRowFunction="custom" dataDxfId="228" totalsRowDxfId="229">
      <totalsRowFormula>SUBTOTAL(9,Table652637[Budget])</totalsRowFormula>
    </tableColumn>
    <tableColumn id="3" xr3:uid="{6849E31B-E47F-4AFA-84B5-CC5F4F8F22DD}" name="Actual" totalsRowFunction="custom" dataDxfId="226" totalsRowDxfId="227">
      <totalsRowFormula>SUBTOTAL(9,Table652637[Actual])</totalsRowFormula>
    </tableColumn>
    <tableColumn id="4" xr3:uid="{4DA29FCD-E3C6-4FB1-8B56-0EEA137621FF}" name="Difference" totalsRowFunction="custom" dataDxfId="224" totalsRowDxfId="225">
      <calculatedColumnFormula>G11-H11</calculatedColumnFormula>
      <totalsRowFormula>SUBTOTAL(9,Table652637[Difference])</totalsRowFormula>
    </tableColumn>
  </tableColumns>
  <tableStyleInfo name="V42_ExpenseTable" showFirstColumn="0" showLastColumn="1"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F0A5126-967A-457A-B929-E8E93E3F2163}" name="Table7102738" displayName="Table7102738" ref="F23:I35" totalsRowCount="1" headerRowDxfId="223" dataDxfId="222" headerRowBorderDxfId="220" tableBorderDxfId="221">
  <tableColumns count="4">
    <tableColumn id="1" xr3:uid="{8A34721C-07C2-45A8-84EA-32BA0DE40A4A}" name="Diversion " totalsRowFunction="custom" dataDxfId="218" totalsRowDxfId="219">
      <totalsRowFormula>"Total " &amp; Table7102738[[#Headers],[Diversion ]]</totalsRowFormula>
    </tableColumn>
    <tableColumn id="2" xr3:uid="{426DD338-8644-4A7B-988D-1CD48910F0AA}" name="Budget" totalsRowFunction="custom" dataDxfId="216" totalsRowDxfId="217">
      <totalsRowFormula>SUBTOTAL(9,Table7102738[Budget])</totalsRowFormula>
    </tableColumn>
    <tableColumn id="3" xr3:uid="{9063092F-2790-4EAA-944F-DF9FD2B7C5C8}" name="Actual" totalsRowFunction="custom" dataDxfId="214" totalsRowDxfId="215">
      <totalsRowFormula>SUBTOTAL(9,Table7102738[Actual])</totalsRowFormula>
    </tableColumn>
    <tableColumn id="4" xr3:uid="{1BBA0E49-1801-4BC6-A0B3-1CAA8392F3BE}" name="Difference" totalsRowFunction="custom" dataDxfId="212" totalsRowDxfId="213">
      <calculatedColumnFormula>G24-H24</calculatedColumnFormula>
      <totalsRowFormula>SUBTOTAL(9,Table7102738[Difference])</totalsRowFormula>
    </tableColumn>
  </tableColumns>
  <tableStyleInfo name="V42_ExpenseTable" showFirstColumn="0" showLastColumn="1"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7EB48-9363-4455-AB9B-9895AFFAA753}" name="Table8122839" displayName="Table8122839" ref="F37:I45" totalsRowCount="1" headerRowDxfId="211" dataDxfId="210" headerRowBorderDxfId="208" tableBorderDxfId="209">
  <tableColumns count="4">
    <tableColumn id="1" xr3:uid="{00A38C9B-B5B5-432E-8083-192B1BC5635C}" name="Ahorros" totalsRowFunction="custom" dataDxfId="206" totalsRowDxfId="207">
      <totalsRowFormula>"Total " &amp; Table8122839[[#Headers],[Ahorros]]</totalsRowFormula>
    </tableColumn>
    <tableColumn id="2" xr3:uid="{8827F38C-0685-4AB4-BC98-A5BB0515BB7D}" name="Budget" totalsRowFunction="custom" dataDxfId="204" totalsRowDxfId="205">
      <totalsRowFormula>SUBTOTAL(9,Table8122839[Budget])</totalsRowFormula>
    </tableColumn>
    <tableColumn id="3" xr3:uid="{872C82AF-CEC4-4050-A23C-E8D282040F72}" name="Actual" totalsRowFunction="custom" dataDxfId="202" totalsRowDxfId="203">
      <totalsRowFormula>SUBTOTAL(9,Table8122839[Actual])</totalsRowFormula>
    </tableColumn>
    <tableColumn id="4" xr3:uid="{BF92217D-C832-4E06-9FA4-63E5C671E942}" name="Difference" totalsRowFunction="custom" dataDxfId="200" totalsRowDxfId="201">
      <calculatedColumnFormula>G38-H38</calculatedColumnFormula>
      <totalsRowFormula>SUBTOTAL(9,Table8122839[Difference])</totalsRowFormula>
    </tableColumn>
  </tableColumns>
  <tableStyleInfo name="V42_ExpenseTable" showFirstColumn="0" showLastColumn="1"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314A55F-C068-44A7-95EB-95A6E6E2D36F}" name="Table10132940" displayName="Table10132940" ref="F47:I56" totalsRowCount="1" headerRowDxfId="199" dataDxfId="198" headerRowBorderDxfId="197">
  <tableColumns count="4">
    <tableColumn id="1" xr3:uid="{E0729393-654E-485E-AD26-02DC9D50340A}" name="Oblgiaciones " totalsRowFunction="custom" dataDxfId="195" totalsRowDxfId="196">
      <totalsRowFormula>"Total " &amp; Table10132940[[#Headers],[Oblgiaciones ]]</totalsRowFormula>
    </tableColumn>
    <tableColumn id="2" xr3:uid="{14655D70-CA44-404C-8032-7F9F8F3AABD0}" name="Budget" totalsRowFunction="custom" dataDxfId="193" totalsRowDxfId="194">
      <totalsRowFormula>SUBTOTAL(9,Table10132940[Budget])</totalsRowFormula>
    </tableColumn>
    <tableColumn id="3" xr3:uid="{8AC4E0C4-4B07-4454-85FA-6676B30FA471}" name="Actual" totalsRowFunction="custom" dataDxfId="191" totalsRowDxfId="192">
      <totalsRowFormula>SUBTOTAL(9,Table10132940[Actual])</totalsRowFormula>
    </tableColumn>
    <tableColumn id="4" xr3:uid="{F39032BC-EEA6-4297-8036-C9F914A86B01}" name="Difference" totalsRowFunction="custom" dataDxfId="189" totalsRowDxfId="190">
      <calculatedColumnFormula>G48-H48</calculatedColumnFormula>
      <totalsRowFormula>SUBTOTAL(9,Table10132940[Difference])</totalsRowFormula>
    </tableColumn>
  </tableColumns>
  <tableStyleInfo name="V42_ExpenseTable" showFirstColumn="0" showLastColumn="1"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2D29A821-D229-43BD-8A8A-CF4F33D2F364}" name="Table14143041" displayName="Table14143041" ref="F58:I63" totalsRowCount="1" headerRowDxfId="188" dataDxfId="187" headerRowBorderDxfId="185" tableBorderDxfId="186">
  <tableColumns count="4">
    <tableColumn id="1" xr3:uid="{C1994F0E-7DA3-41F7-9B92-05FBBCC10E0C}" name="Misc" totalsRowFunction="custom" dataDxfId="183" totalsRowDxfId="184">
      <totalsRowFormula>"Total " &amp; Table14143041[[#Headers],[Misc]]</totalsRowFormula>
    </tableColumn>
    <tableColumn id="2" xr3:uid="{99E827A7-51AC-4FD3-AC4E-48DE82FE8F89}" name="Budget" totalsRowFunction="custom" dataDxfId="181" totalsRowDxfId="182">
      <totalsRowFormula>SUBTOTAL(9,Table14143041[Budget])</totalsRowFormula>
    </tableColumn>
    <tableColumn id="3" xr3:uid="{31491C1B-1D18-4CA2-91DA-0036EF22ECD3}" name="Actual" totalsRowFunction="custom" dataDxfId="179" totalsRowDxfId="180">
      <totalsRowFormula>SUBTOTAL(9,Table14143041[Actual])</totalsRowFormula>
    </tableColumn>
    <tableColumn id="4" xr3:uid="{D3481AD1-C585-429D-A7F8-5612C139A9FA}" name="Difference" totalsRowFunction="custom" dataDxfId="177" totalsRowDxfId="178">
      <calculatedColumnFormula>G59-H59</calculatedColumnFormula>
      <totalsRowFormula>SUBTOTAL(9,Table14143041[Difference])</totalsRowFormula>
    </tableColumn>
  </tableColumns>
  <tableStyleInfo name="V42_ExpenseTable" showFirstColumn="0" showLastColumn="1"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6F45D3F-C129-421D-BF8E-656FFCEEFB56}" name="Table15173142" displayName="Table15173142" ref="A58:D63" totalsRowCount="1" headerRowDxfId="176" dataDxfId="175" headerRowBorderDxfId="173" tableBorderDxfId="174">
  <tableColumns count="4">
    <tableColumn id="1" xr3:uid="{FC2BD3B3-73EC-4794-9196-8FAF3B23E175}" name="Subscrpciones" totalsRowFunction="custom" dataDxfId="171" totalsRowDxfId="172">
      <totalsRowFormula>"Total " &amp; Table15173142[[#Headers],[Subscrpciones]]</totalsRowFormula>
    </tableColumn>
    <tableColumn id="2" xr3:uid="{CB41760C-F27A-4C9D-A8A9-B6BFB4BE3AD0}" name="Budget" totalsRowFunction="custom" dataDxfId="169" totalsRowDxfId="170">
      <totalsRowFormula>SUBTOTAL(9,Table15173142[Budget])</totalsRowFormula>
    </tableColumn>
    <tableColumn id="3" xr3:uid="{B87155CB-6D4A-49E9-A6C0-33783C7EFBC7}" name="Actual" totalsRowFunction="custom" dataDxfId="167" totalsRowDxfId="168">
      <totalsRowFormula>SUBTOTAL(9,Table15173142[Actual])</totalsRowFormula>
    </tableColumn>
    <tableColumn id="4" xr3:uid="{69A2E5C9-8505-40D4-9E8E-D174B8F74552}" name="Difference" totalsRowFunction="custom" dataDxfId="165" totalsRowDxfId="166">
      <calculatedColumnFormula>B59-C59</calculatedColumnFormula>
      <totalsRowFormula>SUBTOTAL(9,Table15173142[Difference])</totalsRowFormula>
    </tableColumn>
  </tableColumns>
  <tableStyleInfo name="V42_ExpenseTable" showFirstColumn="0" showLastColumn="1"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187E153-7786-4A0A-BA73-279F457D6C1E}" name="Table19183243" displayName="Table19183243" ref="A51:D56" totalsRowCount="1" headerRowDxfId="164" dataDxfId="163" headerRowBorderDxfId="161" tableBorderDxfId="162">
  <tableColumns count="4">
    <tableColumn id="1" xr3:uid="{8A5D1411-3ADE-4BE2-B7A7-896C992A2DB8}" name="CHARITY/GIFTS" totalsRowFunction="custom" dataDxfId="159" totalsRowDxfId="160">
      <totalsRowFormula>"Total " &amp; Table19183243[[#Headers],[CHARITY/GIFTS]]</totalsRowFormula>
    </tableColumn>
    <tableColumn id="2" xr3:uid="{004011AF-25CF-4307-9DD1-02B01A68EC6D}" name="Budget" totalsRowFunction="custom" dataDxfId="157" totalsRowDxfId="158">
      <totalsRowFormula>SUBTOTAL(9,Table19183243[Budget])</totalsRowFormula>
    </tableColumn>
    <tableColumn id="3" xr3:uid="{8DF0CDCD-E719-48FF-8A36-EFD82DD59421}" name="Actual" totalsRowFunction="custom" dataDxfId="155" totalsRowDxfId="156">
      <totalsRowFormula>SUBTOTAL(9,Table19183243[Actual])</totalsRowFormula>
    </tableColumn>
    <tableColumn id="4" xr3:uid="{B83BF0A0-3004-4646-95AD-53A10C105E96}" name="Difference" totalsRowFunction="custom" dataDxfId="153" totalsRowDxfId="154">
      <calculatedColumnFormula>B52-C52</calculatedColumnFormula>
      <totalsRowFormula>SUBTOTAL(9,Table19183243[Difference])</totalsRowFormula>
    </tableColumn>
  </tableColumns>
  <tableStyleInfo name="V42_ExpenseTable" showFirstColumn="0" showLastColumn="1"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4449C62-C149-438B-9A3A-6C83D40D32DF}" name="Table20193344" displayName="Table20193344" ref="A31:D39" totalsRowCount="1" headerRowDxfId="152" dataDxfId="151" headerRowBorderDxfId="149" tableBorderDxfId="150">
  <tableColumns count="4">
    <tableColumn id="1" xr3:uid="{95611F06-D35B-4537-9835-753FD66EBAFF}" name="Transporte" totalsRowFunction="custom" dataDxfId="147" totalsRowDxfId="148">
      <totalsRowFormula>"Total " &amp; Table20193344[[#Headers],[Transporte]]</totalsRowFormula>
    </tableColumn>
    <tableColumn id="2" xr3:uid="{6BE456C1-85D6-496F-A9A9-1D0D7CA722AD}" name="Budget" totalsRowFunction="custom" dataDxfId="145" totalsRowDxfId="146">
      <totalsRowFormula>SUBTOTAL(9,Table20193344[Budget])</totalsRowFormula>
    </tableColumn>
    <tableColumn id="3" xr3:uid="{64EEA3E1-EE54-4FE0-AC6E-E231BD9534C3}" name="Actual" totalsRowFunction="custom" dataDxfId="143" totalsRowDxfId="144">
      <totalsRowFormula>SUBTOTAL(9,Table20193344[Actual])</totalsRowFormula>
    </tableColumn>
    <tableColumn id="4" xr3:uid="{355C8FF8-CD14-4A78-89DA-1A2A71C79E7E}" name="Difference" totalsRowFunction="custom" dataDxfId="141" totalsRowDxfId="142">
      <calculatedColumnFormula>B32-C32</calculatedColumnFormula>
      <totalsRowFormula>SUBTOTAL(9,Table20193344[Difference])</totalsRowFormula>
    </tableColumn>
  </tableColumns>
  <tableStyleInfo name="V42_ExpenseTable" showFirstColumn="0" showLastColumn="1"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4185AAC6-0C76-4C2F-AC24-8C0FF05A10ED}" name="Table21233445" displayName="Table21233445" ref="A41:D49" totalsRowCount="1" headerRowDxfId="140" dataDxfId="139" headerRowBorderDxfId="137" tableBorderDxfId="138">
  <tableColumns count="4">
    <tableColumn id="1" xr3:uid="{9F9E8120-B517-42CE-9623-73495C04512B}" name="Salud" totalsRowFunction="custom" dataDxfId="135" totalsRowDxfId="136">
      <totalsRowFormula>"Total " &amp; Table21233445[[#Headers],[Salud]]</totalsRowFormula>
    </tableColumn>
    <tableColumn id="2" xr3:uid="{9F2FAE83-7ECE-4960-8CE4-D01D1C2C57F6}" name="Budget" totalsRowFunction="custom" dataDxfId="133" totalsRowDxfId="134">
      <totalsRowFormula>SUBTOTAL(9,Table21233445[Budget])</totalsRowFormula>
    </tableColumn>
    <tableColumn id="3" xr3:uid="{7BD5DB34-A21C-46F9-B432-B2B25FD86BBB}" name="Actual" totalsRowFunction="custom" dataDxfId="131" totalsRowDxfId="132">
      <totalsRowFormula>SUBTOTAL(9,Table21233445[Actual])</totalsRowFormula>
    </tableColumn>
    <tableColumn id="4" xr3:uid="{FB5D8C06-0798-4D61-B265-DB46BD6F77EE}" name="Difference" totalsRowFunction="custom" dataDxfId="129" totalsRowDxfId="130">
      <calculatedColumnFormula>B42-C42</calculatedColumnFormula>
      <totalsRowFormula>SUBTOTAL(9,Table21233445[Difference])</totalsRowFormula>
    </tableColumn>
  </tableColumns>
  <tableStyleInfo name="V42_ExpenseTable" showFirstColumn="0" showLastColumn="1"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3DD47F6-A950-4212-833D-A4097BFF954B}" name="Table22243546" displayName="Table22243546" ref="A4:D13" totalsRowCount="1" headerRowDxfId="126" dataDxfId="125" headerRowBorderDxfId="123" tableBorderDxfId="124">
  <tableColumns count="4">
    <tableColumn id="1" xr3:uid="{64C04CA3-AA27-436F-B636-645F67386E47}" name="INCOME" totalsRowFunction="custom" totalsRowDxfId="122">
      <totalsRowFormula>"Total " &amp; Table22243546[[#Headers],[INCOME]]</totalsRowFormula>
    </tableColumn>
    <tableColumn id="2" xr3:uid="{589400C4-5F07-4955-A5D8-A9C2E7FF6F84}" name="Budget" totalsRowFunction="custom" totalsRowDxfId="121">
      <totalsRowFormula>SUBTOTAL(9,Table22243546[Budget])</totalsRowFormula>
    </tableColumn>
    <tableColumn id="3" xr3:uid="{524F77BA-19DF-43B4-BB9E-A16ED2FD75EB}" name="Actual" totalsRowFunction="custom" totalsRowDxfId="120">
      <totalsRowFormula>SUBTOTAL(9,Table22243546[Actual])</totalsRowFormula>
    </tableColumn>
    <tableColumn id="4" xr3:uid="{759B16C1-BC08-4C1A-97F5-1AB8DF0E8375}" name="Difference" totalsRowFunction="custom" totalsRowDxfId="119">
      <calculatedColumnFormula>C5-B5</calculatedColumnFormula>
      <totalsRowFormula>SUBTOTAL(9,Table22243546[Difference])</totalsRowFormula>
    </tableColumn>
  </tableColumns>
  <tableStyleInfo name="V42_IncomeTable" showFirstColumn="0" showLastColumn="1"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892F777A-CD5F-435E-8B2F-8B5E93D85818}" name="Table54253647" displayName="Table54253647" ref="A15:D29" totalsRowCount="1" headerRowDxfId="118" dataDxfId="117" headerRowBorderDxfId="115" tableBorderDxfId="116">
  <tableColumns count="4">
    <tableColumn id="1" xr3:uid="{63977440-4939-4F9F-8922-02ADD553411B}" name="Gastos Vivienda" totalsRowFunction="custom" dataDxfId="113" totalsRowDxfId="114">
      <totalsRowFormula>"Total " &amp; Table54253647[[#Headers],[Gastos Vivienda]]</totalsRowFormula>
    </tableColumn>
    <tableColumn id="2" xr3:uid="{52CEC08D-AF63-48AE-9DFF-F6D32A199F5C}" name="Budget" totalsRowFunction="custom" dataDxfId="111" totalsRowDxfId="112">
      <totalsRowFormula>SUBTOTAL(9,Table54253647[Budget])</totalsRowFormula>
    </tableColumn>
    <tableColumn id="3" xr3:uid="{F89607CE-BEC9-4C4A-B3C0-2E70E917FE4C}" name="Actual" totalsRowFunction="custom" dataDxfId="109" totalsRowDxfId="110">
      <totalsRowFormula>SUBTOTAL(9,Table54253647[Actual])</totalsRowFormula>
    </tableColumn>
    <tableColumn id="4" xr3:uid="{D7EC544C-5092-42CB-B43A-BBC65810AC13}" name="Difference" totalsRowFunction="custom" dataDxfId="107" totalsRowDxfId="108">
      <calculatedColumnFormula>B16-C16</calculatedColumnFormula>
      <totalsRowFormula>SUBTOTAL(9,Table54253647[Difference])</totalsRowFormula>
    </tableColumn>
  </tableColumns>
  <tableStyleInfo name="V42_ExpenseTable" showFirstColumn="0" showLastColumn="1"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FF1BDFE0-EBAB-46EA-831E-50F0F45AC7BF}" name="Table65263748" displayName="Table65263748" ref="F10:I21" totalsRowCount="1" headerRowDxfId="106" dataDxfId="105" headerRowBorderDxfId="103" tableBorderDxfId="104">
  <tableColumns count="4">
    <tableColumn id="1" xr3:uid="{05358395-2812-4CB4-8F87-109CD82F9E4A}" name="DAILY LIVING" totalsRowFunction="custom" dataDxfId="101" totalsRowDxfId="102">
      <totalsRowFormula>"Total " &amp; Table65263748[[#Headers],[DAILY LIVING]]</totalsRowFormula>
    </tableColumn>
    <tableColumn id="2" xr3:uid="{9DB3079D-2BAA-4B6D-81ED-2D35D7997829}" name="Budget" totalsRowFunction="custom" dataDxfId="99" totalsRowDxfId="100">
      <totalsRowFormula>SUBTOTAL(9,Table65263748[Budget])</totalsRowFormula>
    </tableColumn>
    <tableColumn id="3" xr3:uid="{82B3EA9C-EB2A-4B82-B919-265B7319DCD7}" name="Actual" totalsRowFunction="custom" dataDxfId="97" totalsRowDxfId="98">
      <totalsRowFormula>SUBTOTAL(9,Table65263748[Actual])</totalsRowFormula>
    </tableColumn>
    <tableColumn id="4" xr3:uid="{7C9BEB94-A125-41AF-B591-83F1192B5C34}" name="Difference" totalsRowFunction="custom" dataDxfId="95" totalsRowDxfId="96">
      <calculatedColumnFormula>G11-H11</calculatedColumnFormula>
      <totalsRowFormula>SUBTOTAL(9,Table65263748[Difference])</totalsRowFormula>
    </tableColumn>
  </tableColumns>
  <tableStyleInfo name="V42_ExpenseTable" showFirstColumn="0" showLastColumn="1"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9DE14F9-36D8-4361-8A39-747CC25BF2A9}" name="Table710273849" displayName="Table710273849" ref="F23:I35" totalsRowCount="1" headerRowDxfId="94" dataDxfId="93" headerRowBorderDxfId="91" tableBorderDxfId="92">
  <tableColumns count="4">
    <tableColumn id="1" xr3:uid="{5C70DAB0-D324-4B00-BE61-1E6F74A910B7}" name="Diversion " totalsRowFunction="custom" dataDxfId="89" totalsRowDxfId="90">
      <totalsRowFormula>"Total " &amp; Table710273849[[#Headers],[Diversion ]]</totalsRowFormula>
    </tableColumn>
    <tableColumn id="2" xr3:uid="{01F6E01C-3406-4126-B5AD-B6F76D693E85}" name="Budget" totalsRowFunction="custom" dataDxfId="87" totalsRowDxfId="88">
      <totalsRowFormula>SUBTOTAL(9,Table710273849[Budget])</totalsRowFormula>
    </tableColumn>
    <tableColumn id="3" xr3:uid="{9968FF11-C0A5-4F0D-80D9-C5C520C09ACD}" name="Actual" totalsRowFunction="custom" dataDxfId="85" totalsRowDxfId="86">
      <totalsRowFormula>SUBTOTAL(9,Table710273849[Actual])</totalsRowFormula>
    </tableColumn>
    <tableColumn id="4" xr3:uid="{BD4BC462-38FD-48D8-988B-C631DA1A4839}" name="Difference" totalsRowFunction="custom" dataDxfId="83" totalsRowDxfId="84">
      <calculatedColumnFormula>G24-H24</calculatedColumnFormula>
      <totalsRowFormula>SUBTOTAL(9,Table710273849[Difference])</totalsRowFormula>
    </tableColumn>
  </tableColumns>
  <tableStyleInfo name="V42_ExpenseTable" showFirstColumn="0" showLastColumn="1"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A9ECF6E1-34D5-4152-94C2-4A4678B0F4E8}" name="Table812283950" displayName="Table812283950" ref="F37:I45" totalsRowCount="1" headerRowDxfId="82" dataDxfId="81" headerRowBorderDxfId="79" tableBorderDxfId="80">
  <tableColumns count="4">
    <tableColumn id="1" xr3:uid="{9C06B298-ABAB-4060-8FA3-228696C45B11}" name="Ahorros" totalsRowFunction="custom" dataDxfId="77" totalsRowDxfId="78">
      <totalsRowFormula>"Total " &amp; Table812283950[[#Headers],[Ahorros]]</totalsRowFormula>
    </tableColumn>
    <tableColumn id="2" xr3:uid="{7FCFDD22-F2C2-442D-B43C-099FF4CF5D56}" name="Budget" totalsRowFunction="custom" dataDxfId="75" totalsRowDxfId="76">
      <totalsRowFormula>SUBTOTAL(9,Table812283950[Budget])</totalsRowFormula>
    </tableColumn>
    <tableColumn id="3" xr3:uid="{9EB112D7-9E9F-4E85-BAF0-BF7BD0F50406}" name="Actual" totalsRowFunction="custom" dataDxfId="73" totalsRowDxfId="74">
      <totalsRowFormula>SUBTOTAL(9,Table812283950[Actual])</totalsRowFormula>
    </tableColumn>
    <tableColumn id="4" xr3:uid="{76B135E9-E319-4296-8AA1-821E153DD49A}" name="Difference" totalsRowFunction="custom" dataDxfId="71" totalsRowDxfId="72">
      <calculatedColumnFormula>G38-H38</calculatedColumnFormula>
      <totalsRowFormula>SUBTOTAL(9,Table812283950[Difference])</totalsRowFormula>
    </tableColumn>
  </tableColumns>
  <tableStyleInfo name="V42_ExpenseTable" showFirstColumn="0" showLastColumn="1"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160561A-46B8-4F7E-8367-4D92479D6EE1}" name="Table1013294051" displayName="Table1013294051" ref="F47:I56" totalsRowCount="1" headerRowDxfId="70" dataDxfId="69" headerRowBorderDxfId="68">
  <tableColumns count="4">
    <tableColumn id="1" xr3:uid="{94182164-B169-44E6-9C71-8E71FCE94D3C}" name="Oblgiaciones " totalsRowFunction="custom" dataDxfId="66" totalsRowDxfId="67">
      <totalsRowFormula>"Total " &amp; Table1013294051[[#Headers],[Oblgiaciones ]]</totalsRowFormula>
    </tableColumn>
    <tableColumn id="2" xr3:uid="{D82C2C03-2184-4480-91CE-CE3DFD75C99B}" name="Budget" totalsRowFunction="custom" dataDxfId="64" totalsRowDxfId="65">
      <totalsRowFormula>SUBTOTAL(9,Table1013294051[Budget])</totalsRowFormula>
    </tableColumn>
    <tableColumn id="3" xr3:uid="{9D596624-BFFF-462E-8A5D-E26A77E619BB}" name="Actual" totalsRowFunction="custom" dataDxfId="62" totalsRowDxfId="63">
      <totalsRowFormula>SUBTOTAL(9,Table1013294051[Actual])</totalsRowFormula>
    </tableColumn>
    <tableColumn id="4" xr3:uid="{44150661-6F5F-454C-9C74-EF033AB821E7}" name="Difference" totalsRowFunction="custom" dataDxfId="60" totalsRowDxfId="61">
      <calculatedColumnFormula>G48-H48</calculatedColumnFormula>
      <totalsRowFormula>SUBTOTAL(9,Table1013294051[Difference])</totalsRowFormula>
    </tableColumn>
  </tableColumns>
  <tableStyleInfo name="V42_ExpenseTable" showFirstColumn="0" showLastColumn="1"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9D65A6A2-9DE2-4613-8E1D-3BDADE118395}" name="Table1414304152" displayName="Table1414304152" ref="F58:I63" totalsRowCount="1" headerRowDxfId="59" dataDxfId="58" headerRowBorderDxfId="56" tableBorderDxfId="57">
  <tableColumns count="4">
    <tableColumn id="1" xr3:uid="{06E42D13-C0E6-4B26-80AB-49832A556727}" name="Misc" totalsRowFunction="custom" dataDxfId="54" totalsRowDxfId="55">
      <totalsRowFormula>"Total " &amp; Table1414304152[[#Headers],[Misc]]</totalsRowFormula>
    </tableColumn>
    <tableColumn id="2" xr3:uid="{0CD1F3AB-82F2-44F3-9744-AC9F4465DFEA}" name="Budget" totalsRowFunction="custom" dataDxfId="52" totalsRowDxfId="53">
      <totalsRowFormula>SUBTOTAL(9,Table1414304152[Budget])</totalsRowFormula>
    </tableColumn>
    <tableColumn id="3" xr3:uid="{90D07C62-48F6-4A6F-867A-46BEB925AE93}" name="Actual" totalsRowFunction="custom" dataDxfId="50" totalsRowDxfId="51">
      <totalsRowFormula>SUBTOTAL(9,Table1414304152[Actual])</totalsRowFormula>
    </tableColumn>
    <tableColumn id="4" xr3:uid="{BBED6195-168E-4E19-9C2F-FC6E12D0A0D4}" name="Difference" totalsRowFunction="custom" dataDxfId="48" totalsRowDxfId="49">
      <calculatedColumnFormula>G59-H59</calculatedColumnFormula>
      <totalsRowFormula>SUBTOTAL(9,Table1414304152[Difference])</totalsRowFormula>
    </tableColumn>
  </tableColumns>
  <tableStyleInfo name="V42_ExpenseTable" showFirstColumn="0" showLastColumn="1"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2B070CF7-9084-4CC0-A5BF-9B1DC4400A04}" name="Table1517314253" displayName="Table1517314253" ref="A58:D63" totalsRowCount="1" headerRowDxfId="47" dataDxfId="46" headerRowBorderDxfId="44" tableBorderDxfId="45">
  <tableColumns count="4">
    <tableColumn id="1" xr3:uid="{520CC9A4-9868-4A4B-9618-08F73B97FCE0}" name="Subscrpciones" totalsRowFunction="custom" dataDxfId="42" totalsRowDxfId="43">
      <totalsRowFormula>"Total " &amp; Table1517314253[[#Headers],[Subscrpciones]]</totalsRowFormula>
    </tableColumn>
    <tableColumn id="2" xr3:uid="{350FC63B-6DE0-4813-8D2B-8BEFF8B88EAE}" name="Budget" totalsRowFunction="custom" dataDxfId="40" totalsRowDxfId="41">
      <totalsRowFormula>SUBTOTAL(9,Table1517314253[Budget])</totalsRowFormula>
    </tableColumn>
    <tableColumn id="3" xr3:uid="{F89EC0A7-C6DA-4B12-84EC-9D4CDB48A946}" name="Actual" totalsRowFunction="custom" dataDxfId="38" totalsRowDxfId="39">
      <totalsRowFormula>SUBTOTAL(9,Table1517314253[Actual])</totalsRowFormula>
    </tableColumn>
    <tableColumn id="4" xr3:uid="{6A658B28-B1A0-40FA-B752-056A119D7473}" name="Difference" totalsRowFunction="custom" dataDxfId="36" totalsRowDxfId="37">
      <calculatedColumnFormula>B59-C59</calculatedColumnFormula>
      <totalsRowFormula>SUBTOTAL(9,Table1517314253[Difference])</totalsRowFormula>
    </tableColumn>
  </tableColumns>
  <tableStyleInfo name="V42_ExpenseTable" showFirstColumn="0" showLastColumn="1"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A94FD70-31F6-490A-BCD4-56A51B17D59F}" name="Table1918324354" displayName="Table1918324354" ref="A51:D56" totalsRowCount="1" headerRowDxfId="35" dataDxfId="34" headerRowBorderDxfId="32" tableBorderDxfId="33">
  <tableColumns count="4">
    <tableColumn id="1" xr3:uid="{6BB95B03-2283-41E6-B557-F14360DDB7D9}" name="CHARITY/GIFTS" totalsRowFunction="custom" dataDxfId="30" totalsRowDxfId="31">
      <totalsRowFormula>"Total " &amp; Table1918324354[[#Headers],[CHARITY/GIFTS]]</totalsRowFormula>
    </tableColumn>
    <tableColumn id="2" xr3:uid="{1B31887B-C222-435D-9D64-3DAB99850BE1}" name="Budget" totalsRowFunction="custom" dataDxfId="28" totalsRowDxfId="29">
      <totalsRowFormula>SUBTOTAL(9,Table1918324354[Budget])</totalsRowFormula>
    </tableColumn>
    <tableColumn id="3" xr3:uid="{54DE8C59-F42E-446C-A588-BFBA4B723887}" name="Actual" totalsRowFunction="custom" dataDxfId="26" totalsRowDxfId="27">
      <totalsRowFormula>SUBTOTAL(9,Table1918324354[Actual])</totalsRowFormula>
    </tableColumn>
    <tableColumn id="4" xr3:uid="{C6EFBB1B-3E9B-4BF6-986A-58F2139B7B0B}" name="Difference" totalsRowFunction="custom" dataDxfId="24" totalsRowDxfId="25">
      <calculatedColumnFormula>B52-C52</calculatedColumnFormula>
      <totalsRowFormula>SUBTOTAL(9,Table1918324354[Difference])</totalsRowFormula>
    </tableColumn>
  </tableColumns>
  <tableStyleInfo name="V42_ExpenseTable" showFirstColumn="0" showLastColumn="1"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48124508-773F-454A-97B0-A43677F7158F}" name="Table2019334455" displayName="Table2019334455" ref="A31:D39" totalsRowCount="1" headerRowDxfId="23" dataDxfId="22" headerRowBorderDxfId="20" tableBorderDxfId="21">
  <tableColumns count="4">
    <tableColumn id="1" xr3:uid="{42011450-A516-449B-AC8F-336CFA114A09}" name="Transporte" totalsRowFunction="custom" dataDxfId="18" totalsRowDxfId="19">
      <totalsRowFormula>"Total " &amp; Table2019334455[[#Headers],[Transporte]]</totalsRowFormula>
    </tableColumn>
    <tableColumn id="2" xr3:uid="{218CADA0-14CA-4460-B187-0A92C5D4BF8B}" name="Budget" totalsRowFunction="custom" dataDxfId="16" totalsRowDxfId="17">
      <totalsRowFormula>SUBTOTAL(9,Table2019334455[Budget])</totalsRowFormula>
    </tableColumn>
    <tableColumn id="3" xr3:uid="{42B7E76C-5097-40E2-9ABE-2DFA6484C8CF}" name="Actual" totalsRowFunction="custom" dataDxfId="14" totalsRowDxfId="15">
      <totalsRowFormula>SUBTOTAL(9,Table2019334455[Actual])</totalsRowFormula>
    </tableColumn>
    <tableColumn id="4" xr3:uid="{02647FCD-4007-4B5D-B591-04C62DFCC358}" name="Difference" totalsRowFunction="custom" dataDxfId="12" totalsRowDxfId="13">
      <calculatedColumnFormula>B32-C32</calculatedColumnFormula>
      <totalsRowFormula>SUBTOTAL(9,Table2019334455[Difference])</totalsRowFormula>
    </tableColumn>
  </tableColumns>
  <tableStyleInfo name="V42_ExpenseTable" showFirstColumn="0" showLastColumn="1"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4FE0EF3E-CAC8-45E7-B813-840FF30EBB6D}" name="Table2123344556" displayName="Table2123344556" ref="A41:D49" totalsRowCount="1" headerRowDxfId="11" dataDxfId="10" headerRowBorderDxfId="8" tableBorderDxfId="9">
  <tableColumns count="4">
    <tableColumn id="1" xr3:uid="{EAAB0B8E-086F-4890-8EB4-013A3CE0E100}" name="Salud" totalsRowFunction="custom" dataDxfId="6" totalsRowDxfId="7">
      <totalsRowFormula>"Total " &amp; Table2123344556[[#Headers],[Salud]]</totalsRowFormula>
    </tableColumn>
    <tableColumn id="2" xr3:uid="{41EAC809-A300-403F-903E-9B2F3AD52423}" name="Budget" totalsRowFunction="custom" dataDxfId="4" totalsRowDxfId="5">
      <totalsRowFormula>SUBTOTAL(9,Table2123344556[Budget])</totalsRowFormula>
    </tableColumn>
    <tableColumn id="3" xr3:uid="{987C456E-11AB-48F3-9B7E-D7350C659FA0}" name="Actual" totalsRowFunction="custom" dataDxfId="2" totalsRowDxfId="3">
      <totalsRowFormula>SUBTOTAL(9,Table2123344556[Actual])</totalsRowFormula>
    </tableColumn>
    <tableColumn id="4" xr3:uid="{0A14BED8-992A-4B3F-8C9A-2BB7F181033E}" name="Difference" totalsRowFunction="custom" dataDxfId="0" totalsRowDxfId="1">
      <calculatedColumnFormula>B42-C42</calculatedColumnFormula>
      <totalsRowFormula>SUBTOTAL(9,Table2123344556[Difference])</totalsRowFormula>
    </tableColumn>
  </tableColumns>
  <tableStyleInfo name="V42_ExpenseTable" showFirstColumn="0" showLastColumn="1" showRowStripes="0" showColumnStripes="0"/>
</table>
</file>

<file path=xl/theme/theme1.xml><?xml version="1.0" encoding="utf-8"?>
<a:theme xmlns:a="http://schemas.openxmlformats.org/drawingml/2006/main" name="Vertex42">
  <a:themeElements>
    <a:clrScheme name="V42-Blue2">
      <a:dk1>
        <a:sysClr val="windowText" lastClr="000000"/>
      </a:dk1>
      <a:lt1>
        <a:sysClr val="window" lastClr="FFFFFF"/>
      </a:lt1>
      <a:dk2>
        <a:srgbClr val="5E8BCE"/>
      </a:dk2>
      <a:lt2>
        <a:srgbClr val="EEECE2"/>
      </a:lt2>
      <a:accent1>
        <a:srgbClr val="3A5D9C"/>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3-12-04T18:54:00.43" personId="{EE5A7884-1CD5-4E44-8CFC-2857E2232D92}" id="{C5761B51-FD00-44C5-960C-32900EBDF289}">
    <text xml:space="preserve">Esto se actualiza mes con mes, es lo que deberia de tener ahorrado desde el inicio de mi vida laboral.
</text>
  </threadedComment>
  <threadedComment ref="G4" dT="2023-12-04T18:59:48.31" personId="{EE5A7884-1CD5-4E44-8CFC-2857E2232D92}" id="{6567D7AA-4E67-4FB4-9BE2-1F1B74D7D09C}">
    <text xml:space="preserve">31,120 son la jefa
</text>
  </threadedComment>
  <threadedComment ref="F12" dT="2023-12-04T18:46:13.23" personId="{EE5A7884-1CD5-4E44-8CFC-2857E2232D92}" id="{8EE8873F-78A2-462E-9DC9-CC1ECE8F76F7}">
    <text xml:space="preserve">31,120 No son míos
</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table" Target="../tables/table12.xml"/><Relationship Id="rId1" Type="http://schemas.openxmlformats.org/officeDocument/2006/relationships/printerSettings" Target="../printerSettings/printerSettings2.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s>
</file>

<file path=xl/worksheets/_rels/sheet4.xml.rels><?xml version="1.0" encoding="UTF-8" standalone="yes"?>
<Relationships xmlns="http://schemas.openxmlformats.org/package/2006/relationships"><Relationship Id="rId8" Type="http://schemas.openxmlformats.org/officeDocument/2006/relationships/table" Target="../tables/table30.xml"/><Relationship Id="rId3" Type="http://schemas.openxmlformats.org/officeDocument/2006/relationships/table" Target="../tables/table25.xml"/><Relationship Id="rId7" Type="http://schemas.openxmlformats.org/officeDocument/2006/relationships/table" Target="../tables/table29.xml"/><Relationship Id="rId2" Type="http://schemas.openxmlformats.org/officeDocument/2006/relationships/table" Target="../tables/table24.xml"/><Relationship Id="rId1" Type="http://schemas.openxmlformats.org/officeDocument/2006/relationships/table" Target="../tables/table23.xml"/><Relationship Id="rId6" Type="http://schemas.openxmlformats.org/officeDocument/2006/relationships/table" Target="../tables/table28.xml"/><Relationship Id="rId11" Type="http://schemas.openxmlformats.org/officeDocument/2006/relationships/table" Target="../tables/table33.xml"/><Relationship Id="rId5" Type="http://schemas.openxmlformats.org/officeDocument/2006/relationships/table" Target="../tables/table27.xml"/><Relationship Id="rId10" Type="http://schemas.openxmlformats.org/officeDocument/2006/relationships/table" Target="../tables/table32.xml"/><Relationship Id="rId4" Type="http://schemas.openxmlformats.org/officeDocument/2006/relationships/table" Target="../tables/table26.xml"/><Relationship Id="rId9" Type="http://schemas.openxmlformats.org/officeDocument/2006/relationships/table" Target="../tables/table3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table" Target="../tables/table36.xml"/><Relationship Id="rId7" Type="http://schemas.openxmlformats.org/officeDocument/2006/relationships/table" Target="../tables/table40.xml"/><Relationship Id="rId2" Type="http://schemas.openxmlformats.org/officeDocument/2006/relationships/table" Target="../tables/table35.xml"/><Relationship Id="rId1" Type="http://schemas.openxmlformats.org/officeDocument/2006/relationships/table" Target="../tables/table34.xml"/><Relationship Id="rId6" Type="http://schemas.openxmlformats.org/officeDocument/2006/relationships/table" Target="../tables/table39.xml"/><Relationship Id="rId11" Type="http://schemas.openxmlformats.org/officeDocument/2006/relationships/table" Target="../tables/table44.xml"/><Relationship Id="rId5" Type="http://schemas.openxmlformats.org/officeDocument/2006/relationships/table" Target="../tables/table38.xml"/><Relationship Id="rId10" Type="http://schemas.openxmlformats.org/officeDocument/2006/relationships/table" Target="../tables/table43.xml"/><Relationship Id="rId4" Type="http://schemas.openxmlformats.org/officeDocument/2006/relationships/table" Target="../tables/table37.xml"/><Relationship Id="rId9" Type="http://schemas.openxmlformats.org/officeDocument/2006/relationships/table" Target="../tables/table42.xml"/></Relationships>
</file>

<file path=xl/worksheets/_rels/sheet6.xml.rels><?xml version="1.0" encoding="UTF-8" standalone="yes"?>
<Relationships xmlns="http://schemas.openxmlformats.org/package/2006/relationships"><Relationship Id="rId8" Type="http://schemas.openxmlformats.org/officeDocument/2006/relationships/table" Target="../tables/table52.xml"/><Relationship Id="rId3" Type="http://schemas.openxmlformats.org/officeDocument/2006/relationships/table" Target="../tables/table47.xml"/><Relationship Id="rId7" Type="http://schemas.openxmlformats.org/officeDocument/2006/relationships/table" Target="../tables/table51.xml"/><Relationship Id="rId2" Type="http://schemas.openxmlformats.org/officeDocument/2006/relationships/table" Target="../tables/table46.xml"/><Relationship Id="rId1" Type="http://schemas.openxmlformats.org/officeDocument/2006/relationships/table" Target="../tables/table45.xml"/><Relationship Id="rId6" Type="http://schemas.openxmlformats.org/officeDocument/2006/relationships/table" Target="../tables/table50.xml"/><Relationship Id="rId11" Type="http://schemas.openxmlformats.org/officeDocument/2006/relationships/table" Target="../tables/table55.xml"/><Relationship Id="rId5" Type="http://schemas.openxmlformats.org/officeDocument/2006/relationships/table" Target="../tables/table49.xml"/><Relationship Id="rId10" Type="http://schemas.openxmlformats.org/officeDocument/2006/relationships/table" Target="../tables/table54.xml"/><Relationship Id="rId4" Type="http://schemas.openxmlformats.org/officeDocument/2006/relationships/table" Target="../tables/table48.xml"/><Relationship Id="rId9" Type="http://schemas.openxmlformats.org/officeDocument/2006/relationships/table" Target="../tables/table5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vertex42.com/ExcelTemplates/personal-monthly-budget.html"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ExcelTemplates/personal-monthly-budget.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3.png"/><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157"/>
  <sheetViews>
    <sheetView showGridLines="0" topLeftCell="A15" workbookViewId="0">
      <selection activeCell="B17" sqref="B17"/>
    </sheetView>
  </sheetViews>
  <sheetFormatPr defaultColWidth="9" defaultRowHeight="15"/>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24" customFormat="1" ht="26.1" customHeight="1">
      <c r="A1" s="74" t="s">
        <v>0</v>
      </c>
      <c r="B1" s="74"/>
      <c r="C1" s="74"/>
      <c r="D1" s="74"/>
    </row>
    <row r="2" spans="1:9" s="24" customFormat="1" ht="14.25" customHeight="1">
      <c r="A2" s="74"/>
      <c r="B2" s="74"/>
      <c r="C2" s="74"/>
      <c r="D2" s="74"/>
    </row>
    <row r="3" spans="1:9" s="2" customFormat="1" ht="13.5">
      <c r="A3" s="74"/>
      <c r="B3" s="74"/>
      <c r="C3" s="74"/>
      <c r="D3" s="74"/>
      <c r="E3" s="3"/>
    </row>
    <row r="4" spans="1:9">
      <c r="A4" s="14" t="s">
        <v>1</v>
      </c>
      <c r="B4" s="15" t="s">
        <v>2</v>
      </c>
      <c r="C4" s="16" t="s">
        <v>3</v>
      </c>
      <c r="D4" s="16" t="s">
        <v>4</v>
      </c>
      <c r="E4" s="49" t="s">
        <v>5</v>
      </c>
      <c r="F4" s="19" t="s">
        <v>6</v>
      </c>
      <c r="G4" s="20" t="s">
        <v>2</v>
      </c>
      <c r="H4" s="20" t="s">
        <v>3</v>
      </c>
      <c r="I4" s="20" t="s">
        <v>4</v>
      </c>
    </row>
    <row r="5" spans="1:9" ht="16.5">
      <c r="A5" s="1" t="s">
        <v>7</v>
      </c>
      <c r="B5" s="6">
        <f>8423*2</f>
        <v>16846</v>
      </c>
      <c r="C5" s="6">
        <v>16846</v>
      </c>
      <c r="D5" s="7">
        <f t="shared" ref="D5:D11" si="0">C5-B5</f>
        <v>0</v>
      </c>
      <c r="F5" s="21" t="s">
        <v>8</v>
      </c>
      <c r="G5" s="18">
        <f>Table2[[#Totals],[Budget]]</f>
        <v>16846</v>
      </c>
      <c r="H5" s="18">
        <f>Table2[[#Totals],[Actual]]</f>
        <v>16846</v>
      </c>
      <c r="I5" s="18">
        <f>G5-H5</f>
        <v>0</v>
      </c>
    </row>
    <row r="6" spans="1:9" ht="17.25" thickBot="1">
      <c r="A6" s="1" t="s">
        <v>9</v>
      </c>
      <c r="B6" s="6"/>
      <c r="C6" s="6"/>
      <c r="D6" s="7">
        <f t="shared" si="0"/>
        <v>0</v>
      </c>
      <c r="F6" s="21" t="s">
        <v>10</v>
      </c>
      <c r="G6" s="18">
        <f>SUM(,Table5[[#Totals],[Budget]],Table20[[#Totals],[Budget]],Table21[[#Totals],[Budget]],Table19[[#Totals],[Budget]],Table15[[#Totals],[Budget]],Table14[[#Totals],[Budget]],Table10[[#Totals],[Budget]],Table8[[#Totals],[Budget]],Table7[[#Totals],[Budget]],Table6[[#Totals],[Budget]])</f>
        <v>14413.3</v>
      </c>
      <c r="H6" s="18">
        <f>SUM(Table5[[#Totals],[Actual]],Table20[[#Totals],[Actual]],Table21[[#Totals],[Actual]],Table19[[#Totals],[Actual]],Table15[[#Totals],[Actual]],Table14[[#Totals],[Actual]],Table10[[#Totals],[Actual]],Table8[[#Totals],[Actual]],Table7[[#Totals],[Actual]],Table6[[#Totals],[Actual]])</f>
        <v>11063.3</v>
      </c>
      <c r="I6" s="18">
        <f>G6-H6</f>
        <v>3350</v>
      </c>
    </row>
    <row r="7" spans="1:9" ht="17.25" thickTop="1">
      <c r="A7" s="1" t="s">
        <v>11</v>
      </c>
      <c r="B7" s="6"/>
      <c r="C7" s="6"/>
      <c r="D7" s="7">
        <f t="shared" si="0"/>
        <v>0</v>
      </c>
      <c r="F7" s="22" t="s">
        <v>12</v>
      </c>
      <c r="G7" s="23">
        <f>G5-G6</f>
        <v>2432.7000000000007</v>
      </c>
      <c r="H7" s="23">
        <f>H5-H6</f>
        <v>5782.7000000000007</v>
      </c>
      <c r="I7" s="23">
        <f>H7-G7</f>
        <v>3350</v>
      </c>
    </row>
    <row r="8" spans="1:9" s="2" customFormat="1">
      <c r="A8" s="1" t="s">
        <v>13</v>
      </c>
      <c r="B8" s="6"/>
      <c r="C8" s="6"/>
      <c r="D8" s="7">
        <f t="shared" si="0"/>
        <v>0</v>
      </c>
    </row>
    <row r="9" spans="1:9">
      <c r="A9" s="1" t="s">
        <v>14</v>
      </c>
      <c r="B9" s="6"/>
      <c r="C9" s="6"/>
      <c r="D9" s="7">
        <f t="shared" si="0"/>
        <v>0</v>
      </c>
      <c r="F9" s="2"/>
      <c r="G9" s="2"/>
      <c r="H9" s="2"/>
      <c r="I9" s="2"/>
    </row>
    <row r="10" spans="1:9">
      <c r="A10" s="1" t="s">
        <v>15</v>
      </c>
      <c r="B10" s="6"/>
      <c r="C10" s="6"/>
      <c r="D10" s="7">
        <f t="shared" si="0"/>
        <v>0</v>
      </c>
      <c r="F10" s="14" t="s">
        <v>16</v>
      </c>
      <c r="G10" s="15" t="s">
        <v>2</v>
      </c>
      <c r="H10" s="16" t="s">
        <v>3</v>
      </c>
      <c r="I10" s="16" t="s">
        <v>4</v>
      </c>
    </row>
    <row r="11" spans="1:9">
      <c r="A11" s="1" t="s">
        <v>17</v>
      </c>
      <c r="B11" s="6"/>
      <c r="C11" s="6"/>
      <c r="D11" s="7">
        <f t="shared" si="0"/>
        <v>0</v>
      </c>
      <c r="F11" s="1" t="s">
        <v>18</v>
      </c>
      <c r="G11" s="10"/>
      <c r="H11" s="10"/>
      <c r="I11" s="7">
        <f t="shared" ref="I11" si="1">G11-H11</f>
        <v>0</v>
      </c>
    </row>
    <row r="12" spans="1:9">
      <c r="A12" s="1" t="s">
        <v>17</v>
      </c>
      <c r="B12" s="8"/>
      <c r="C12" s="8"/>
      <c r="D12" s="7">
        <f>C12-B12</f>
        <v>0</v>
      </c>
      <c r="F12" s="1" t="s">
        <v>19</v>
      </c>
      <c r="G12" s="10"/>
      <c r="H12" s="10"/>
      <c r="I12" s="7">
        <f t="shared" ref="I12:I15" si="2">G12-H12</f>
        <v>0</v>
      </c>
    </row>
    <row r="13" spans="1:9">
      <c r="A13" s="17" t="str">
        <f>"Total " &amp; Table2[[#Headers],[INCOME]]</f>
        <v>Total INCOME</v>
      </c>
      <c r="B13" s="12">
        <f>SUBTOTAL(9,Table2[Budget])</f>
        <v>16846</v>
      </c>
      <c r="C13" s="12">
        <f>SUBTOTAL(9,Table2[Actual])</f>
        <v>16846</v>
      </c>
      <c r="D13" s="9">
        <f>SUBTOTAL(9,Table2[Difference])</f>
        <v>0</v>
      </c>
      <c r="F13" s="1" t="s">
        <v>20</v>
      </c>
      <c r="G13" s="10"/>
      <c r="H13" s="10"/>
      <c r="I13" s="7">
        <f t="shared" si="2"/>
        <v>0</v>
      </c>
    </row>
    <row r="14" spans="1:9">
      <c r="F14" s="1" t="s">
        <v>21</v>
      </c>
      <c r="G14" s="10"/>
      <c r="H14" s="10"/>
      <c r="I14" s="7">
        <f t="shared" si="2"/>
        <v>0</v>
      </c>
    </row>
    <row r="15" spans="1:9">
      <c r="A15" s="14" t="s">
        <v>22</v>
      </c>
      <c r="B15" s="15" t="s">
        <v>2</v>
      </c>
      <c r="C15" s="16" t="s">
        <v>3</v>
      </c>
      <c r="D15" s="16" t="s">
        <v>4</v>
      </c>
      <c r="F15" s="1" t="s">
        <v>23</v>
      </c>
      <c r="G15" s="10"/>
      <c r="H15" s="10"/>
      <c r="I15" s="7">
        <f t="shared" si="2"/>
        <v>0</v>
      </c>
    </row>
    <row r="16" spans="1:9">
      <c r="A16" s="1" t="s">
        <v>24</v>
      </c>
      <c r="B16" s="6">
        <v>3000</v>
      </c>
      <c r="C16" s="6"/>
      <c r="D16" s="7">
        <f>B16-C16</f>
        <v>3000</v>
      </c>
      <c r="F16" s="1" t="s">
        <v>25</v>
      </c>
      <c r="G16" s="10"/>
      <c r="H16" s="10"/>
      <c r="I16" s="7">
        <f t="shared" ref="I16:I20" si="3">G16-H16</f>
        <v>0</v>
      </c>
    </row>
    <row r="17" spans="1:9">
      <c r="A17" s="1" t="s">
        <v>26</v>
      </c>
      <c r="B17" s="6">
        <v>350</v>
      </c>
      <c r="C17" s="6"/>
      <c r="D17" s="7">
        <f t="shared" ref="D17:D28" si="4">B17-C17</f>
        <v>350</v>
      </c>
      <c r="F17" s="1" t="s">
        <v>27</v>
      </c>
      <c r="G17" s="10"/>
      <c r="H17" s="10"/>
      <c r="I17" s="7">
        <f t="shared" ref="I17:I18" si="5">G17-H17</f>
        <v>0</v>
      </c>
    </row>
    <row r="18" spans="1:9">
      <c r="B18" s="6"/>
      <c r="C18" s="6"/>
      <c r="D18" s="7">
        <f t="shared" si="4"/>
        <v>0</v>
      </c>
      <c r="F18" s="1" t="s">
        <v>28</v>
      </c>
      <c r="G18" s="10"/>
      <c r="H18" s="10"/>
      <c r="I18" s="7">
        <f t="shared" si="5"/>
        <v>0</v>
      </c>
    </row>
    <row r="19" spans="1:9">
      <c r="B19" s="6"/>
      <c r="C19" s="6"/>
      <c r="D19" s="7">
        <f t="shared" si="4"/>
        <v>0</v>
      </c>
      <c r="F19" s="1" t="s">
        <v>29</v>
      </c>
      <c r="G19" s="10"/>
      <c r="H19" s="10"/>
      <c r="I19" s="7">
        <f t="shared" si="3"/>
        <v>0</v>
      </c>
    </row>
    <row r="20" spans="1:9" s="4" customFormat="1">
      <c r="A20" s="1"/>
      <c r="B20" s="6"/>
      <c r="C20" s="6"/>
      <c r="D20" s="7">
        <f t="shared" si="4"/>
        <v>0</v>
      </c>
      <c r="E20" s="1"/>
      <c r="F20" s="1"/>
      <c r="G20" s="10"/>
      <c r="H20" s="10"/>
      <c r="I20" s="7">
        <f t="shared" si="3"/>
        <v>0</v>
      </c>
    </row>
    <row r="21" spans="1:9">
      <c r="B21" s="6"/>
      <c r="C21" s="6"/>
      <c r="D21" s="7">
        <f t="shared" si="4"/>
        <v>0</v>
      </c>
      <c r="F21" s="17" t="str">
        <f>"Total " &amp; Table6[[#Headers],[DAILY LIVING]]</f>
        <v>Total DAILY LIVING</v>
      </c>
      <c r="G21" s="12">
        <f>SUBTOTAL(9,Table6[Budget])</f>
        <v>0</v>
      </c>
      <c r="H21" s="12">
        <f>SUBTOTAL(9,Table6[Actual])</f>
        <v>0</v>
      </c>
      <c r="I21" s="9">
        <f>SUBTOTAL(9,Table6[Difference])</f>
        <v>0</v>
      </c>
    </row>
    <row r="22" spans="1:9">
      <c r="B22" s="6"/>
      <c r="C22" s="6"/>
      <c r="D22" s="7">
        <f t="shared" si="4"/>
        <v>0</v>
      </c>
      <c r="G22" s="11"/>
      <c r="H22" s="11"/>
      <c r="I22" s="11"/>
    </row>
    <row r="23" spans="1:9">
      <c r="B23" s="6"/>
      <c r="C23" s="6"/>
      <c r="D23" s="7">
        <f t="shared" si="4"/>
        <v>0</v>
      </c>
      <c r="F23" s="14" t="s">
        <v>30</v>
      </c>
      <c r="G23" s="15" t="s">
        <v>2</v>
      </c>
      <c r="H23" s="16" t="s">
        <v>3</v>
      </c>
      <c r="I23" s="16" t="s">
        <v>4</v>
      </c>
    </row>
    <row r="24" spans="1:9">
      <c r="B24" s="6"/>
      <c r="C24" s="6"/>
      <c r="D24" s="7">
        <f t="shared" si="4"/>
        <v>0</v>
      </c>
      <c r="F24" s="1" t="s">
        <v>31</v>
      </c>
      <c r="G24" s="10"/>
      <c r="H24" s="10"/>
      <c r="I24" s="7">
        <f t="shared" ref="I24:I34" si="6">G24-H24</f>
        <v>0</v>
      </c>
    </row>
    <row r="25" spans="1:9">
      <c r="B25" s="6"/>
      <c r="C25" s="6"/>
      <c r="D25" s="7">
        <f>B25-C25</f>
        <v>0</v>
      </c>
      <c r="F25" s="1" t="s">
        <v>32</v>
      </c>
      <c r="G25" s="10"/>
      <c r="H25" s="10"/>
      <c r="I25" s="7">
        <f t="shared" si="6"/>
        <v>0</v>
      </c>
    </row>
    <row r="26" spans="1:9">
      <c r="B26" s="6"/>
      <c r="C26" s="6"/>
      <c r="D26" s="7">
        <f t="shared" si="4"/>
        <v>0</v>
      </c>
      <c r="F26" s="1" t="s">
        <v>33</v>
      </c>
      <c r="G26" s="10"/>
      <c r="H26" s="10"/>
      <c r="I26" s="7">
        <f t="shared" si="6"/>
        <v>0</v>
      </c>
    </row>
    <row r="27" spans="1:9">
      <c r="B27" s="6"/>
      <c r="C27" s="6"/>
      <c r="D27" s="7">
        <f t="shared" si="4"/>
        <v>0</v>
      </c>
      <c r="F27" s="1" t="s">
        <v>34</v>
      </c>
      <c r="G27" s="10"/>
      <c r="H27" s="10"/>
      <c r="I27" s="7">
        <f t="shared" ref="I27:I31" si="7">G27-H27</f>
        <v>0</v>
      </c>
    </row>
    <row r="28" spans="1:9">
      <c r="B28" s="10"/>
      <c r="C28" s="10"/>
      <c r="D28" s="7">
        <f t="shared" si="4"/>
        <v>0</v>
      </c>
      <c r="F28" s="1" t="s">
        <v>35</v>
      </c>
      <c r="G28" s="10"/>
      <c r="H28" s="10"/>
      <c r="I28" s="7">
        <f t="shared" si="7"/>
        <v>0</v>
      </c>
    </row>
    <row r="29" spans="1:9">
      <c r="A29" s="17" t="str">
        <f>"Total " &amp; Table5[[#Headers],[Gastos Vivienda]]</f>
        <v>Total Gastos Vivienda</v>
      </c>
      <c r="B29" s="12">
        <f>SUBTOTAL(9,Table5[Budget])</f>
        <v>3350</v>
      </c>
      <c r="C29" s="12">
        <f>SUBTOTAL(9,Table5[Actual])</f>
        <v>0</v>
      </c>
      <c r="D29" s="9">
        <f>SUBTOTAL(9,Table5[Difference])</f>
        <v>3350</v>
      </c>
      <c r="F29" s="1" t="s">
        <v>36</v>
      </c>
      <c r="G29" s="10"/>
      <c r="H29" s="10"/>
      <c r="I29" s="7">
        <f t="shared" si="7"/>
        <v>0</v>
      </c>
    </row>
    <row r="30" spans="1:9">
      <c r="B30" s="11"/>
      <c r="C30" s="11"/>
      <c r="D30" s="11"/>
      <c r="F30" s="1" t="s">
        <v>37</v>
      </c>
      <c r="G30" s="10"/>
      <c r="H30" s="10"/>
      <c r="I30" s="7">
        <f t="shared" si="7"/>
        <v>0</v>
      </c>
    </row>
    <row r="31" spans="1:9">
      <c r="A31" s="14" t="s">
        <v>38</v>
      </c>
      <c r="B31" s="15" t="s">
        <v>2</v>
      </c>
      <c r="C31" s="16" t="s">
        <v>3</v>
      </c>
      <c r="D31" s="16" t="s">
        <v>4</v>
      </c>
      <c r="F31" s="1" t="s">
        <v>39</v>
      </c>
      <c r="G31" s="10">
        <v>750</v>
      </c>
      <c r="H31" s="10">
        <v>750</v>
      </c>
      <c r="I31" s="7">
        <f t="shared" si="7"/>
        <v>0</v>
      </c>
    </row>
    <row r="32" spans="1:9">
      <c r="A32" s="1" t="s">
        <v>40</v>
      </c>
      <c r="B32" s="10"/>
      <c r="C32" s="10"/>
      <c r="D32" s="7">
        <f>B32-C32</f>
        <v>0</v>
      </c>
      <c r="F32" s="1" t="s">
        <v>41</v>
      </c>
      <c r="G32" s="10"/>
      <c r="H32" s="10"/>
      <c r="I32" s="7">
        <f t="shared" si="6"/>
        <v>0</v>
      </c>
    </row>
    <row r="33" spans="1:9">
      <c r="A33" s="1" t="s">
        <v>42</v>
      </c>
      <c r="B33" s="10"/>
      <c r="C33" s="10"/>
      <c r="D33" s="7">
        <f t="shared" ref="D33:D38" si="8">B33-C33</f>
        <v>0</v>
      </c>
      <c r="F33" s="1" t="s">
        <v>43</v>
      </c>
      <c r="G33" s="10"/>
      <c r="H33" s="10"/>
      <c r="I33" s="7">
        <f t="shared" si="6"/>
        <v>0</v>
      </c>
    </row>
    <row r="34" spans="1:9">
      <c r="A34" s="1" t="s">
        <v>44</v>
      </c>
      <c r="B34" s="10"/>
      <c r="C34" s="10"/>
      <c r="D34" s="7">
        <f>B34-C34</f>
        <v>0</v>
      </c>
      <c r="G34" s="10"/>
      <c r="H34" s="10"/>
      <c r="I34" s="7">
        <f t="shared" si="6"/>
        <v>0</v>
      </c>
    </row>
    <row r="35" spans="1:9">
      <c r="A35" s="1" t="s">
        <v>45</v>
      </c>
      <c r="B35" s="10"/>
      <c r="C35" s="10"/>
      <c r="D35" s="7">
        <f t="shared" si="8"/>
        <v>0</v>
      </c>
      <c r="F35" s="17" t="str">
        <f>"Total " &amp; Table7[[#Headers],[Diversion ]]</f>
        <v xml:space="preserve">Total Diversion </v>
      </c>
      <c r="G35" s="12">
        <f>SUBTOTAL(9,Table7[Budget])</f>
        <v>750</v>
      </c>
      <c r="H35" s="12">
        <f>SUBTOTAL(9,Table7[Actual])</f>
        <v>750</v>
      </c>
      <c r="I35" s="9">
        <f>SUBTOTAL(9,Table7[Difference])</f>
        <v>0</v>
      </c>
    </row>
    <row r="36" spans="1:9">
      <c r="A36" s="1" t="s">
        <v>46</v>
      </c>
      <c r="B36" s="10"/>
      <c r="C36" s="10"/>
      <c r="D36" s="7">
        <f t="shared" si="8"/>
        <v>0</v>
      </c>
      <c r="G36" s="11"/>
      <c r="H36" s="11"/>
      <c r="I36" s="11"/>
    </row>
    <row r="37" spans="1:9">
      <c r="A37" s="1" t="s">
        <v>47</v>
      </c>
      <c r="B37" s="10"/>
      <c r="C37" s="10"/>
      <c r="D37" s="7">
        <f t="shared" si="8"/>
        <v>0</v>
      </c>
      <c r="F37" s="14" t="s">
        <v>48</v>
      </c>
      <c r="G37" s="15" t="s">
        <v>2</v>
      </c>
      <c r="H37" s="16" t="s">
        <v>3</v>
      </c>
      <c r="I37" s="16" t="s">
        <v>4</v>
      </c>
    </row>
    <row r="38" spans="1:9">
      <c r="A38" s="1" t="s">
        <v>17</v>
      </c>
      <c r="B38" s="10"/>
      <c r="C38" s="10"/>
      <c r="D38" s="7">
        <f t="shared" si="8"/>
        <v>0</v>
      </c>
      <c r="F38" s="1" t="s">
        <v>49</v>
      </c>
      <c r="G38" s="10">
        <v>5000</v>
      </c>
      <c r="H38" s="10">
        <v>5000</v>
      </c>
      <c r="I38" s="7">
        <f>G38-H38</f>
        <v>0</v>
      </c>
    </row>
    <row r="39" spans="1:9">
      <c r="A39" s="17" t="str">
        <f>"Total " &amp; Table20[[#Headers],[Transporte]]</f>
        <v>Total Transporte</v>
      </c>
      <c r="B39" s="12">
        <f>SUBTOTAL(9,Table20[Budget])</f>
        <v>0</v>
      </c>
      <c r="C39" s="12">
        <f>SUBTOTAL(9,Table20[Actual])</f>
        <v>0</v>
      </c>
      <c r="D39" s="9">
        <f>SUBTOTAL(9,Table20[Difference])</f>
        <v>0</v>
      </c>
      <c r="F39" s="1" t="s">
        <v>50</v>
      </c>
      <c r="G39" s="10">
        <v>2000</v>
      </c>
      <c r="H39" s="10">
        <v>2000</v>
      </c>
      <c r="I39" s="7">
        <f t="shared" ref="I39:I40" si="9">G39-H39</f>
        <v>0</v>
      </c>
    </row>
    <row r="40" spans="1:9">
      <c r="B40" s="11"/>
      <c r="C40" s="11"/>
      <c r="D40" s="11"/>
      <c r="F40" s="1" t="s">
        <v>51</v>
      </c>
      <c r="G40" s="10"/>
      <c r="H40" s="10"/>
      <c r="I40" s="7">
        <f t="shared" si="9"/>
        <v>0</v>
      </c>
    </row>
    <row r="41" spans="1:9">
      <c r="A41" s="14" t="s">
        <v>52</v>
      </c>
      <c r="B41" s="15" t="s">
        <v>2</v>
      </c>
      <c r="C41" s="16" t="s">
        <v>3</v>
      </c>
      <c r="D41" s="16" t="s">
        <v>4</v>
      </c>
      <c r="F41" s="1" t="s">
        <v>53</v>
      </c>
      <c r="G41" s="10"/>
      <c r="H41" s="10"/>
      <c r="I41" s="7">
        <f>G41-H41</f>
        <v>0</v>
      </c>
    </row>
    <row r="42" spans="1:9">
      <c r="A42" s="1" t="s">
        <v>54</v>
      </c>
      <c r="B42" s="10"/>
      <c r="C42" s="10"/>
      <c r="D42" s="7">
        <f t="shared" ref="D42:D48" si="10">B42-C42</f>
        <v>0</v>
      </c>
      <c r="F42" s="1" t="s">
        <v>17</v>
      </c>
      <c r="G42" s="10"/>
      <c r="H42" s="10"/>
      <c r="I42" s="7">
        <f>G42-H42</f>
        <v>0</v>
      </c>
    </row>
    <row r="43" spans="1:9">
      <c r="A43" s="1" t="s">
        <v>55</v>
      </c>
      <c r="B43" s="10"/>
      <c r="C43" s="10"/>
      <c r="D43" s="7">
        <f t="shared" si="10"/>
        <v>0</v>
      </c>
      <c r="F43" s="1" t="s">
        <v>17</v>
      </c>
      <c r="G43" s="10"/>
      <c r="H43" s="10"/>
      <c r="I43" s="7">
        <f>G43-H43</f>
        <v>0</v>
      </c>
    </row>
    <row r="44" spans="1:9">
      <c r="A44" s="1" t="s">
        <v>56</v>
      </c>
      <c r="B44" s="10"/>
      <c r="C44" s="10"/>
      <c r="D44" s="7">
        <f t="shared" si="10"/>
        <v>0</v>
      </c>
      <c r="F44" s="1" t="s">
        <v>17</v>
      </c>
      <c r="G44" s="10"/>
      <c r="H44" s="10"/>
      <c r="I44" s="7">
        <f>G44-H44</f>
        <v>0</v>
      </c>
    </row>
    <row r="45" spans="1:9">
      <c r="A45" s="1" t="s">
        <v>57</v>
      </c>
      <c r="B45" s="10"/>
      <c r="C45" s="10"/>
      <c r="D45" s="7">
        <f t="shared" si="10"/>
        <v>0</v>
      </c>
      <c r="F45" s="17" t="str">
        <f>"Total " &amp; Table8[[#Headers],[Ahorros]]</f>
        <v>Total Ahorros</v>
      </c>
      <c r="G45" s="12">
        <f>SUBTOTAL(9,Table8[Budget])</f>
        <v>7000</v>
      </c>
      <c r="H45" s="12">
        <f>SUBTOTAL(9,Table8[Actual])</f>
        <v>7000</v>
      </c>
      <c r="I45" s="9">
        <f>SUBTOTAL(9,Table8[Difference])</f>
        <v>0</v>
      </c>
    </row>
    <row r="46" spans="1:9">
      <c r="A46" s="1" t="s">
        <v>58</v>
      </c>
      <c r="B46" s="10"/>
      <c r="C46" s="10"/>
      <c r="D46" s="7">
        <f t="shared" si="10"/>
        <v>0</v>
      </c>
      <c r="G46" s="11"/>
      <c r="H46" s="11"/>
      <c r="I46" s="11"/>
    </row>
    <row r="47" spans="1:9">
      <c r="A47" s="1" t="s">
        <v>59</v>
      </c>
      <c r="B47" s="10"/>
      <c r="C47" s="10"/>
      <c r="D47" s="7">
        <f t="shared" si="10"/>
        <v>0</v>
      </c>
      <c r="F47" s="14" t="s">
        <v>60</v>
      </c>
      <c r="G47" s="15" t="s">
        <v>2</v>
      </c>
      <c r="H47" s="16" t="s">
        <v>3</v>
      </c>
      <c r="I47" s="16" t="s">
        <v>4</v>
      </c>
    </row>
    <row r="48" spans="1:9">
      <c r="A48" s="1" t="s">
        <v>17</v>
      </c>
      <c r="B48" s="10"/>
      <c r="C48" s="10"/>
      <c r="D48" s="7">
        <f t="shared" si="10"/>
        <v>0</v>
      </c>
      <c r="F48" s="1" t="s">
        <v>61</v>
      </c>
      <c r="G48" s="10">
        <v>3313.3</v>
      </c>
      <c r="H48" s="10">
        <v>3313.3</v>
      </c>
      <c r="I48" s="7">
        <f t="shared" ref="I48:I55" si="11">G48-H48</f>
        <v>0</v>
      </c>
    </row>
    <row r="49" spans="1:9">
      <c r="A49" s="17" t="str">
        <f>"Total " &amp; Table21[[#Headers],[Salud]]</f>
        <v>Total Salud</v>
      </c>
      <c r="B49" s="12">
        <f>SUBTOTAL(9,Table21[Budget])</f>
        <v>0</v>
      </c>
      <c r="C49" s="12">
        <f>SUBTOTAL(9,Table21[Actual])</f>
        <v>0</v>
      </c>
      <c r="D49" s="9">
        <f>SUBTOTAL(9,Table21[Difference])</f>
        <v>0</v>
      </c>
      <c r="F49" s="1" t="s">
        <v>62</v>
      </c>
      <c r="G49" s="10"/>
      <c r="H49" s="10"/>
      <c r="I49" s="7">
        <f t="shared" si="11"/>
        <v>0</v>
      </c>
    </row>
    <row r="50" spans="1:9">
      <c r="B50" s="11"/>
      <c r="C50" s="11"/>
      <c r="D50" s="11"/>
      <c r="F50" s="1" t="s">
        <v>63</v>
      </c>
      <c r="G50" s="10"/>
      <c r="H50" s="10"/>
      <c r="I50" s="7">
        <f t="shared" si="11"/>
        <v>0</v>
      </c>
    </row>
    <row r="51" spans="1:9">
      <c r="A51" s="14" t="s">
        <v>64</v>
      </c>
      <c r="B51" s="15" t="s">
        <v>2</v>
      </c>
      <c r="C51" s="16" t="s">
        <v>3</v>
      </c>
      <c r="D51" s="16" t="s">
        <v>4</v>
      </c>
      <c r="F51" s="1" t="s">
        <v>17</v>
      </c>
      <c r="G51" s="10"/>
      <c r="H51" s="10"/>
      <c r="I51" s="7">
        <f t="shared" si="11"/>
        <v>0</v>
      </c>
    </row>
    <row r="52" spans="1:9">
      <c r="A52" s="1" t="s">
        <v>65</v>
      </c>
      <c r="B52" s="10"/>
      <c r="C52" s="10"/>
      <c r="D52" s="7">
        <f t="shared" ref="D52:D55" si="12">B52-C52</f>
        <v>0</v>
      </c>
      <c r="G52" s="10"/>
      <c r="H52" s="10"/>
      <c r="I52" s="7">
        <f t="shared" si="11"/>
        <v>0</v>
      </c>
    </row>
    <row r="53" spans="1:9">
      <c r="A53" s="1" t="s">
        <v>66</v>
      </c>
      <c r="B53" s="10"/>
      <c r="C53" s="10"/>
      <c r="D53" s="7">
        <f t="shared" si="12"/>
        <v>0</v>
      </c>
      <c r="G53" s="10"/>
      <c r="H53" s="10"/>
      <c r="I53" s="7">
        <f t="shared" ref="I53:I54" si="13">G53-H53</f>
        <v>0</v>
      </c>
    </row>
    <row r="54" spans="1:9">
      <c r="A54" s="1" t="s">
        <v>67</v>
      </c>
      <c r="B54" s="10"/>
      <c r="C54" s="10"/>
      <c r="D54" s="7">
        <f t="shared" si="12"/>
        <v>0</v>
      </c>
      <c r="G54" s="10"/>
      <c r="H54" s="10"/>
      <c r="I54" s="7">
        <f t="shared" si="13"/>
        <v>0</v>
      </c>
    </row>
    <row r="55" spans="1:9">
      <c r="A55" s="1" t="s">
        <v>17</v>
      </c>
      <c r="B55" s="10"/>
      <c r="C55" s="10"/>
      <c r="D55" s="7">
        <f t="shared" si="12"/>
        <v>0</v>
      </c>
      <c r="G55" s="10"/>
      <c r="H55" s="10"/>
      <c r="I55" s="7">
        <f t="shared" si="11"/>
        <v>0</v>
      </c>
    </row>
    <row r="56" spans="1:9">
      <c r="A56" s="17" t="str">
        <f>"Total " &amp; Table19[[#Headers],[CHARITY/GIFTS]]</f>
        <v>Total CHARITY/GIFTS</v>
      </c>
      <c r="B56" s="12">
        <f>SUBTOTAL(9,Table19[Budget])</f>
        <v>0</v>
      </c>
      <c r="C56" s="12">
        <f>SUBTOTAL(9,Table19[Actual])</f>
        <v>0</v>
      </c>
      <c r="D56" s="9">
        <f>SUBTOTAL(9,Table19[Difference])</f>
        <v>0</v>
      </c>
      <c r="F56" s="17" t="str">
        <f>"Total " &amp; Table10[[#Headers],[Oblgiaciones ]]</f>
        <v xml:space="preserve">Total Oblgiaciones </v>
      </c>
      <c r="G56" s="12">
        <f>SUBTOTAL(9,Table10[Budget])</f>
        <v>3313.3</v>
      </c>
      <c r="H56" s="12">
        <f>SUBTOTAL(9,Table10[Actual])</f>
        <v>3313.3</v>
      </c>
      <c r="I56" s="9">
        <f>SUBTOTAL(9,Table10[Difference])</f>
        <v>0</v>
      </c>
    </row>
    <row r="57" spans="1:9">
      <c r="B57" s="11"/>
      <c r="C57" s="11"/>
      <c r="D57" s="11"/>
      <c r="G57" s="11"/>
      <c r="H57" s="11"/>
      <c r="I57" s="11"/>
    </row>
    <row r="58" spans="1:9">
      <c r="A58" s="14" t="s">
        <v>68</v>
      </c>
      <c r="B58" s="15" t="s">
        <v>2</v>
      </c>
      <c r="C58" s="16" t="s">
        <v>3</v>
      </c>
      <c r="D58" s="16" t="s">
        <v>4</v>
      </c>
      <c r="F58" s="14" t="s">
        <v>69</v>
      </c>
      <c r="G58" s="15" t="s">
        <v>2</v>
      </c>
      <c r="H58" s="16" t="s">
        <v>3</v>
      </c>
      <c r="I58" s="16" t="s">
        <v>4</v>
      </c>
    </row>
    <row r="59" spans="1:9">
      <c r="A59" s="1" t="s">
        <v>70</v>
      </c>
      <c r="B59" s="10"/>
      <c r="C59" s="10"/>
      <c r="D59" s="7">
        <f t="shared" ref="D59:D62" si="14">B59-C59</f>
        <v>0</v>
      </c>
      <c r="F59" s="1" t="s">
        <v>71</v>
      </c>
      <c r="G59" s="6"/>
      <c r="H59" s="6"/>
      <c r="I59" s="7">
        <f t="shared" ref="I59:I62" si="15">G59-H59</f>
        <v>0</v>
      </c>
    </row>
    <row r="60" spans="1:9">
      <c r="A60" s="1" t="s">
        <v>72</v>
      </c>
      <c r="B60" s="10"/>
      <c r="C60" s="10"/>
      <c r="D60" s="7">
        <f t="shared" si="14"/>
        <v>0</v>
      </c>
      <c r="F60" s="1" t="s">
        <v>17</v>
      </c>
      <c r="G60" s="6"/>
      <c r="H60" s="6"/>
      <c r="I60" s="7">
        <f t="shared" si="15"/>
        <v>0</v>
      </c>
    </row>
    <row r="61" spans="1:9">
      <c r="A61" s="1" t="s">
        <v>73</v>
      </c>
      <c r="B61" s="10"/>
      <c r="C61" s="10"/>
      <c r="D61" s="7">
        <f t="shared" si="14"/>
        <v>0</v>
      </c>
      <c r="G61" s="6"/>
      <c r="H61" s="6"/>
      <c r="I61" s="7">
        <f t="shared" si="15"/>
        <v>0</v>
      </c>
    </row>
    <row r="62" spans="1:9">
      <c r="B62" s="10"/>
      <c r="C62" s="10"/>
      <c r="D62" s="7">
        <f t="shared" si="14"/>
        <v>0</v>
      </c>
      <c r="G62" s="10"/>
      <c r="H62" s="10"/>
      <c r="I62" s="7">
        <f t="shared" si="15"/>
        <v>0</v>
      </c>
    </row>
    <row r="63" spans="1:9">
      <c r="A63" s="17" t="str">
        <f>"Total " &amp; Table15[[#Headers],[Subscrpciones]]</f>
        <v>Total Subscrpciones</v>
      </c>
      <c r="B63" s="12">
        <f>SUBTOTAL(9,Table15[Budget])</f>
        <v>0</v>
      </c>
      <c r="C63" s="12">
        <f>SUBTOTAL(9,Table15[Actual])</f>
        <v>0</v>
      </c>
      <c r="D63" s="9">
        <f>SUBTOTAL(9,Table15[Difference])</f>
        <v>0</v>
      </c>
      <c r="F63" s="17" t="str">
        <f>"Total " &amp; Table14[[#Headers],[Misc]]</f>
        <v>Total Misc</v>
      </c>
      <c r="G63" s="12">
        <f>SUBTOTAL(9,Table14[Budget])</f>
        <v>0</v>
      </c>
      <c r="H63" s="12">
        <f>SUBTOTAL(9,Table14[Actual])</f>
        <v>0</v>
      </c>
      <c r="I63" s="9">
        <f>SUBTOTAL(9,Table14[Difference])</f>
        <v>0</v>
      </c>
    </row>
    <row r="64" spans="1:9">
      <c r="F64" s="5"/>
    </row>
    <row r="65" spans="5:6">
      <c r="F65" s="5"/>
    </row>
    <row r="66" spans="5:6">
      <c r="F66" s="5"/>
    </row>
    <row r="67" spans="5:6">
      <c r="F67" s="5"/>
    </row>
    <row r="68" spans="5:6">
      <c r="F68" s="5"/>
    </row>
    <row r="69" spans="5:6">
      <c r="F69" s="5"/>
    </row>
    <row r="72" spans="5:6">
      <c r="F72" s="5"/>
    </row>
    <row r="73" spans="5:6">
      <c r="F73" s="5"/>
    </row>
    <row r="74" spans="5:6">
      <c r="F74" s="5"/>
    </row>
    <row r="75" spans="5:6">
      <c r="E75" s="5"/>
      <c r="F75" s="5"/>
    </row>
    <row r="76" spans="5:6">
      <c r="E76" s="5"/>
      <c r="F76" s="5"/>
    </row>
    <row r="77" spans="5:6">
      <c r="E77" s="5"/>
      <c r="F77" s="5"/>
    </row>
    <row r="78" spans="5:6">
      <c r="E78" s="5"/>
      <c r="F78" s="5"/>
    </row>
    <row r="79" spans="5:6">
      <c r="F79" s="5"/>
    </row>
    <row r="80" spans="5:6">
      <c r="F80" s="5"/>
    </row>
    <row r="81" spans="5:6">
      <c r="E81" s="5"/>
      <c r="F81" s="5"/>
    </row>
    <row r="82" spans="5:6">
      <c r="E82" s="5"/>
    </row>
    <row r="83" spans="5:6">
      <c r="E83" s="5"/>
    </row>
    <row r="84" spans="5:6">
      <c r="E84" s="13" t="s">
        <v>5</v>
      </c>
    </row>
    <row r="85" spans="5:6">
      <c r="E85" s="5"/>
    </row>
    <row r="86" spans="5:6">
      <c r="E86" s="5"/>
    </row>
    <row r="87" spans="5:6">
      <c r="E87" s="5"/>
    </row>
    <row r="88" spans="5:6">
      <c r="E88" s="5"/>
    </row>
    <row r="89" spans="5:6">
      <c r="E89" s="5"/>
    </row>
    <row r="92" spans="5:6">
      <c r="E92" s="5"/>
    </row>
    <row r="93" spans="5:6">
      <c r="E93" s="5"/>
    </row>
    <row r="94" spans="5:6">
      <c r="E94" s="5"/>
    </row>
    <row r="95" spans="5:6">
      <c r="E95" s="5"/>
    </row>
    <row r="96" spans="5:6">
      <c r="E96" s="5"/>
    </row>
    <row r="97" spans="5:5">
      <c r="E97" s="5"/>
    </row>
    <row r="98" spans="5:5">
      <c r="E98" s="5"/>
    </row>
    <row r="99" spans="5:5">
      <c r="E99" s="5"/>
    </row>
    <row r="100" spans="5:5">
      <c r="E100" s="5"/>
    </row>
    <row r="101" spans="5:5">
      <c r="E101" s="5"/>
    </row>
    <row r="122" spans="6:6">
      <c r="F122" s="5"/>
    </row>
    <row r="123" spans="6:6">
      <c r="F123" s="5"/>
    </row>
    <row r="124" spans="6:6">
      <c r="F124" s="5"/>
    </row>
    <row r="125" spans="6:6">
      <c r="F125" s="5"/>
    </row>
    <row r="126" spans="6:6">
      <c r="F126" s="5"/>
    </row>
    <row r="127" spans="6:6">
      <c r="F127" s="5"/>
    </row>
    <row r="128" spans="6:6">
      <c r="F128" s="5"/>
    </row>
    <row r="131" spans="5:6">
      <c r="F131" s="5"/>
    </row>
    <row r="132" spans="5:6">
      <c r="F132" s="5"/>
    </row>
    <row r="133" spans="5:6">
      <c r="F133" s="5"/>
    </row>
    <row r="134" spans="5:6">
      <c r="F134" s="5"/>
    </row>
    <row r="135" spans="5:6">
      <c r="F135" s="5"/>
    </row>
    <row r="136" spans="5:6">
      <c r="F136" s="5"/>
    </row>
    <row r="137" spans="5:6">
      <c r="F137" s="5"/>
    </row>
    <row r="142" spans="5:6">
      <c r="E142" s="5"/>
    </row>
    <row r="143" spans="5:6">
      <c r="E143" s="5"/>
    </row>
    <row r="144" spans="5:6">
      <c r="E144" s="5"/>
    </row>
    <row r="145" spans="5:5">
      <c r="E145" s="5"/>
    </row>
    <row r="146" spans="5:5">
      <c r="E146" s="5"/>
    </row>
    <row r="147" spans="5:5">
      <c r="E147" s="5"/>
    </row>
    <row r="148" spans="5:5">
      <c r="E148" s="5"/>
    </row>
    <row r="151" spans="5:5">
      <c r="E151" s="5"/>
    </row>
    <row r="152" spans="5:5">
      <c r="E152" s="5"/>
    </row>
    <row r="153" spans="5:5">
      <c r="E153" s="5"/>
    </row>
    <row r="154" spans="5:5">
      <c r="E154" s="5"/>
    </row>
    <row r="155" spans="5:5">
      <c r="E155" s="5"/>
    </row>
    <row r="156" spans="5:5">
      <c r="E156" s="5"/>
    </row>
    <row r="157" spans="5:5">
      <c r="E157" s="5"/>
    </row>
  </sheetData>
  <mergeCells count="1">
    <mergeCell ref="A1:D3"/>
  </mergeCells>
  <phoneticPr fontId="0" type="noConversion"/>
  <conditionalFormatting sqref="B4">
    <cfRule type="containsText" priority="3" operator="containsText" text="Vertex42.com">
      <formula>NOT(ISERROR(SEARCH("Vertex42.com",B4)))</formula>
    </cfRule>
  </conditionalFormatting>
  <conditionalFormatting sqref="D5:D13 I11:I20 D16:D28 I24:I34 D32:D38 I38:I44 D42:D48 D52:D55 D59:D62 I59:I62">
    <cfRule type="cellIs" dxfId="645" priority="5" stopIfTrue="1" operator="lessThan">
      <formula>0</formula>
    </cfRule>
  </conditionalFormatting>
  <conditionalFormatting sqref="I48:I55">
    <cfRule type="cellIs" dxfId="644" priority="1" stopIfTrue="1" operator="lessThan">
      <formula>0</formula>
    </cfRule>
  </conditionalFormatting>
  <printOptions horizontalCentered="1"/>
  <pageMargins left="0.5" right="0.5" top="0.35" bottom="0.35" header="0.5" footer="0.25"/>
  <pageSetup scale="80" orientation="portrait" r:id="rId1"/>
  <headerFooter alignWithMargins="0"/>
  <tableParts count="1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A9C9-FB6A-4492-AD38-738ECDB3EE42}">
  <sheetPr>
    <pageSetUpPr fitToPage="1"/>
  </sheetPr>
  <dimension ref="A1:I157"/>
  <sheetViews>
    <sheetView showGridLines="0" workbookViewId="0">
      <selection activeCell="H18" sqref="H18"/>
    </sheetView>
  </sheetViews>
  <sheetFormatPr defaultColWidth="9" defaultRowHeight="15"/>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24" customFormat="1" ht="26.1" customHeight="1">
      <c r="A1" s="74" t="s">
        <v>0</v>
      </c>
      <c r="B1" s="74"/>
      <c r="C1" s="74"/>
      <c r="D1" s="74"/>
    </row>
    <row r="2" spans="1:9" s="24" customFormat="1" ht="14.25" customHeight="1">
      <c r="A2" s="74"/>
      <c r="B2" s="74"/>
      <c r="C2" s="74"/>
      <c r="D2" s="74"/>
    </row>
    <row r="3" spans="1:9" s="2" customFormat="1" ht="13.5">
      <c r="A3" s="74"/>
      <c r="B3" s="74"/>
      <c r="C3" s="74"/>
      <c r="D3" s="74"/>
      <c r="E3" s="3"/>
    </row>
    <row r="4" spans="1:9">
      <c r="A4" s="14" t="s">
        <v>1</v>
      </c>
      <c r="B4" s="15" t="s">
        <v>2</v>
      </c>
      <c r="C4" s="16" t="s">
        <v>3</v>
      </c>
      <c r="D4" s="16" t="s">
        <v>4</v>
      </c>
      <c r="E4" s="49" t="s">
        <v>5</v>
      </c>
      <c r="F4" s="19" t="s">
        <v>6</v>
      </c>
      <c r="G4" s="20" t="s">
        <v>2</v>
      </c>
      <c r="H4" s="20" t="s">
        <v>3</v>
      </c>
      <c r="I4" s="20" t="s">
        <v>4</v>
      </c>
    </row>
    <row r="5" spans="1:9" ht="16.5">
      <c r="A5" s="1" t="s">
        <v>7</v>
      </c>
      <c r="B5" s="6">
        <f>8423*2</f>
        <v>16846</v>
      </c>
      <c r="C5" s="6">
        <v>16846</v>
      </c>
      <c r="D5" s="7">
        <f t="shared" ref="D5:D11" si="0">C5-B5</f>
        <v>0</v>
      </c>
      <c r="F5" s="21" t="s">
        <v>8</v>
      </c>
      <c r="G5" s="18">
        <f>Table22[[#Totals],[Budget]]</f>
        <v>16846</v>
      </c>
      <c r="H5" s="18">
        <f>Table22[[#Totals],[Actual]]</f>
        <v>17246</v>
      </c>
      <c r="I5" s="18">
        <f>G5-H5</f>
        <v>-400</v>
      </c>
    </row>
    <row r="6" spans="1:9" ht="17.25" thickBot="1">
      <c r="A6" s="1" t="s">
        <v>9</v>
      </c>
      <c r="B6" s="6"/>
      <c r="C6" s="6"/>
      <c r="D6" s="7">
        <f t="shared" si="0"/>
        <v>0</v>
      </c>
      <c r="F6" s="21" t="s">
        <v>10</v>
      </c>
      <c r="G6" s="18">
        <f>SUM(,Table54[[#Totals],[Budget]],Table2019[[#Totals],[Budget]],Table2123[[#Totals],[Budget]],Table1918[[#Totals],[Budget]],Table1517[[#Totals],[Budget]],Table1414[[#Totals],[Budget]],Table1013[[#Totals],[Budget]],Table812[[#Totals],[Budget]],Table710[[#Totals],[Budget]],Table65[[#Totals],[Budget]])</f>
        <v>18102.95</v>
      </c>
      <c r="H6" s="18">
        <f>SUM(Table54[[#Totals],[Actual]],Table2019[[#Totals],[Actual]],Table2123[[#Totals],[Actual]],Table1918[[#Totals],[Actual]],Table1517[[#Totals],[Actual]],Table1414[[#Totals],[Actual]],Table1013[[#Totals],[Actual]],Table812[[#Totals],[Actual]],Table710[[#Totals],[Actual]],Table65[[#Totals],[Actual]])</f>
        <v>14844.95</v>
      </c>
      <c r="I6" s="18">
        <f>G6-H6</f>
        <v>3258</v>
      </c>
    </row>
    <row r="7" spans="1:9" ht="17.25" thickTop="1">
      <c r="A7" s="1" t="s">
        <v>11</v>
      </c>
      <c r="B7" s="6"/>
      <c r="C7" s="6"/>
      <c r="D7" s="7">
        <f t="shared" si="0"/>
        <v>0</v>
      </c>
      <c r="F7" s="22" t="s">
        <v>12</v>
      </c>
      <c r="G7" s="23">
        <f>G5-G6</f>
        <v>-1256.9500000000007</v>
      </c>
      <c r="H7" s="23">
        <f>H5-H6</f>
        <v>2401.0499999999993</v>
      </c>
      <c r="I7" s="23">
        <f>H7-G7</f>
        <v>3658</v>
      </c>
    </row>
    <row r="8" spans="1:9" s="2" customFormat="1">
      <c r="A8" s="1" t="s">
        <v>13</v>
      </c>
      <c r="B8" s="6"/>
      <c r="C8" s="6"/>
      <c r="D8" s="7">
        <f t="shared" si="0"/>
        <v>0</v>
      </c>
    </row>
    <row r="9" spans="1:9">
      <c r="A9" s="1" t="s">
        <v>14</v>
      </c>
      <c r="B9" s="6"/>
      <c r="C9" s="6"/>
      <c r="D9" s="7">
        <f t="shared" si="0"/>
        <v>0</v>
      </c>
      <c r="F9" s="2"/>
      <c r="G9" s="2"/>
      <c r="H9" s="2"/>
      <c r="I9" s="2"/>
    </row>
    <row r="10" spans="1:9">
      <c r="A10" s="1" t="s">
        <v>15</v>
      </c>
      <c r="B10" s="6"/>
      <c r="C10" s="6"/>
      <c r="D10" s="7">
        <f t="shared" si="0"/>
        <v>0</v>
      </c>
      <c r="F10" s="14" t="s">
        <v>16</v>
      </c>
      <c r="G10" s="15" t="s">
        <v>2</v>
      </c>
      <c r="H10" s="16" t="s">
        <v>3</v>
      </c>
      <c r="I10" s="16" t="s">
        <v>4</v>
      </c>
    </row>
    <row r="11" spans="1:9">
      <c r="A11" s="1" t="s">
        <v>17</v>
      </c>
      <c r="B11" s="6"/>
      <c r="C11" s="6">
        <f>400</f>
        <v>400</v>
      </c>
      <c r="D11" s="7">
        <f t="shared" si="0"/>
        <v>400</v>
      </c>
      <c r="F11" s="1" t="s">
        <v>18</v>
      </c>
      <c r="G11" s="10"/>
      <c r="H11" s="10"/>
      <c r="I11" s="7">
        <f t="shared" ref="I11:I20" si="1">G11-H11</f>
        <v>0</v>
      </c>
    </row>
    <row r="12" spans="1:9">
      <c r="A12" s="1" t="s">
        <v>17</v>
      </c>
      <c r="B12" s="8"/>
      <c r="C12" s="8"/>
      <c r="D12" s="7">
        <f>C12-B12</f>
        <v>0</v>
      </c>
      <c r="F12" s="1" t="s">
        <v>19</v>
      </c>
      <c r="G12" s="10"/>
      <c r="H12" s="10"/>
      <c r="I12" s="7">
        <f t="shared" si="1"/>
        <v>0</v>
      </c>
    </row>
    <row r="13" spans="1:9">
      <c r="A13" s="17" t="str">
        <f>"Total " &amp; Table22[[#Headers],[INCOME]]</f>
        <v>Total INCOME</v>
      </c>
      <c r="B13" s="12">
        <f>SUBTOTAL(9,Table22[Budget])</f>
        <v>16846</v>
      </c>
      <c r="C13" s="12">
        <f>SUBTOTAL(9,Table22[Actual])</f>
        <v>17246</v>
      </c>
      <c r="D13" s="9">
        <f>SUBTOTAL(9,Table22[Difference])</f>
        <v>400</v>
      </c>
      <c r="F13" s="1" t="s">
        <v>20</v>
      </c>
      <c r="G13" s="10"/>
      <c r="H13" s="10"/>
      <c r="I13" s="7">
        <f t="shared" si="1"/>
        <v>0</v>
      </c>
    </row>
    <row r="14" spans="1:9">
      <c r="F14" s="1" t="s">
        <v>21</v>
      </c>
      <c r="G14" s="10"/>
      <c r="H14" s="10"/>
      <c r="I14" s="7">
        <f t="shared" si="1"/>
        <v>0</v>
      </c>
    </row>
    <row r="15" spans="1:9">
      <c r="A15" s="14" t="s">
        <v>22</v>
      </c>
      <c r="B15" s="15" t="s">
        <v>2</v>
      </c>
      <c r="C15" s="16" t="s">
        <v>3</v>
      </c>
      <c r="D15" s="16" t="s">
        <v>4</v>
      </c>
      <c r="F15" s="1" t="s">
        <v>23</v>
      </c>
      <c r="G15" s="10"/>
      <c r="H15" s="10"/>
      <c r="I15" s="7">
        <f t="shared" si="1"/>
        <v>0</v>
      </c>
    </row>
    <row r="16" spans="1:9">
      <c r="A16" s="1" t="s">
        <v>24</v>
      </c>
      <c r="B16" s="6">
        <v>3000</v>
      </c>
      <c r="C16" s="6">
        <v>800</v>
      </c>
      <c r="D16" s="59">
        <f>B16-C16</f>
        <v>2200</v>
      </c>
      <c r="F16" s="1" t="s">
        <v>25</v>
      </c>
      <c r="G16" s="10">
        <v>1000</v>
      </c>
      <c r="H16" s="10">
        <f>120+322</f>
        <v>442</v>
      </c>
      <c r="I16" s="7">
        <f t="shared" si="1"/>
        <v>558</v>
      </c>
    </row>
    <row r="17" spans="1:9">
      <c r="A17" s="1" t="s">
        <v>26</v>
      </c>
      <c r="B17" s="6">
        <v>350</v>
      </c>
      <c r="C17" s="6">
        <v>350</v>
      </c>
      <c r="D17" s="7">
        <f t="shared" ref="D17:D28" si="2">B17-C17</f>
        <v>0</v>
      </c>
      <c r="F17" s="1" t="s">
        <v>27</v>
      </c>
      <c r="G17" s="10"/>
      <c r="H17" s="10"/>
      <c r="I17" s="7">
        <f t="shared" si="1"/>
        <v>0</v>
      </c>
    </row>
    <row r="18" spans="1:9">
      <c r="B18" s="6"/>
      <c r="C18" s="6"/>
      <c r="D18" s="7">
        <f t="shared" si="2"/>
        <v>0</v>
      </c>
      <c r="F18" s="1" t="s">
        <v>44</v>
      </c>
      <c r="G18" s="10">
        <v>1000</v>
      </c>
      <c r="H18" s="10">
        <v>500</v>
      </c>
      <c r="I18" s="7">
        <f t="shared" si="1"/>
        <v>500</v>
      </c>
    </row>
    <row r="19" spans="1:9">
      <c r="B19" s="6"/>
      <c r="C19" s="6"/>
      <c r="D19" s="7">
        <f t="shared" si="2"/>
        <v>0</v>
      </c>
      <c r="F19" s="1" t="s">
        <v>74</v>
      </c>
      <c r="G19" s="10">
        <v>299</v>
      </c>
      <c r="H19" s="10">
        <v>299</v>
      </c>
      <c r="I19" s="7">
        <f t="shared" si="1"/>
        <v>0</v>
      </c>
    </row>
    <row r="20" spans="1:9" s="4" customFormat="1">
      <c r="A20" s="1"/>
      <c r="B20" s="6"/>
      <c r="C20" s="6"/>
      <c r="D20" s="7">
        <f t="shared" si="2"/>
        <v>0</v>
      </c>
      <c r="E20" s="1"/>
      <c r="F20" s="1"/>
      <c r="G20" s="10"/>
      <c r="H20" s="10"/>
      <c r="I20" s="7">
        <f t="shared" si="1"/>
        <v>0</v>
      </c>
    </row>
    <row r="21" spans="1:9">
      <c r="B21" s="6"/>
      <c r="C21" s="6"/>
      <c r="D21" s="7">
        <f t="shared" si="2"/>
        <v>0</v>
      </c>
      <c r="F21" s="17" t="str">
        <f>"Total " &amp; Table65[[#Headers],[DAILY LIVING]]</f>
        <v>Total DAILY LIVING</v>
      </c>
      <c r="G21" s="12">
        <f>SUBTOTAL(9,Table65[Budget])</f>
        <v>2299</v>
      </c>
      <c r="H21" s="12">
        <f>SUBTOTAL(9,Table65[Actual])</f>
        <v>1241</v>
      </c>
      <c r="I21" s="9">
        <f>SUBTOTAL(9,Table65[Difference])</f>
        <v>1058</v>
      </c>
    </row>
    <row r="22" spans="1:9">
      <c r="B22" s="6"/>
      <c r="C22" s="6"/>
      <c r="D22" s="7">
        <f t="shared" si="2"/>
        <v>0</v>
      </c>
      <c r="G22" s="11"/>
      <c r="H22" s="11"/>
      <c r="I22" s="11"/>
    </row>
    <row r="23" spans="1:9">
      <c r="B23" s="6"/>
      <c r="C23" s="6"/>
      <c r="D23" s="7">
        <f t="shared" si="2"/>
        <v>0</v>
      </c>
      <c r="F23" s="14" t="s">
        <v>30</v>
      </c>
      <c r="G23" s="15" t="s">
        <v>2</v>
      </c>
      <c r="H23" s="16" t="s">
        <v>3</v>
      </c>
      <c r="I23" s="16" t="s">
        <v>4</v>
      </c>
    </row>
    <row r="24" spans="1:9">
      <c r="B24" s="6"/>
      <c r="C24" s="6"/>
      <c r="D24" s="7">
        <f t="shared" si="2"/>
        <v>0</v>
      </c>
      <c r="F24" s="1" t="s">
        <v>31</v>
      </c>
      <c r="G24" s="10"/>
      <c r="H24" s="10"/>
      <c r="I24" s="7">
        <f t="shared" ref="I24:I34" si="3">G24-H24</f>
        <v>0</v>
      </c>
    </row>
    <row r="25" spans="1:9">
      <c r="B25" s="6"/>
      <c r="C25" s="6"/>
      <c r="D25" s="7">
        <f>B25-C25</f>
        <v>0</v>
      </c>
      <c r="F25" s="1" t="s">
        <v>32</v>
      </c>
      <c r="G25" s="10"/>
      <c r="H25" s="10"/>
      <c r="I25" s="7">
        <f t="shared" si="3"/>
        <v>0</v>
      </c>
    </row>
    <row r="26" spans="1:9">
      <c r="B26" s="6"/>
      <c r="C26" s="6"/>
      <c r="D26" s="7">
        <f t="shared" si="2"/>
        <v>0</v>
      </c>
      <c r="F26" s="1" t="s">
        <v>33</v>
      </c>
      <c r="G26" s="10"/>
      <c r="H26" s="10"/>
      <c r="I26" s="7">
        <f t="shared" si="3"/>
        <v>0</v>
      </c>
    </row>
    <row r="27" spans="1:9">
      <c r="B27" s="6"/>
      <c r="C27" s="6"/>
      <c r="D27" s="7">
        <f t="shared" si="2"/>
        <v>0</v>
      </c>
      <c r="F27" s="1" t="s">
        <v>34</v>
      </c>
      <c r="G27" s="10"/>
      <c r="H27" s="10"/>
      <c r="I27" s="7">
        <f t="shared" si="3"/>
        <v>0</v>
      </c>
    </row>
    <row r="28" spans="1:9">
      <c r="B28" s="10"/>
      <c r="C28" s="10"/>
      <c r="D28" s="7">
        <f t="shared" si="2"/>
        <v>0</v>
      </c>
      <c r="F28" s="1" t="s">
        <v>35</v>
      </c>
      <c r="G28" s="10"/>
      <c r="H28" s="10"/>
      <c r="I28" s="7">
        <f t="shared" si="3"/>
        <v>0</v>
      </c>
    </row>
    <row r="29" spans="1:9">
      <c r="A29" s="17" t="str">
        <f>"Total " &amp; Table54[[#Headers],[Gastos Vivienda]]</f>
        <v>Total Gastos Vivienda</v>
      </c>
      <c r="B29" s="12">
        <f>SUBTOTAL(9,Table54[Budget])</f>
        <v>3350</v>
      </c>
      <c r="C29" s="12">
        <f>SUBTOTAL(9,Table54[Actual])</f>
        <v>1150</v>
      </c>
      <c r="D29" s="9">
        <f>SUBTOTAL(9,Table54[Difference])</f>
        <v>2200</v>
      </c>
      <c r="F29" s="1" t="s">
        <v>36</v>
      </c>
      <c r="G29" s="10"/>
      <c r="H29" s="10"/>
      <c r="I29" s="7">
        <f t="shared" si="3"/>
        <v>0</v>
      </c>
    </row>
    <row r="30" spans="1:9">
      <c r="B30" s="11"/>
      <c r="C30" s="11"/>
      <c r="D30" s="11"/>
      <c r="F30" s="1" t="s">
        <v>37</v>
      </c>
      <c r="G30" s="10"/>
      <c r="H30" s="10"/>
      <c r="I30" s="7">
        <f t="shared" si="3"/>
        <v>0</v>
      </c>
    </row>
    <row r="31" spans="1:9">
      <c r="A31" s="14" t="s">
        <v>38</v>
      </c>
      <c r="B31" s="15" t="s">
        <v>2</v>
      </c>
      <c r="C31" s="16" t="s">
        <v>3</v>
      </c>
      <c r="D31" s="16" t="s">
        <v>4</v>
      </c>
      <c r="F31" s="1" t="s">
        <v>75</v>
      </c>
      <c r="G31" s="10">
        <v>750</v>
      </c>
      <c r="H31" s="10">
        <v>750</v>
      </c>
      <c r="I31" s="7">
        <f t="shared" si="3"/>
        <v>0</v>
      </c>
    </row>
    <row r="32" spans="1:9">
      <c r="A32" s="1" t="s">
        <v>40</v>
      </c>
      <c r="B32" s="10"/>
      <c r="C32" s="10"/>
      <c r="D32" s="7">
        <f>B32-C32</f>
        <v>0</v>
      </c>
      <c r="F32" s="1" t="s">
        <v>76</v>
      </c>
      <c r="G32" s="10">
        <v>57</v>
      </c>
      <c r="H32" s="10">
        <v>57</v>
      </c>
      <c r="I32" s="7">
        <f t="shared" si="3"/>
        <v>0</v>
      </c>
    </row>
    <row r="33" spans="1:9">
      <c r="A33" s="1" t="s">
        <v>42</v>
      </c>
      <c r="B33" s="10"/>
      <c r="C33" s="10"/>
      <c r="D33" s="7">
        <f t="shared" ref="D33:D38" si="4">B33-C33</f>
        <v>0</v>
      </c>
      <c r="F33" s="1" t="s">
        <v>43</v>
      </c>
      <c r="G33" s="10"/>
      <c r="H33" s="10"/>
      <c r="I33" s="7">
        <f t="shared" si="3"/>
        <v>0</v>
      </c>
    </row>
    <row r="34" spans="1:9">
      <c r="A34" s="1" t="s">
        <v>44</v>
      </c>
      <c r="B34" s="10"/>
      <c r="C34" s="10"/>
      <c r="D34" s="7">
        <f>B34-C34</f>
        <v>0</v>
      </c>
      <c r="G34" s="10"/>
      <c r="H34" s="10"/>
      <c r="I34" s="7">
        <f t="shared" si="3"/>
        <v>0</v>
      </c>
    </row>
    <row r="35" spans="1:9">
      <c r="A35" s="1" t="s">
        <v>45</v>
      </c>
      <c r="B35" s="10"/>
      <c r="C35" s="10"/>
      <c r="D35" s="7">
        <f t="shared" si="4"/>
        <v>0</v>
      </c>
      <c r="F35" s="17" t="str">
        <f>"Total " &amp; Table710[[#Headers],[Diversion ]]</f>
        <v xml:space="preserve">Total Diversion </v>
      </c>
      <c r="G35" s="12">
        <f>SUBTOTAL(9,Table710[Budget])</f>
        <v>807</v>
      </c>
      <c r="H35" s="12">
        <f>SUBTOTAL(9,Table710[Actual])</f>
        <v>807</v>
      </c>
      <c r="I35" s="9">
        <f>SUBTOTAL(9,Table710[Difference])</f>
        <v>0</v>
      </c>
    </row>
    <row r="36" spans="1:9">
      <c r="A36" s="1" t="s">
        <v>46</v>
      </c>
      <c r="B36" s="10"/>
      <c r="C36" s="10"/>
      <c r="D36" s="7">
        <f t="shared" si="4"/>
        <v>0</v>
      </c>
      <c r="G36" s="11"/>
      <c r="H36" s="11"/>
      <c r="I36" s="11"/>
    </row>
    <row r="37" spans="1:9">
      <c r="A37" s="1" t="s">
        <v>47</v>
      </c>
      <c r="B37" s="10"/>
      <c r="C37" s="10"/>
      <c r="D37" s="7">
        <f t="shared" si="4"/>
        <v>0</v>
      </c>
      <c r="F37" s="14" t="s">
        <v>48</v>
      </c>
      <c r="G37" s="15" t="s">
        <v>2</v>
      </c>
      <c r="H37" s="16" t="s">
        <v>3</v>
      </c>
      <c r="I37" s="16" t="s">
        <v>4</v>
      </c>
    </row>
    <row r="38" spans="1:9">
      <c r="A38" s="1" t="s">
        <v>17</v>
      </c>
      <c r="B38" s="10"/>
      <c r="C38" s="10"/>
      <c r="D38" s="7">
        <f t="shared" si="4"/>
        <v>0</v>
      </c>
      <c r="F38" s="1" t="s">
        <v>49</v>
      </c>
      <c r="G38" s="10">
        <v>5000</v>
      </c>
      <c r="H38" s="10">
        <v>5000</v>
      </c>
      <c r="I38" s="7">
        <f>G38-H38</f>
        <v>0</v>
      </c>
    </row>
    <row r="39" spans="1:9">
      <c r="A39" s="17" t="str">
        <f>"Total " &amp; Table2019[[#Headers],[Transporte]]</f>
        <v>Total Transporte</v>
      </c>
      <c r="B39" s="12">
        <f>SUBTOTAL(9,Table2019[Budget])</f>
        <v>0</v>
      </c>
      <c r="C39" s="12">
        <f>SUBTOTAL(9,Table2019[Actual])</f>
        <v>0</v>
      </c>
      <c r="D39" s="9">
        <f>SUBTOTAL(9,Table2019[Difference])</f>
        <v>0</v>
      </c>
      <c r="F39" s="1" t="s">
        <v>50</v>
      </c>
      <c r="G39" s="10">
        <v>2000</v>
      </c>
      <c r="H39" s="10">
        <v>2000</v>
      </c>
      <c r="I39" s="7">
        <f t="shared" ref="I39:I40" si="5">G39-H39</f>
        <v>0</v>
      </c>
    </row>
    <row r="40" spans="1:9">
      <c r="B40" s="11"/>
      <c r="C40" s="11"/>
      <c r="D40" s="11"/>
      <c r="F40" s="1" t="s">
        <v>51</v>
      </c>
      <c r="G40" s="10"/>
      <c r="H40" s="10"/>
      <c r="I40" s="7">
        <f t="shared" si="5"/>
        <v>0</v>
      </c>
    </row>
    <row r="41" spans="1:9">
      <c r="A41" s="14" t="s">
        <v>52</v>
      </c>
      <c r="B41" s="15" t="s">
        <v>2</v>
      </c>
      <c r="C41" s="16" t="s">
        <v>3</v>
      </c>
      <c r="D41" s="16" t="s">
        <v>4</v>
      </c>
      <c r="F41" s="1" t="s">
        <v>53</v>
      </c>
      <c r="G41" s="10"/>
      <c r="H41" s="10"/>
      <c r="I41" s="7">
        <f>G41-H41</f>
        <v>0</v>
      </c>
    </row>
    <row r="42" spans="1:9">
      <c r="A42" s="1" t="s">
        <v>54</v>
      </c>
      <c r="B42" s="10"/>
      <c r="C42" s="10"/>
      <c r="D42" s="7">
        <f t="shared" ref="D42:D48" si="6">B42-C42</f>
        <v>0</v>
      </c>
      <c r="F42" s="1" t="s">
        <v>17</v>
      </c>
      <c r="G42" s="10"/>
      <c r="H42" s="10"/>
      <c r="I42" s="7">
        <f>G42-H42</f>
        <v>0</v>
      </c>
    </row>
    <row r="43" spans="1:9">
      <c r="A43" s="1" t="s">
        <v>55</v>
      </c>
      <c r="B43" s="10"/>
      <c r="C43" s="10"/>
      <c r="D43" s="7">
        <f t="shared" si="6"/>
        <v>0</v>
      </c>
      <c r="F43" s="1" t="s">
        <v>17</v>
      </c>
      <c r="G43" s="10"/>
      <c r="H43" s="10"/>
      <c r="I43" s="7">
        <f>G43-H43</f>
        <v>0</v>
      </c>
    </row>
    <row r="44" spans="1:9">
      <c r="A44" s="1" t="s">
        <v>56</v>
      </c>
      <c r="B44" s="10"/>
      <c r="C44" s="10"/>
      <c r="D44" s="7">
        <f t="shared" si="6"/>
        <v>0</v>
      </c>
      <c r="F44" s="1" t="s">
        <v>17</v>
      </c>
      <c r="G44" s="10"/>
      <c r="H44" s="10"/>
      <c r="I44" s="7">
        <f>G44-H44</f>
        <v>0</v>
      </c>
    </row>
    <row r="45" spans="1:9">
      <c r="A45" s="1" t="s">
        <v>57</v>
      </c>
      <c r="B45" s="10"/>
      <c r="C45" s="10"/>
      <c r="D45" s="7">
        <f t="shared" si="6"/>
        <v>0</v>
      </c>
      <c r="F45" s="17" t="str">
        <f>"Total " &amp; Table812[[#Headers],[Ahorros]]</f>
        <v>Total Ahorros</v>
      </c>
      <c r="G45" s="12">
        <f>SUBTOTAL(9,Table812[Budget])</f>
        <v>7000</v>
      </c>
      <c r="H45" s="12">
        <f>SUBTOTAL(9,Table812[Actual])</f>
        <v>7000</v>
      </c>
      <c r="I45" s="9">
        <f>SUBTOTAL(9,Table812[Difference])</f>
        <v>0</v>
      </c>
    </row>
    <row r="46" spans="1:9">
      <c r="A46" s="1" t="s">
        <v>58</v>
      </c>
      <c r="B46" s="10"/>
      <c r="C46" s="10"/>
      <c r="D46" s="7">
        <f t="shared" si="6"/>
        <v>0</v>
      </c>
      <c r="G46" s="11"/>
      <c r="H46" s="11"/>
      <c r="I46" s="11"/>
    </row>
    <row r="47" spans="1:9">
      <c r="A47" s="1" t="s">
        <v>59</v>
      </c>
      <c r="B47" s="10"/>
      <c r="C47" s="10"/>
      <c r="D47" s="7">
        <f t="shared" si="6"/>
        <v>0</v>
      </c>
      <c r="F47" s="14" t="s">
        <v>60</v>
      </c>
      <c r="G47" s="15" t="s">
        <v>2</v>
      </c>
      <c r="H47" s="16" t="s">
        <v>3</v>
      </c>
      <c r="I47" s="16" t="s">
        <v>4</v>
      </c>
    </row>
    <row r="48" spans="1:9">
      <c r="A48" s="1" t="s">
        <v>17</v>
      </c>
      <c r="B48" s="10"/>
      <c r="C48" s="10"/>
      <c r="D48" s="7">
        <f t="shared" si="6"/>
        <v>0</v>
      </c>
      <c r="F48" s="1" t="s">
        <v>61</v>
      </c>
      <c r="G48" s="10">
        <v>3313.3</v>
      </c>
      <c r="H48" s="10">
        <v>3313.3</v>
      </c>
      <c r="I48" s="7">
        <f t="shared" ref="I48:I55" si="7">G48-H48</f>
        <v>0</v>
      </c>
    </row>
    <row r="49" spans="1:9">
      <c r="A49" s="17" t="str">
        <f>"Total " &amp; Table2123[[#Headers],[Salud]]</f>
        <v>Total Salud</v>
      </c>
      <c r="B49" s="12">
        <f>SUBTOTAL(9,Table2123[Budget])</f>
        <v>0</v>
      </c>
      <c r="C49" s="12">
        <f>SUBTOTAL(9,Table2123[Actual])</f>
        <v>0</v>
      </c>
      <c r="D49" s="9">
        <f>SUBTOTAL(9,Table2123[Difference])</f>
        <v>0</v>
      </c>
      <c r="F49" s="1" t="s">
        <v>62</v>
      </c>
      <c r="G49" s="10">
        <v>1333.65</v>
      </c>
      <c r="H49" s="10">
        <v>1333.65</v>
      </c>
      <c r="I49" s="7">
        <f t="shared" si="7"/>
        <v>0</v>
      </c>
    </row>
    <row r="50" spans="1:9">
      <c r="B50" s="11"/>
      <c r="C50" s="11"/>
      <c r="D50" s="11"/>
      <c r="F50" s="1" t="s">
        <v>63</v>
      </c>
      <c r="G50" s="10"/>
      <c r="H50" s="10"/>
      <c r="I50" s="7">
        <f t="shared" si="7"/>
        <v>0</v>
      </c>
    </row>
    <row r="51" spans="1:9">
      <c r="A51" s="14" t="s">
        <v>64</v>
      </c>
      <c r="B51" s="15" t="s">
        <v>2</v>
      </c>
      <c r="C51" s="16" t="s">
        <v>3</v>
      </c>
      <c r="D51" s="16" t="s">
        <v>4</v>
      </c>
      <c r="F51" s="1" t="s">
        <v>17</v>
      </c>
      <c r="G51" s="10"/>
      <c r="H51" s="10"/>
      <c r="I51" s="7">
        <f t="shared" si="7"/>
        <v>0</v>
      </c>
    </row>
    <row r="52" spans="1:9">
      <c r="A52" s="1" t="s">
        <v>65</v>
      </c>
      <c r="B52" s="10"/>
      <c r="C52" s="10"/>
      <c r="D52" s="7">
        <f t="shared" ref="D52:D55" si="8">B52-C52</f>
        <v>0</v>
      </c>
      <c r="G52" s="10"/>
      <c r="H52" s="10"/>
      <c r="I52" s="7">
        <f t="shared" si="7"/>
        <v>0</v>
      </c>
    </row>
    <row r="53" spans="1:9">
      <c r="A53" s="1" t="s">
        <v>66</v>
      </c>
      <c r="B53" s="10"/>
      <c r="C53" s="10"/>
      <c r="D53" s="7">
        <f t="shared" si="8"/>
        <v>0</v>
      </c>
      <c r="G53" s="10"/>
      <c r="H53" s="10"/>
      <c r="I53" s="7">
        <f t="shared" si="7"/>
        <v>0</v>
      </c>
    </row>
    <row r="54" spans="1:9">
      <c r="A54" s="1" t="s">
        <v>67</v>
      </c>
      <c r="B54" s="10"/>
      <c r="C54" s="10"/>
      <c r="D54" s="7">
        <f t="shared" si="8"/>
        <v>0</v>
      </c>
      <c r="G54" s="10"/>
      <c r="H54" s="10"/>
      <c r="I54" s="7">
        <f t="shared" si="7"/>
        <v>0</v>
      </c>
    </row>
    <row r="55" spans="1:9">
      <c r="A55" s="1" t="s">
        <v>17</v>
      </c>
      <c r="B55" s="10"/>
      <c r="C55" s="10"/>
      <c r="D55" s="7">
        <f t="shared" si="8"/>
        <v>0</v>
      </c>
      <c r="G55" s="10"/>
      <c r="H55" s="10"/>
      <c r="I55" s="7">
        <f t="shared" si="7"/>
        <v>0</v>
      </c>
    </row>
    <row r="56" spans="1:9">
      <c r="A56" s="17" t="str">
        <f>"Total " &amp; Table1918[[#Headers],[CHARITY/GIFTS]]</f>
        <v>Total CHARITY/GIFTS</v>
      </c>
      <c r="B56" s="12">
        <f>SUBTOTAL(9,Table1918[Budget])</f>
        <v>0</v>
      </c>
      <c r="C56" s="12">
        <f>SUBTOTAL(9,Table1918[Actual])</f>
        <v>0</v>
      </c>
      <c r="D56" s="9">
        <f>SUBTOTAL(9,Table1918[Difference])</f>
        <v>0</v>
      </c>
      <c r="F56" s="17" t="str">
        <f>"Total " &amp; Table1013[[#Headers],[Oblgiaciones ]]</f>
        <v xml:space="preserve">Total Oblgiaciones </v>
      </c>
      <c r="G56" s="12">
        <f>SUBTOTAL(9,Table1013[Budget])</f>
        <v>4646.9500000000007</v>
      </c>
      <c r="H56" s="12">
        <f>SUBTOTAL(9,Table1013[Actual])</f>
        <v>4646.9500000000007</v>
      </c>
      <c r="I56" s="9">
        <f>SUBTOTAL(9,Table1013[Difference])</f>
        <v>0</v>
      </c>
    </row>
    <row r="57" spans="1:9">
      <c r="B57" s="11"/>
      <c r="C57" s="11"/>
      <c r="D57" s="11"/>
      <c r="G57" s="11"/>
      <c r="H57" s="11"/>
      <c r="I57" s="11"/>
    </row>
    <row r="58" spans="1:9">
      <c r="A58" s="14" t="s">
        <v>68</v>
      </c>
      <c r="B58" s="15" t="s">
        <v>2</v>
      </c>
      <c r="C58" s="16" t="s">
        <v>3</v>
      </c>
      <c r="D58" s="16" t="s">
        <v>4</v>
      </c>
      <c r="F58" s="14" t="s">
        <v>69</v>
      </c>
      <c r="G58" s="15" t="s">
        <v>2</v>
      </c>
      <c r="H58" s="16" t="s">
        <v>3</v>
      </c>
      <c r="I58" s="16" t="s">
        <v>4</v>
      </c>
    </row>
    <row r="59" spans="1:9">
      <c r="A59" s="1" t="s">
        <v>70</v>
      </c>
      <c r="B59" s="10"/>
      <c r="C59" s="10"/>
      <c r="D59" s="7">
        <f t="shared" ref="D59:D62" si="9">B59-C59</f>
        <v>0</v>
      </c>
      <c r="F59" s="1" t="s">
        <v>71</v>
      </c>
      <c r="G59" s="6"/>
      <c r="H59" s="6"/>
      <c r="I59" s="7">
        <f t="shared" ref="I59:I62" si="10">G59-H59</f>
        <v>0</v>
      </c>
    </row>
    <row r="60" spans="1:9">
      <c r="A60" s="1" t="s">
        <v>72</v>
      </c>
      <c r="B60" s="10"/>
      <c r="C60" s="10"/>
      <c r="D60" s="7">
        <f t="shared" si="9"/>
        <v>0</v>
      </c>
      <c r="F60" s="1" t="s">
        <v>17</v>
      </c>
      <c r="G60" s="6"/>
      <c r="H60" s="6"/>
      <c r="I60" s="7">
        <f t="shared" si="10"/>
        <v>0</v>
      </c>
    </row>
    <row r="61" spans="1:9">
      <c r="A61" s="1" t="s">
        <v>73</v>
      </c>
      <c r="B61" s="10"/>
      <c r="C61" s="10"/>
      <c r="D61" s="7">
        <f t="shared" si="9"/>
        <v>0</v>
      </c>
      <c r="G61" s="6"/>
      <c r="H61" s="6"/>
      <c r="I61" s="7">
        <f t="shared" si="10"/>
        <v>0</v>
      </c>
    </row>
    <row r="62" spans="1:9">
      <c r="B62" s="10"/>
      <c r="C62" s="10"/>
      <c r="D62" s="7">
        <f t="shared" si="9"/>
        <v>0</v>
      </c>
      <c r="G62" s="10"/>
      <c r="H62" s="10"/>
      <c r="I62" s="7">
        <f t="shared" si="10"/>
        <v>0</v>
      </c>
    </row>
    <row r="63" spans="1:9">
      <c r="A63" s="17" t="str">
        <f>"Total " &amp; Table1517[[#Headers],[Subscrpciones]]</f>
        <v>Total Subscrpciones</v>
      </c>
      <c r="B63" s="12">
        <f>SUBTOTAL(9,Table1517[Budget])</f>
        <v>0</v>
      </c>
      <c r="C63" s="12">
        <f>SUBTOTAL(9,Table1517[Actual])</f>
        <v>0</v>
      </c>
      <c r="D63" s="9">
        <f>SUBTOTAL(9,Table1517[Difference])</f>
        <v>0</v>
      </c>
      <c r="F63" s="17" t="str">
        <f>"Total " &amp; Table1414[[#Headers],[Misc]]</f>
        <v>Total Misc</v>
      </c>
      <c r="G63" s="12">
        <f>SUBTOTAL(9,Table1414[Budget])</f>
        <v>0</v>
      </c>
      <c r="H63" s="12">
        <f>SUBTOTAL(9,Table1414[Actual])</f>
        <v>0</v>
      </c>
      <c r="I63" s="9">
        <f>SUBTOTAL(9,Table1414[Difference])</f>
        <v>0</v>
      </c>
    </row>
    <row r="64" spans="1:9">
      <c r="F64" s="5"/>
    </row>
    <row r="65" spans="5:6">
      <c r="F65" s="5"/>
    </row>
    <row r="66" spans="5:6">
      <c r="F66" s="5"/>
    </row>
    <row r="67" spans="5:6">
      <c r="F67" s="5"/>
    </row>
    <row r="68" spans="5:6">
      <c r="F68" s="5"/>
    </row>
    <row r="69" spans="5:6">
      <c r="F69" s="5"/>
    </row>
    <row r="72" spans="5:6">
      <c r="F72" s="5"/>
    </row>
    <row r="73" spans="5:6">
      <c r="F73" s="5"/>
    </row>
    <row r="74" spans="5:6">
      <c r="F74" s="5"/>
    </row>
    <row r="75" spans="5:6">
      <c r="E75" s="5"/>
      <c r="F75" s="5"/>
    </row>
    <row r="76" spans="5:6">
      <c r="E76" s="5"/>
      <c r="F76" s="5"/>
    </row>
    <row r="77" spans="5:6">
      <c r="E77" s="5"/>
      <c r="F77" s="5"/>
    </row>
    <row r="78" spans="5:6">
      <c r="E78" s="5"/>
      <c r="F78" s="5"/>
    </row>
    <row r="79" spans="5:6">
      <c r="F79" s="5"/>
    </row>
    <row r="80" spans="5:6">
      <c r="F80" s="5"/>
    </row>
    <row r="81" spans="5:6">
      <c r="E81" s="5"/>
      <c r="F81" s="5"/>
    </row>
    <row r="82" spans="5:6">
      <c r="E82" s="5"/>
    </row>
    <row r="83" spans="5:6">
      <c r="E83" s="5"/>
    </row>
    <row r="84" spans="5:6">
      <c r="E84" s="13" t="s">
        <v>5</v>
      </c>
    </row>
    <row r="85" spans="5:6">
      <c r="E85" s="5"/>
    </row>
    <row r="86" spans="5:6">
      <c r="E86" s="5"/>
    </row>
    <row r="87" spans="5:6">
      <c r="E87" s="5"/>
    </row>
    <row r="88" spans="5:6">
      <c r="E88" s="5"/>
    </row>
    <row r="89" spans="5:6">
      <c r="E89" s="5"/>
    </row>
    <row r="92" spans="5:6">
      <c r="E92" s="5"/>
    </row>
    <row r="93" spans="5:6">
      <c r="E93" s="5"/>
    </row>
    <row r="94" spans="5:6">
      <c r="E94" s="5"/>
    </row>
    <row r="95" spans="5:6">
      <c r="E95" s="5"/>
    </row>
    <row r="96" spans="5:6">
      <c r="E96" s="5"/>
    </row>
    <row r="97" spans="5:5">
      <c r="E97" s="5"/>
    </row>
    <row r="98" spans="5:5">
      <c r="E98" s="5"/>
    </row>
    <row r="99" spans="5:5">
      <c r="E99" s="5"/>
    </row>
    <row r="100" spans="5:5">
      <c r="E100" s="5"/>
    </row>
    <row r="101" spans="5:5">
      <c r="E101" s="5"/>
    </row>
    <row r="122" spans="6:6">
      <c r="F122" s="5"/>
    </row>
    <row r="123" spans="6:6">
      <c r="F123" s="5"/>
    </row>
    <row r="124" spans="6:6">
      <c r="F124" s="5"/>
    </row>
    <row r="125" spans="6:6">
      <c r="F125" s="5"/>
    </row>
    <row r="126" spans="6:6">
      <c r="F126" s="5"/>
    </row>
    <row r="127" spans="6:6">
      <c r="F127" s="5"/>
    </row>
    <row r="128" spans="6:6">
      <c r="F128" s="5"/>
    </row>
    <row r="131" spans="5:6">
      <c r="F131" s="5"/>
    </row>
    <row r="132" spans="5:6">
      <c r="F132" s="5"/>
    </row>
    <row r="133" spans="5:6">
      <c r="F133" s="5"/>
    </row>
    <row r="134" spans="5:6">
      <c r="F134" s="5"/>
    </row>
    <row r="135" spans="5:6">
      <c r="F135" s="5"/>
    </row>
    <row r="136" spans="5:6">
      <c r="F136" s="5"/>
    </row>
    <row r="137" spans="5:6">
      <c r="F137" s="5"/>
    </row>
    <row r="142" spans="5:6">
      <c r="E142" s="5"/>
    </row>
    <row r="143" spans="5:6">
      <c r="E143" s="5"/>
    </row>
    <row r="144" spans="5:6">
      <c r="E144" s="5"/>
    </row>
    <row r="145" spans="5:5">
      <c r="E145" s="5"/>
    </row>
    <row r="146" spans="5:5">
      <c r="E146" s="5"/>
    </row>
    <row r="147" spans="5:5">
      <c r="E147" s="5"/>
    </row>
    <row r="148" spans="5:5">
      <c r="E148" s="5"/>
    </row>
    <row r="151" spans="5:5">
      <c r="E151" s="5"/>
    </row>
    <row r="152" spans="5:5">
      <c r="E152" s="5"/>
    </row>
    <row r="153" spans="5:5">
      <c r="E153" s="5"/>
    </row>
    <row r="154" spans="5:5">
      <c r="E154" s="5"/>
    </row>
    <row r="155" spans="5:5">
      <c r="E155" s="5"/>
    </row>
    <row r="156" spans="5:5">
      <c r="E156" s="5"/>
    </row>
    <row r="157" spans="5:5">
      <c r="E157" s="5"/>
    </row>
  </sheetData>
  <mergeCells count="1">
    <mergeCell ref="A1:D3"/>
  </mergeCells>
  <conditionalFormatting sqref="B4">
    <cfRule type="containsText" priority="2" operator="containsText" text="Vertex42.com">
      <formula>NOT(ISERROR(SEARCH("Vertex42.com",B4)))</formula>
    </cfRule>
  </conditionalFormatting>
  <conditionalFormatting sqref="D5:D13 I11:I20 D16:D28 I24:I34 D32:D38 I38:I44 D42:D48 D52:D55 D59:D62 I59:I62">
    <cfRule type="cellIs" dxfId="516" priority="3" stopIfTrue="1" operator="lessThan">
      <formula>0</formula>
    </cfRule>
  </conditionalFormatting>
  <conditionalFormatting sqref="I48:I55">
    <cfRule type="cellIs" dxfId="515" priority="1" stopIfTrue="1" operator="lessThan">
      <formula>0</formula>
    </cfRule>
  </conditionalFormatting>
  <printOptions horizontalCentered="1"/>
  <pageMargins left="0.5" right="0.5" top="0.35" bottom="0.35" header="0.5" footer="0.25"/>
  <pageSetup scale="80" orientation="portrait" r:id="rId1"/>
  <headerFooter alignWithMargins="0"/>
  <tableParts count="11">
    <tablePart r:id="rId2"/>
    <tablePart r:id="rId3"/>
    <tablePart r:id="rId4"/>
    <tablePart r:id="rId5"/>
    <tablePart r:id="rId6"/>
    <tablePart r:id="rId7"/>
    <tablePart r:id="rId8"/>
    <tablePart r:id="rId9"/>
    <tablePart r:id="rId10"/>
    <tablePart r:id="rId1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12792-2F1D-49F2-BA74-23651D5F05CF}">
  <dimension ref="A1"/>
  <sheetViews>
    <sheetView workbookViewId="0"/>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DD27E-337B-4728-814A-E7709392D794}">
  <sheetPr>
    <pageSetUpPr fitToPage="1"/>
  </sheetPr>
  <dimension ref="A1:I157"/>
  <sheetViews>
    <sheetView showGridLines="0" workbookViewId="0">
      <selection activeCell="D28" sqref="D28"/>
    </sheetView>
  </sheetViews>
  <sheetFormatPr defaultColWidth="9" defaultRowHeight="15"/>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24" customFormat="1" ht="26.1" customHeight="1">
      <c r="A1" s="74" t="s">
        <v>0</v>
      </c>
      <c r="B1" s="74"/>
      <c r="C1" s="74"/>
      <c r="D1" s="74"/>
    </row>
    <row r="2" spans="1:9" s="24" customFormat="1" ht="14.25" customHeight="1">
      <c r="A2" s="74"/>
      <c r="B2" s="74"/>
      <c r="C2" s="74"/>
      <c r="D2" s="74"/>
    </row>
    <row r="3" spans="1:9" s="2" customFormat="1" ht="13.5">
      <c r="A3" s="74"/>
      <c r="B3" s="74"/>
      <c r="C3" s="74"/>
      <c r="D3" s="74"/>
      <c r="E3" s="3"/>
    </row>
    <row r="4" spans="1:9">
      <c r="A4" s="14" t="s">
        <v>1</v>
      </c>
      <c r="B4" s="15" t="s">
        <v>2</v>
      </c>
      <c r="C4" s="16" t="s">
        <v>3</v>
      </c>
      <c r="D4" s="16" t="s">
        <v>4</v>
      </c>
      <c r="E4" s="49" t="s">
        <v>5</v>
      </c>
      <c r="F4" s="19" t="s">
        <v>6</v>
      </c>
      <c r="G4" s="20" t="s">
        <v>2</v>
      </c>
      <c r="H4" s="20" t="s">
        <v>3</v>
      </c>
      <c r="I4" s="20" t="s">
        <v>4</v>
      </c>
    </row>
    <row r="5" spans="1:9" ht="16.5">
      <c r="A5" s="1" t="s">
        <v>7</v>
      </c>
      <c r="B5" s="6">
        <f>23211</f>
        <v>23211</v>
      </c>
      <c r="C5" s="6">
        <v>23211</v>
      </c>
      <c r="D5" s="7">
        <f t="shared" ref="D5:D11" si="0">C5-B5</f>
        <v>0</v>
      </c>
      <c r="F5" s="21" t="s">
        <v>8</v>
      </c>
      <c r="G5" s="18">
        <f>Table2224[[#Totals],[Budget]]</f>
        <v>24711</v>
      </c>
      <c r="H5" s="18">
        <f>Table2224[[#Totals],[Actual]]</f>
        <v>24711</v>
      </c>
      <c r="I5" s="18">
        <f>G5-H5</f>
        <v>0</v>
      </c>
    </row>
    <row r="6" spans="1:9" ht="16.5">
      <c r="A6" s="1" t="s">
        <v>9</v>
      </c>
      <c r="B6" s="6"/>
      <c r="C6" s="6"/>
      <c r="D6" s="7">
        <f t="shared" si="0"/>
        <v>0</v>
      </c>
      <c r="F6" s="21" t="s">
        <v>10</v>
      </c>
      <c r="G6" s="18">
        <f>SUM(,Table5425[[#Totals],[Budget]],Table201933[[#Totals],[Budget]],Table212334[[#Totals],[Budget]],Table191832[[#Totals],[Budget]],Table151731[[#Totals],[Budget]],Table141430[[#Totals],[Budget]],Table101329[[#Totals],[Budget]],Table81228[[#Totals],[Budget]],Table71027[[#Totals],[Budget]],Table6526[[#Totals],[Budget]])</f>
        <v>22619.3</v>
      </c>
      <c r="H6" s="18">
        <f>SUM(Table5425[[#Totals],[Actual]],Table201933[[#Totals],[Actual]],Table212334[[#Totals],[Actual]],Table191832[[#Totals],[Actual]],Table151731[[#Totals],[Actual]],Table141430[[#Totals],[Actual]],Table101329[[#Totals],[Actual]],Table81228[[#Totals],[Actual]],Table71027[[#Totals],[Actual]],Table6526[[#Totals],[Actual]])</f>
        <v>21471.3</v>
      </c>
      <c r="I6" s="18">
        <f>G6-H6</f>
        <v>1148</v>
      </c>
    </row>
    <row r="7" spans="1:9" ht="16.5">
      <c r="A7" s="1" t="s">
        <v>11</v>
      </c>
      <c r="B7" s="6"/>
      <c r="C7" s="6"/>
      <c r="D7" s="7">
        <f t="shared" si="0"/>
        <v>0</v>
      </c>
      <c r="F7" s="22" t="s">
        <v>12</v>
      </c>
      <c r="G7" s="23">
        <f>G5-G6</f>
        <v>2091.7000000000007</v>
      </c>
      <c r="H7" s="23">
        <f>H5-H6</f>
        <v>3239.7000000000007</v>
      </c>
      <c r="I7" s="23">
        <f>H7-G7</f>
        <v>1148</v>
      </c>
    </row>
    <row r="8" spans="1:9" s="2" customFormat="1">
      <c r="A8" s="1" t="s">
        <v>13</v>
      </c>
      <c r="B8" s="6">
        <v>1500</v>
      </c>
      <c r="C8" s="6">
        <v>1500</v>
      </c>
      <c r="D8" s="7">
        <f t="shared" si="0"/>
        <v>0</v>
      </c>
    </row>
    <row r="9" spans="1:9">
      <c r="A9" s="1" t="s">
        <v>14</v>
      </c>
      <c r="B9" s="6"/>
      <c r="C9" s="6"/>
      <c r="D9" s="7">
        <f t="shared" si="0"/>
        <v>0</v>
      </c>
      <c r="F9" s="2"/>
      <c r="G9" s="2"/>
      <c r="H9" s="2"/>
      <c r="I9" s="2"/>
    </row>
    <row r="10" spans="1:9">
      <c r="A10" s="1" t="s">
        <v>15</v>
      </c>
      <c r="B10" s="6"/>
      <c r="C10" s="6"/>
      <c r="D10" s="7">
        <f t="shared" si="0"/>
        <v>0</v>
      </c>
      <c r="F10" s="14" t="s">
        <v>16</v>
      </c>
      <c r="G10" s="15" t="s">
        <v>2</v>
      </c>
      <c r="H10" s="16" t="s">
        <v>3</v>
      </c>
      <c r="I10" s="16" t="s">
        <v>4</v>
      </c>
    </row>
    <row r="11" spans="1:9">
      <c r="A11" s="1" t="s">
        <v>17</v>
      </c>
      <c r="B11" s="6"/>
      <c r="C11" s="6"/>
      <c r="D11" s="7">
        <f t="shared" si="0"/>
        <v>0</v>
      </c>
      <c r="F11" s="1" t="s">
        <v>18</v>
      </c>
      <c r="G11" s="10"/>
      <c r="H11" s="10"/>
      <c r="I11" s="7">
        <f t="shared" ref="I11:I20" si="1">G11-H11</f>
        <v>0</v>
      </c>
    </row>
    <row r="12" spans="1:9">
      <c r="A12" s="1" t="s">
        <v>17</v>
      </c>
      <c r="B12" s="8"/>
      <c r="C12" s="64"/>
      <c r="D12" s="7">
        <f>C12-B12</f>
        <v>0</v>
      </c>
      <c r="F12" s="1" t="s">
        <v>19</v>
      </c>
      <c r="G12" s="10"/>
      <c r="H12" s="10"/>
      <c r="I12" s="7">
        <f t="shared" si="1"/>
        <v>0</v>
      </c>
    </row>
    <row r="13" spans="1:9">
      <c r="A13" s="17" t="str">
        <f>"Total " &amp; Table2224[[#Headers],[INCOME]]</f>
        <v>Total INCOME</v>
      </c>
      <c r="B13" s="12">
        <f>SUBTOTAL(9,Table2224[Budget])</f>
        <v>24711</v>
      </c>
      <c r="C13" s="12">
        <f>SUBTOTAL(9,Table2224[Actual])</f>
        <v>24711</v>
      </c>
      <c r="D13" s="9">
        <f>SUBTOTAL(9,Table2224[Difference])</f>
        <v>0</v>
      </c>
      <c r="F13" s="1" t="s">
        <v>20</v>
      </c>
      <c r="G13" s="10"/>
      <c r="H13" s="10"/>
      <c r="I13" s="7">
        <f t="shared" si="1"/>
        <v>0</v>
      </c>
    </row>
    <row r="14" spans="1:9">
      <c r="F14" s="1" t="s">
        <v>21</v>
      </c>
      <c r="G14" s="10"/>
      <c r="H14" s="10"/>
      <c r="I14" s="7">
        <f t="shared" si="1"/>
        <v>0</v>
      </c>
    </row>
    <row r="15" spans="1:9">
      <c r="A15" s="14" t="s">
        <v>22</v>
      </c>
      <c r="B15" s="15" t="s">
        <v>2</v>
      </c>
      <c r="C15" s="16" t="s">
        <v>3</v>
      </c>
      <c r="D15" s="16" t="s">
        <v>4</v>
      </c>
      <c r="F15" s="1" t="s">
        <v>23</v>
      </c>
      <c r="G15" s="10"/>
      <c r="H15" s="10"/>
      <c r="I15" s="7">
        <f t="shared" si="1"/>
        <v>0</v>
      </c>
    </row>
    <row r="16" spans="1:9">
      <c r="A16" s="1" t="s">
        <v>24</v>
      </c>
      <c r="B16" s="6">
        <v>8000</v>
      </c>
      <c r="C16" s="6">
        <v>5000</v>
      </c>
      <c r="D16" s="59">
        <f>B16-C16</f>
        <v>3000</v>
      </c>
      <c r="F16" s="1" t="s">
        <v>25</v>
      </c>
      <c r="G16" s="10"/>
      <c r="H16" s="10">
        <f>93+49</f>
        <v>142</v>
      </c>
      <c r="I16" s="7">
        <f t="shared" si="1"/>
        <v>-142</v>
      </c>
    </row>
    <row r="17" spans="1:9">
      <c r="A17" s="1" t="s">
        <v>26</v>
      </c>
      <c r="B17" s="6">
        <v>350</v>
      </c>
      <c r="C17" s="6">
        <v>350</v>
      </c>
      <c r="D17" s="7">
        <f t="shared" ref="D17:D28" si="2">B17-C17</f>
        <v>0</v>
      </c>
      <c r="F17" s="1" t="s">
        <v>27</v>
      </c>
      <c r="G17" s="10"/>
      <c r="H17" s="10"/>
      <c r="I17" s="7">
        <f t="shared" si="1"/>
        <v>0</v>
      </c>
    </row>
    <row r="18" spans="1:9">
      <c r="B18" s="6"/>
      <c r="C18" s="6"/>
      <c r="D18" s="7">
        <f t="shared" si="2"/>
        <v>0</v>
      </c>
      <c r="F18" s="1" t="s">
        <v>44</v>
      </c>
      <c r="G18" s="10">
        <v>850</v>
      </c>
      <c r="H18" s="10">
        <v>850</v>
      </c>
      <c r="I18" s="7">
        <f t="shared" si="1"/>
        <v>0</v>
      </c>
    </row>
    <row r="19" spans="1:9">
      <c r="B19" s="6"/>
      <c r="C19" s="6"/>
      <c r="D19" s="7">
        <f t="shared" si="2"/>
        <v>0</v>
      </c>
      <c r="F19" s="1" t="s">
        <v>74</v>
      </c>
      <c r="G19" s="10">
        <v>299</v>
      </c>
      <c r="H19" s="10"/>
      <c r="I19" s="7">
        <f t="shared" si="1"/>
        <v>299</v>
      </c>
    </row>
    <row r="20" spans="1:9" s="4" customFormat="1">
      <c r="A20" s="1"/>
      <c r="B20" s="6"/>
      <c r="C20" s="6"/>
      <c r="D20" s="7">
        <f t="shared" si="2"/>
        <v>0</v>
      </c>
      <c r="E20" s="1"/>
      <c r="F20" s="1"/>
      <c r="G20" s="10"/>
      <c r="H20" s="10"/>
      <c r="I20" s="7">
        <f t="shared" si="1"/>
        <v>0</v>
      </c>
    </row>
    <row r="21" spans="1:9">
      <c r="B21" s="6"/>
      <c r="C21" s="6"/>
      <c r="D21" s="7">
        <f t="shared" si="2"/>
        <v>0</v>
      </c>
      <c r="F21" s="17" t="str">
        <f>"Total " &amp; Table6526[[#Headers],[DAILY LIVING]]</f>
        <v>Total DAILY LIVING</v>
      </c>
      <c r="G21" s="12">
        <f>SUBTOTAL(9,Table6526[Budget])</f>
        <v>1149</v>
      </c>
      <c r="H21" s="12">
        <f>SUBTOTAL(9,Table6526[Actual])</f>
        <v>992</v>
      </c>
      <c r="I21" s="9">
        <f>SUBTOTAL(9,Table6526[Difference])</f>
        <v>157</v>
      </c>
    </row>
    <row r="22" spans="1:9">
      <c r="B22" s="6"/>
      <c r="C22" s="6"/>
      <c r="D22" s="7">
        <f t="shared" si="2"/>
        <v>0</v>
      </c>
      <c r="G22" s="11"/>
      <c r="H22" s="11"/>
      <c r="I22" s="11"/>
    </row>
    <row r="23" spans="1:9">
      <c r="B23" s="6"/>
      <c r="C23" s="6"/>
      <c r="D23" s="7">
        <f t="shared" si="2"/>
        <v>0</v>
      </c>
      <c r="F23" s="14" t="s">
        <v>30</v>
      </c>
      <c r="G23" s="15" t="s">
        <v>2</v>
      </c>
      <c r="H23" s="16" t="s">
        <v>3</v>
      </c>
      <c r="I23" s="16" t="s">
        <v>4</v>
      </c>
    </row>
    <row r="24" spans="1:9">
      <c r="B24" s="6"/>
      <c r="C24" s="6"/>
      <c r="D24" s="7">
        <f t="shared" si="2"/>
        <v>0</v>
      </c>
      <c r="F24" s="1" t="s">
        <v>31</v>
      </c>
      <c r="G24" s="10"/>
      <c r="H24" s="10"/>
      <c r="I24" s="7">
        <f t="shared" ref="I24:I34" si="3">G24-H24</f>
        <v>0</v>
      </c>
    </row>
    <row r="25" spans="1:9">
      <c r="B25" s="6"/>
      <c r="C25" s="6"/>
      <c r="D25" s="7">
        <f>B25-C25</f>
        <v>0</v>
      </c>
      <c r="F25" s="1" t="s">
        <v>32</v>
      </c>
      <c r="G25" s="10"/>
      <c r="H25" s="10"/>
      <c r="I25" s="7">
        <f t="shared" si="3"/>
        <v>0</v>
      </c>
    </row>
    <row r="26" spans="1:9">
      <c r="B26" s="6"/>
      <c r="C26" s="6"/>
      <c r="D26" s="7">
        <f t="shared" si="2"/>
        <v>0</v>
      </c>
      <c r="F26" s="1" t="s">
        <v>33</v>
      </c>
      <c r="G26" s="10"/>
      <c r="H26" s="63">
        <v>559</v>
      </c>
      <c r="I26" s="7">
        <f t="shared" si="3"/>
        <v>-559</v>
      </c>
    </row>
    <row r="27" spans="1:9">
      <c r="B27" s="6"/>
      <c r="C27" s="6"/>
      <c r="D27" s="7">
        <f t="shared" si="2"/>
        <v>0</v>
      </c>
      <c r="F27" s="1" t="s">
        <v>34</v>
      </c>
      <c r="G27" s="10"/>
      <c r="H27" s="10"/>
      <c r="I27" s="7">
        <f t="shared" si="3"/>
        <v>0</v>
      </c>
    </row>
    <row r="28" spans="1:9">
      <c r="B28" s="10"/>
      <c r="C28" s="10"/>
      <c r="D28" s="7">
        <f t="shared" si="2"/>
        <v>0</v>
      </c>
      <c r="F28" s="1" t="s">
        <v>35</v>
      </c>
      <c r="G28" s="10"/>
      <c r="H28" s="10"/>
      <c r="I28" s="7">
        <f t="shared" si="3"/>
        <v>0</v>
      </c>
    </row>
    <row r="29" spans="1:9">
      <c r="A29" s="17" t="str">
        <f>"Total " &amp; Table5425[[#Headers],[Gastos Vivienda]]</f>
        <v>Total Gastos Vivienda</v>
      </c>
      <c r="B29" s="12">
        <f>SUBTOTAL(9,Table5425[Budget])</f>
        <v>8350</v>
      </c>
      <c r="C29" s="12">
        <f>SUBTOTAL(9,Table5425[Actual])</f>
        <v>5350</v>
      </c>
      <c r="D29" s="9">
        <f>SUBTOTAL(9,Table5425[Difference])</f>
        <v>3000</v>
      </c>
      <c r="F29" s="1" t="s">
        <v>36</v>
      </c>
      <c r="G29" s="10"/>
      <c r="H29" s="10"/>
      <c r="I29" s="7">
        <f t="shared" si="3"/>
        <v>0</v>
      </c>
    </row>
    <row r="30" spans="1:9">
      <c r="B30" s="11"/>
      <c r="C30" s="11"/>
      <c r="D30" s="11"/>
      <c r="F30" s="1" t="s">
        <v>37</v>
      </c>
      <c r="G30" s="10"/>
      <c r="H30" s="10"/>
      <c r="I30" s="7">
        <f t="shared" si="3"/>
        <v>0</v>
      </c>
    </row>
    <row r="31" spans="1:9">
      <c r="A31" s="14" t="s">
        <v>38</v>
      </c>
      <c r="B31" s="15" t="s">
        <v>2</v>
      </c>
      <c r="C31" s="16" t="s">
        <v>3</v>
      </c>
      <c r="D31" s="16" t="s">
        <v>4</v>
      </c>
      <c r="F31" s="1" t="s">
        <v>75</v>
      </c>
      <c r="G31" s="10">
        <v>750</v>
      </c>
      <c r="H31" s="10">
        <v>750</v>
      </c>
      <c r="I31" s="7">
        <f t="shared" si="3"/>
        <v>0</v>
      </c>
    </row>
    <row r="32" spans="1:9">
      <c r="A32" s="1" t="s">
        <v>40</v>
      </c>
      <c r="B32" s="10"/>
      <c r="C32" s="10"/>
      <c r="D32" s="7">
        <f>B32-C32</f>
        <v>0</v>
      </c>
      <c r="F32" s="1" t="s">
        <v>76</v>
      </c>
      <c r="G32" s="10">
        <v>57</v>
      </c>
      <c r="H32" s="10">
        <v>57</v>
      </c>
      <c r="I32" s="7">
        <f t="shared" si="3"/>
        <v>0</v>
      </c>
    </row>
    <row r="33" spans="1:9">
      <c r="A33" s="1" t="s">
        <v>42</v>
      </c>
      <c r="B33" s="10"/>
      <c r="C33" s="10"/>
      <c r="D33" s="7">
        <f t="shared" ref="D33:D38" si="4">B33-C33</f>
        <v>0</v>
      </c>
      <c r="F33" s="1" t="s">
        <v>43</v>
      </c>
      <c r="G33" s="10"/>
      <c r="H33" s="10"/>
      <c r="I33" s="7">
        <f t="shared" si="3"/>
        <v>0</v>
      </c>
    </row>
    <row r="34" spans="1:9">
      <c r="A34" s="1" t="s">
        <v>44</v>
      </c>
      <c r="B34" s="10"/>
      <c r="C34" s="10">
        <v>350</v>
      </c>
      <c r="D34" s="7">
        <f>B34-C34</f>
        <v>-350</v>
      </c>
      <c r="G34" s="10"/>
      <c r="H34" s="10"/>
      <c r="I34" s="7">
        <f t="shared" si="3"/>
        <v>0</v>
      </c>
    </row>
    <row r="35" spans="1:9">
      <c r="A35" s="1" t="s">
        <v>45</v>
      </c>
      <c r="B35" s="10"/>
      <c r="C35" s="10"/>
      <c r="D35" s="7">
        <f t="shared" si="4"/>
        <v>0</v>
      </c>
      <c r="F35" s="17" t="str">
        <f>"Total " &amp; Table71027[[#Headers],[Diversion ]]</f>
        <v xml:space="preserve">Total Diversion </v>
      </c>
      <c r="G35" s="12">
        <f>SUBTOTAL(9,Table71027[Budget])</f>
        <v>807</v>
      </c>
      <c r="H35" s="12">
        <f>SUBTOTAL(9,Table71027[Actual])</f>
        <v>1366</v>
      </c>
      <c r="I35" s="9">
        <f>SUBTOTAL(9,Table71027[Difference])</f>
        <v>-559</v>
      </c>
    </row>
    <row r="36" spans="1:9">
      <c r="A36" s="1" t="s">
        <v>46</v>
      </c>
      <c r="B36" s="10"/>
      <c r="C36" s="10"/>
      <c r="D36" s="7">
        <f t="shared" si="4"/>
        <v>0</v>
      </c>
      <c r="G36" s="11"/>
      <c r="H36" s="11"/>
      <c r="I36" s="11"/>
    </row>
    <row r="37" spans="1:9">
      <c r="A37" s="1" t="s">
        <v>47</v>
      </c>
      <c r="B37" s="10"/>
      <c r="C37" s="10"/>
      <c r="D37" s="7">
        <f t="shared" si="4"/>
        <v>0</v>
      </c>
      <c r="F37" s="14" t="s">
        <v>48</v>
      </c>
      <c r="G37" s="15" t="s">
        <v>2</v>
      </c>
      <c r="H37" s="16" t="s">
        <v>3</v>
      </c>
      <c r="I37" s="16" t="s">
        <v>4</v>
      </c>
    </row>
    <row r="38" spans="1:9">
      <c r="A38" s="1" t="s">
        <v>77</v>
      </c>
      <c r="B38" s="10"/>
      <c r="C38" s="10">
        <v>600</v>
      </c>
      <c r="D38" s="7">
        <f t="shared" si="4"/>
        <v>-600</v>
      </c>
      <c r="F38" s="1" t="s">
        <v>49</v>
      </c>
      <c r="G38" s="10">
        <v>5000</v>
      </c>
      <c r="H38" s="10">
        <v>5000</v>
      </c>
      <c r="I38" s="7">
        <f>G38-H38</f>
        <v>0</v>
      </c>
    </row>
    <row r="39" spans="1:9">
      <c r="A39" s="17" t="str">
        <f>"Total " &amp; Table201933[[#Headers],[Transporte]]</f>
        <v>Total Transporte</v>
      </c>
      <c r="B39" s="12">
        <f>SUBTOTAL(9,Table201933[Budget])</f>
        <v>0</v>
      </c>
      <c r="C39" s="12">
        <f>SUBTOTAL(9,Table201933[Actual])</f>
        <v>950</v>
      </c>
      <c r="D39" s="9">
        <f>SUBTOTAL(9,Table201933[Difference])</f>
        <v>-950</v>
      </c>
      <c r="F39" s="1" t="s">
        <v>50</v>
      </c>
      <c r="G39" s="10">
        <v>2000</v>
      </c>
      <c r="H39" s="10">
        <v>2000</v>
      </c>
      <c r="I39" s="7">
        <f t="shared" ref="I39:I40" si="5">G39-H39</f>
        <v>0</v>
      </c>
    </row>
    <row r="40" spans="1:9">
      <c r="B40" s="11"/>
      <c r="C40" s="11"/>
      <c r="D40" s="11"/>
      <c r="F40" s="1" t="s">
        <v>51</v>
      </c>
      <c r="G40" s="10"/>
      <c r="H40" s="10"/>
      <c r="I40" s="7">
        <f t="shared" si="5"/>
        <v>0</v>
      </c>
    </row>
    <row r="41" spans="1:9">
      <c r="A41" s="14" t="s">
        <v>52</v>
      </c>
      <c r="B41" s="15" t="s">
        <v>2</v>
      </c>
      <c r="C41" s="16" t="s">
        <v>3</v>
      </c>
      <c r="D41" s="16" t="s">
        <v>4</v>
      </c>
      <c r="F41" s="1" t="s">
        <v>53</v>
      </c>
      <c r="G41" s="10"/>
      <c r="H41" s="10"/>
      <c r="I41" s="7">
        <f>G41-H41</f>
        <v>0</v>
      </c>
    </row>
    <row r="42" spans="1:9">
      <c r="A42" s="1" t="s">
        <v>54</v>
      </c>
      <c r="B42" s="10"/>
      <c r="C42" s="10"/>
      <c r="D42" s="7">
        <f t="shared" ref="D42:D48" si="6">B42-C42</f>
        <v>0</v>
      </c>
      <c r="F42" s="1" t="s">
        <v>17</v>
      </c>
      <c r="G42" s="10"/>
      <c r="H42" s="10"/>
      <c r="I42" s="7">
        <f>G42-H42</f>
        <v>0</v>
      </c>
    </row>
    <row r="43" spans="1:9">
      <c r="A43" s="1" t="s">
        <v>78</v>
      </c>
      <c r="B43" s="10"/>
      <c r="C43" s="10">
        <v>500</v>
      </c>
      <c r="D43" s="7">
        <f t="shared" si="6"/>
        <v>-500</v>
      </c>
      <c r="F43" s="1" t="s">
        <v>17</v>
      </c>
      <c r="G43" s="10"/>
      <c r="H43" s="10"/>
      <c r="I43" s="7">
        <f>G43-H43</f>
        <v>0</v>
      </c>
    </row>
    <row r="44" spans="1:9">
      <c r="A44" s="1" t="s">
        <v>56</v>
      </c>
      <c r="B44" s="10"/>
      <c r="C44" s="10"/>
      <c r="D44" s="7">
        <f t="shared" si="6"/>
        <v>0</v>
      </c>
      <c r="F44" s="1" t="s">
        <v>17</v>
      </c>
      <c r="G44" s="10"/>
      <c r="H44" s="10"/>
      <c r="I44" s="7">
        <f>G44-H44</f>
        <v>0</v>
      </c>
    </row>
    <row r="45" spans="1:9">
      <c r="A45" s="1" t="s">
        <v>79</v>
      </c>
      <c r="B45" s="10"/>
      <c r="C45" s="10"/>
      <c r="D45" s="7">
        <f t="shared" si="6"/>
        <v>0</v>
      </c>
      <c r="F45" s="17" t="str">
        <f>"Total " &amp; Table81228[[#Headers],[Ahorros]]</f>
        <v>Total Ahorros</v>
      </c>
      <c r="G45" s="12">
        <f>SUBTOTAL(9,Table81228[Budget])</f>
        <v>7000</v>
      </c>
      <c r="H45" s="12">
        <f>SUBTOTAL(9,Table81228[Actual])</f>
        <v>7000</v>
      </c>
      <c r="I45" s="9">
        <f>SUBTOTAL(9,Table81228[Difference])</f>
        <v>0</v>
      </c>
    </row>
    <row r="46" spans="1:9">
      <c r="A46" s="1" t="s">
        <v>58</v>
      </c>
      <c r="B46" s="10"/>
      <c r="C46" s="10"/>
      <c r="D46" s="7">
        <f t="shared" si="6"/>
        <v>0</v>
      </c>
      <c r="G46" s="11"/>
      <c r="H46" s="11"/>
      <c r="I46" s="11"/>
    </row>
    <row r="47" spans="1:9">
      <c r="A47" s="1" t="s">
        <v>59</v>
      </c>
      <c r="B47" s="10"/>
      <c r="C47" s="10"/>
      <c r="D47" s="7">
        <f t="shared" si="6"/>
        <v>0</v>
      </c>
      <c r="F47" s="14" t="s">
        <v>60</v>
      </c>
      <c r="G47" s="15" t="s">
        <v>2</v>
      </c>
      <c r="H47" s="16" t="s">
        <v>3</v>
      </c>
      <c r="I47" s="16" t="s">
        <v>4</v>
      </c>
    </row>
    <row r="48" spans="1:9">
      <c r="A48" s="1" t="s">
        <v>17</v>
      </c>
      <c r="B48" s="10"/>
      <c r="C48" s="10"/>
      <c r="D48" s="7">
        <f t="shared" si="6"/>
        <v>0</v>
      </c>
      <c r="F48" s="1" t="s">
        <v>61</v>
      </c>
      <c r="G48" s="10">
        <v>3313.3</v>
      </c>
      <c r="H48" s="10">
        <v>3313.3</v>
      </c>
      <c r="I48" s="7">
        <f t="shared" ref="I48:I55" si="7">G48-H48</f>
        <v>0</v>
      </c>
    </row>
    <row r="49" spans="1:9">
      <c r="A49" s="17" t="str">
        <f>"Total " &amp; Table212334[[#Headers],[Salud]]</f>
        <v>Total Salud</v>
      </c>
      <c r="B49" s="12">
        <f>SUBTOTAL(9,Table212334[Budget])</f>
        <v>0</v>
      </c>
      <c r="C49" s="12">
        <f>SUBTOTAL(9,Table212334[Actual])</f>
        <v>500</v>
      </c>
      <c r="D49" s="9">
        <f>SUBTOTAL(9,Table212334[Difference])</f>
        <v>-500</v>
      </c>
      <c r="F49" s="1" t="s">
        <v>62</v>
      </c>
      <c r="G49" s="10">
        <v>2000</v>
      </c>
      <c r="H49" s="10">
        <v>2000</v>
      </c>
      <c r="I49" s="7">
        <f t="shared" si="7"/>
        <v>0</v>
      </c>
    </row>
    <row r="50" spans="1:9">
      <c r="B50" s="11"/>
      <c r="C50" s="11"/>
      <c r="D50" s="11"/>
      <c r="F50" s="1" t="s">
        <v>63</v>
      </c>
      <c r="G50" s="10"/>
      <c r="H50" s="10"/>
      <c r="I50" s="7">
        <f t="shared" si="7"/>
        <v>0</v>
      </c>
    </row>
    <row r="51" spans="1:9">
      <c r="A51" s="14" t="s">
        <v>64</v>
      </c>
      <c r="B51" s="15" t="s">
        <v>2</v>
      </c>
      <c r="C51" s="16" t="s">
        <v>3</v>
      </c>
      <c r="D51" s="16" t="s">
        <v>4</v>
      </c>
      <c r="F51" s="1" t="s">
        <v>17</v>
      </c>
      <c r="G51" s="10"/>
      <c r="H51" s="10"/>
      <c r="I51" s="7">
        <f t="shared" si="7"/>
        <v>0</v>
      </c>
    </row>
    <row r="52" spans="1:9">
      <c r="A52" s="1" t="s">
        <v>65</v>
      </c>
      <c r="B52" s="10"/>
      <c r="C52" s="10"/>
      <c r="D52" s="7">
        <f t="shared" ref="D52:D55" si="8">B52-C52</f>
        <v>0</v>
      </c>
      <c r="G52" s="10"/>
      <c r="H52" s="10"/>
      <c r="I52" s="7">
        <f t="shared" si="7"/>
        <v>0</v>
      </c>
    </row>
    <row r="53" spans="1:9">
      <c r="A53" s="1" t="s">
        <v>66</v>
      </c>
      <c r="B53" s="10"/>
      <c r="C53" s="10"/>
      <c r="D53" s="7">
        <f t="shared" si="8"/>
        <v>0</v>
      </c>
      <c r="G53" s="10"/>
      <c r="H53" s="10"/>
      <c r="I53" s="7">
        <f t="shared" si="7"/>
        <v>0</v>
      </c>
    </row>
    <row r="54" spans="1:9">
      <c r="A54" s="1" t="s">
        <v>67</v>
      </c>
      <c r="B54" s="10"/>
      <c r="C54" s="10"/>
      <c r="D54" s="7">
        <f t="shared" si="8"/>
        <v>0</v>
      </c>
      <c r="G54" s="10"/>
      <c r="H54" s="10"/>
      <c r="I54" s="7">
        <f t="shared" si="7"/>
        <v>0</v>
      </c>
    </row>
    <row r="55" spans="1:9">
      <c r="A55" s="1" t="s">
        <v>17</v>
      </c>
      <c r="B55" s="10"/>
      <c r="C55" s="10"/>
      <c r="D55" s="7">
        <f t="shared" si="8"/>
        <v>0</v>
      </c>
      <c r="G55" s="10"/>
      <c r="H55" s="10"/>
      <c r="I55" s="7">
        <f t="shared" si="7"/>
        <v>0</v>
      </c>
    </row>
    <row r="56" spans="1:9">
      <c r="A56" s="17" t="str">
        <f>"Total " &amp; Table191832[[#Headers],[CHARITY/GIFTS]]</f>
        <v>Total CHARITY/GIFTS</v>
      </c>
      <c r="B56" s="12">
        <f>SUBTOTAL(9,Table191832[Budget])</f>
        <v>0</v>
      </c>
      <c r="C56" s="12">
        <f>SUBTOTAL(9,Table191832[Actual])</f>
        <v>0</v>
      </c>
      <c r="D56" s="9">
        <f>SUBTOTAL(9,Table191832[Difference])</f>
        <v>0</v>
      </c>
      <c r="F56" s="17" t="str">
        <f>"Total " &amp; Table101329[[#Headers],[Oblgiaciones ]]</f>
        <v xml:space="preserve">Total Oblgiaciones </v>
      </c>
      <c r="G56" s="12">
        <f>SUBTOTAL(9,Table101329[Budget])</f>
        <v>5313.3</v>
      </c>
      <c r="H56" s="12">
        <f>SUBTOTAL(9,Table101329[Actual])</f>
        <v>5313.3</v>
      </c>
      <c r="I56" s="9">
        <f>SUBTOTAL(9,Table101329[Difference])</f>
        <v>0</v>
      </c>
    </row>
    <row r="57" spans="1:9">
      <c r="B57" s="11"/>
      <c r="C57" s="11"/>
      <c r="D57" s="11"/>
      <c r="G57" s="11"/>
      <c r="H57" s="11"/>
      <c r="I57" s="11"/>
    </row>
    <row r="58" spans="1:9">
      <c r="A58" s="14" t="s">
        <v>68</v>
      </c>
      <c r="B58" s="15" t="s">
        <v>2</v>
      </c>
      <c r="C58" s="16" t="s">
        <v>3</v>
      </c>
      <c r="D58" s="16" t="s">
        <v>4</v>
      </c>
      <c r="F58" s="14" t="s">
        <v>69</v>
      </c>
      <c r="G58" s="15" t="s">
        <v>2</v>
      </c>
      <c r="H58" s="16" t="s">
        <v>3</v>
      </c>
      <c r="I58" s="16" t="s">
        <v>4</v>
      </c>
    </row>
    <row r="59" spans="1:9">
      <c r="A59" s="1" t="s">
        <v>70</v>
      </c>
      <c r="B59" s="10"/>
      <c r="C59" s="10"/>
      <c r="D59" s="7">
        <f t="shared" ref="D59:D62" si="9">B59-C59</f>
        <v>0</v>
      </c>
      <c r="F59" s="1" t="s">
        <v>71</v>
      </c>
      <c r="G59" s="6"/>
      <c r="H59" s="6"/>
      <c r="I59" s="7">
        <f t="shared" ref="I59:I62" si="10">G59-H59</f>
        <v>0</v>
      </c>
    </row>
    <row r="60" spans="1:9">
      <c r="A60" s="1" t="s">
        <v>72</v>
      </c>
      <c r="B60" s="10"/>
      <c r="C60" s="10"/>
      <c r="D60" s="7">
        <f t="shared" si="9"/>
        <v>0</v>
      </c>
      <c r="F60" s="1" t="s">
        <v>17</v>
      </c>
      <c r="G60" s="6"/>
      <c r="H60" s="6"/>
      <c r="I60" s="7">
        <f t="shared" si="10"/>
        <v>0</v>
      </c>
    </row>
    <row r="61" spans="1:9">
      <c r="A61" s="1" t="s">
        <v>73</v>
      </c>
      <c r="B61" s="10"/>
      <c r="C61" s="10"/>
      <c r="D61" s="7">
        <f t="shared" si="9"/>
        <v>0</v>
      </c>
      <c r="G61" s="6"/>
      <c r="H61" s="6"/>
      <c r="I61" s="7">
        <f t="shared" si="10"/>
        <v>0</v>
      </c>
    </row>
    <row r="62" spans="1:9">
      <c r="B62" s="10"/>
      <c r="C62" s="10"/>
      <c r="D62" s="7">
        <f t="shared" si="9"/>
        <v>0</v>
      </c>
      <c r="G62" s="10"/>
      <c r="H62" s="10"/>
      <c r="I62" s="7">
        <f t="shared" si="10"/>
        <v>0</v>
      </c>
    </row>
    <row r="63" spans="1:9">
      <c r="A63" s="17" t="str">
        <f>"Total " &amp; Table151731[[#Headers],[Subscrpciones]]</f>
        <v>Total Subscrpciones</v>
      </c>
      <c r="B63" s="12">
        <f>SUBTOTAL(9,Table151731[Budget])</f>
        <v>0</v>
      </c>
      <c r="C63" s="12">
        <f>SUBTOTAL(9,Table151731[Actual])</f>
        <v>0</v>
      </c>
      <c r="D63" s="9">
        <f>SUBTOTAL(9,Table151731[Difference])</f>
        <v>0</v>
      </c>
      <c r="F63" s="17" t="str">
        <f>"Total " &amp; Table141430[[#Headers],[Misc]]</f>
        <v>Total Misc</v>
      </c>
      <c r="G63" s="12">
        <f>SUBTOTAL(9,Table141430[Budget])</f>
        <v>0</v>
      </c>
      <c r="H63" s="12">
        <f>SUBTOTAL(9,Table141430[Actual])</f>
        <v>0</v>
      </c>
      <c r="I63" s="9">
        <f>SUBTOTAL(9,Table141430[Difference])</f>
        <v>0</v>
      </c>
    </row>
    <row r="64" spans="1:9">
      <c r="F64" s="5"/>
    </row>
    <row r="65" spans="5:6">
      <c r="F65" s="5"/>
    </row>
    <row r="66" spans="5:6">
      <c r="F66" s="5"/>
    </row>
    <row r="67" spans="5:6">
      <c r="F67" s="5"/>
    </row>
    <row r="68" spans="5:6">
      <c r="F68" s="5"/>
    </row>
    <row r="69" spans="5:6">
      <c r="F69" s="5"/>
    </row>
    <row r="72" spans="5:6">
      <c r="F72" s="5"/>
    </row>
    <row r="73" spans="5:6">
      <c r="F73" s="5"/>
    </row>
    <row r="74" spans="5:6">
      <c r="F74" s="5"/>
    </row>
    <row r="75" spans="5:6">
      <c r="E75" s="5"/>
      <c r="F75" s="5"/>
    </row>
    <row r="76" spans="5:6">
      <c r="E76" s="5"/>
      <c r="F76" s="5"/>
    </row>
    <row r="77" spans="5:6">
      <c r="E77" s="5"/>
      <c r="F77" s="5"/>
    </row>
    <row r="78" spans="5:6">
      <c r="E78" s="5"/>
      <c r="F78" s="5"/>
    </row>
    <row r="79" spans="5:6">
      <c r="F79" s="5"/>
    </row>
    <row r="80" spans="5:6">
      <c r="F80" s="5"/>
    </row>
    <row r="81" spans="5:6">
      <c r="E81" s="5"/>
      <c r="F81" s="5"/>
    </row>
    <row r="82" spans="5:6">
      <c r="E82" s="5"/>
    </row>
    <row r="83" spans="5:6">
      <c r="E83" s="5"/>
    </row>
    <row r="84" spans="5:6">
      <c r="E84" s="13" t="s">
        <v>5</v>
      </c>
    </row>
    <row r="85" spans="5:6">
      <c r="E85" s="5"/>
    </row>
    <row r="86" spans="5:6">
      <c r="E86" s="5"/>
    </row>
    <row r="87" spans="5:6">
      <c r="E87" s="5"/>
    </row>
    <row r="88" spans="5:6">
      <c r="E88" s="5"/>
    </row>
    <row r="89" spans="5:6">
      <c r="E89" s="5"/>
    </row>
    <row r="92" spans="5:6">
      <c r="E92" s="5"/>
    </row>
    <row r="93" spans="5:6">
      <c r="E93" s="5"/>
    </row>
    <row r="94" spans="5:6">
      <c r="E94" s="5"/>
    </row>
    <row r="95" spans="5:6">
      <c r="E95" s="5"/>
    </row>
    <row r="96" spans="5:6">
      <c r="E96" s="5"/>
    </row>
    <row r="97" spans="5:5">
      <c r="E97" s="5"/>
    </row>
    <row r="98" spans="5:5">
      <c r="E98" s="5"/>
    </row>
    <row r="99" spans="5:5">
      <c r="E99" s="5"/>
    </row>
    <row r="100" spans="5:5">
      <c r="E100" s="5"/>
    </row>
    <row r="101" spans="5:5">
      <c r="E101" s="5"/>
    </row>
    <row r="122" spans="6:6">
      <c r="F122" s="5"/>
    </row>
    <row r="123" spans="6:6">
      <c r="F123" s="5"/>
    </row>
    <row r="124" spans="6:6">
      <c r="F124" s="5"/>
    </row>
    <row r="125" spans="6:6">
      <c r="F125" s="5"/>
    </row>
    <row r="126" spans="6:6">
      <c r="F126" s="5"/>
    </row>
    <row r="127" spans="6:6">
      <c r="F127" s="5"/>
    </row>
    <row r="128" spans="6:6">
      <c r="F128" s="5"/>
    </row>
    <row r="131" spans="5:6">
      <c r="F131" s="5"/>
    </row>
    <row r="132" spans="5:6">
      <c r="F132" s="5"/>
    </row>
    <row r="133" spans="5:6">
      <c r="F133" s="5"/>
    </row>
    <row r="134" spans="5:6">
      <c r="F134" s="5"/>
    </row>
    <row r="135" spans="5:6">
      <c r="F135" s="5"/>
    </row>
    <row r="136" spans="5:6">
      <c r="F136" s="5"/>
    </row>
    <row r="137" spans="5:6">
      <c r="F137" s="5"/>
    </row>
    <row r="142" spans="5:6">
      <c r="E142" s="5"/>
    </row>
    <row r="143" spans="5:6">
      <c r="E143" s="5"/>
    </row>
    <row r="144" spans="5:6">
      <c r="E144" s="5"/>
    </row>
    <row r="145" spans="5:5">
      <c r="E145" s="5"/>
    </row>
    <row r="146" spans="5:5">
      <c r="E146" s="5"/>
    </row>
    <row r="147" spans="5:5">
      <c r="E147" s="5"/>
    </row>
    <row r="148" spans="5:5">
      <c r="E148" s="5"/>
    </row>
    <row r="151" spans="5:5">
      <c r="E151" s="5"/>
    </row>
    <row r="152" spans="5:5">
      <c r="E152" s="5"/>
    </row>
    <row r="153" spans="5:5">
      <c r="E153" s="5"/>
    </row>
    <row r="154" spans="5:5">
      <c r="E154" s="5"/>
    </row>
    <row r="155" spans="5:5">
      <c r="E155" s="5"/>
    </row>
    <row r="156" spans="5:5">
      <c r="E156" s="5"/>
    </row>
    <row r="157" spans="5:5">
      <c r="E157" s="5"/>
    </row>
  </sheetData>
  <mergeCells count="1">
    <mergeCell ref="A1:D3"/>
  </mergeCells>
  <conditionalFormatting sqref="B4">
    <cfRule type="containsText" priority="2" operator="containsText" text="Vertex42.com">
      <formula>NOT(ISERROR(SEARCH("Vertex42.com",B4)))</formula>
    </cfRule>
  </conditionalFormatting>
  <conditionalFormatting sqref="D5:D13 I11:I20 D16:D28 I24:I34 D32:D38 I38:I44 D42:D48 D52:D55 D59:D62 I59:I62">
    <cfRule type="cellIs" dxfId="387" priority="3" stopIfTrue="1" operator="lessThan">
      <formula>0</formula>
    </cfRule>
  </conditionalFormatting>
  <conditionalFormatting sqref="I48:I55">
    <cfRule type="cellIs" dxfId="386" priority="1" stopIfTrue="1" operator="lessThan">
      <formula>0</formula>
    </cfRule>
  </conditionalFormatting>
  <printOptions horizontalCentered="1"/>
  <pageMargins left="0.5" right="0.5" top="0.35" bottom="0.35" header="0.5" footer="0.25"/>
  <pageSetup scale="80" orientation="portrait"/>
  <headerFooter alignWithMargins="0"/>
  <tableParts count="11">
    <tablePart r:id="rId1"/>
    <tablePart r:id="rId2"/>
    <tablePart r:id="rId3"/>
    <tablePart r:id="rId4"/>
    <tablePart r:id="rId5"/>
    <tablePart r:id="rId6"/>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16728-807F-4887-B7E9-764D75800C71}">
  <sheetPr>
    <pageSetUpPr fitToPage="1"/>
  </sheetPr>
  <dimension ref="A1:I157"/>
  <sheetViews>
    <sheetView showGridLines="0" topLeftCell="A2" workbookViewId="0">
      <selection activeCell="C5" sqref="C5"/>
    </sheetView>
  </sheetViews>
  <sheetFormatPr defaultColWidth="9" defaultRowHeight="15"/>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24" customFormat="1" ht="26.1" customHeight="1">
      <c r="A1" s="74" t="s">
        <v>0</v>
      </c>
      <c r="B1" s="74"/>
      <c r="C1" s="74"/>
      <c r="D1" s="74"/>
    </row>
    <row r="2" spans="1:9" s="24" customFormat="1" ht="14.25" customHeight="1">
      <c r="A2" s="74"/>
      <c r="B2" s="74"/>
      <c r="C2" s="74"/>
      <c r="D2" s="74"/>
    </row>
    <row r="3" spans="1:9" s="2" customFormat="1" ht="13.5">
      <c r="A3" s="74"/>
      <c r="B3" s="74"/>
      <c r="C3" s="74"/>
      <c r="D3" s="74"/>
      <c r="E3" s="3"/>
    </row>
    <row r="4" spans="1:9">
      <c r="A4" s="14" t="s">
        <v>1</v>
      </c>
      <c r="B4" s="15" t="s">
        <v>2</v>
      </c>
      <c r="C4" s="16" t="s">
        <v>3</v>
      </c>
      <c r="D4" s="16" t="s">
        <v>4</v>
      </c>
      <c r="E4" s="49" t="s">
        <v>5</v>
      </c>
      <c r="F4" s="19" t="s">
        <v>6</v>
      </c>
      <c r="G4" s="20" t="s">
        <v>2</v>
      </c>
      <c r="H4" s="20" t="s">
        <v>3</v>
      </c>
      <c r="I4" s="20" t="s">
        <v>4</v>
      </c>
    </row>
    <row r="5" spans="1:9" ht="16.5">
      <c r="A5" s="1" t="s">
        <v>7</v>
      </c>
      <c r="B5" s="6">
        <v>22211</v>
      </c>
      <c r="C5" s="6">
        <v>22211</v>
      </c>
      <c r="D5" s="7">
        <f t="shared" ref="D5:D11" si="0">C5-B5</f>
        <v>0</v>
      </c>
      <c r="F5" s="21" t="s">
        <v>8</v>
      </c>
      <c r="G5" s="18">
        <f>Table222435[[#Totals],[Budget]]</f>
        <v>30634</v>
      </c>
      <c r="H5" s="18">
        <f>Table222435[[#Totals],[Actual]]</f>
        <v>27211</v>
      </c>
      <c r="I5" s="18">
        <f>G5-H5</f>
        <v>3423</v>
      </c>
    </row>
    <row r="6" spans="1:9" ht="16.5">
      <c r="A6" s="1" t="s">
        <v>9</v>
      </c>
      <c r="B6" s="6"/>
      <c r="C6" s="6"/>
      <c r="D6" s="7">
        <f t="shared" si="0"/>
        <v>0</v>
      </c>
      <c r="F6" s="21" t="s">
        <v>10</v>
      </c>
      <c r="G6" s="18">
        <f>SUM(,Table542536[[#Totals],[Budget]],Table20193344[[#Totals],[Budget]],Table21233445[[#Totals],[Budget]],Table19183243[[#Totals],[Budget]],Table15173142[[#Totals],[Budget]],Table14143041[[#Totals],[Budget]],Table10132940[[#Totals],[Budget]],Table8122839[[#Totals],[Budget]],Table7102738[[#Totals],[Budget]],Table652637[[#Totals],[Budget]])</f>
        <v>17843.3</v>
      </c>
      <c r="H6" s="18">
        <f>SUM(Table542536[[#Totals],[Actual]],Table20193344[[#Totals],[Actual]],Table21233445[[#Totals],[Actual]],Table19183243[[#Totals],[Actual]],Table15173142[[#Totals],[Actual]],Table14143041[[#Totals],[Actual]],Table10132940[[#Totals],[Actual]],Table8122839[[#Totals],[Actual]],Table7102738[[#Totals],[Actual]],Table652637[[#Totals],[Actual]])</f>
        <v>18972.3</v>
      </c>
      <c r="I6" s="18">
        <f>G6-H6</f>
        <v>-1129</v>
      </c>
    </row>
    <row r="7" spans="1:9" ht="16.5">
      <c r="A7" s="1" t="s">
        <v>11</v>
      </c>
      <c r="B7" s="6"/>
      <c r="C7" s="6"/>
      <c r="D7" s="7">
        <f t="shared" si="0"/>
        <v>0</v>
      </c>
      <c r="F7" s="22" t="s">
        <v>12</v>
      </c>
      <c r="G7" s="23">
        <f>G5-G6</f>
        <v>12790.7</v>
      </c>
      <c r="H7" s="23">
        <f>H5-H6</f>
        <v>8238.7000000000007</v>
      </c>
      <c r="I7" s="23">
        <f>H7-G7</f>
        <v>-4552</v>
      </c>
    </row>
    <row r="8" spans="1:9" s="2" customFormat="1">
      <c r="A8" s="1" t="s">
        <v>13</v>
      </c>
      <c r="B8" s="6"/>
      <c r="C8" s="6">
        <v>1500</v>
      </c>
      <c r="D8" s="7">
        <f t="shared" si="0"/>
        <v>1500</v>
      </c>
    </row>
    <row r="9" spans="1:9">
      <c r="A9" s="1" t="s">
        <v>14</v>
      </c>
      <c r="B9" s="6"/>
      <c r="C9" s="6"/>
      <c r="D9" s="7">
        <f t="shared" si="0"/>
        <v>0</v>
      </c>
      <c r="F9" s="2"/>
      <c r="G9" s="2"/>
      <c r="H9" s="2"/>
      <c r="I9" s="2"/>
    </row>
    <row r="10" spans="1:9">
      <c r="A10" s="1" t="s">
        <v>15</v>
      </c>
      <c r="B10" s="6"/>
      <c r="C10" s="6"/>
      <c r="D10" s="7">
        <f t="shared" si="0"/>
        <v>0</v>
      </c>
      <c r="F10" s="14" t="s">
        <v>16</v>
      </c>
      <c r="G10" s="15" t="s">
        <v>2</v>
      </c>
      <c r="H10" s="16" t="s">
        <v>3</v>
      </c>
      <c r="I10" s="16" t="s">
        <v>4</v>
      </c>
    </row>
    <row r="11" spans="1:9">
      <c r="A11" s="1" t="s">
        <v>17</v>
      </c>
      <c r="B11" s="6">
        <v>8423</v>
      </c>
      <c r="C11" s="6">
        <v>3000</v>
      </c>
      <c r="D11" s="7">
        <f t="shared" si="0"/>
        <v>-5423</v>
      </c>
      <c r="F11" s="1" t="s">
        <v>18</v>
      </c>
      <c r="G11" s="10"/>
      <c r="H11" s="10"/>
      <c r="I11" s="7">
        <f t="shared" ref="I11:I20" si="1">G11-H11</f>
        <v>0</v>
      </c>
    </row>
    <row r="12" spans="1:9">
      <c r="A12" s="1" t="s">
        <v>17</v>
      </c>
      <c r="B12" s="8"/>
      <c r="C12" s="64">
        <v>500</v>
      </c>
      <c r="D12" s="7">
        <f>C12-B12</f>
        <v>500</v>
      </c>
      <c r="F12" s="1" t="s">
        <v>19</v>
      </c>
      <c r="G12" s="10"/>
      <c r="H12" s="10"/>
      <c r="I12" s="7">
        <f t="shared" si="1"/>
        <v>0</v>
      </c>
    </row>
    <row r="13" spans="1:9">
      <c r="A13" s="17" t="str">
        <f>"Total " &amp; Table222435[[#Headers],[INCOME]]</f>
        <v>Total INCOME</v>
      </c>
      <c r="B13" s="12">
        <f>SUBTOTAL(9,Table222435[Budget])</f>
        <v>30634</v>
      </c>
      <c r="C13" s="12">
        <f>SUBTOTAL(9,Table222435[Actual])</f>
        <v>27211</v>
      </c>
      <c r="D13" s="9">
        <f>SUBTOTAL(9,Table222435[Difference])</f>
        <v>-3423</v>
      </c>
      <c r="F13" s="1" t="s">
        <v>20</v>
      </c>
      <c r="G13" s="10"/>
      <c r="H13" s="10"/>
      <c r="I13" s="7">
        <f t="shared" si="1"/>
        <v>0</v>
      </c>
    </row>
    <row r="14" spans="1:9">
      <c r="F14" s="1" t="s">
        <v>21</v>
      </c>
      <c r="G14" s="10"/>
      <c r="H14" s="10"/>
      <c r="I14" s="7">
        <f t="shared" si="1"/>
        <v>0</v>
      </c>
    </row>
    <row r="15" spans="1:9">
      <c r="A15" s="14" t="s">
        <v>22</v>
      </c>
      <c r="B15" s="15" t="s">
        <v>2</v>
      </c>
      <c r="C15" s="16" t="s">
        <v>3</v>
      </c>
      <c r="D15" s="16" t="s">
        <v>4</v>
      </c>
      <c r="F15" s="1" t="s">
        <v>23</v>
      </c>
      <c r="G15" s="10"/>
      <c r="H15" s="10"/>
      <c r="I15" s="7">
        <f t="shared" si="1"/>
        <v>0</v>
      </c>
    </row>
    <row r="16" spans="1:9">
      <c r="A16" s="1" t="s">
        <v>24</v>
      </c>
      <c r="B16" s="6">
        <v>3000</v>
      </c>
      <c r="C16" s="6">
        <v>3000</v>
      </c>
      <c r="D16" s="59">
        <f>B16-C16</f>
        <v>0</v>
      </c>
      <c r="F16" s="1" t="s">
        <v>25</v>
      </c>
      <c r="G16" s="10">
        <v>500</v>
      </c>
      <c r="H16" s="10">
        <v>179</v>
      </c>
      <c r="I16" s="7">
        <f t="shared" si="1"/>
        <v>321</v>
      </c>
    </row>
    <row r="17" spans="1:9">
      <c r="A17" s="1" t="s">
        <v>26</v>
      </c>
      <c r="B17" s="6">
        <v>350</v>
      </c>
      <c r="C17" s="6">
        <v>350</v>
      </c>
      <c r="D17" s="7">
        <f t="shared" ref="D17:D28" si="2">B17-C17</f>
        <v>0</v>
      </c>
      <c r="F17" s="1" t="s">
        <v>27</v>
      </c>
      <c r="G17" s="10"/>
      <c r="H17" s="10"/>
      <c r="I17" s="7">
        <f t="shared" si="1"/>
        <v>0</v>
      </c>
    </row>
    <row r="18" spans="1:9">
      <c r="B18" s="6"/>
      <c r="C18" s="6"/>
      <c r="D18" s="7">
        <f t="shared" si="2"/>
        <v>0</v>
      </c>
      <c r="F18" s="1" t="s">
        <v>44</v>
      </c>
      <c r="G18" s="10"/>
      <c r="H18" s="10"/>
      <c r="I18" s="7">
        <f t="shared" si="1"/>
        <v>0</v>
      </c>
    </row>
    <row r="19" spans="1:9">
      <c r="B19" s="6"/>
      <c r="C19" s="6"/>
      <c r="D19" s="7">
        <f t="shared" si="2"/>
        <v>0</v>
      </c>
      <c r="F19" s="1" t="s">
        <v>74</v>
      </c>
      <c r="G19" s="10"/>
      <c r="H19" s="10"/>
      <c r="I19" s="7">
        <f t="shared" si="1"/>
        <v>0</v>
      </c>
    </row>
    <row r="20" spans="1:9" s="4" customFormat="1">
      <c r="A20" s="1"/>
      <c r="B20" s="6"/>
      <c r="C20" s="6"/>
      <c r="D20" s="7">
        <f t="shared" si="2"/>
        <v>0</v>
      </c>
      <c r="E20" s="1"/>
      <c r="F20" s="1"/>
      <c r="G20" s="10"/>
      <c r="H20" s="10"/>
      <c r="I20" s="7">
        <f t="shared" si="1"/>
        <v>0</v>
      </c>
    </row>
    <row r="21" spans="1:9">
      <c r="B21" s="6"/>
      <c r="C21" s="6"/>
      <c r="D21" s="7">
        <f t="shared" si="2"/>
        <v>0</v>
      </c>
      <c r="F21" s="17" t="str">
        <f>"Total " &amp; Table652637[[#Headers],[DAILY LIVING]]</f>
        <v>Total DAILY LIVING</v>
      </c>
      <c r="G21" s="12">
        <f>SUBTOTAL(9,Table652637[Budget])</f>
        <v>500</v>
      </c>
      <c r="H21" s="12">
        <f>SUBTOTAL(9,Table652637[Actual])</f>
        <v>179</v>
      </c>
      <c r="I21" s="9">
        <f>SUBTOTAL(9,Table652637[Difference])</f>
        <v>321</v>
      </c>
    </row>
    <row r="22" spans="1:9">
      <c r="B22" s="6"/>
      <c r="C22" s="6"/>
      <c r="D22" s="7">
        <f t="shared" si="2"/>
        <v>0</v>
      </c>
      <c r="G22" s="11"/>
      <c r="H22" s="11"/>
      <c r="I22" s="11"/>
    </row>
    <row r="23" spans="1:9">
      <c r="B23" s="6"/>
      <c r="C23" s="6"/>
      <c r="D23" s="7">
        <f t="shared" si="2"/>
        <v>0</v>
      </c>
      <c r="F23" s="14" t="s">
        <v>30</v>
      </c>
      <c r="G23" s="15" t="s">
        <v>2</v>
      </c>
      <c r="H23" s="16" t="s">
        <v>3</v>
      </c>
      <c r="I23" s="16" t="s">
        <v>4</v>
      </c>
    </row>
    <row r="24" spans="1:9">
      <c r="B24" s="6"/>
      <c r="C24" s="6"/>
      <c r="D24" s="7">
        <f t="shared" si="2"/>
        <v>0</v>
      </c>
      <c r="F24" s="1" t="s">
        <v>31</v>
      </c>
      <c r="G24" s="10"/>
      <c r="H24" s="10"/>
      <c r="I24" s="7">
        <f t="shared" ref="I24:I34" si="3">G24-H24</f>
        <v>0</v>
      </c>
    </row>
    <row r="25" spans="1:9">
      <c r="B25" s="6"/>
      <c r="C25" s="6"/>
      <c r="D25" s="7">
        <f>B25-C25</f>
        <v>0</v>
      </c>
      <c r="F25" s="1" t="s">
        <v>32</v>
      </c>
      <c r="G25" s="10"/>
      <c r="H25" s="10"/>
      <c r="I25" s="7">
        <f t="shared" si="3"/>
        <v>0</v>
      </c>
    </row>
    <row r="26" spans="1:9">
      <c r="B26" s="6"/>
      <c r="C26" s="6"/>
      <c r="D26" s="7">
        <f t="shared" si="2"/>
        <v>0</v>
      </c>
      <c r="F26" s="1" t="s">
        <v>33</v>
      </c>
      <c r="G26" s="10"/>
      <c r="H26" s="63"/>
      <c r="I26" s="7">
        <f t="shared" si="3"/>
        <v>0</v>
      </c>
    </row>
    <row r="27" spans="1:9">
      <c r="B27" s="6"/>
      <c r="C27" s="6"/>
      <c r="D27" s="7">
        <f t="shared" si="2"/>
        <v>0</v>
      </c>
      <c r="F27" s="1" t="s">
        <v>34</v>
      </c>
      <c r="G27" s="10"/>
      <c r="H27" s="10"/>
      <c r="I27" s="7">
        <f t="shared" si="3"/>
        <v>0</v>
      </c>
    </row>
    <row r="28" spans="1:9">
      <c r="B28" s="10"/>
      <c r="C28" s="10"/>
      <c r="D28" s="7">
        <f t="shared" si="2"/>
        <v>0</v>
      </c>
      <c r="F28" s="1" t="s">
        <v>35</v>
      </c>
      <c r="G28" s="10"/>
      <c r="H28" s="10"/>
      <c r="I28" s="7">
        <f t="shared" si="3"/>
        <v>0</v>
      </c>
    </row>
    <row r="29" spans="1:9">
      <c r="A29" s="17" t="str">
        <f>"Total " &amp; Table542536[[#Headers],[Gastos Vivienda]]</f>
        <v>Total Gastos Vivienda</v>
      </c>
      <c r="B29" s="12">
        <f>SUBTOTAL(9,Table542536[Budget])</f>
        <v>3350</v>
      </c>
      <c r="C29" s="12">
        <f>SUBTOTAL(9,Table542536[Actual])</f>
        <v>3350</v>
      </c>
      <c r="D29" s="9">
        <f>SUBTOTAL(9,Table542536[Difference])</f>
        <v>0</v>
      </c>
      <c r="F29" s="1" t="s">
        <v>36</v>
      </c>
      <c r="G29" s="10"/>
      <c r="H29" s="10"/>
      <c r="I29" s="7">
        <f t="shared" si="3"/>
        <v>0</v>
      </c>
    </row>
    <row r="30" spans="1:9">
      <c r="B30" s="11"/>
      <c r="C30" s="11"/>
      <c r="D30" s="11"/>
      <c r="F30" s="1" t="s">
        <v>37</v>
      </c>
      <c r="G30" s="10"/>
      <c r="H30" s="10"/>
      <c r="I30" s="7">
        <f t="shared" si="3"/>
        <v>0</v>
      </c>
    </row>
    <row r="31" spans="1:9">
      <c r="A31" s="14" t="s">
        <v>38</v>
      </c>
      <c r="B31" s="15" t="s">
        <v>2</v>
      </c>
      <c r="C31" s="16" t="s">
        <v>3</v>
      </c>
      <c r="D31" s="16" t="s">
        <v>4</v>
      </c>
      <c r="F31" s="1" t="s">
        <v>75</v>
      </c>
      <c r="G31" s="10">
        <v>750</v>
      </c>
      <c r="H31" s="10">
        <v>750</v>
      </c>
      <c r="I31" s="7">
        <f t="shared" si="3"/>
        <v>0</v>
      </c>
    </row>
    <row r="32" spans="1:9">
      <c r="A32" s="1" t="s">
        <v>40</v>
      </c>
      <c r="B32" s="10">
        <v>750</v>
      </c>
      <c r="C32" s="10">
        <v>750</v>
      </c>
      <c r="D32" s="7">
        <f>B32-C32</f>
        <v>0</v>
      </c>
      <c r="F32" s="1" t="s">
        <v>76</v>
      </c>
      <c r="G32" s="10">
        <v>180</v>
      </c>
      <c r="H32" s="10">
        <v>180</v>
      </c>
      <c r="I32" s="7">
        <f t="shared" si="3"/>
        <v>0</v>
      </c>
    </row>
    <row r="33" spans="1:9">
      <c r="A33" s="1" t="s">
        <v>42</v>
      </c>
      <c r="B33" s="10"/>
      <c r="C33" s="10"/>
      <c r="D33" s="7">
        <f t="shared" ref="D33:D38" si="4">B33-C33</f>
        <v>0</v>
      </c>
      <c r="F33" s="1" t="s">
        <v>80</v>
      </c>
      <c r="G33" s="10"/>
      <c r="H33" s="10"/>
      <c r="I33" s="7">
        <f t="shared" si="3"/>
        <v>0</v>
      </c>
    </row>
    <row r="34" spans="1:9">
      <c r="A34" s="1" t="s">
        <v>44</v>
      </c>
      <c r="B34" s="10"/>
      <c r="C34" s="10">
        <v>350</v>
      </c>
      <c r="D34" s="7">
        <f>B34-C34</f>
        <v>-350</v>
      </c>
      <c r="G34" s="10"/>
      <c r="H34" s="10"/>
      <c r="I34" s="7">
        <f t="shared" si="3"/>
        <v>0</v>
      </c>
    </row>
    <row r="35" spans="1:9">
      <c r="A35" s="1" t="s">
        <v>45</v>
      </c>
      <c r="B35" s="10"/>
      <c r="C35" s="10"/>
      <c r="D35" s="7">
        <f t="shared" si="4"/>
        <v>0</v>
      </c>
      <c r="F35" s="17" t="str">
        <f>"Total " &amp; Table7102738[[#Headers],[Diversion ]]</f>
        <v xml:space="preserve">Total Diversion </v>
      </c>
      <c r="G35" s="12">
        <f>SUBTOTAL(9,Table7102738[Budget])</f>
        <v>930</v>
      </c>
      <c r="H35" s="12">
        <f>SUBTOTAL(9,Table7102738[Actual])</f>
        <v>930</v>
      </c>
      <c r="I35" s="9">
        <f>SUBTOTAL(9,Table7102738[Difference])</f>
        <v>0</v>
      </c>
    </row>
    <row r="36" spans="1:9">
      <c r="A36" s="1" t="s">
        <v>46</v>
      </c>
      <c r="B36" s="10"/>
      <c r="C36" s="10"/>
      <c r="D36" s="7">
        <f t="shared" si="4"/>
        <v>0</v>
      </c>
      <c r="G36" s="11"/>
      <c r="H36" s="11"/>
      <c r="I36" s="11"/>
    </row>
    <row r="37" spans="1:9">
      <c r="A37" s="1" t="s">
        <v>47</v>
      </c>
      <c r="B37" s="10"/>
      <c r="C37" s="10"/>
      <c r="D37" s="7">
        <f t="shared" si="4"/>
        <v>0</v>
      </c>
      <c r="F37" s="14" t="s">
        <v>48</v>
      </c>
      <c r="G37" s="15" t="s">
        <v>2</v>
      </c>
      <c r="H37" s="16" t="s">
        <v>3</v>
      </c>
      <c r="I37" s="16" t="s">
        <v>4</v>
      </c>
    </row>
    <row r="38" spans="1:9">
      <c r="A38" s="1" t="s">
        <v>77</v>
      </c>
      <c r="B38" s="10"/>
      <c r="C38" s="10">
        <v>600</v>
      </c>
      <c r="D38" s="7">
        <f t="shared" si="4"/>
        <v>-600</v>
      </c>
      <c r="F38" s="1" t="s">
        <v>49</v>
      </c>
      <c r="G38" s="10">
        <v>5000</v>
      </c>
      <c r="H38" s="10">
        <v>5000</v>
      </c>
      <c r="I38" s="7">
        <f>G38-H38</f>
        <v>0</v>
      </c>
    </row>
    <row r="39" spans="1:9">
      <c r="A39" s="17" t="str">
        <f>"Total " &amp; Table20193344[[#Headers],[Transporte]]</f>
        <v>Total Transporte</v>
      </c>
      <c r="B39" s="12">
        <f>SUBTOTAL(9,Table20193344[Budget])</f>
        <v>750</v>
      </c>
      <c r="C39" s="12">
        <f>SUBTOTAL(9,Table20193344[Actual])</f>
        <v>1700</v>
      </c>
      <c r="D39" s="9">
        <f>SUBTOTAL(9,Table20193344[Difference])</f>
        <v>-950</v>
      </c>
      <c r="F39" s="1" t="s">
        <v>50</v>
      </c>
      <c r="G39" s="10">
        <v>2000</v>
      </c>
      <c r="H39" s="10">
        <v>2000</v>
      </c>
      <c r="I39" s="7">
        <f t="shared" ref="I39:I40" si="5">G39-H39</f>
        <v>0</v>
      </c>
    </row>
    <row r="40" spans="1:9">
      <c r="B40" s="11"/>
      <c r="C40" s="11"/>
      <c r="D40" s="11"/>
      <c r="F40" s="1" t="s">
        <v>51</v>
      </c>
      <c r="G40" s="10"/>
      <c r="H40" s="10"/>
      <c r="I40" s="7">
        <f t="shared" si="5"/>
        <v>0</v>
      </c>
    </row>
    <row r="41" spans="1:9">
      <c r="A41" s="14" t="s">
        <v>52</v>
      </c>
      <c r="B41" s="15" t="s">
        <v>2</v>
      </c>
      <c r="C41" s="16" t="s">
        <v>3</v>
      </c>
      <c r="D41" s="16" t="s">
        <v>4</v>
      </c>
      <c r="F41" s="1" t="s">
        <v>53</v>
      </c>
      <c r="G41" s="10"/>
      <c r="H41" s="10"/>
      <c r="I41" s="7">
        <f>G41-H41</f>
        <v>0</v>
      </c>
    </row>
    <row r="42" spans="1:9">
      <c r="A42" s="1" t="s">
        <v>54</v>
      </c>
      <c r="B42" s="10"/>
      <c r="C42" s="10"/>
      <c r="D42" s="7">
        <f t="shared" ref="D42:D48" si="6">B42-C42</f>
        <v>0</v>
      </c>
      <c r="F42" s="1" t="s">
        <v>17</v>
      </c>
      <c r="G42" s="10"/>
      <c r="H42" s="10"/>
      <c r="I42" s="7">
        <f>G42-H42</f>
        <v>0</v>
      </c>
    </row>
    <row r="43" spans="1:9">
      <c r="A43" s="1" t="s">
        <v>78</v>
      </c>
      <c r="B43" s="10"/>
      <c r="C43" s="10">
        <v>500</v>
      </c>
      <c r="D43" s="7">
        <f t="shared" si="6"/>
        <v>-500</v>
      </c>
      <c r="F43" s="1" t="s">
        <v>17</v>
      </c>
      <c r="G43" s="10"/>
      <c r="H43" s="10"/>
      <c r="I43" s="7">
        <f>G43-H43</f>
        <v>0</v>
      </c>
    </row>
    <row r="44" spans="1:9">
      <c r="A44" s="1" t="s">
        <v>56</v>
      </c>
      <c r="B44" s="10"/>
      <c r="C44" s="10"/>
      <c r="D44" s="7">
        <f t="shared" si="6"/>
        <v>0</v>
      </c>
      <c r="F44" s="1" t="s">
        <v>17</v>
      </c>
      <c r="G44" s="10"/>
      <c r="H44" s="10"/>
      <c r="I44" s="7">
        <f>G44-H44</f>
        <v>0</v>
      </c>
    </row>
    <row r="45" spans="1:9">
      <c r="A45" s="1" t="s">
        <v>79</v>
      </c>
      <c r="B45" s="10"/>
      <c r="C45" s="10"/>
      <c r="D45" s="7">
        <f t="shared" si="6"/>
        <v>0</v>
      </c>
      <c r="F45" s="17" t="str">
        <f>"Total " &amp; Table8122839[[#Headers],[Ahorros]]</f>
        <v>Total Ahorros</v>
      </c>
      <c r="G45" s="12">
        <f>SUBTOTAL(9,Table8122839[Budget])</f>
        <v>7000</v>
      </c>
      <c r="H45" s="12">
        <f>SUBTOTAL(9,Table8122839[Actual])</f>
        <v>7000</v>
      </c>
      <c r="I45" s="9">
        <f>SUBTOTAL(9,Table8122839[Difference])</f>
        <v>0</v>
      </c>
    </row>
    <row r="46" spans="1:9">
      <c r="A46" s="1" t="s">
        <v>58</v>
      </c>
      <c r="B46" s="10"/>
      <c r="C46" s="10"/>
      <c r="D46" s="7">
        <f t="shared" si="6"/>
        <v>0</v>
      </c>
      <c r="G46" s="11"/>
      <c r="H46" s="11"/>
      <c r="I46" s="11"/>
    </row>
    <row r="47" spans="1:9">
      <c r="A47" s="1" t="s">
        <v>59</v>
      </c>
      <c r="B47" s="10"/>
      <c r="C47" s="10"/>
      <c r="D47" s="7">
        <f t="shared" si="6"/>
        <v>0</v>
      </c>
      <c r="F47" s="14" t="s">
        <v>60</v>
      </c>
      <c r="G47" s="15" t="s">
        <v>2</v>
      </c>
      <c r="H47" s="16" t="s">
        <v>3</v>
      </c>
      <c r="I47" s="16" t="s">
        <v>4</v>
      </c>
    </row>
    <row r="48" spans="1:9">
      <c r="A48" s="1" t="s">
        <v>17</v>
      </c>
      <c r="B48" s="10"/>
      <c r="C48" s="10"/>
      <c r="D48" s="7">
        <f t="shared" si="6"/>
        <v>0</v>
      </c>
      <c r="F48" s="1" t="s">
        <v>61</v>
      </c>
      <c r="G48" s="10">
        <v>3313.3</v>
      </c>
      <c r="H48" s="10">
        <v>3313.3</v>
      </c>
      <c r="I48" s="7">
        <f t="shared" ref="I48:I55" si="7">G48-H48</f>
        <v>0</v>
      </c>
    </row>
    <row r="49" spans="1:9">
      <c r="A49" s="17" t="str">
        <f>"Total " &amp; Table21233445[[#Headers],[Salud]]</f>
        <v>Total Salud</v>
      </c>
      <c r="B49" s="12">
        <f>SUBTOTAL(9,Table21233445[Budget])</f>
        <v>0</v>
      </c>
      <c r="C49" s="12">
        <f>SUBTOTAL(9,Table21233445[Actual])</f>
        <v>500</v>
      </c>
      <c r="D49" s="9">
        <f>SUBTOTAL(9,Table21233445[Difference])</f>
        <v>-500</v>
      </c>
      <c r="F49" s="1" t="s">
        <v>62</v>
      </c>
      <c r="G49" s="10">
        <v>2000</v>
      </c>
      <c r="H49" s="10">
        <v>2000</v>
      </c>
      <c r="I49" s="7">
        <f t="shared" si="7"/>
        <v>0</v>
      </c>
    </row>
    <row r="50" spans="1:9">
      <c r="B50" s="11"/>
      <c r="C50" s="11"/>
      <c r="D50" s="11"/>
      <c r="F50" s="1" t="s">
        <v>63</v>
      </c>
      <c r="G50" s="10"/>
      <c r="H50" s="10"/>
      <c r="I50" s="7">
        <f t="shared" si="7"/>
        <v>0</v>
      </c>
    </row>
    <row r="51" spans="1:9">
      <c r="A51" s="14" t="s">
        <v>64</v>
      </c>
      <c r="B51" s="15" t="s">
        <v>2</v>
      </c>
      <c r="C51" s="16" t="s">
        <v>3</v>
      </c>
      <c r="D51" s="16" t="s">
        <v>4</v>
      </c>
      <c r="F51" s="1" t="s">
        <v>17</v>
      </c>
      <c r="G51" s="10"/>
      <c r="H51" s="10"/>
      <c r="I51" s="7">
        <f t="shared" si="7"/>
        <v>0</v>
      </c>
    </row>
    <row r="52" spans="1:9">
      <c r="A52" s="1" t="s">
        <v>65</v>
      </c>
      <c r="B52" s="10"/>
      <c r="C52" s="10"/>
      <c r="D52" s="7">
        <f t="shared" ref="D52:D55" si="8">B52-C52</f>
        <v>0</v>
      </c>
      <c r="G52" s="10"/>
      <c r="H52" s="10"/>
      <c r="I52" s="7">
        <f t="shared" si="7"/>
        <v>0</v>
      </c>
    </row>
    <row r="53" spans="1:9">
      <c r="A53" s="1" t="s">
        <v>66</v>
      </c>
      <c r="B53" s="10"/>
      <c r="C53" s="10"/>
      <c r="D53" s="7">
        <f t="shared" si="8"/>
        <v>0</v>
      </c>
      <c r="G53" s="10"/>
      <c r="H53" s="10"/>
      <c r="I53" s="7">
        <f t="shared" si="7"/>
        <v>0</v>
      </c>
    </row>
    <row r="54" spans="1:9">
      <c r="A54" s="1" t="s">
        <v>67</v>
      </c>
      <c r="B54" s="10"/>
      <c r="C54" s="10"/>
      <c r="D54" s="7">
        <f t="shared" si="8"/>
        <v>0</v>
      </c>
      <c r="G54" s="10"/>
      <c r="H54" s="10"/>
      <c r="I54" s="7">
        <f t="shared" si="7"/>
        <v>0</v>
      </c>
    </row>
    <row r="55" spans="1:9">
      <c r="A55" s="1" t="s">
        <v>17</v>
      </c>
      <c r="B55" s="10"/>
      <c r="C55" s="10"/>
      <c r="D55" s="7">
        <f t="shared" si="8"/>
        <v>0</v>
      </c>
      <c r="G55" s="10"/>
      <c r="H55" s="10"/>
      <c r="I55" s="7">
        <f t="shared" si="7"/>
        <v>0</v>
      </c>
    </row>
    <row r="56" spans="1:9">
      <c r="A56" s="17" t="str">
        <f>"Total " &amp; Table19183243[[#Headers],[CHARITY/GIFTS]]</f>
        <v>Total CHARITY/GIFTS</v>
      </c>
      <c r="B56" s="12">
        <f>SUBTOTAL(9,Table19183243[Budget])</f>
        <v>0</v>
      </c>
      <c r="C56" s="12">
        <f>SUBTOTAL(9,Table19183243[Actual])</f>
        <v>0</v>
      </c>
      <c r="D56" s="9">
        <f>SUBTOTAL(9,Table19183243[Difference])</f>
        <v>0</v>
      </c>
      <c r="F56" s="17" t="str">
        <f>"Total " &amp; Table10132940[[#Headers],[Oblgiaciones ]]</f>
        <v xml:space="preserve">Total Oblgiaciones </v>
      </c>
      <c r="G56" s="12">
        <f>SUBTOTAL(9,Table10132940[Budget])</f>
        <v>5313.3</v>
      </c>
      <c r="H56" s="12">
        <f>SUBTOTAL(9,Table10132940[Actual])</f>
        <v>5313.3</v>
      </c>
      <c r="I56" s="9">
        <f>SUBTOTAL(9,Table10132940[Difference])</f>
        <v>0</v>
      </c>
    </row>
    <row r="57" spans="1:9">
      <c r="B57" s="11"/>
      <c r="C57" s="11"/>
      <c r="D57" s="11"/>
      <c r="G57" s="11"/>
      <c r="H57" s="11"/>
      <c r="I57" s="11"/>
    </row>
    <row r="58" spans="1:9">
      <c r="A58" s="14" t="s">
        <v>68</v>
      </c>
      <c r="B58" s="15" t="s">
        <v>2</v>
      </c>
      <c r="C58" s="16" t="s">
        <v>3</v>
      </c>
      <c r="D58" s="16" t="s">
        <v>4</v>
      </c>
      <c r="F58" s="14" t="s">
        <v>69</v>
      </c>
      <c r="G58" s="15" t="s">
        <v>2</v>
      </c>
      <c r="H58" s="16" t="s">
        <v>3</v>
      </c>
      <c r="I58" s="16" t="s">
        <v>4</v>
      </c>
    </row>
    <row r="59" spans="1:9">
      <c r="A59" s="1" t="s">
        <v>70</v>
      </c>
      <c r="B59" s="10"/>
      <c r="C59" s="10"/>
      <c r="D59" s="7">
        <f t="shared" ref="D59:D62" si="9">B59-C59</f>
        <v>0</v>
      </c>
      <c r="F59" s="1" t="s">
        <v>71</v>
      </c>
      <c r="G59" s="6"/>
      <c r="H59" s="6"/>
      <c r="I59" s="7">
        <f t="shared" ref="I59:I62" si="10">G59-H59</f>
        <v>0</v>
      </c>
    </row>
    <row r="60" spans="1:9">
      <c r="A60" s="1" t="s">
        <v>72</v>
      </c>
      <c r="B60" s="10"/>
      <c r="C60" s="10"/>
      <c r="D60" s="7">
        <f t="shared" si="9"/>
        <v>0</v>
      </c>
      <c r="F60" s="1" t="s">
        <v>17</v>
      </c>
      <c r="G60" s="6"/>
      <c r="H60" s="6"/>
      <c r="I60" s="7">
        <f t="shared" si="10"/>
        <v>0</v>
      </c>
    </row>
    <row r="61" spans="1:9">
      <c r="A61" s="1" t="s">
        <v>73</v>
      </c>
      <c r="B61" s="10"/>
      <c r="C61" s="10"/>
      <c r="D61" s="7">
        <f t="shared" si="9"/>
        <v>0</v>
      </c>
      <c r="G61" s="6"/>
      <c r="H61" s="6"/>
      <c r="I61" s="7">
        <f t="shared" si="10"/>
        <v>0</v>
      </c>
    </row>
    <row r="62" spans="1:9">
      <c r="B62" s="10"/>
      <c r="C62" s="10"/>
      <c r="D62" s="7">
        <f t="shared" si="9"/>
        <v>0</v>
      </c>
      <c r="G62" s="10"/>
      <c r="H62" s="10"/>
      <c r="I62" s="7">
        <f t="shared" si="10"/>
        <v>0</v>
      </c>
    </row>
    <row r="63" spans="1:9">
      <c r="A63" s="17" t="str">
        <f>"Total " &amp; Table15173142[[#Headers],[Subscrpciones]]</f>
        <v>Total Subscrpciones</v>
      </c>
      <c r="B63" s="12">
        <f>SUBTOTAL(9,Table15173142[Budget])</f>
        <v>0</v>
      </c>
      <c r="C63" s="12">
        <f>SUBTOTAL(9,Table15173142[Actual])</f>
        <v>0</v>
      </c>
      <c r="D63" s="9">
        <f>SUBTOTAL(9,Table15173142[Difference])</f>
        <v>0</v>
      </c>
      <c r="F63" s="17" t="str">
        <f>"Total " &amp; Table14143041[[#Headers],[Misc]]</f>
        <v>Total Misc</v>
      </c>
      <c r="G63" s="12">
        <f>SUBTOTAL(9,Table14143041[Budget])</f>
        <v>0</v>
      </c>
      <c r="H63" s="12">
        <f>SUBTOTAL(9,Table14143041[Actual])</f>
        <v>0</v>
      </c>
      <c r="I63" s="9">
        <f>SUBTOTAL(9,Table14143041[Difference])</f>
        <v>0</v>
      </c>
    </row>
    <row r="64" spans="1:9">
      <c r="F64" s="5"/>
    </row>
    <row r="65" spans="5:6">
      <c r="F65" s="5"/>
    </row>
    <row r="66" spans="5:6">
      <c r="F66" s="5"/>
    </row>
    <row r="67" spans="5:6">
      <c r="F67" s="5"/>
    </row>
    <row r="68" spans="5:6">
      <c r="F68" s="5"/>
    </row>
    <row r="69" spans="5:6">
      <c r="F69" s="5"/>
    </row>
    <row r="72" spans="5:6">
      <c r="F72" s="5"/>
    </row>
    <row r="73" spans="5:6">
      <c r="F73" s="5"/>
    </row>
    <row r="74" spans="5:6">
      <c r="F74" s="5"/>
    </row>
    <row r="75" spans="5:6">
      <c r="E75" s="5"/>
      <c r="F75" s="5"/>
    </row>
    <row r="76" spans="5:6">
      <c r="E76" s="5"/>
      <c r="F76" s="5"/>
    </row>
    <row r="77" spans="5:6">
      <c r="E77" s="5"/>
      <c r="F77" s="5"/>
    </row>
    <row r="78" spans="5:6">
      <c r="E78" s="5"/>
      <c r="F78" s="5"/>
    </row>
    <row r="79" spans="5:6">
      <c r="F79" s="5"/>
    </row>
    <row r="80" spans="5:6">
      <c r="F80" s="5"/>
    </row>
    <row r="81" spans="5:6">
      <c r="E81" s="5"/>
      <c r="F81" s="5"/>
    </row>
    <row r="82" spans="5:6">
      <c r="E82" s="5"/>
    </row>
    <row r="83" spans="5:6">
      <c r="E83" s="5"/>
    </row>
    <row r="84" spans="5:6">
      <c r="E84" s="13" t="s">
        <v>5</v>
      </c>
    </row>
    <row r="85" spans="5:6">
      <c r="E85" s="5"/>
    </row>
    <row r="86" spans="5:6">
      <c r="E86" s="5"/>
    </row>
    <row r="87" spans="5:6">
      <c r="E87" s="5"/>
    </row>
    <row r="88" spans="5:6">
      <c r="E88" s="5"/>
    </row>
    <row r="89" spans="5:6">
      <c r="E89" s="5"/>
    </row>
    <row r="92" spans="5:6">
      <c r="E92" s="5"/>
    </row>
    <row r="93" spans="5:6">
      <c r="E93" s="5"/>
    </row>
    <row r="94" spans="5:6">
      <c r="E94" s="5"/>
    </row>
    <row r="95" spans="5:6">
      <c r="E95" s="5"/>
    </row>
    <row r="96" spans="5:6">
      <c r="E96" s="5"/>
    </row>
    <row r="97" spans="5:5">
      <c r="E97" s="5"/>
    </row>
    <row r="98" spans="5:5">
      <c r="E98" s="5"/>
    </row>
    <row r="99" spans="5:5">
      <c r="E99" s="5"/>
    </row>
    <row r="100" spans="5:5">
      <c r="E100" s="5"/>
    </row>
    <row r="101" spans="5:5">
      <c r="E101" s="5"/>
    </row>
    <row r="122" spans="6:6">
      <c r="F122" s="5"/>
    </row>
    <row r="123" spans="6:6">
      <c r="F123" s="5"/>
    </row>
    <row r="124" spans="6:6">
      <c r="F124" s="5"/>
    </row>
    <row r="125" spans="6:6">
      <c r="F125" s="5"/>
    </row>
    <row r="126" spans="6:6">
      <c r="F126" s="5"/>
    </row>
    <row r="127" spans="6:6">
      <c r="F127" s="5"/>
    </row>
    <row r="128" spans="6:6">
      <c r="F128" s="5"/>
    </row>
    <row r="131" spans="5:6">
      <c r="F131" s="5"/>
    </row>
    <row r="132" spans="5:6">
      <c r="F132" s="5"/>
    </row>
    <row r="133" spans="5:6">
      <c r="F133" s="5"/>
    </row>
    <row r="134" spans="5:6">
      <c r="F134" s="5"/>
    </row>
    <row r="135" spans="5:6">
      <c r="F135" s="5"/>
    </row>
    <row r="136" spans="5:6">
      <c r="F136" s="5"/>
    </row>
    <row r="137" spans="5:6">
      <c r="F137" s="5"/>
    </row>
    <row r="142" spans="5:6">
      <c r="E142" s="5"/>
    </row>
    <row r="143" spans="5:6">
      <c r="E143" s="5"/>
    </row>
    <row r="144" spans="5:6">
      <c r="E144" s="5"/>
    </row>
    <row r="145" spans="5:5">
      <c r="E145" s="5"/>
    </row>
    <row r="146" spans="5:5">
      <c r="E146" s="5"/>
    </row>
    <row r="147" spans="5:5">
      <c r="E147" s="5"/>
    </row>
    <row r="148" spans="5:5">
      <c r="E148" s="5"/>
    </row>
    <row r="151" spans="5:5">
      <c r="E151" s="5"/>
    </row>
    <row r="152" spans="5:5">
      <c r="E152" s="5"/>
    </row>
    <row r="153" spans="5:5">
      <c r="E153" s="5"/>
    </row>
    <row r="154" spans="5:5">
      <c r="E154" s="5"/>
    </row>
    <row r="155" spans="5:5">
      <c r="E155" s="5"/>
    </row>
    <row r="156" spans="5:5">
      <c r="E156" s="5"/>
    </row>
    <row r="157" spans="5:5">
      <c r="E157" s="5"/>
    </row>
  </sheetData>
  <mergeCells count="1">
    <mergeCell ref="A1:D3"/>
  </mergeCells>
  <conditionalFormatting sqref="B4">
    <cfRule type="containsText" priority="2" operator="containsText" text="Vertex42.com">
      <formula>NOT(ISERROR(SEARCH("Vertex42.com",B4)))</formula>
    </cfRule>
  </conditionalFormatting>
  <conditionalFormatting sqref="D5:D13 I11:I20 D16:D28 I24:I34 D32:D38 I38:I44 D42:D48 D52:D55 D59:D62 I59:I62">
    <cfRule type="cellIs" dxfId="257" priority="3" stopIfTrue="1" operator="lessThan">
      <formula>0</formula>
    </cfRule>
  </conditionalFormatting>
  <conditionalFormatting sqref="I48:I55">
    <cfRule type="cellIs" dxfId="256" priority="1" stopIfTrue="1" operator="lessThan">
      <formula>0</formula>
    </cfRule>
  </conditionalFormatting>
  <printOptions horizontalCentered="1"/>
  <pageMargins left="0.5" right="0.5" top="0.35" bottom="0.35" header="0.5" footer="0.25"/>
  <pageSetup scale="80" orientation="portrait"/>
  <headerFooter alignWithMargins="0"/>
  <tableParts count="11">
    <tablePart r:id="rId1"/>
    <tablePart r:id="rId2"/>
    <tablePart r:id="rId3"/>
    <tablePart r:id="rId4"/>
    <tablePart r:id="rId5"/>
    <tablePart r:id="rId6"/>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EC7E-3B37-4E74-B95D-36F48AE7A304}">
  <sheetPr>
    <pageSetUpPr fitToPage="1"/>
  </sheetPr>
  <dimension ref="A1:I157"/>
  <sheetViews>
    <sheetView showGridLines="0" tabSelected="1" topLeftCell="A22" workbookViewId="0">
      <selection activeCell="H49" sqref="H48:H49"/>
    </sheetView>
  </sheetViews>
  <sheetFormatPr defaultColWidth="9" defaultRowHeight="15"/>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24" customFormat="1" ht="26.1" customHeight="1">
      <c r="A1" s="74" t="s">
        <v>0</v>
      </c>
      <c r="B1" s="74"/>
      <c r="C1" s="74"/>
      <c r="D1" s="74"/>
    </row>
    <row r="2" spans="1:9" s="24" customFormat="1" ht="14.25" customHeight="1">
      <c r="A2" s="74"/>
      <c r="B2" s="74"/>
      <c r="C2" s="74"/>
      <c r="D2" s="74"/>
    </row>
    <row r="3" spans="1:9" s="2" customFormat="1" ht="13.5">
      <c r="A3" s="74"/>
      <c r="B3" s="74"/>
      <c r="C3" s="74"/>
      <c r="D3" s="74"/>
      <c r="E3" s="3"/>
    </row>
    <row r="4" spans="1:9">
      <c r="A4" s="14" t="s">
        <v>1</v>
      </c>
      <c r="B4" s="15" t="s">
        <v>2</v>
      </c>
      <c r="C4" s="16" t="s">
        <v>3</v>
      </c>
      <c r="D4" s="16" t="s">
        <v>4</v>
      </c>
      <c r="E4" s="49" t="s">
        <v>5</v>
      </c>
      <c r="F4" s="19" t="s">
        <v>6</v>
      </c>
      <c r="G4" s="20" t="s">
        <v>2</v>
      </c>
      <c r="H4" s="20" t="s">
        <v>3</v>
      </c>
      <c r="I4" s="20" t="s">
        <v>4</v>
      </c>
    </row>
    <row r="5" spans="1:9" ht="16.5">
      <c r="A5" s="1" t="s">
        <v>7</v>
      </c>
      <c r="B5" s="6">
        <v>22211</v>
      </c>
      <c r="C5" s="6"/>
      <c r="D5" s="7">
        <f t="shared" ref="D5:D11" si="0">C5-B5</f>
        <v>-22211</v>
      </c>
      <c r="F5" s="21" t="s">
        <v>8</v>
      </c>
      <c r="G5" s="18">
        <f>Table22243546[[#Totals],[Budget]]</f>
        <v>30634</v>
      </c>
      <c r="H5" s="18">
        <f>Table22243546[[#Totals],[Actual]]</f>
        <v>0</v>
      </c>
      <c r="I5" s="18">
        <f>G5-H5</f>
        <v>30634</v>
      </c>
    </row>
    <row r="6" spans="1:9" ht="16.5">
      <c r="A6" s="1" t="s">
        <v>9</v>
      </c>
      <c r="B6" s="6"/>
      <c r="C6" s="6"/>
      <c r="D6" s="7">
        <f t="shared" si="0"/>
        <v>0</v>
      </c>
      <c r="F6" s="21" t="s">
        <v>10</v>
      </c>
      <c r="G6" s="18">
        <f>SUM(,Table54253647[[#Totals],[Budget]],Table2019334455[[#Totals],[Budget]],Table2123344556[[#Totals],[Budget]],Table1918324354[[#Totals],[Budget]],Table1517314253[[#Totals],[Budget]],Table1414304152[[#Totals],[Budget]],Table1013294051[[#Totals],[Budget]],Table812283950[[#Totals],[Budget]],Table710273849[[#Totals],[Budget]],Table65263748[[#Totals],[Budget]])</f>
        <v>17843.3</v>
      </c>
      <c r="H6" s="18">
        <f>SUM(Table54253647[[#Totals],[Actual]],Table2019334455[[#Totals],[Actual]],Table2123344556[[#Totals],[Actual]],Table1918324354[[#Totals],[Actual]],Table1517314253[[#Totals],[Actual]],Table1414304152[[#Totals],[Actual]],Table1013294051[[#Totals],[Actual]],Table812283950[[#Totals],[Actual]],Table710273849[[#Totals],[Actual]],Table65263748[[#Totals],[Actual]])</f>
        <v>600</v>
      </c>
      <c r="I6" s="18">
        <f>G6-H6</f>
        <v>17243.3</v>
      </c>
    </row>
    <row r="7" spans="1:9" ht="16.5">
      <c r="A7" s="1" t="s">
        <v>11</v>
      </c>
      <c r="B7" s="6"/>
      <c r="C7" s="6"/>
      <c r="D7" s="7">
        <f t="shared" si="0"/>
        <v>0</v>
      </c>
      <c r="F7" s="22" t="s">
        <v>12</v>
      </c>
      <c r="G7" s="23">
        <f>G5-G6</f>
        <v>12790.7</v>
      </c>
      <c r="H7" s="23">
        <f>H5-H6</f>
        <v>-600</v>
      </c>
      <c r="I7" s="23">
        <f>H7-G7</f>
        <v>-13390.7</v>
      </c>
    </row>
    <row r="8" spans="1:9" s="2" customFormat="1">
      <c r="A8" s="1" t="s">
        <v>13</v>
      </c>
      <c r="B8" s="6"/>
      <c r="C8" s="6"/>
      <c r="D8" s="7">
        <f t="shared" si="0"/>
        <v>0</v>
      </c>
    </row>
    <row r="9" spans="1:9">
      <c r="A9" s="1" t="s">
        <v>14</v>
      </c>
      <c r="B9" s="6"/>
      <c r="C9" s="6"/>
      <c r="D9" s="7">
        <f t="shared" si="0"/>
        <v>0</v>
      </c>
      <c r="F9" s="2"/>
      <c r="G9" s="2"/>
      <c r="H9" s="2"/>
      <c r="I9" s="2"/>
    </row>
    <row r="10" spans="1:9">
      <c r="A10" s="1" t="s">
        <v>15</v>
      </c>
      <c r="B10" s="6"/>
      <c r="C10" s="6"/>
      <c r="D10" s="7">
        <f t="shared" si="0"/>
        <v>0</v>
      </c>
      <c r="F10" s="14" t="s">
        <v>16</v>
      </c>
      <c r="G10" s="15" t="s">
        <v>2</v>
      </c>
      <c r="H10" s="16" t="s">
        <v>3</v>
      </c>
      <c r="I10" s="16" t="s">
        <v>4</v>
      </c>
    </row>
    <row r="11" spans="1:9">
      <c r="A11" s="1" t="s">
        <v>17</v>
      </c>
      <c r="B11" s="6">
        <v>8423</v>
      </c>
      <c r="C11" s="6"/>
      <c r="D11" s="7">
        <f t="shared" si="0"/>
        <v>-8423</v>
      </c>
      <c r="F11" s="1" t="s">
        <v>18</v>
      </c>
      <c r="G11" s="10"/>
      <c r="H11" s="10"/>
      <c r="I11" s="7">
        <f t="shared" ref="I11:I20" si="1">G11-H11</f>
        <v>0</v>
      </c>
    </row>
    <row r="12" spans="1:9">
      <c r="A12" s="1" t="s">
        <v>17</v>
      </c>
      <c r="B12" s="8"/>
      <c r="C12" s="64"/>
      <c r="D12" s="7">
        <f>C12-B12</f>
        <v>0</v>
      </c>
      <c r="F12" s="1" t="s">
        <v>19</v>
      </c>
      <c r="G12" s="10"/>
      <c r="H12" s="10"/>
      <c r="I12" s="7">
        <f t="shared" si="1"/>
        <v>0</v>
      </c>
    </row>
    <row r="13" spans="1:9">
      <c r="A13" s="17" t="str">
        <f>"Total " &amp; Table22243546[[#Headers],[INCOME]]</f>
        <v>Total INCOME</v>
      </c>
      <c r="B13" s="12">
        <f>SUBTOTAL(9,Table22243546[Budget])</f>
        <v>30634</v>
      </c>
      <c r="C13" s="12">
        <f>SUBTOTAL(9,Table22243546[Actual])</f>
        <v>0</v>
      </c>
      <c r="D13" s="9">
        <f>SUBTOTAL(9,Table22243546[Difference])</f>
        <v>-30634</v>
      </c>
      <c r="F13" s="1" t="s">
        <v>20</v>
      </c>
      <c r="G13" s="10"/>
      <c r="H13" s="10"/>
      <c r="I13" s="7">
        <f t="shared" si="1"/>
        <v>0</v>
      </c>
    </row>
    <row r="14" spans="1:9">
      <c r="F14" s="1" t="s">
        <v>21</v>
      </c>
      <c r="G14" s="10"/>
      <c r="H14" s="10"/>
      <c r="I14" s="7">
        <f t="shared" si="1"/>
        <v>0</v>
      </c>
    </row>
    <row r="15" spans="1:9">
      <c r="A15" s="14" t="s">
        <v>22</v>
      </c>
      <c r="B15" s="15" t="s">
        <v>2</v>
      </c>
      <c r="C15" s="16" t="s">
        <v>3</v>
      </c>
      <c r="D15" s="16" t="s">
        <v>4</v>
      </c>
      <c r="F15" s="1" t="s">
        <v>23</v>
      </c>
      <c r="G15" s="10"/>
      <c r="H15" s="10"/>
      <c r="I15" s="7">
        <f t="shared" si="1"/>
        <v>0</v>
      </c>
    </row>
    <row r="16" spans="1:9">
      <c r="A16" s="1" t="s">
        <v>24</v>
      </c>
      <c r="B16" s="6">
        <v>3000</v>
      </c>
      <c r="C16" s="6"/>
      <c r="D16" s="59">
        <f>B16-C16</f>
        <v>3000</v>
      </c>
      <c r="F16" s="1" t="s">
        <v>25</v>
      </c>
      <c r="G16" s="10">
        <v>500</v>
      </c>
      <c r="H16" s="10"/>
      <c r="I16" s="7">
        <f t="shared" si="1"/>
        <v>500</v>
      </c>
    </row>
    <row r="17" spans="1:9">
      <c r="A17" s="1" t="s">
        <v>26</v>
      </c>
      <c r="B17" s="6">
        <v>350</v>
      </c>
      <c r="C17" s="6"/>
      <c r="D17" s="7">
        <f t="shared" ref="D17:D28" si="2">B17-C17</f>
        <v>350</v>
      </c>
      <c r="F17" s="1" t="s">
        <v>27</v>
      </c>
      <c r="G17" s="10"/>
      <c r="H17" s="10"/>
      <c r="I17" s="7">
        <f t="shared" si="1"/>
        <v>0</v>
      </c>
    </row>
    <row r="18" spans="1:9">
      <c r="B18" s="6"/>
      <c r="C18" s="6"/>
      <c r="D18" s="7">
        <f t="shared" si="2"/>
        <v>0</v>
      </c>
      <c r="F18" s="1" t="s">
        <v>44</v>
      </c>
      <c r="G18" s="10"/>
      <c r="H18" s="10"/>
      <c r="I18" s="7">
        <f t="shared" si="1"/>
        <v>0</v>
      </c>
    </row>
    <row r="19" spans="1:9">
      <c r="B19" s="6"/>
      <c r="C19" s="6"/>
      <c r="D19" s="7">
        <f t="shared" si="2"/>
        <v>0</v>
      </c>
      <c r="F19" s="1" t="s">
        <v>74</v>
      </c>
      <c r="G19" s="10"/>
      <c r="H19" s="10"/>
      <c r="I19" s="7">
        <f t="shared" si="1"/>
        <v>0</v>
      </c>
    </row>
    <row r="20" spans="1:9" s="4" customFormat="1">
      <c r="A20" s="1"/>
      <c r="B20" s="6"/>
      <c r="C20" s="6"/>
      <c r="D20" s="7">
        <f t="shared" si="2"/>
        <v>0</v>
      </c>
      <c r="E20" s="1"/>
      <c r="F20" s="1"/>
      <c r="G20" s="10"/>
      <c r="H20" s="10"/>
      <c r="I20" s="7">
        <f t="shared" si="1"/>
        <v>0</v>
      </c>
    </row>
    <row r="21" spans="1:9">
      <c r="B21" s="6"/>
      <c r="C21" s="6"/>
      <c r="D21" s="7">
        <f t="shared" si="2"/>
        <v>0</v>
      </c>
      <c r="F21" s="17" t="str">
        <f>"Total " &amp; Table65263748[[#Headers],[DAILY LIVING]]</f>
        <v>Total DAILY LIVING</v>
      </c>
      <c r="G21" s="12">
        <f>SUBTOTAL(9,Table65263748[Budget])</f>
        <v>500</v>
      </c>
      <c r="H21" s="12">
        <f>SUBTOTAL(9,Table65263748[Actual])</f>
        <v>0</v>
      </c>
      <c r="I21" s="9">
        <f>SUBTOTAL(9,Table65263748[Difference])</f>
        <v>500</v>
      </c>
    </row>
    <row r="22" spans="1:9">
      <c r="B22" s="6"/>
      <c r="C22" s="6"/>
      <c r="D22" s="7">
        <f t="shared" si="2"/>
        <v>0</v>
      </c>
      <c r="G22" s="11"/>
      <c r="H22" s="11"/>
      <c r="I22" s="11"/>
    </row>
    <row r="23" spans="1:9">
      <c r="B23" s="6"/>
      <c r="C23" s="6"/>
      <c r="D23" s="7">
        <f t="shared" si="2"/>
        <v>0</v>
      </c>
      <c r="F23" s="14" t="s">
        <v>30</v>
      </c>
      <c r="G23" s="15" t="s">
        <v>2</v>
      </c>
      <c r="H23" s="16" t="s">
        <v>3</v>
      </c>
      <c r="I23" s="16" t="s">
        <v>4</v>
      </c>
    </row>
    <row r="24" spans="1:9">
      <c r="B24" s="6"/>
      <c r="C24" s="6"/>
      <c r="D24" s="7">
        <f t="shared" si="2"/>
        <v>0</v>
      </c>
      <c r="F24" s="1" t="s">
        <v>31</v>
      </c>
      <c r="G24" s="10"/>
      <c r="H24" s="10"/>
      <c r="I24" s="7">
        <f t="shared" ref="I24:I34" si="3">G24-H24</f>
        <v>0</v>
      </c>
    </row>
    <row r="25" spans="1:9">
      <c r="B25" s="6"/>
      <c r="C25" s="6"/>
      <c r="D25" s="7">
        <f>B25-C25</f>
        <v>0</v>
      </c>
      <c r="F25" s="1" t="s">
        <v>32</v>
      </c>
      <c r="G25" s="10"/>
      <c r="H25" s="10"/>
      <c r="I25" s="7">
        <f t="shared" si="3"/>
        <v>0</v>
      </c>
    </row>
    <row r="26" spans="1:9">
      <c r="B26" s="6"/>
      <c r="C26" s="6"/>
      <c r="D26" s="7">
        <f t="shared" si="2"/>
        <v>0</v>
      </c>
      <c r="F26" s="1" t="s">
        <v>33</v>
      </c>
      <c r="G26" s="10"/>
      <c r="H26" s="63"/>
      <c r="I26" s="7">
        <f t="shared" si="3"/>
        <v>0</v>
      </c>
    </row>
    <row r="27" spans="1:9">
      <c r="B27" s="6"/>
      <c r="C27" s="6"/>
      <c r="D27" s="7">
        <f t="shared" si="2"/>
        <v>0</v>
      </c>
      <c r="F27" s="1" t="s">
        <v>34</v>
      </c>
      <c r="G27" s="10"/>
      <c r="H27" s="10"/>
      <c r="I27" s="7">
        <f t="shared" si="3"/>
        <v>0</v>
      </c>
    </row>
    <row r="28" spans="1:9">
      <c r="B28" s="10"/>
      <c r="C28" s="10"/>
      <c r="D28" s="7">
        <f t="shared" si="2"/>
        <v>0</v>
      </c>
      <c r="F28" s="1" t="s">
        <v>35</v>
      </c>
      <c r="G28" s="10"/>
      <c r="H28" s="10"/>
      <c r="I28" s="7">
        <f t="shared" si="3"/>
        <v>0</v>
      </c>
    </row>
    <row r="29" spans="1:9">
      <c r="A29" s="17" t="str">
        <f>"Total " &amp; Table54253647[[#Headers],[Gastos Vivienda]]</f>
        <v>Total Gastos Vivienda</v>
      </c>
      <c r="B29" s="12">
        <f>SUBTOTAL(9,Table54253647[Budget])</f>
        <v>3350</v>
      </c>
      <c r="C29" s="12">
        <f>SUBTOTAL(9,Table54253647[Actual])</f>
        <v>0</v>
      </c>
      <c r="D29" s="9">
        <f>SUBTOTAL(9,Table54253647[Difference])</f>
        <v>3350</v>
      </c>
      <c r="F29" s="1" t="s">
        <v>36</v>
      </c>
      <c r="G29" s="10"/>
      <c r="H29" s="10"/>
      <c r="I29" s="7">
        <f t="shared" si="3"/>
        <v>0</v>
      </c>
    </row>
    <row r="30" spans="1:9">
      <c r="B30" s="11"/>
      <c r="C30" s="11"/>
      <c r="D30" s="11"/>
      <c r="F30" s="1" t="s">
        <v>37</v>
      </c>
      <c r="G30" s="10"/>
      <c r="H30" s="10"/>
      <c r="I30" s="7">
        <f t="shared" si="3"/>
        <v>0</v>
      </c>
    </row>
    <row r="31" spans="1:9">
      <c r="A31" s="14" t="s">
        <v>38</v>
      </c>
      <c r="B31" s="15" t="s">
        <v>2</v>
      </c>
      <c r="C31" s="16" t="s">
        <v>3</v>
      </c>
      <c r="D31" s="16" t="s">
        <v>4</v>
      </c>
      <c r="F31" s="1" t="s">
        <v>75</v>
      </c>
      <c r="G31" s="10">
        <v>750</v>
      </c>
      <c r="H31" s="10"/>
      <c r="I31" s="7">
        <f t="shared" si="3"/>
        <v>750</v>
      </c>
    </row>
    <row r="32" spans="1:9">
      <c r="A32" s="1" t="s">
        <v>40</v>
      </c>
      <c r="B32" s="10">
        <v>750</v>
      </c>
      <c r="C32" s="10"/>
      <c r="D32" s="7">
        <f>B32-C32</f>
        <v>750</v>
      </c>
      <c r="F32" s="1" t="s">
        <v>76</v>
      </c>
      <c r="G32" s="10">
        <v>180</v>
      </c>
      <c r="H32" s="10"/>
      <c r="I32" s="7">
        <f t="shared" si="3"/>
        <v>180</v>
      </c>
    </row>
    <row r="33" spans="1:9">
      <c r="A33" s="1" t="s">
        <v>42</v>
      </c>
      <c r="B33" s="10"/>
      <c r="C33" s="10"/>
      <c r="D33" s="7">
        <f t="shared" ref="D33:D38" si="4">B33-C33</f>
        <v>0</v>
      </c>
      <c r="F33" s="1" t="s">
        <v>80</v>
      </c>
      <c r="G33" s="10"/>
      <c r="H33" s="10"/>
      <c r="I33" s="7">
        <f t="shared" si="3"/>
        <v>0</v>
      </c>
    </row>
    <row r="34" spans="1:9">
      <c r="A34" s="1" t="s">
        <v>44</v>
      </c>
      <c r="B34" s="10"/>
      <c r="C34" s="10"/>
      <c r="D34" s="7">
        <f>B34-C34</f>
        <v>0</v>
      </c>
      <c r="G34" s="10"/>
      <c r="H34" s="10"/>
      <c r="I34" s="7">
        <f t="shared" si="3"/>
        <v>0</v>
      </c>
    </row>
    <row r="35" spans="1:9">
      <c r="A35" s="1" t="s">
        <v>45</v>
      </c>
      <c r="B35" s="10"/>
      <c r="C35" s="10"/>
      <c r="D35" s="7">
        <f t="shared" si="4"/>
        <v>0</v>
      </c>
      <c r="F35" s="17" t="str">
        <f>"Total " &amp; Table710273849[[#Headers],[Diversion ]]</f>
        <v xml:space="preserve">Total Diversion </v>
      </c>
      <c r="G35" s="12">
        <f>SUBTOTAL(9,Table710273849[Budget])</f>
        <v>930</v>
      </c>
      <c r="H35" s="12">
        <f>SUBTOTAL(9,Table710273849[Actual])</f>
        <v>0</v>
      </c>
      <c r="I35" s="9">
        <f>SUBTOTAL(9,Table710273849[Difference])</f>
        <v>930</v>
      </c>
    </row>
    <row r="36" spans="1:9">
      <c r="A36" s="1" t="s">
        <v>46</v>
      </c>
      <c r="B36" s="10"/>
      <c r="C36" s="10"/>
      <c r="D36" s="7">
        <f t="shared" si="4"/>
        <v>0</v>
      </c>
      <c r="G36" s="11"/>
      <c r="H36" s="11"/>
      <c r="I36" s="11"/>
    </row>
    <row r="37" spans="1:9">
      <c r="A37" s="1" t="s">
        <v>47</v>
      </c>
      <c r="B37" s="10"/>
      <c r="C37" s="10"/>
      <c r="D37" s="7">
        <f t="shared" si="4"/>
        <v>0</v>
      </c>
      <c r="F37" s="14" t="s">
        <v>48</v>
      </c>
      <c r="G37" s="15" t="s">
        <v>2</v>
      </c>
      <c r="H37" s="16" t="s">
        <v>3</v>
      </c>
      <c r="I37" s="16" t="s">
        <v>4</v>
      </c>
    </row>
    <row r="38" spans="1:9">
      <c r="A38" s="1" t="s">
        <v>77</v>
      </c>
      <c r="B38" s="10"/>
      <c r="C38" s="10">
        <v>600</v>
      </c>
      <c r="D38" s="7">
        <f t="shared" si="4"/>
        <v>-600</v>
      </c>
      <c r="F38" s="1" t="s">
        <v>49</v>
      </c>
      <c r="G38" s="10">
        <v>5000</v>
      </c>
      <c r="H38" s="10"/>
      <c r="I38" s="7">
        <f>G38-H38</f>
        <v>5000</v>
      </c>
    </row>
    <row r="39" spans="1:9">
      <c r="A39" s="17" t="str">
        <f>"Total " &amp; Table2019334455[[#Headers],[Transporte]]</f>
        <v>Total Transporte</v>
      </c>
      <c r="B39" s="12">
        <f>SUBTOTAL(9,Table2019334455[Budget])</f>
        <v>750</v>
      </c>
      <c r="C39" s="12">
        <f>SUBTOTAL(9,Table2019334455[Actual])</f>
        <v>600</v>
      </c>
      <c r="D39" s="9">
        <f>SUBTOTAL(9,Table2019334455[Difference])</f>
        <v>150</v>
      </c>
      <c r="F39" s="1" t="s">
        <v>50</v>
      </c>
      <c r="G39" s="10">
        <v>2000</v>
      </c>
      <c r="H39" s="10"/>
      <c r="I39" s="7">
        <f t="shared" ref="I39:I40" si="5">G39-H39</f>
        <v>2000</v>
      </c>
    </row>
    <row r="40" spans="1:9">
      <c r="B40" s="11"/>
      <c r="C40" s="11"/>
      <c r="D40" s="11"/>
      <c r="F40" s="1" t="s">
        <v>51</v>
      </c>
      <c r="G40" s="10"/>
      <c r="H40" s="10"/>
      <c r="I40" s="7">
        <f t="shared" si="5"/>
        <v>0</v>
      </c>
    </row>
    <row r="41" spans="1:9">
      <c r="A41" s="14" t="s">
        <v>52</v>
      </c>
      <c r="B41" s="15" t="s">
        <v>2</v>
      </c>
      <c r="C41" s="16" t="s">
        <v>3</v>
      </c>
      <c r="D41" s="16" t="s">
        <v>4</v>
      </c>
      <c r="F41" s="1" t="s">
        <v>53</v>
      </c>
      <c r="G41" s="10"/>
      <c r="H41" s="10"/>
      <c r="I41" s="7">
        <f>G41-H41</f>
        <v>0</v>
      </c>
    </row>
    <row r="42" spans="1:9">
      <c r="A42" s="1" t="s">
        <v>54</v>
      </c>
      <c r="B42" s="10"/>
      <c r="C42" s="10"/>
      <c r="D42" s="7">
        <f t="shared" ref="D42:D48" si="6">B42-C42</f>
        <v>0</v>
      </c>
      <c r="F42" s="1" t="s">
        <v>17</v>
      </c>
      <c r="G42" s="10"/>
      <c r="H42" s="10"/>
      <c r="I42" s="7">
        <f>G42-H42</f>
        <v>0</v>
      </c>
    </row>
    <row r="43" spans="1:9">
      <c r="A43" s="1" t="s">
        <v>78</v>
      </c>
      <c r="B43" s="10"/>
      <c r="C43" s="10"/>
      <c r="D43" s="7">
        <f t="shared" si="6"/>
        <v>0</v>
      </c>
      <c r="F43" s="1" t="s">
        <v>17</v>
      </c>
      <c r="G43" s="10"/>
      <c r="H43" s="10"/>
      <c r="I43" s="7">
        <f>G43-H43</f>
        <v>0</v>
      </c>
    </row>
    <row r="44" spans="1:9">
      <c r="A44" s="1" t="s">
        <v>56</v>
      </c>
      <c r="B44" s="10"/>
      <c r="C44" s="10"/>
      <c r="D44" s="7">
        <f t="shared" si="6"/>
        <v>0</v>
      </c>
      <c r="F44" s="1" t="s">
        <v>17</v>
      </c>
      <c r="G44" s="10"/>
      <c r="H44" s="10"/>
      <c r="I44" s="7">
        <f>G44-H44</f>
        <v>0</v>
      </c>
    </row>
    <row r="45" spans="1:9">
      <c r="A45" s="1" t="s">
        <v>79</v>
      </c>
      <c r="B45" s="10"/>
      <c r="C45" s="10"/>
      <c r="D45" s="7">
        <f t="shared" si="6"/>
        <v>0</v>
      </c>
      <c r="F45" s="17" t="str">
        <f>"Total " &amp; Table812283950[[#Headers],[Ahorros]]</f>
        <v>Total Ahorros</v>
      </c>
      <c r="G45" s="12">
        <f>SUBTOTAL(9,Table812283950[Budget])</f>
        <v>7000</v>
      </c>
      <c r="H45" s="12">
        <f>SUBTOTAL(9,Table812283950[Actual])</f>
        <v>0</v>
      </c>
      <c r="I45" s="9">
        <f>SUBTOTAL(9,Table812283950[Difference])</f>
        <v>7000</v>
      </c>
    </row>
    <row r="46" spans="1:9">
      <c r="A46" s="1" t="s">
        <v>58</v>
      </c>
      <c r="B46" s="10"/>
      <c r="C46" s="10"/>
      <c r="D46" s="7">
        <f t="shared" si="6"/>
        <v>0</v>
      </c>
      <c r="G46" s="11"/>
      <c r="H46" s="11"/>
      <c r="I46" s="11"/>
    </row>
    <row r="47" spans="1:9">
      <c r="A47" s="1" t="s">
        <v>59</v>
      </c>
      <c r="B47" s="10"/>
      <c r="C47" s="10"/>
      <c r="D47" s="7">
        <f t="shared" si="6"/>
        <v>0</v>
      </c>
      <c r="F47" s="14" t="s">
        <v>60</v>
      </c>
      <c r="G47" s="15" t="s">
        <v>2</v>
      </c>
      <c r="H47" s="16" t="s">
        <v>3</v>
      </c>
      <c r="I47" s="16" t="s">
        <v>4</v>
      </c>
    </row>
    <row r="48" spans="1:9">
      <c r="A48" s="1" t="s">
        <v>17</v>
      </c>
      <c r="B48" s="10"/>
      <c r="C48" s="10"/>
      <c r="D48" s="7">
        <f t="shared" si="6"/>
        <v>0</v>
      </c>
      <c r="F48" s="1" t="s">
        <v>61</v>
      </c>
      <c r="G48" s="10">
        <v>3313.3</v>
      </c>
      <c r="H48" s="10"/>
      <c r="I48" s="7">
        <f t="shared" ref="I48:I55" si="7">G48-H48</f>
        <v>3313.3</v>
      </c>
    </row>
    <row r="49" spans="1:9">
      <c r="A49" s="17" t="str">
        <f>"Total " &amp; Table2123344556[[#Headers],[Salud]]</f>
        <v>Total Salud</v>
      </c>
      <c r="B49" s="12">
        <f>SUBTOTAL(9,Table2123344556[Budget])</f>
        <v>0</v>
      </c>
      <c r="C49" s="12">
        <f>SUBTOTAL(9,Table2123344556[Actual])</f>
        <v>0</v>
      </c>
      <c r="D49" s="9">
        <f>SUBTOTAL(9,Table2123344556[Difference])</f>
        <v>0</v>
      </c>
      <c r="F49" s="1" t="s">
        <v>62</v>
      </c>
      <c r="G49" s="10">
        <v>2000</v>
      </c>
      <c r="H49" s="10"/>
      <c r="I49" s="7">
        <f t="shared" si="7"/>
        <v>2000</v>
      </c>
    </row>
    <row r="50" spans="1:9">
      <c r="B50" s="11"/>
      <c r="C50" s="11"/>
      <c r="D50" s="11"/>
      <c r="F50" s="1" t="s">
        <v>63</v>
      </c>
      <c r="G50" s="10"/>
      <c r="H50" s="10"/>
      <c r="I50" s="7">
        <f t="shared" si="7"/>
        <v>0</v>
      </c>
    </row>
    <row r="51" spans="1:9">
      <c r="A51" s="14" t="s">
        <v>64</v>
      </c>
      <c r="B51" s="15" t="s">
        <v>2</v>
      </c>
      <c r="C51" s="16" t="s">
        <v>3</v>
      </c>
      <c r="D51" s="16" t="s">
        <v>4</v>
      </c>
      <c r="F51" s="1" t="s">
        <v>17</v>
      </c>
      <c r="G51" s="10"/>
      <c r="H51" s="10"/>
      <c r="I51" s="7">
        <f t="shared" si="7"/>
        <v>0</v>
      </c>
    </row>
    <row r="52" spans="1:9">
      <c r="A52" s="1" t="s">
        <v>65</v>
      </c>
      <c r="B52" s="10"/>
      <c r="C52" s="10"/>
      <c r="D52" s="7">
        <f t="shared" ref="D52:D55" si="8">B52-C52</f>
        <v>0</v>
      </c>
      <c r="G52" s="10"/>
      <c r="H52" s="10"/>
      <c r="I52" s="7">
        <f t="shared" si="7"/>
        <v>0</v>
      </c>
    </row>
    <row r="53" spans="1:9">
      <c r="A53" s="1" t="s">
        <v>66</v>
      </c>
      <c r="B53" s="10"/>
      <c r="C53" s="10"/>
      <c r="D53" s="7">
        <f t="shared" si="8"/>
        <v>0</v>
      </c>
      <c r="G53" s="10"/>
      <c r="H53" s="10"/>
      <c r="I53" s="7">
        <f t="shared" si="7"/>
        <v>0</v>
      </c>
    </row>
    <row r="54" spans="1:9">
      <c r="A54" s="1" t="s">
        <v>67</v>
      </c>
      <c r="B54" s="10"/>
      <c r="C54" s="10"/>
      <c r="D54" s="7">
        <f t="shared" si="8"/>
        <v>0</v>
      </c>
      <c r="G54" s="10"/>
      <c r="H54" s="10"/>
      <c r="I54" s="7">
        <f t="shared" si="7"/>
        <v>0</v>
      </c>
    </row>
    <row r="55" spans="1:9">
      <c r="A55" s="1" t="s">
        <v>17</v>
      </c>
      <c r="B55" s="10"/>
      <c r="C55" s="10"/>
      <c r="D55" s="7">
        <f t="shared" si="8"/>
        <v>0</v>
      </c>
      <c r="G55" s="10"/>
      <c r="H55" s="10"/>
      <c r="I55" s="7">
        <f t="shared" si="7"/>
        <v>0</v>
      </c>
    </row>
    <row r="56" spans="1:9">
      <c r="A56" s="17" t="str">
        <f>"Total " &amp; Table1918324354[[#Headers],[CHARITY/GIFTS]]</f>
        <v>Total CHARITY/GIFTS</v>
      </c>
      <c r="B56" s="12">
        <f>SUBTOTAL(9,Table1918324354[Budget])</f>
        <v>0</v>
      </c>
      <c r="C56" s="12">
        <f>SUBTOTAL(9,Table1918324354[Actual])</f>
        <v>0</v>
      </c>
      <c r="D56" s="9">
        <f>SUBTOTAL(9,Table1918324354[Difference])</f>
        <v>0</v>
      </c>
      <c r="F56" s="17" t="str">
        <f>"Total " &amp; Table1013294051[[#Headers],[Oblgiaciones ]]</f>
        <v xml:space="preserve">Total Oblgiaciones </v>
      </c>
      <c r="G56" s="12">
        <f>SUBTOTAL(9,Table1013294051[Budget])</f>
        <v>5313.3</v>
      </c>
      <c r="H56" s="12">
        <f>SUBTOTAL(9,Table1013294051[Actual])</f>
        <v>0</v>
      </c>
      <c r="I56" s="9">
        <f>SUBTOTAL(9,Table1013294051[Difference])</f>
        <v>5313.3</v>
      </c>
    </row>
    <row r="57" spans="1:9">
      <c r="B57" s="11"/>
      <c r="C57" s="11"/>
      <c r="D57" s="11"/>
      <c r="G57" s="11"/>
      <c r="H57" s="11"/>
      <c r="I57" s="11"/>
    </row>
    <row r="58" spans="1:9">
      <c r="A58" s="14" t="s">
        <v>68</v>
      </c>
      <c r="B58" s="15" t="s">
        <v>2</v>
      </c>
      <c r="C58" s="16" t="s">
        <v>3</v>
      </c>
      <c r="D58" s="16" t="s">
        <v>4</v>
      </c>
      <c r="F58" s="14" t="s">
        <v>69</v>
      </c>
      <c r="G58" s="15" t="s">
        <v>2</v>
      </c>
      <c r="H58" s="16" t="s">
        <v>3</v>
      </c>
      <c r="I58" s="16" t="s">
        <v>4</v>
      </c>
    </row>
    <row r="59" spans="1:9">
      <c r="A59" s="1" t="s">
        <v>70</v>
      </c>
      <c r="B59" s="10"/>
      <c r="C59" s="10"/>
      <c r="D59" s="7">
        <f t="shared" ref="D59:D62" si="9">B59-C59</f>
        <v>0</v>
      </c>
      <c r="F59" s="1" t="s">
        <v>71</v>
      </c>
      <c r="G59" s="6"/>
      <c r="H59" s="6"/>
      <c r="I59" s="7">
        <f t="shared" ref="I59:I62" si="10">G59-H59</f>
        <v>0</v>
      </c>
    </row>
    <row r="60" spans="1:9">
      <c r="A60" s="1" t="s">
        <v>72</v>
      </c>
      <c r="B60" s="10"/>
      <c r="C60" s="10"/>
      <c r="D60" s="7">
        <f t="shared" si="9"/>
        <v>0</v>
      </c>
      <c r="F60" s="1" t="s">
        <v>17</v>
      </c>
      <c r="G60" s="6"/>
      <c r="H60" s="6"/>
      <c r="I60" s="7">
        <f t="shared" si="10"/>
        <v>0</v>
      </c>
    </row>
    <row r="61" spans="1:9">
      <c r="A61" s="1" t="s">
        <v>73</v>
      </c>
      <c r="B61" s="10"/>
      <c r="C61" s="10"/>
      <c r="D61" s="7">
        <f t="shared" si="9"/>
        <v>0</v>
      </c>
      <c r="G61" s="6"/>
      <c r="H61" s="6"/>
      <c r="I61" s="7">
        <f t="shared" si="10"/>
        <v>0</v>
      </c>
    </row>
    <row r="62" spans="1:9">
      <c r="B62" s="10"/>
      <c r="C62" s="10"/>
      <c r="D62" s="7">
        <f t="shared" si="9"/>
        <v>0</v>
      </c>
      <c r="G62" s="10"/>
      <c r="H62" s="10"/>
      <c r="I62" s="7">
        <f t="shared" si="10"/>
        <v>0</v>
      </c>
    </row>
    <row r="63" spans="1:9">
      <c r="A63" s="17" t="str">
        <f>"Total " &amp; Table1517314253[[#Headers],[Subscrpciones]]</f>
        <v>Total Subscrpciones</v>
      </c>
      <c r="B63" s="12">
        <f>SUBTOTAL(9,Table1517314253[Budget])</f>
        <v>0</v>
      </c>
      <c r="C63" s="12">
        <f>SUBTOTAL(9,Table1517314253[Actual])</f>
        <v>0</v>
      </c>
      <c r="D63" s="9">
        <f>SUBTOTAL(9,Table1517314253[Difference])</f>
        <v>0</v>
      </c>
      <c r="F63" s="17" t="str">
        <f>"Total " &amp; Table1414304152[[#Headers],[Misc]]</f>
        <v>Total Misc</v>
      </c>
      <c r="G63" s="12">
        <f>SUBTOTAL(9,Table1414304152[Budget])</f>
        <v>0</v>
      </c>
      <c r="H63" s="12">
        <f>SUBTOTAL(9,Table1414304152[Actual])</f>
        <v>0</v>
      </c>
      <c r="I63" s="9">
        <f>SUBTOTAL(9,Table1414304152[Difference])</f>
        <v>0</v>
      </c>
    </row>
    <row r="64" spans="1:9">
      <c r="F64" s="5"/>
    </row>
    <row r="65" spans="5:6">
      <c r="F65" s="5"/>
    </row>
    <row r="66" spans="5:6">
      <c r="F66" s="5"/>
    </row>
    <row r="67" spans="5:6">
      <c r="F67" s="5"/>
    </row>
    <row r="68" spans="5:6">
      <c r="F68" s="5"/>
    </row>
    <row r="69" spans="5:6">
      <c r="F69" s="5"/>
    </row>
    <row r="72" spans="5:6">
      <c r="F72" s="5"/>
    </row>
    <row r="73" spans="5:6">
      <c r="F73" s="5"/>
    </row>
    <row r="74" spans="5:6">
      <c r="F74" s="5"/>
    </row>
    <row r="75" spans="5:6">
      <c r="E75" s="5"/>
      <c r="F75" s="5"/>
    </row>
    <row r="76" spans="5:6">
      <c r="E76" s="5"/>
      <c r="F76" s="5"/>
    </row>
    <row r="77" spans="5:6">
      <c r="E77" s="5"/>
      <c r="F77" s="5"/>
    </row>
    <row r="78" spans="5:6">
      <c r="E78" s="5"/>
      <c r="F78" s="5"/>
    </row>
    <row r="79" spans="5:6">
      <c r="F79" s="5"/>
    </row>
    <row r="80" spans="5:6">
      <c r="F80" s="5"/>
    </row>
    <row r="81" spans="5:6">
      <c r="E81" s="5"/>
      <c r="F81" s="5"/>
    </row>
    <row r="82" spans="5:6">
      <c r="E82" s="5"/>
    </row>
    <row r="83" spans="5:6">
      <c r="E83" s="5"/>
    </row>
    <row r="84" spans="5:6">
      <c r="E84" s="13" t="s">
        <v>5</v>
      </c>
    </row>
    <row r="85" spans="5:6">
      <c r="E85" s="5"/>
    </row>
    <row r="86" spans="5:6">
      <c r="E86" s="5"/>
    </row>
    <row r="87" spans="5:6">
      <c r="E87" s="5"/>
    </row>
    <row r="88" spans="5:6">
      <c r="E88" s="5"/>
    </row>
    <row r="89" spans="5:6">
      <c r="E89" s="5"/>
    </row>
    <row r="92" spans="5:6">
      <c r="E92" s="5"/>
    </row>
    <row r="93" spans="5:6">
      <c r="E93" s="5"/>
    </row>
    <row r="94" spans="5:6">
      <c r="E94" s="5"/>
    </row>
    <row r="95" spans="5:6">
      <c r="E95" s="5"/>
    </row>
    <row r="96" spans="5:6">
      <c r="E96" s="5"/>
    </row>
    <row r="97" spans="5:5">
      <c r="E97" s="5"/>
    </row>
    <row r="98" spans="5:5">
      <c r="E98" s="5"/>
    </row>
    <row r="99" spans="5:5">
      <c r="E99" s="5"/>
    </row>
    <row r="100" spans="5:5">
      <c r="E100" s="5"/>
    </row>
    <row r="101" spans="5:5">
      <c r="E101" s="5"/>
    </row>
    <row r="122" spans="6:6">
      <c r="F122" s="5"/>
    </row>
    <row r="123" spans="6:6">
      <c r="F123" s="5"/>
    </row>
    <row r="124" spans="6:6">
      <c r="F124" s="5"/>
    </row>
    <row r="125" spans="6:6">
      <c r="F125" s="5"/>
    </row>
    <row r="126" spans="6:6">
      <c r="F126" s="5"/>
    </row>
    <row r="127" spans="6:6">
      <c r="F127" s="5"/>
    </row>
    <row r="128" spans="6:6">
      <c r="F128" s="5"/>
    </row>
    <row r="131" spans="5:6">
      <c r="F131" s="5"/>
    </row>
    <row r="132" spans="5:6">
      <c r="F132" s="5"/>
    </row>
    <row r="133" spans="5:6">
      <c r="F133" s="5"/>
    </row>
    <row r="134" spans="5:6">
      <c r="F134" s="5"/>
    </row>
    <row r="135" spans="5:6">
      <c r="F135" s="5"/>
    </row>
    <row r="136" spans="5:6">
      <c r="F136" s="5"/>
    </row>
    <row r="137" spans="5:6">
      <c r="F137" s="5"/>
    </row>
    <row r="142" spans="5:6">
      <c r="E142" s="5"/>
    </row>
    <row r="143" spans="5:6">
      <c r="E143" s="5"/>
    </row>
    <row r="144" spans="5:6">
      <c r="E144" s="5"/>
    </row>
    <row r="145" spans="5:5">
      <c r="E145" s="5"/>
    </row>
    <row r="146" spans="5:5">
      <c r="E146" s="5"/>
    </row>
    <row r="147" spans="5:5">
      <c r="E147" s="5"/>
    </row>
    <row r="148" spans="5:5">
      <c r="E148" s="5"/>
    </row>
    <row r="151" spans="5:5">
      <c r="E151" s="5"/>
    </row>
    <row r="152" spans="5:5">
      <c r="E152" s="5"/>
    </row>
    <row r="153" spans="5:5">
      <c r="E153" s="5"/>
    </row>
    <row r="154" spans="5:5">
      <c r="E154" s="5"/>
    </row>
    <row r="155" spans="5:5">
      <c r="E155" s="5"/>
    </row>
    <row r="156" spans="5:5">
      <c r="E156" s="5"/>
    </row>
    <row r="157" spans="5:5">
      <c r="E157" s="5"/>
    </row>
  </sheetData>
  <mergeCells count="1">
    <mergeCell ref="A1:D3"/>
  </mergeCells>
  <conditionalFormatting sqref="B4">
    <cfRule type="containsText" priority="2" operator="containsText" text="Vertex42.com">
      <formula>NOT(ISERROR(SEARCH("Vertex42.com",B4)))</formula>
    </cfRule>
  </conditionalFormatting>
  <conditionalFormatting sqref="D5:D13 I11:I20 D16:D28 I24:I34 D32:D38 I38:I44 D42:D48 D52:D55 D59:D62 I59:I62">
    <cfRule type="cellIs" dxfId="128" priority="3" stopIfTrue="1" operator="lessThan">
      <formula>0</formula>
    </cfRule>
  </conditionalFormatting>
  <conditionalFormatting sqref="I48:I55">
    <cfRule type="cellIs" dxfId="127" priority="1" stopIfTrue="1" operator="lessThan">
      <formula>0</formula>
    </cfRule>
  </conditionalFormatting>
  <printOptions horizontalCentered="1"/>
  <pageMargins left="0.5" right="0.5" top="0.35" bottom="0.35" header="0.5" footer="0.25"/>
  <pageSetup scale="80" orientation="portrait"/>
  <headerFooter alignWithMargins="0"/>
  <tableParts count="11">
    <tablePart r:id="rId1"/>
    <tablePart r:id="rId2"/>
    <tablePart r:id="rId3"/>
    <tablePart r:id="rId4"/>
    <tablePart r:id="rId5"/>
    <tablePart r:id="rId6"/>
    <tablePart r:id="rId7"/>
    <tablePart r:id="rId8"/>
    <tablePart r:id="rId9"/>
    <tablePart r:id="rId10"/>
    <tablePart r:id="rId1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E5BC-C065-4AA2-8576-2C475B6CA67F}">
  <dimension ref="A1:L61"/>
  <sheetViews>
    <sheetView workbookViewId="0">
      <selection activeCell="C8" sqref="C8"/>
    </sheetView>
  </sheetViews>
  <sheetFormatPr defaultColWidth="11" defaultRowHeight="14.25"/>
  <cols>
    <col min="7" max="8" width="12.375" bestFit="1" customWidth="1"/>
  </cols>
  <sheetData>
    <row r="1" spans="1:12">
      <c r="A1" t="s">
        <v>81</v>
      </c>
      <c r="B1" t="s">
        <v>82</v>
      </c>
      <c r="C1" t="s">
        <v>83</v>
      </c>
      <c r="D1" t="s">
        <v>84</v>
      </c>
      <c r="E1" t="s">
        <v>85</v>
      </c>
      <c r="F1" t="s">
        <v>83</v>
      </c>
      <c r="G1" s="50" t="s">
        <v>86</v>
      </c>
      <c r="H1" s="50" t="s">
        <v>87</v>
      </c>
      <c r="I1" t="s">
        <v>88</v>
      </c>
    </row>
    <row r="2" spans="1:12">
      <c r="A2" t="s">
        <v>89</v>
      </c>
      <c r="B2" s="50">
        <f>5000+3000</f>
        <v>8000</v>
      </c>
      <c r="C2" t="s">
        <v>90</v>
      </c>
      <c r="D2" s="50">
        <v>2000</v>
      </c>
      <c r="E2" s="50">
        <v>0</v>
      </c>
      <c r="F2" t="s">
        <v>91</v>
      </c>
      <c r="G2" s="51">
        <f>IF(F2="Si",D2,0)+IF(F2="Si",B2,0)</f>
        <v>0</v>
      </c>
      <c r="H2" s="51">
        <v>7000</v>
      </c>
      <c r="I2" s="51">
        <f>G2-H2</f>
        <v>-7000</v>
      </c>
    </row>
    <row r="3" spans="1:12">
      <c r="A3" t="s">
        <v>92</v>
      </c>
      <c r="B3" s="50">
        <f>2500+2500</f>
        <v>5000</v>
      </c>
      <c r="C3" t="s">
        <v>90</v>
      </c>
      <c r="D3" s="50">
        <v>2000</v>
      </c>
      <c r="E3" s="50">
        <f>800+2200</f>
        <v>3000</v>
      </c>
      <c r="F3" t="s">
        <v>90</v>
      </c>
      <c r="G3" s="51">
        <f>IF(F3="Si",D3,0)+IF(F3="Si",B3,0)</f>
        <v>7000</v>
      </c>
      <c r="H3" s="51">
        <v>7000</v>
      </c>
      <c r="I3" s="51">
        <f t="shared" ref="I3:I43" si="0">G3-H3</f>
        <v>0</v>
      </c>
    </row>
    <row r="4" spans="1:12">
      <c r="A4" t="s">
        <v>93</v>
      </c>
      <c r="B4" s="50">
        <v>0</v>
      </c>
      <c r="C4" s="50" t="s">
        <v>94</v>
      </c>
      <c r="D4" s="50">
        <v>2000</v>
      </c>
      <c r="E4" s="50">
        <v>3000</v>
      </c>
      <c r="F4" t="s">
        <v>90</v>
      </c>
      <c r="G4" s="51">
        <f t="shared" ref="G4:G43" si="1">IF(F4="Si",D4,0)+IF(F4="Si",B4,0)</f>
        <v>2000</v>
      </c>
      <c r="H4" s="51">
        <v>7000</v>
      </c>
      <c r="I4" s="51">
        <f t="shared" si="0"/>
        <v>-5000</v>
      </c>
      <c r="J4" t="s">
        <v>95</v>
      </c>
      <c r="L4" t="s">
        <v>96</v>
      </c>
    </row>
    <row r="5" spans="1:12">
      <c r="A5" t="s">
        <v>97</v>
      </c>
      <c r="B5" s="50">
        <v>5000</v>
      </c>
      <c r="C5" s="50" t="s">
        <v>90</v>
      </c>
      <c r="D5" s="50">
        <v>2000</v>
      </c>
      <c r="E5" s="50">
        <v>3000</v>
      </c>
      <c r="F5" t="s">
        <v>90</v>
      </c>
      <c r="G5" s="51">
        <f t="shared" si="1"/>
        <v>7000</v>
      </c>
      <c r="H5" s="51">
        <v>7000</v>
      </c>
      <c r="I5" s="51">
        <f t="shared" si="0"/>
        <v>0</v>
      </c>
    </row>
    <row r="6" spans="1:12">
      <c r="A6" t="s">
        <v>98</v>
      </c>
      <c r="B6" s="50">
        <v>10000</v>
      </c>
      <c r="C6" s="50" t="s">
        <v>90</v>
      </c>
      <c r="D6" s="50">
        <v>2000</v>
      </c>
      <c r="E6" s="50">
        <v>6000</v>
      </c>
      <c r="F6" t="s">
        <v>90</v>
      </c>
      <c r="G6" s="51">
        <f t="shared" si="1"/>
        <v>12000</v>
      </c>
      <c r="H6" s="51">
        <v>7000</v>
      </c>
      <c r="I6" s="51">
        <f t="shared" si="0"/>
        <v>5000</v>
      </c>
    </row>
    <row r="7" spans="1:12">
      <c r="A7" t="s">
        <v>99</v>
      </c>
      <c r="B7" s="50"/>
      <c r="C7" s="50"/>
      <c r="D7" s="50">
        <v>2000</v>
      </c>
      <c r="E7" s="50"/>
      <c r="G7" s="51">
        <f t="shared" si="1"/>
        <v>0</v>
      </c>
      <c r="H7" s="51">
        <v>7000</v>
      </c>
      <c r="I7" s="51">
        <f t="shared" si="0"/>
        <v>-7000</v>
      </c>
    </row>
    <row r="8" spans="1:12">
      <c r="A8" t="s">
        <v>100</v>
      </c>
      <c r="B8" s="50"/>
      <c r="C8" s="50"/>
      <c r="D8" s="50"/>
      <c r="E8" s="50"/>
      <c r="G8" s="51">
        <f t="shared" si="1"/>
        <v>0</v>
      </c>
      <c r="H8" s="51">
        <v>7000</v>
      </c>
      <c r="I8" s="51">
        <f t="shared" si="0"/>
        <v>-7000</v>
      </c>
    </row>
    <row r="9" spans="1:12">
      <c r="A9" t="s">
        <v>101</v>
      </c>
      <c r="B9" s="50"/>
      <c r="C9" s="50"/>
      <c r="D9" s="50"/>
      <c r="E9" s="50"/>
      <c r="G9" s="51">
        <f t="shared" si="1"/>
        <v>0</v>
      </c>
      <c r="H9" s="51">
        <v>7000</v>
      </c>
      <c r="I9" s="51">
        <f t="shared" si="0"/>
        <v>-7000</v>
      </c>
    </row>
    <row r="10" spans="1:12">
      <c r="A10" t="s">
        <v>102</v>
      </c>
      <c r="B10" s="50"/>
      <c r="C10" s="50"/>
      <c r="D10" s="50"/>
      <c r="E10" s="50"/>
      <c r="G10" s="51">
        <f t="shared" si="1"/>
        <v>0</v>
      </c>
      <c r="H10" s="51">
        <v>7000</v>
      </c>
      <c r="I10" s="51">
        <f t="shared" si="0"/>
        <v>-7000</v>
      </c>
    </row>
    <row r="11" spans="1:12">
      <c r="A11" t="s">
        <v>103</v>
      </c>
      <c r="B11" s="50"/>
      <c r="C11" s="50"/>
      <c r="D11" s="50"/>
      <c r="E11" s="50"/>
      <c r="G11" s="51">
        <f t="shared" si="1"/>
        <v>0</v>
      </c>
      <c r="H11" s="51">
        <v>7000</v>
      </c>
      <c r="I11" s="51">
        <f t="shared" si="0"/>
        <v>-7000</v>
      </c>
    </row>
    <row r="12" spans="1:12">
      <c r="A12" t="s">
        <v>104</v>
      </c>
      <c r="B12" s="50"/>
      <c r="C12" s="50"/>
      <c r="D12" s="50"/>
      <c r="E12" s="50"/>
      <c r="G12" s="51">
        <f t="shared" si="1"/>
        <v>0</v>
      </c>
      <c r="H12" s="51">
        <v>7000</v>
      </c>
      <c r="I12" s="51">
        <f t="shared" si="0"/>
        <v>-7000</v>
      </c>
    </row>
    <row r="13" spans="1:12">
      <c r="A13" t="s">
        <v>105</v>
      </c>
      <c r="B13" s="50"/>
      <c r="C13" s="50"/>
      <c r="D13" s="50"/>
      <c r="E13" s="50"/>
      <c r="G13" s="51">
        <f t="shared" si="1"/>
        <v>0</v>
      </c>
      <c r="H13" s="51">
        <v>7000</v>
      </c>
      <c r="I13" s="51">
        <f t="shared" si="0"/>
        <v>-7000</v>
      </c>
    </row>
    <row r="14" spans="1:12">
      <c r="A14" t="s">
        <v>89</v>
      </c>
      <c r="B14" s="50"/>
      <c r="C14" s="50"/>
      <c r="D14" s="50"/>
      <c r="E14" s="50"/>
      <c r="G14" s="51">
        <f t="shared" si="1"/>
        <v>0</v>
      </c>
      <c r="H14" s="51">
        <v>7000</v>
      </c>
      <c r="I14" s="51">
        <f t="shared" si="0"/>
        <v>-7000</v>
      </c>
    </row>
    <row r="15" spans="1:12">
      <c r="A15" t="s">
        <v>92</v>
      </c>
      <c r="B15" s="50"/>
      <c r="C15" s="50"/>
      <c r="D15" s="50"/>
      <c r="E15" s="50"/>
      <c r="G15" s="51">
        <f t="shared" si="1"/>
        <v>0</v>
      </c>
      <c r="H15" s="51">
        <v>7000</v>
      </c>
      <c r="I15" s="51">
        <f t="shared" si="0"/>
        <v>-7000</v>
      </c>
    </row>
    <row r="16" spans="1:12">
      <c r="A16" t="s">
        <v>93</v>
      </c>
      <c r="B16" s="50"/>
      <c r="C16" s="50"/>
      <c r="D16" s="50"/>
      <c r="E16" s="50"/>
      <c r="G16" s="51">
        <f t="shared" si="1"/>
        <v>0</v>
      </c>
      <c r="H16" s="51">
        <v>7000</v>
      </c>
      <c r="I16" s="51">
        <f t="shared" si="0"/>
        <v>-7000</v>
      </c>
    </row>
    <row r="17" spans="1:9">
      <c r="A17" t="s">
        <v>97</v>
      </c>
      <c r="B17" s="50"/>
      <c r="C17" s="50"/>
      <c r="D17" s="50"/>
      <c r="E17" s="50"/>
      <c r="G17" s="51">
        <f t="shared" si="1"/>
        <v>0</v>
      </c>
      <c r="H17" s="51">
        <v>7000</v>
      </c>
      <c r="I17" s="51">
        <f t="shared" si="0"/>
        <v>-7000</v>
      </c>
    </row>
    <row r="18" spans="1:9">
      <c r="A18" t="s">
        <v>98</v>
      </c>
      <c r="B18" s="50"/>
      <c r="C18" s="50"/>
      <c r="D18" s="50"/>
      <c r="E18" s="50"/>
      <c r="G18" s="51">
        <f t="shared" si="1"/>
        <v>0</v>
      </c>
      <c r="H18" s="51">
        <v>7000</v>
      </c>
      <c r="I18" s="51">
        <f t="shared" si="0"/>
        <v>-7000</v>
      </c>
    </row>
    <row r="19" spans="1:9">
      <c r="A19" t="s">
        <v>99</v>
      </c>
      <c r="B19" s="50"/>
      <c r="C19" s="50"/>
      <c r="D19" s="50"/>
      <c r="E19" s="50"/>
      <c r="G19" s="51">
        <f t="shared" si="1"/>
        <v>0</v>
      </c>
      <c r="H19" s="51">
        <v>7000</v>
      </c>
      <c r="I19" s="51">
        <f t="shared" si="0"/>
        <v>-7000</v>
      </c>
    </row>
    <row r="20" spans="1:9">
      <c r="A20" t="s">
        <v>100</v>
      </c>
      <c r="B20" s="50"/>
      <c r="C20" s="50"/>
      <c r="D20" s="50"/>
      <c r="E20" s="50"/>
      <c r="G20" s="51">
        <f t="shared" si="1"/>
        <v>0</v>
      </c>
      <c r="H20" s="51">
        <v>7000</v>
      </c>
      <c r="I20" s="51">
        <f t="shared" si="0"/>
        <v>-7000</v>
      </c>
    </row>
    <row r="21" spans="1:9">
      <c r="A21" t="s">
        <v>101</v>
      </c>
      <c r="B21" s="50"/>
      <c r="C21" s="50"/>
      <c r="D21" s="50"/>
      <c r="E21" s="50"/>
      <c r="G21" s="51">
        <f t="shared" si="1"/>
        <v>0</v>
      </c>
      <c r="H21" s="51">
        <v>7000</v>
      </c>
      <c r="I21" s="51">
        <f t="shared" si="0"/>
        <v>-7000</v>
      </c>
    </row>
    <row r="22" spans="1:9">
      <c r="A22" t="s">
        <v>102</v>
      </c>
      <c r="B22" s="50"/>
      <c r="C22" s="50"/>
      <c r="D22" s="50"/>
      <c r="E22" s="50"/>
      <c r="G22" s="51">
        <f t="shared" si="1"/>
        <v>0</v>
      </c>
      <c r="H22" s="51">
        <v>7000</v>
      </c>
      <c r="I22" s="51">
        <f t="shared" si="0"/>
        <v>-7000</v>
      </c>
    </row>
    <row r="23" spans="1:9">
      <c r="A23" t="s">
        <v>103</v>
      </c>
      <c r="B23" s="50"/>
      <c r="C23" s="50"/>
      <c r="D23" s="50"/>
      <c r="E23" s="50"/>
      <c r="G23" s="51">
        <f t="shared" si="1"/>
        <v>0</v>
      </c>
      <c r="H23" s="51">
        <v>7000</v>
      </c>
      <c r="I23" s="51">
        <f t="shared" si="0"/>
        <v>-7000</v>
      </c>
    </row>
    <row r="24" spans="1:9">
      <c r="A24" t="s">
        <v>104</v>
      </c>
      <c r="B24" s="50"/>
      <c r="C24" s="50"/>
      <c r="D24" s="50"/>
      <c r="E24" s="50"/>
      <c r="G24" s="51">
        <f t="shared" si="1"/>
        <v>0</v>
      </c>
      <c r="H24" s="51">
        <v>7000</v>
      </c>
      <c r="I24" s="51">
        <f t="shared" si="0"/>
        <v>-7000</v>
      </c>
    </row>
    <row r="25" spans="1:9">
      <c r="A25" t="s">
        <v>105</v>
      </c>
      <c r="B25" s="50"/>
      <c r="C25" s="50"/>
      <c r="D25" s="50"/>
      <c r="E25" s="50"/>
      <c r="G25" s="51">
        <f t="shared" si="1"/>
        <v>0</v>
      </c>
      <c r="H25" s="51">
        <v>7000</v>
      </c>
      <c r="I25" s="51">
        <f t="shared" si="0"/>
        <v>-7000</v>
      </c>
    </row>
    <row r="26" spans="1:9">
      <c r="A26" t="s">
        <v>89</v>
      </c>
      <c r="B26" s="50"/>
      <c r="C26" s="50"/>
      <c r="D26" s="50"/>
      <c r="E26" s="50"/>
      <c r="G26" s="51">
        <f t="shared" si="1"/>
        <v>0</v>
      </c>
      <c r="H26" s="51">
        <v>7000</v>
      </c>
      <c r="I26" s="51">
        <f t="shared" si="0"/>
        <v>-7000</v>
      </c>
    </row>
    <row r="27" spans="1:9">
      <c r="A27" t="s">
        <v>92</v>
      </c>
      <c r="B27" s="50"/>
      <c r="C27" s="50"/>
      <c r="D27" s="50"/>
      <c r="E27" s="50"/>
      <c r="G27" s="51">
        <f t="shared" si="1"/>
        <v>0</v>
      </c>
      <c r="H27" s="51">
        <v>7000</v>
      </c>
      <c r="I27" s="51">
        <f t="shared" si="0"/>
        <v>-7000</v>
      </c>
    </row>
    <row r="28" spans="1:9">
      <c r="A28" t="s">
        <v>93</v>
      </c>
      <c r="B28" s="50"/>
      <c r="C28" s="50"/>
      <c r="D28" s="50"/>
      <c r="E28" s="50"/>
      <c r="G28" s="51">
        <f t="shared" si="1"/>
        <v>0</v>
      </c>
      <c r="H28" s="51">
        <v>7000</v>
      </c>
      <c r="I28" s="51">
        <f t="shared" si="0"/>
        <v>-7000</v>
      </c>
    </row>
    <row r="29" spans="1:9">
      <c r="A29" t="s">
        <v>97</v>
      </c>
      <c r="B29" s="50"/>
      <c r="C29" s="50"/>
      <c r="D29" s="50"/>
      <c r="E29" s="50"/>
      <c r="G29" s="51">
        <f t="shared" si="1"/>
        <v>0</v>
      </c>
      <c r="H29" s="51">
        <v>7000</v>
      </c>
      <c r="I29" s="51">
        <f t="shared" si="0"/>
        <v>-7000</v>
      </c>
    </row>
    <row r="30" spans="1:9">
      <c r="A30" t="s">
        <v>98</v>
      </c>
      <c r="B30" s="50"/>
      <c r="C30" s="50"/>
      <c r="D30" s="50"/>
      <c r="E30" s="50"/>
      <c r="G30" s="51">
        <f t="shared" si="1"/>
        <v>0</v>
      </c>
      <c r="H30" s="51">
        <v>7000</v>
      </c>
      <c r="I30" s="51">
        <f t="shared" si="0"/>
        <v>-7000</v>
      </c>
    </row>
    <row r="31" spans="1:9">
      <c r="A31" t="s">
        <v>99</v>
      </c>
      <c r="B31" s="50"/>
      <c r="C31" s="50"/>
      <c r="D31" s="50"/>
      <c r="E31" s="50"/>
      <c r="G31" s="51">
        <f t="shared" si="1"/>
        <v>0</v>
      </c>
      <c r="H31" s="51">
        <v>7000</v>
      </c>
      <c r="I31" s="51">
        <f t="shared" si="0"/>
        <v>-7000</v>
      </c>
    </row>
    <row r="32" spans="1:9">
      <c r="A32" t="s">
        <v>100</v>
      </c>
      <c r="B32" s="50"/>
      <c r="C32" s="50"/>
      <c r="D32" s="50"/>
      <c r="E32" s="50"/>
      <c r="G32" s="51">
        <f t="shared" si="1"/>
        <v>0</v>
      </c>
      <c r="H32" s="51">
        <v>7000</v>
      </c>
      <c r="I32" s="51">
        <f t="shared" si="0"/>
        <v>-7000</v>
      </c>
    </row>
    <row r="33" spans="1:9">
      <c r="A33" t="s">
        <v>101</v>
      </c>
      <c r="B33" s="50"/>
      <c r="C33" s="50"/>
      <c r="D33" s="50"/>
      <c r="E33" s="50"/>
      <c r="G33" s="51">
        <f t="shared" si="1"/>
        <v>0</v>
      </c>
      <c r="H33" s="51">
        <v>7000</v>
      </c>
      <c r="I33" s="51">
        <f t="shared" si="0"/>
        <v>-7000</v>
      </c>
    </row>
    <row r="34" spans="1:9">
      <c r="A34" t="s">
        <v>102</v>
      </c>
      <c r="B34" s="50"/>
      <c r="C34" s="50"/>
      <c r="D34" s="50"/>
      <c r="E34" s="50"/>
      <c r="G34" s="51">
        <f t="shared" si="1"/>
        <v>0</v>
      </c>
      <c r="H34" s="51">
        <v>7000</v>
      </c>
      <c r="I34" s="51">
        <f t="shared" si="0"/>
        <v>-7000</v>
      </c>
    </row>
    <row r="35" spans="1:9">
      <c r="A35" t="s">
        <v>103</v>
      </c>
      <c r="B35" s="50"/>
      <c r="C35" s="50"/>
      <c r="D35" s="50"/>
      <c r="E35" s="50"/>
      <c r="G35" s="51">
        <f t="shared" si="1"/>
        <v>0</v>
      </c>
      <c r="H35" s="51">
        <v>7000</v>
      </c>
      <c r="I35" s="51">
        <f t="shared" si="0"/>
        <v>-7000</v>
      </c>
    </row>
    <row r="36" spans="1:9">
      <c r="A36" t="s">
        <v>104</v>
      </c>
      <c r="B36" s="50"/>
      <c r="C36" s="50"/>
      <c r="D36" s="50"/>
      <c r="E36" s="50"/>
      <c r="G36" s="51">
        <f t="shared" si="1"/>
        <v>0</v>
      </c>
      <c r="H36" s="51">
        <v>7000</v>
      </c>
      <c r="I36" s="51">
        <f t="shared" si="0"/>
        <v>-7000</v>
      </c>
    </row>
    <row r="37" spans="1:9">
      <c r="A37" t="s">
        <v>105</v>
      </c>
      <c r="B37" s="50"/>
      <c r="C37" s="50"/>
      <c r="D37" s="50"/>
      <c r="E37" s="50"/>
      <c r="G37" s="51">
        <f t="shared" si="1"/>
        <v>0</v>
      </c>
      <c r="H37" s="51">
        <v>7000</v>
      </c>
      <c r="I37" s="51">
        <f t="shared" si="0"/>
        <v>-7000</v>
      </c>
    </row>
    <row r="38" spans="1:9">
      <c r="A38" t="s">
        <v>89</v>
      </c>
      <c r="B38" s="50"/>
      <c r="C38" s="50"/>
      <c r="D38" s="50"/>
      <c r="E38" s="50"/>
      <c r="G38" s="51">
        <f t="shared" si="1"/>
        <v>0</v>
      </c>
      <c r="H38" s="51">
        <v>7000</v>
      </c>
      <c r="I38" s="51">
        <f t="shared" si="0"/>
        <v>-7000</v>
      </c>
    </row>
    <row r="39" spans="1:9">
      <c r="A39" t="s">
        <v>92</v>
      </c>
      <c r="B39" s="50"/>
      <c r="C39" s="50"/>
      <c r="D39" s="50"/>
      <c r="E39" s="50"/>
      <c r="G39" s="51">
        <f t="shared" si="1"/>
        <v>0</v>
      </c>
      <c r="H39" s="51">
        <v>7000</v>
      </c>
      <c r="I39" s="51">
        <f t="shared" si="0"/>
        <v>-7000</v>
      </c>
    </row>
    <row r="40" spans="1:9">
      <c r="A40" t="s">
        <v>93</v>
      </c>
      <c r="B40" s="50"/>
      <c r="C40" s="50"/>
      <c r="D40" s="50"/>
      <c r="E40" s="50"/>
      <c r="G40" s="51">
        <f t="shared" si="1"/>
        <v>0</v>
      </c>
      <c r="H40" s="51">
        <v>7000</v>
      </c>
      <c r="I40" s="51">
        <f t="shared" si="0"/>
        <v>-7000</v>
      </c>
    </row>
    <row r="41" spans="1:9">
      <c r="A41" t="s">
        <v>97</v>
      </c>
      <c r="B41" s="50"/>
      <c r="C41" s="50"/>
      <c r="D41" s="50"/>
      <c r="E41" s="50"/>
      <c r="G41" s="51">
        <f t="shared" si="1"/>
        <v>0</v>
      </c>
      <c r="H41" s="51">
        <v>7000</v>
      </c>
      <c r="I41" s="51">
        <f t="shared" si="0"/>
        <v>-7000</v>
      </c>
    </row>
    <row r="42" spans="1:9">
      <c r="A42" t="s">
        <v>98</v>
      </c>
      <c r="B42" s="50"/>
      <c r="C42" s="50"/>
      <c r="D42" s="50"/>
      <c r="E42" s="50"/>
      <c r="G42" s="51">
        <f t="shared" si="1"/>
        <v>0</v>
      </c>
      <c r="H42" s="51">
        <v>7000</v>
      </c>
      <c r="I42" s="51">
        <f t="shared" si="0"/>
        <v>-7000</v>
      </c>
    </row>
    <row r="43" spans="1:9">
      <c r="A43" t="s">
        <v>99</v>
      </c>
      <c r="B43" s="50"/>
      <c r="C43" s="50"/>
      <c r="D43" s="50"/>
      <c r="E43" s="50"/>
      <c r="G43" s="51">
        <f t="shared" si="1"/>
        <v>0</v>
      </c>
      <c r="H43" s="51">
        <v>7000</v>
      </c>
      <c r="I43" s="51">
        <f t="shared" si="0"/>
        <v>-7000</v>
      </c>
    </row>
    <row r="44" spans="1:9">
      <c r="A44" t="s">
        <v>86</v>
      </c>
      <c r="B44" s="50">
        <f>SUM(B2:B43)</f>
        <v>28000</v>
      </c>
      <c r="C44" s="50"/>
      <c r="D44" s="50">
        <f>SUM(D2:D43)</f>
        <v>12000</v>
      </c>
      <c r="E44" s="50"/>
    </row>
    <row r="45" spans="1:9">
      <c r="B45" s="50"/>
      <c r="C45" s="50"/>
      <c r="D45" s="50"/>
      <c r="E45" s="50"/>
    </row>
    <row r="46" spans="1:9">
      <c r="B46" s="50"/>
      <c r="C46" s="50"/>
      <c r="D46" s="50"/>
      <c r="E46" s="50"/>
    </row>
    <row r="47" spans="1:9">
      <c r="B47" s="50"/>
      <c r="C47" s="50"/>
      <c r="D47" s="50"/>
      <c r="E47" s="50"/>
    </row>
    <row r="48" spans="1:9">
      <c r="B48" s="50"/>
      <c r="C48" s="50"/>
      <c r="D48" s="50"/>
      <c r="E48" s="50"/>
    </row>
    <row r="49" spans="2:5">
      <c r="B49" s="50"/>
      <c r="C49" s="50"/>
      <c r="D49" s="50"/>
      <c r="E49" s="50"/>
    </row>
    <row r="50" spans="2:5">
      <c r="B50" s="50"/>
      <c r="C50" s="50"/>
      <c r="D50" s="50"/>
      <c r="E50" s="50"/>
    </row>
    <row r="51" spans="2:5">
      <c r="B51" s="50"/>
      <c r="C51" s="50"/>
      <c r="D51" s="50"/>
      <c r="E51" s="50"/>
    </row>
    <row r="52" spans="2:5">
      <c r="B52" s="50"/>
      <c r="C52" s="50"/>
      <c r="D52" s="50"/>
      <c r="E52" s="50"/>
    </row>
    <row r="53" spans="2:5">
      <c r="B53" s="50"/>
      <c r="C53" s="50"/>
      <c r="D53" s="50"/>
      <c r="E53" s="50"/>
    </row>
    <row r="54" spans="2:5">
      <c r="B54" s="50"/>
      <c r="C54" s="50"/>
      <c r="D54" s="50"/>
      <c r="E54" s="50"/>
    </row>
    <row r="55" spans="2:5">
      <c r="B55" s="50"/>
      <c r="C55" s="50"/>
      <c r="D55" s="50"/>
      <c r="E55" s="50"/>
    </row>
    <row r="56" spans="2:5">
      <c r="B56" s="50"/>
      <c r="C56" s="50"/>
      <c r="D56" s="50"/>
      <c r="E56" s="50"/>
    </row>
    <row r="57" spans="2:5">
      <c r="B57" s="50"/>
      <c r="C57" s="50"/>
      <c r="D57" s="50"/>
      <c r="E57" s="50"/>
    </row>
    <row r="58" spans="2:5">
      <c r="B58" s="50"/>
      <c r="C58" s="50"/>
      <c r="D58" s="50"/>
      <c r="E58" s="50"/>
    </row>
    <row r="59" spans="2:5">
      <c r="B59" s="50"/>
      <c r="C59" s="50"/>
      <c r="D59" s="50"/>
      <c r="E59" s="50"/>
    </row>
    <row r="60" spans="2:5">
      <c r="B60" s="50"/>
      <c r="C60" s="50"/>
      <c r="D60" s="50"/>
      <c r="E60" s="50"/>
    </row>
    <row r="61" spans="2:5">
      <c r="B61" s="50"/>
      <c r="C61" s="50"/>
      <c r="D61" s="50"/>
      <c r="E61" s="50"/>
    </row>
  </sheetData>
  <phoneticPr fontId="29" type="noConversion"/>
  <conditionalFormatting sqref="I2:I43">
    <cfRule type="colorScale" priority="4">
      <colorScale>
        <cfvo type="min"/>
        <cfvo type="percentile" val="50"/>
        <cfvo type="max"/>
        <color rgb="FF63BE7B"/>
        <color rgb="FFFFEB84"/>
        <color rgb="FFF8696B"/>
      </colorScale>
    </cfRule>
  </conditionalFormatting>
  <conditionalFormatting sqref="I2:I43">
    <cfRule type="colorScale" priority="3">
      <colorScale>
        <cfvo type="min"/>
        <cfvo type="percentile" val="50"/>
        <cfvo type="max"/>
        <color rgb="FF63BE7B"/>
        <color rgb="FFFFEB84"/>
        <color rgb="FFF8696B"/>
      </colorScale>
    </cfRule>
  </conditionalFormatting>
  <conditionalFormatting sqref="I2:I43">
    <cfRule type="colorScale" priority="2">
      <colorScale>
        <cfvo type="min"/>
        <cfvo type="percentile" val="50"/>
        <cfvo type="max"/>
        <color rgb="FF5A8AC6"/>
        <color rgb="FFFCFCFF"/>
        <color rgb="FFF8696B"/>
      </colorScale>
    </cfRule>
  </conditionalFormatting>
  <conditionalFormatting sqref="I2:I43">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031A-D066-4CC0-908E-0A39D810EFC1}">
  <sheetPr filterMode="1"/>
  <dimension ref="C1:S27"/>
  <sheetViews>
    <sheetView topLeftCell="C1" workbookViewId="0">
      <selection activeCell="J27" sqref="J27"/>
    </sheetView>
  </sheetViews>
  <sheetFormatPr defaultRowHeight="14.25"/>
  <cols>
    <col min="3" max="3" width="18.375" bestFit="1" customWidth="1"/>
    <col min="4" max="4" width="22.5" bestFit="1" customWidth="1"/>
    <col min="5" max="5" width="14.125" bestFit="1" customWidth="1"/>
    <col min="6" max="6" width="35.75" style="67" bestFit="1" customWidth="1"/>
    <col min="7" max="7" width="15.25" style="67" customWidth="1"/>
    <col min="8" max="8" width="15.875" style="67" customWidth="1"/>
    <col min="9" max="9" width="11.375" bestFit="1" customWidth="1"/>
    <col min="10" max="10" width="10.375" customWidth="1"/>
    <col min="11" max="11" width="19.5" bestFit="1" customWidth="1"/>
    <col min="12" max="12" width="19.5" customWidth="1"/>
    <col min="13" max="13" width="11.5" bestFit="1" customWidth="1"/>
    <col min="18" max="18" width="12.5" bestFit="1" customWidth="1"/>
    <col min="19" max="19" width="9.875" bestFit="1" customWidth="1"/>
  </cols>
  <sheetData>
    <row r="1" spans="3:19" ht="15">
      <c r="C1" s="69" t="s">
        <v>106</v>
      </c>
      <c r="D1" s="69" t="s">
        <v>107</v>
      </c>
      <c r="F1"/>
      <c r="G1"/>
      <c r="H1"/>
    </row>
    <row r="2" spans="3:19">
      <c r="C2" s="53">
        <v>44774</v>
      </c>
      <c r="D2" s="53">
        <f ca="1">TODAY()</f>
        <v>45730</v>
      </c>
      <c r="E2" s="65">
        <f ca="1">TRUNC((D2-C2)/30)</f>
        <v>31</v>
      </c>
      <c r="F2" t="s">
        <v>108</v>
      </c>
      <c r="G2"/>
      <c r="H2"/>
    </row>
    <row r="3" spans="3:19" ht="15">
      <c r="C3" s="52" t="s">
        <v>109</v>
      </c>
      <c r="D3" s="61" t="s">
        <v>110</v>
      </c>
      <c r="E3" s="68"/>
      <c r="F3" s="66"/>
      <c r="G3" s="66" t="s">
        <v>110</v>
      </c>
      <c r="H3" s="66" t="s">
        <v>111</v>
      </c>
      <c r="I3" s="66"/>
      <c r="J3" s="66">
        <f>9500-11123</f>
        <v>-1623</v>
      </c>
      <c r="K3" s="66"/>
      <c r="L3" s="66"/>
      <c r="M3" s="66"/>
      <c r="S3" s="60"/>
    </row>
    <row r="4" spans="3:19" s="67" customFormat="1">
      <c r="C4" s="67">
        <f>Dash!B44</f>
        <v>28000</v>
      </c>
      <c r="D4" s="67">
        <f ca="1">E2*2000</f>
        <v>62000</v>
      </c>
      <c r="E4" s="70"/>
      <c r="F4" s="70"/>
      <c r="G4" s="70">
        <f>F11+F12+F14-31120+F17</f>
        <v>45765.152254000015</v>
      </c>
      <c r="H4" s="70">
        <f ca="1">G4-D4</f>
        <v>-16234.847745999985</v>
      </c>
      <c r="I4" s="70"/>
      <c r="J4" s="70"/>
      <c r="K4" s="70"/>
      <c r="L4" s="70"/>
      <c r="M4" s="70"/>
    </row>
    <row r="5" spans="3:19" ht="15">
      <c r="C5" t="s">
        <v>112</v>
      </c>
      <c r="D5" t="s">
        <v>113</v>
      </c>
      <c r="F5"/>
      <c r="G5" s="66" t="s">
        <v>114</v>
      </c>
      <c r="H5" s="70"/>
    </row>
    <row r="6" spans="3:19">
      <c r="F6"/>
      <c r="G6" s="67">
        <f>F13+F15+F16</f>
        <v>18494.338958</v>
      </c>
      <c r="H6" s="70">
        <f>G6-C4</f>
        <v>-9505.6610419999997</v>
      </c>
      <c r="R6" s="51"/>
    </row>
    <row r="7" spans="3:19">
      <c r="F7"/>
      <c r="G7"/>
      <c r="H7"/>
    </row>
    <row r="8" spans="3:19">
      <c r="C8" s="53">
        <f ca="1">TODAY()</f>
        <v>45730</v>
      </c>
      <c r="F8"/>
      <c r="G8"/>
      <c r="H8"/>
    </row>
    <row r="9" spans="3:19" ht="15">
      <c r="C9" s="55" t="s">
        <v>115</v>
      </c>
      <c r="F9"/>
      <c r="G9"/>
      <c r="H9"/>
      <c r="N9" t="e" cm="1">
        <f t="array" aca="1" ref="N9" ca="1">tr</f>
        <v>#NAME?</v>
      </c>
    </row>
    <row r="10" spans="3:19" ht="15">
      <c r="C10" s="56" t="s">
        <v>116</v>
      </c>
      <c r="D10" s="57" t="s">
        <v>117</v>
      </c>
      <c r="E10" s="57" t="s">
        <v>118</v>
      </c>
      <c r="F10" s="57" t="s">
        <v>119</v>
      </c>
      <c r="G10" s="57" t="s">
        <v>120</v>
      </c>
      <c r="H10" s="57" t="s">
        <v>121</v>
      </c>
      <c r="I10" s="57" t="s">
        <v>122</v>
      </c>
      <c r="J10" s="57" t="s">
        <v>123</v>
      </c>
      <c r="K10" s="58" t="s">
        <v>124</v>
      </c>
      <c r="L10" s="55" t="s">
        <v>125</v>
      </c>
    </row>
    <row r="11" spans="3:19">
      <c r="C11" s="60" t="s">
        <v>126</v>
      </c>
      <c r="D11">
        <v>56</v>
      </c>
      <c r="E11">
        <v>88.55</v>
      </c>
      <c r="F11" s="67">
        <f>D11*E11</f>
        <v>4958.8</v>
      </c>
      <c r="I11" s="53">
        <v>46450</v>
      </c>
      <c r="J11" s="53" t="s">
        <v>127</v>
      </c>
      <c r="K11" s="54">
        <f ca="1">(I11-$C$8)/365</f>
        <v>1.9726027397260273</v>
      </c>
      <c r="L11" s="54" t="s">
        <v>128</v>
      </c>
      <c r="M11" t="s">
        <v>109</v>
      </c>
    </row>
    <row r="12" spans="3:19">
      <c r="C12" s="62" t="s">
        <v>129</v>
      </c>
      <c r="D12">
        <v>6000</v>
      </c>
      <c r="E12">
        <v>9.4600000000000009</v>
      </c>
      <c r="F12" s="67">
        <f>D12*E12</f>
        <v>56760.000000000007</v>
      </c>
      <c r="I12" s="53">
        <v>45330</v>
      </c>
      <c r="J12" s="53" t="s">
        <v>127</v>
      </c>
      <c r="K12" s="54">
        <f ca="1">(I12-$C$8)/365</f>
        <v>-1.095890410958904</v>
      </c>
      <c r="L12" s="54" t="s">
        <v>128</v>
      </c>
      <c r="M12" s="51">
        <f>F12-31120</f>
        <v>25640.000000000007</v>
      </c>
      <c r="N12" t="s">
        <v>130</v>
      </c>
      <c r="P12" t="s">
        <v>131</v>
      </c>
      <c r="Q12" t="s">
        <v>132</v>
      </c>
    </row>
    <row r="13" spans="3:19" hidden="1">
      <c r="C13" s="60" t="s">
        <v>133</v>
      </c>
      <c r="D13">
        <v>677</v>
      </c>
      <c r="E13">
        <v>9.0024999999999995</v>
      </c>
      <c r="F13" s="67">
        <f>D13*E13</f>
        <v>6094.6925000000001</v>
      </c>
      <c r="I13" s="53">
        <v>45470</v>
      </c>
      <c r="J13" s="53" t="s">
        <v>134</v>
      </c>
      <c r="K13" s="54">
        <f ca="1">(I13-$C$8)/365</f>
        <v>-0.71232876712328763</v>
      </c>
      <c r="L13" s="54" t="s">
        <v>135</v>
      </c>
      <c r="M13" t="s">
        <v>109</v>
      </c>
      <c r="Q13" t="s">
        <v>136</v>
      </c>
    </row>
    <row r="14" spans="3:19" hidden="1">
      <c r="C14" s="60" t="s">
        <v>137</v>
      </c>
      <c r="D14">
        <v>1514</v>
      </c>
      <c r="E14">
        <v>8.945411</v>
      </c>
      <c r="F14" s="67">
        <f>D14*E14</f>
        <v>13543.352253999999</v>
      </c>
      <c r="I14" s="53">
        <v>45554</v>
      </c>
      <c r="J14" s="53" t="s">
        <v>134</v>
      </c>
      <c r="K14" s="54">
        <f ca="1">(I14-$C$8)/365</f>
        <v>-0.48219178082191783</v>
      </c>
      <c r="L14" s="54" t="s">
        <v>128</v>
      </c>
    </row>
    <row r="15" spans="3:19" hidden="1">
      <c r="C15" s="62" t="s">
        <v>138</v>
      </c>
      <c r="D15">
        <v>254</v>
      </c>
      <c r="E15">
        <v>9.4474269999999994</v>
      </c>
      <c r="F15" s="67">
        <f>D15*E15</f>
        <v>2399.6464579999997</v>
      </c>
      <c r="I15" s="53">
        <v>45372</v>
      </c>
      <c r="J15" t="s">
        <v>134</v>
      </c>
      <c r="K15" s="54">
        <f ca="1">(I15-$C$8)/365</f>
        <v>-0.98082191780821915</v>
      </c>
      <c r="L15" s="54" t="s">
        <v>135</v>
      </c>
    </row>
    <row r="16" spans="3:19" hidden="1">
      <c r="C16" t="s">
        <v>139</v>
      </c>
      <c r="D16">
        <v>1002</v>
      </c>
      <c r="E16">
        <v>9.4788879999999995</v>
      </c>
      <c r="F16" s="67">
        <v>10000</v>
      </c>
      <c r="G16" s="71">
        <v>0.11310000000000001</v>
      </c>
      <c r="I16" s="53">
        <v>45442</v>
      </c>
      <c r="J16" t="s">
        <v>134</v>
      </c>
      <c r="K16" s="54">
        <f ca="1">(I16-$C$8)/365</f>
        <v>-0.78904109589041094</v>
      </c>
      <c r="L16" t="s">
        <v>135</v>
      </c>
    </row>
    <row r="17" spans="6:12" hidden="1">
      <c r="F17" s="67">
        <v>1623</v>
      </c>
      <c r="J17" t="s">
        <v>134</v>
      </c>
      <c r="K17" s="54">
        <f ca="1">(I17-$C$8)/365</f>
        <v>-125.28767123287672</v>
      </c>
      <c r="L17" t="s">
        <v>128</v>
      </c>
    </row>
    <row r="18" spans="6:12">
      <c r="K18" s="54"/>
    </row>
    <row r="19" spans="6:12">
      <c r="K19" s="67"/>
    </row>
    <row r="22" spans="6:12">
      <c r="I22" s="67">
        <v>81782</v>
      </c>
    </row>
    <row r="23" spans="6:12">
      <c r="I23" s="67">
        <f>I22-25640-31120</f>
        <v>25022</v>
      </c>
    </row>
    <row r="27" spans="6:12">
      <c r="H27" s="67">
        <v>9.4585380000000008</v>
      </c>
      <c r="I27">
        <v>9.8887999999999998</v>
      </c>
      <c r="J27" s="67">
        <f>(I27-H27)*6000</f>
        <v>2581.5719999999942</v>
      </c>
    </row>
  </sheetData>
  <autoFilter ref="C10:L17" xr:uid="{2614031A-D066-4CC0-908E-0A39D810EFC1}">
    <filterColumn colId="7">
      <filters>
        <filter val="Finamex"/>
      </filters>
    </filterColumn>
  </autoFilter>
  <conditionalFormatting sqref="K11:L15">
    <cfRule type="dataBar" priority="8">
      <dataBar>
        <cfvo type="min"/>
        <cfvo type="max"/>
        <color rgb="FFFF555A"/>
      </dataBar>
      <extLst>
        <ext xmlns:x14="http://schemas.microsoft.com/office/spreadsheetml/2009/9/main" uri="{B025F937-C7B1-47D3-B67F-A62EFF666E3E}">
          <x14:id>{A48125BC-4DC4-4B75-9770-5CB6CC5846F5}</x14:id>
        </ext>
      </extLst>
    </cfRule>
  </conditionalFormatting>
  <conditionalFormatting sqref="K11:L15">
    <cfRule type="dataBar" priority="7">
      <dataBar>
        <cfvo type="min"/>
        <cfvo type="max"/>
        <color rgb="FFD6007B"/>
      </dataBar>
      <extLst>
        <ext xmlns:x14="http://schemas.microsoft.com/office/spreadsheetml/2009/9/main" uri="{B025F937-C7B1-47D3-B67F-A62EFF666E3E}">
          <x14:id>{956EB92F-B953-4838-BD98-497C74EE73A1}</x14:id>
        </ext>
      </extLst>
    </cfRule>
  </conditionalFormatting>
  <conditionalFormatting sqref="K16">
    <cfRule type="dataBar" priority="6">
      <dataBar>
        <cfvo type="min"/>
        <cfvo type="max"/>
        <color rgb="FFFF555A"/>
      </dataBar>
      <extLst>
        <ext xmlns:x14="http://schemas.microsoft.com/office/spreadsheetml/2009/9/main" uri="{B025F937-C7B1-47D3-B67F-A62EFF666E3E}">
          <x14:id>{2D32BF8E-5ED3-4B8B-B451-3DBF15C35EFF}</x14:id>
        </ext>
      </extLst>
    </cfRule>
  </conditionalFormatting>
  <conditionalFormatting sqref="K16">
    <cfRule type="dataBar" priority="5">
      <dataBar>
        <cfvo type="min"/>
        <cfvo type="max"/>
        <color rgb="FFD6007B"/>
      </dataBar>
      <extLst>
        <ext xmlns:x14="http://schemas.microsoft.com/office/spreadsheetml/2009/9/main" uri="{B025F937-C7B1-47D3-B67F-A62EFF666E3E}">
          <x14:id>{1509A325-6F7B-4DD9-A431-6F34A3291B79}</x14:id>
        </ext>
      </extLst>
    </cfRule>
  </conditionalFormatting>
  <conditionalFormatting sqref="K17">
    <cfRule type="dataBar" priority="4">
      <dataBar>
        <cfvo type="min"/>
        <cfvo type="max"/>
        <color rgb="FFFF555A"/>
      </dataBar>
      <extLst>
        <ext xmlns:x14="http://schemas.microsoft.com/office/spreadsheetml/2009/9/main" uri="{B025F937-C7B1-47D3-B67F-A62EFF666E3E}">
          <x14:id>{E7930190-85A3-49E7-90A2-3496C61246A3}</x14:id>
        </ext>
      </extLst>
    </cfRule>
  </conditionalFormatting>
  <conditionalFormatting sqref="K17">
    <cfRule type="dataBar" priority="3">
      <dataBar>
        <cfvo type="min"/>
        <cfvo type="max"/>
        <color rgb="FFD6007B"/>
      </dataBar>
      <extLst>
        <ext xmlns:x14="http://schemas.microsoft.com/office/spreadsheetml/2009/9/main" uri="{B025F937-C7B1-47D3-B67F-A62EFF666E3E}">
          <x14:id>{7B8E134C-2C80-44C9-89FB-08B07D600286}</x14:id>
        </ext>
      </extLst>
    </cfRule>
  </conditionalFormatting>
  <conditionalFormatting sqref="K18">
    <cfRule type="dataBar" priority="2">
      <dataBar>
        <cfvo type="min"/>
        <cfvo type="max"/>
        <color rgb="FFFF555A"/>
      </dataBar>
      <extLst>
        <ext xmlns:x14="http://schemas.microsoft.com/office/spreadsheetml/2009/9/main" uri="{B025F937-C7B1-47D3-B67F-A62EFF666E3E}">
          <x14:id>{71AFBB22-39D0-42EC-BEF5-0420048D926C}</x14:id>
        </ext>
      </extLst>
    </cfRule>
  </conditionalFormatting>
  <conditionalFormatting sqref="K18">
    <cfRule type="dataBar" priority="1">
      <dataBar>
        <cfvo type="min"/>
        <cfvo type="max"/>
        <color rgb="FFD6007B"/>
      </dataBar>
      <extLst>
        <ext xmlns:x14="http://schemas.microsoft.com/office/spreadsheetml/2009/9/main" uri="{B025F937-C7B1-47D3-B67F-A62EFF666E3E}">
          <x14:id>{3CE4741C-D3FD-45C9-8F10-98F618BC92E4}</x14:id>
        </ext>
      </extLst>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dataBar" id="{A48125BC-4DC4-4B75-9770-5CB6CC5846F5}">
            <x14:dataBar minLength="0" maxLength="100" border="1" negativeBarBorderColorSameAsPositive="0">
              <x14:cfvo type="autoMin"/>
              <x14:cfvo type="autoMax"/>
              <x14:borderColor rgb="FFFF555A"/>
              <x14:negativeFillColor rgb="FFFF0000"/>
              <x14:negativeBorderColor rgb="FFFF0000"/>
              <x14:axisColor rgb="FF000000"/>
            </x14:dataBar>
          </x14:cfRule>
          <xm:sqref>K11:L15</xm:sqref>
        </x14:conditionalFormatting>
        <x14:conditionalFormatting xmlns:xm="http://schemas.microsoft.com/office/excel/2006/main">
          <x14:cfRule type="dataBar" id="{956EB92F-B953-4838-BD98-497C74EE73A1}">
            <x14:dataBar minLength="0" maxLength="100" border="1" negativeBarBorderColorSameAsPositive="0">
              <x14:cfvo type="autoMin"/>
              <x14:cfvo type="autoMax"/>
              <x14:borderColor rgb="FFD6007B"/>
              <x14:negativeFillColor rgb="FFFF0000"/>
              <x14:negativeBorderColor rgb="FFFF0000"/>
              <x14:axisColor rgb="FF000000"/>
            </x14:dataBar>
          </x14:cfRule>
          <xm:sqref>K11:L15</xm:sqref>
        </x14:conditionalFormatting>
        <x14:conditionalFormatting xmlns:xm="http://schemas.microsoft.com/office/excel/2006/main">
          <x14:cfRule type="dataBar" id="{2D32BF8E-5ED3-4B8B-B451-3DBF15C35EFF}">
            <x14:dataBar minLength="0" maxLength="100" border="1" negativeBarBorderColorSameAsPositive="0">
              <x14:cfvo type="autoMin"/>
              <x14:cfvo type="autoMax"/>
              <x14:borderColor rgb="FFFF555A"/>
              <x14:negativeFillColor rgb="FFFF0000"/>
              <x14:negativeBorderColor rgb="FFFF0000"/>
              <x14:axisColor rgb="FF000000"/>
            </x14:dataBar>
          </x14:cfRule>
          <xm:sqref>K16</xm:sqref>
        </x14:conditionalFormatting>
        <x14:conditionalFormatting xmlns:xm="http://schemas.microsoft.com/office/excel/2006/main">
          <x14:cfRule type="dataBar" id="{1509A325-6F7B-4DD9-A431-6F34A3291B79}">
            <x14:dataBar minLength="0" maxLength="100" border="1" negativeBarBorderColorSameAsPositive="0">
              <x14:cfvo type="autoMin"/>
              <x14:cfvo type="autoMax"/>
              <x14:borderColor rgb="FFD6007B"/>
              <x14:negativeFillColor rgb="FFFF0000"/>
              <x14:negativeBorderColor rgb="FFFF0000"/>
              <x14:axisColor rgb="FF000000"/>
            </x14:dataBar>
          </x14:cfRule>
          <xm:sqref>K16</xm:sqref>
        </x14:conditionalFormatting>
        <x14:conditionalFormatting xmlns:xm="http://schemas.microsoft.com/office/excel/2006/main">
          <x14:cfRule type="dataBar" id="{E7930190-85A3-49E7-90A2-3496C61246A3}">
            <x14:dataBar minLength="0" maxLength="100" border="1" negativeBarBorderColorSameAsPositive="0">
              <x14:cfvo type="autoMin"/>
              <x14:cfvo type="autoMax"/>
              <x14:borderColor rgb="FFFF555A"/>
              <x14:negativeFillColor rgb="FFFF0000"/>
              <x14:negativeBorderColor rgb="FFFF0000"/>
              <x14:axisColor rgb="FF000000"/>
            </x14:dataBar>
          </x14:cfRule>
          <xm:sqref>K17</xm:sqref>
        </x14:conditionalFormatting>
        <x14:conditionalFormatting xmlns:xm="http://schemas.microsoft.com/office/excel/2006/main">
          <x14:cfRule type="dataBar" id="{7B8E134C-2C80-44C9-89FB-08B07D600286}">
            <x14:dataBar minLength="0" maxLength="100" border="1" negativeBarBorderColorSameAsPositive="0">
              <x14:cfvo type="autoMin"/>
              <x14:cfvo type="autoMax"/>
              <x14:borderColor rgb="FFD6007B"/>
              <x14:negativeFillColor rgb="FFFF0000"/>
              <x14:negativeBorderColor rgb="FFFF0000"/>
              <x14:axisColor rgb="FF000000"/>
            </x14:dataBar>
          </x14:cfRule>
          <xm:sqref>K17</xm:sqref>
        </x14:conditionalFormatting>
        <x14:conditionalFormatting xmlns:xm="http://schemas.microsoft.com/office/excel/2006/main">
          <x14:cfRule type="dataBar" id="{71AFBB22-39D0-42EC-BEF5-0420048D926C}">
            <x14:dataBar minLength="0" maxLength="100" border="1" negativeBarBorderColorSameAsPositive="0">
              <x14:cfvo type="autoMin"/>
              <x14:cfvo type="autoMax"/>
              <x14:borderColor rgb="FFFF555A"/>
              <x14:negativeFillColor rgb="FFFF0000"/>
              <x14:negativeBorderColor rgb="FFFF0000"/>
              <x14:axisColor rgb="FF000000"/>
            </x14:dataBar>
          </x14:cfRule>
          <xm:sqref>K18</xm:sqref>
        </x14:conditionalFormatting>
        <x14:conditionalFormatting xmlns:xm="http://schemas.microsoft.com/office/excel/2006/main">
          <x14:cfRule type="dataBar" id="{3CE4741C-D3FD-45C9-8F10-98F618BC92E4}">
            <x14:dataBar minLength="0" maxLength="100" border="1" negativeBarBorderColorSameAsPositive="0">
              <x14:cfvo type="autoMin"/>
              <x14:cfvo type="autoMax"/>
              <x14:borderColor rgb="FFD6007B"/>
              <x14:negativeFillColor rgb="FFFF0000"/>
              <x14:negativeBorderColor rgb="FFFF0000"/>
              <x14:axisColor rgb="FF000000"/>
            </x14:dataBar>
          </x14:cfRule>
          <xm:sqref>K18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512B-DCBC-479B-872A-EA44D7A9CD33}">
  <dimension ref="A1:C4"/>
  <sheetViews>
    <sheetView workbookViewId="0">
      <selection activeCell="C5" sqref="C5"/>
    </sheetView>
  </sheetViews>
  <sheetFormatPr defaultRowHeight="14.25"/>
  <cols>
    <col min="1" max="1" width="13.5" bestFit="1" customWidth="1"/>
    <col min="2" max="3" width="11.375" bestFit="1" customWidth="1"/>
  </cols>
  <sheetData>
    <row r="1" spans="1:3">
      <c r="A1" t="s">
        <v>86</v>
      </c>
      <c r="B1" s="72">
        <f>'Renta Fija'!G4</f>
        <v>45765.152254000015</v>
      </c>
    </row>
    <row r="2" spans="1:3">
      <c r="B2" s="72" t="s">
        <v>140</v>
      </c>
    </row>
    <row r="3" spans="1:3">
      <c r="A3" t="s">
        <v>141</v>
      </c>
      <c r="B3" s="73">
        <v>0.4</v>
      </c>
      <c r="C3" s="67">
        <f>B1*B3</f>
        <v>18306.060901600005</v>
      </c>
    </row>
    <row r="4" spans="1:3">
      <c r="A4" t="s">
        <v>142</v>
      </c>
      <c r="B4" s="73">
        <v>0.6</v>
      </c>
      <c r="C4" s="67">
        <f>B4*B1</f>
        <v>27459.09135240001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F580-3118-48BA-A3C0-9ED19FBF8091}">
  <dimension ref="A1"/>
  <sheetViews>
    <sheetView workbookViewId="0"/>
  </sheetViews>
  <sheetFormatPr defaultRowHeight="14.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79"/>
  <sheetViews>
    <sheetView showGridLines="0" workbookViewId="0"/>
  </sheetViews>
  <sheetFormatPr defaultColWidth="9" defaultRowHeight="14.25" customHeight="1" zeroHeight="1"/>
  <cols>
    <col min="1" max="1" width="9.125" customWidth="1"/>
    <col min="2" max="2" width="63.625" customWidth="1"/>
    <col min="3" max="3" width="16.75" customWidth="1"/>
    <col min="4" max="4" width="9" customWidth="1"/>
  </cols>
  <sheetData>
    <row r="1" spans="1:3" s="31" customFormat="1" ht="32.1" customHeight="1">
      <c r="A1" s="33" t="s">
        <v>143</v>
      </c>
      <c r="B1" s="33"/>
      <c r="C1" s="33"/>
    </row>
    <row r="2" spans="1:3">
      <c r="A2" s="30" t="s">
        <v>144</v>
      </c>
      <c r="C2" s="25" t="s">
        <v>145</v>
      </c>
    </row>
    <row r="3" spans="1:3">
      <c r="B3" s="26"/>
    </row>
    <row r="4" spans="1:3" ht="18">
      <c r="A4" s="45" t="s">
        <v>146</v>
      </c>
      <c r="B4" s="46"/>
      <c r="C4" s="47"/>
    </row>
    <row r="5" spans="1:3" ht="28.5">
      <c r="B5" s="28" t="s">
        <v>147</v>
      </c>
    </row>
    <row r="6" spans="1:3">
      <c r="B6" s="28"/>
    </row>
    <row r="7" spans="1:3" ht="28.5">
      <c r="B7" s="28" t="s">
        <v>148</v>
      </c>
    </row>
    <row r="8" spans="1:3">
      <c r="B8" s="28"/>
    </row>
    <row r="9" spans="1:3" ht="15.75">
      <c r="A9" s="45" t="s">
        <v>149</v>
      </c>
      <c r="B9" s="45" t="s">
        <v>150</v>
      </c>
    </row>
    <row r="10" spans="1:3">
      <c r="B10" s="28"/>
    </row>
    <row r="11" spans="1:3" ht="42.75">
      <c r="B11" s="28" t="s">
        <v>151</v>
      </c>
    </row>
    <row r="12" spans="1:3">
      <c r="B12" s="28"/>
    </row>
    <row r="13" spans="1:3" ht="15.75">
      <c r="A13" s="45" t="s">
        <v>152</v>
      </c>
      <c r="B13" s="45" t="s">
        <v>153</v>
      </c>
    </row>
    <row r="14" spans="1:3">
      <c r="B14" s="28"/>
    </row>
    <row r="15" spans="1:3">
      <c r="B15" s="28" t="s">
        <v>154</v>
      </c>
    </row>
    <row r="16" spans="1:3">
      <c r="B16" s="28"/>
    </row>
    <row r="17" spans="1:2" ht="28.5">
      <c r="B17" s="28" t="s">
        <v>155</v>
      </c>
    </row>
    <row r="18" spans="1:2">
      <c r="B18" s="28"/>
    </row>
    <row r="19" spans="1:2" ht="15.75">
      <c r="A19" s="45" t="s">
        <v>156</v>
      </c>
      <c r="B19" s="45" t="s">
        <v>157</v>
      </c>
    </row>
    <row r="20" spans="1:2">
      <c r="B20" s="28"/>
    </row>
    <row r="21" spans="1:2" ht="28.5">
      <c r="B21" s="28" t="s">
        <v>158</v>
      </c>
    </row>
    <row r="22" spans="1:2">
      <c r="B22" s="28"/>
    </row>
    <row r="23" spans="1:2" ht="16.5">
      <c r="A23" s="27" t="s">
        <v>159</v>
      </c>
      <c r="B23" s="26"/>
    </row>
    <row r="24" spans="1:2" ht="71.25">
      <c r="B24" s="28" t="s">
        <v>160</v>
      </c>
    </row>
    <row r="25" spans="1:2">
      <c r="B25" s="26"/>
    </row>
    <row r="26" spans="1:2" ht="16.5">
      <c r="A26" s="27" t="s">
        <v>161</v>
      </c>
      <c r="B26" s="26"/>
    </row>
    <row r="27" spans="1:2" ht="42.75">
      <c r="B27" s="28" t="s">
        <v>162</v>
      </c>
    </row>
    <row r="28" spans="1:2">
      <c r="B28" s="26"/>
    </row>
    <row r="29" spans="1:2" ht="16.5">
      <c r="A29" s="27" t="s">
        <v>163</v>
      </c>
      <c r="B29" s="26"/>
    </row>
    <row r="30" spans="1:2" ht="42.75">
      <c r="B30" s="28" t="s">
        <v>164</v>
      </c>
    </row>
    <row r="31" spans="1:2">
      <c r="B31" s="26"/>
    </row>
    <row r="32" spans="1:2">
      <c r="B32" s="28"/>
    </row>
    <row r="33" spans="1:3" ht="18">
      <c r="A33" s="45" t="s">
        <v>165</v>
      </c>
      <c r="B33" s="46"/>
      <c r="C33" s="47"/>
    </row>
    <row r="34" spans="1:3"/>
    <row r="35" spans="1:3">
      <c r="B35" s="48" t="str">
        <f>HYPERLINK("https://www.vertex42.com/ExcelTemplates/money-tracker.html","► Money Tracker for Mobile Excel")</f>
        <v>► Money Tracker for Mobile Excel</v>
      </c>
    </row>
    <row r="36" spans="1:3">
      <c r="B36" s="29"/>
    </row>
    <row r="37" spans="1:3">
      <c r="B37" s="48" t="str">
        <f>HYPERLINK("https://www.vertex42.com/ExcelTemplates/money-management-template.html","► Money Management Template")</f>
        <v>► Money Management Template</v>
      </c>
    </row>
    <row r="38" spans="1:3">
      <c r="B38" s="29"/>
    </row>
    <row r="39" spans="1:3">
      <c r="B39" s="48" t="str">
        <f>HYPERLINK("https://www.vertex42.com/ExcelTemplates/account-register.html","► Account Register Template")</f>
        <v>► Account Register Template</v>
      </c>
    </row>
    <row r="40" spans="1:3">
      <c r="B40" s="29"/>
    </row>
    <row r="41" spans="1:3">
      <c r="B41" s="48" t="str">
        <f>HYPERLINK("https://www.vertex42.com/ExcelArticles/how-to-make-a-budget.html","► How to Make a Budget with a Spreadsheet")</f>
        <v>► How to Make a Budget with a Spreadsheet</v>
      </c>
    </row>
    <row r="42" spans="1:3">
      <c r="B42" s="29"/>
    </row>
    <row r="43" spans="1:3">
      <c r="B43" s="48" t="str">
        <f>HYPERLINK("https://www.vertex42.com/blog/money/principles-of-personal-finance.html","► 12 Principles of Personal Finance")</f>
        <v>► 12 Principles of Personal Finance</v>
      </c>
    </row>
    <row r="44" spans="1:3"/>
    <row r="45" spans="1:3">
      <c r="B45" s="48" t="str">
        <f>HYPERLINK("https://www.vertex42.com/ExcelTemplates/budgets.html","► More Budget Templates")</f>
        <v>► More Budget Templates</v>
      </c>
    </row>
    <row r="46" spans="1:3"/>
    <row r="47" spans="1:3">
      <c r="B47" s="48" t="str">
        <f>HYPERLINK("https://www.vertex42.com/Calculators/financial-calculators.html","► More Financial Calculators")</f>
        <v>► More Financial Calculators</v>
      </c>
    </row>
    <row r="48" spans="1:3">
      <c r="B48" s="29"/>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sheetData>
  <hyperlinks>
    <hyperlink ref="A2" r:id="rId1" xr:uid="{00000000-0004-0000-0100-000000000000}"/>
  </hyperlinks>
  <pageMargins left="0.5" right="0.5" top="0.5" bottom="0.5" header="0.3" footer="0.3"/>
  <pageSetup scale="98" fitToHeight="0"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6498-BC06-492C-80F6-6CF44D089F54}">
  <sheetPr>
    <pageSetUpPr fitToPage="1"/>
  </sheetPr>
  <dimension ref="A1:C19"/>
  <sheetViews>
    <sheetView showGridLines="0" workbookViewId="0"/>
  </sheetViews>
  <sheetFormatPr defaultColWidth="9" defaultRowHeight="14.25"/>
  <cols>
    <col min="1" max="1" width="2.5" style="31" customWidth="1"/>
    <col min="2" max="2" width="62.625" style="31" customWidth="1"/>
    <col min="3" max="3" width="19.5" customWidth="1"/>
  </cols>
  <sheetData>
    <row r="1" spans="1:3" ht="32.1" customHeight="1">
      <c r="A1" s="32"/>
      <c r="B1" s="33" t="s">
        <v>166</v>
      </c>
      <c r="C1" s="34"/>
    </row>
    <row r="2" spans="1:3" ht="15">
      <c r="A2" s="35"/>
      <c r="B2" s="36"/>
      <c r="C2" s="37"/>
    </row>
    <row r="3" spans="1:3" ht="15">
      <c r="A3" s="35"/>
      <c r="B3" s="38" t="s">
        <v>167</v>
      </c>
      <c r="C3" s="37"/>
    </row>
    <row r="4" spans="1:3">
      <c r="A4" s="35"/>
      <c r="B4" s="39" t="s">
        <v>144</v>
      </c>
      <c r="C4" s="37"/>
    </row>
    <row r="5" spans="1:3" ht="15">
      <c r="A5" s="35"/>
      <c r="B5" s="40"/>
      <c r="C5" s="37"/>
    </row>
    <row r="6" spans="1:3" ht="15.75">
      <c r="A6" s="35"/>
      <c r="B6" s="41" t="s">
        <v>168</v>
      </c>
      <c r="C6" s="37"/>
    </row>
    <row r="7" spans="1:3" ht="15">
      <c r="A7" s="35"/>
      <c r="B7" s="40"/>
      <c r="C7" s="37"/>
    </row>
    <row r="8" spans="1:3" ht="30">
      <c r="A8" s="35"/>
      <c r="B8" s="40" t="s">
        <v>169</v>
      </c>
      <c r="C8" s="37"/>
    </row>
    <row r="9" spans="1:3" ht="15">
      <c r="A9" s="35"/>
      <c r="B9" s="40"/>
      <c r="C9" s="37"/>
    </row>
    <row r="10" spans="1:3" ht="30">
      <c r="A10" s="35"/>
      <c r="B10" s="40" t="s">
        <v>170</v>
      </c>
      <c r="C10" s="37"/>
    </row>
    <row r="11" spans="1:3" ht="15">
      <c r="A11" s="35"/>
      <c r="B11" s="40"/>
      <c r="C11" s="37"/>
    </row>
    <row r="12" spans="1:3" ht="30">
      <c r="A12" s="35"/>
      <c r="B12" s="40" t="s">
        <v>171</v>
      </c>
      <c r="C12" s="37"/>
    </row>
    <row r="13" spans="1:3" ht="15">
      <c r="A13" s="35"/>
      <c r="B13" s="40"/>
      <c r="C13" s="37"/>
    </row>
    <row r="14" spans="1:3" ht="15.75">
      <c r="A14" s="35"/>
      <c r="B14" s="41" t="s">
        <v>172</v>
      </c>
      <c r="C14" s="37"/>
    </row>
    <row r="15" spans="1:3" ht="15">
      <c r="A15" s="35"/>
      <c r="B15" s="42" t="s">
        <v>173</v>
      </c>
      <c r="C15" s="37"/>
    </row>
    <row r="16" spans="1:3" ht="15">
      <c r="A16" s="35"/>
      <c r="B16" s="43"/>
      <c r="C16" s="37"/>
    </row>
    <row r="17" spans="1:3" ht="15">
      <c r="A17" s="35"/>
      <c r="B17" s="44" t="s">
        <v>174</v>
      </c>
      <c r="C17" s="37"/>
    </row>
    <row r="18" spans="1:3">
      <c r="A18" s="35"/>
      <c r="B18" s="35"/>
      <c r="C18" s="37"/>
    </row>
    <row r="19" spans="1:3">
      <c r="A19" s="35"/>
      <c r="B19" s="35"/>
      <c r="C19" s="37"/>
    </row>
  </sheetData>
  <hyperlinks>
    <hyperlink ref="B15" r:id="rId1" xr:uid="{134B25F3-FC9F-4A76-B8F8-2355BE3EA9CC}"/>
    <hyperlink ref="B4" r:id="rId2" xr:uid="{CAF516DD-2566-43E4-A54A-377E709D0998}"/>
  </hyperlinks>
  <pageMargins left="0.5" right="0.5" top="0.5" bottom="0.5" header="0.3" footer="0.3"/>
  <pageSetup orientation="portrait" r:id="rId3"/>
  <drawing r:id="rId4"/>
  <picture r:id="rId5"/>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png"/><Relationship Id="personal-monthly-budget_180" Type="http://schemas.openxmlformats.org/officeDocument/2006/relationships/image" Target="images/personal-monthly-budget_18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ersonal Monthly Budget" helperText="A monthly budget worksheet with categories for an individual person.">
          <topItems>
            <labelControl id="spacer1" label=" "/>
            <imageControl id="template_thumbnail" image="personal-monthly-budget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ersonal-monthly-budget.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 Online</Application>
  <Manager/>
  <Company>Vertex42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Monthly Budget</dc:title>
  <dc:subject/>
  <dc:creator>Vertex42.com</dc:creator>
  <cp:keywords/>
  <dc:description>(c) 2008-2019 Vertex42 LLC. All Rights Reserved.</dc:description>
  <cp:lastModifiedBy>Francisco Javier Vargas Fentanes</cp:lastModifiedBy>
  <cp:revision/>
  <dcterms:created xsi:type="dcterms:W3CDTF">2007-10-28T01:07:07Z</dcterms:created>
  <dcterms:modified xsi:type="dcterms:W3CDTF">2025-03-14T15:29:23Z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2008-2019 Vertex42 LLC</vt:lpwstr>
  </property>
  <property fmtid="{D5CDD505-2E9C-101B-9397-08002B2CF9AE}" pid="3" name="Source">
    <vt:lpwstr>https://www.vertex42.com/ExcelTemplates/personal-monthly-budget.html</vt:lpwstr>
  </property>
  <property fmtid="{D5CDD505-2E9C-101B-9397-08002B2CF9AE}" pid="4" name="Version">
    <vt:lpwstr>1.1.4</vt:lpwstr>
  </property>
</Properties>
</file>